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C:\Users\Martin\Documents\GitHub\bot-whatsapp-1\"/>
    </mc:Choice>
  </mc:AlternateContent>
  <workbookProtection workbookPassword="FDA0" lockStructure="1"/>
  <bookViews>
    <workbookView xWindow="32760" yWindow="32760" windowWidth="20490" windowHeight="7755" tabRatio="929"/>
  </bookViews>
  <sheets>
    <sheet name="OptiMaxx plus" sheetId="2" r:id="rId1"/>
    <sheet name="No Deducible 93" sheetId="17" state="hidden" r:id="rId2"/>
    <sheet name="Deducible 151" sheetId="19" state="hidden" r:id="rId3"/>
    <sheet name="Deducible 185" sheetId="20" state="hidden" r:id="rId4"/>
    <sheet name="Bono" sheetId="18" state="hidden" r:id="rId5"/>
    <sheet name="Resumen" sheetId="21" state="hidden" r:id="rId6"/>
    <sheet name="Hoja1" sheetId="22" state="hidden" r:id="rId7"/>
    <sheet name="Hoja2" sheetId="23" state="hidden" r:id="rId8"/>
  </sheets>
  <definedNames>
    <definedName name="_xlnm.Print_Area" localSheetId="0">'OptiMaxx plus'!$C$3:$AG$65</definedName>
    <definedName name="Z_4E3BA7BB_7103_4B0B_984E_F9B0612D34E6_.wvu.Cols" localSheetId="0" hidden="1">'OptiMaxx plus'!$Y:$Y,'OptiMaxx plus'!$AJ:$IV</definedName>
    <definedName name="Z_4E3BA7BB_7103_4B0B_984E_F9B0612D34E6_.wvu.PrintArea" localSheetId="0" hidden="1">'OptiMaxx plus'!$B$2:$AH$153</definedName>
    <definedName name="Z_4E3BA7BB_7103_4B0B_984E_F9B0612D34E6_.wvu.Rows" localSheetId="0" hidden="1">'OptiMaxx plus'!$701:$65536,'OptiMaxx plus'!$100:$101,'OptiMaxx plus'!$140:$140,'OptiMaxx plus'!$153:$699</definedName>
    <definedName name="Z_EC1A7031_5F5C_4CD5_8FF6_12DE6DECECD0_.wvu.Cols" localSheetId="0" hidden="1">'OptiMaxx plus'!$Y:$Y,'OptiMaxx plus'!$AJ:$IV</definedName>
    <definedName name="Z_EC1A7031_5F5C_4CD5_8FF6_12DE6DECECD0_.wvu.PrintArea" localSheetId="0" hidden="1">'OptiMaxx plus'!$B$2:$AH$153</definedName>
    <definedName name="Z_EC1A7031_5F5C_4CD5_8FF6_12DE6DECECD0_.wvu.Rows" localSheetId="0" hidden="1">'OptiMaxx plus'!$701:$65536,'OptiMaxx plus'!$100:$101,'OptiMaxx plus'!$140:$140,'OptiMaxx plus'!$153:$699</definedName>
    <definedName name="Z_ECC7F292_CCD5_4095_898F_E1B6A0658540_.wvu.Cols" localSheetId="0" hidden="1">'OptiMaxx plus'!$A:$A,'OptiMaxx plus'!$Y:$Y,'OptiMaxx plus'!$AJ:$IV</definedName>
    <definedName name="Z_ECC7F292_CCD5_4095_898F_E1B6A0658540_.wvu.PrintArea" localSheetId="0" hidden="1">'OptiMaxx plus'!$B$2:$AI$79</definedName>
    <definedName name="Z_ECC7F292_CCD5_4095_898F_E1B6A0658540_.wvu.Rows" localSheetId="0" hidden="1">'OptiMaxx plus'!$705:$65536,'OptiMaxx plus'!$52:$52,'OptiMaxx plus'!$79:$703</definedName>
  </definedNames>
  <calcPr calcId="162913"/>
  <customWorkbookViews>
    <customWorkbookView name="Soluciones patrimoniales1 - Vista personalizada" guid="{ECC7F292-CCD5-4095-898F-E1B6A0658540}" mergeInterval="0" personalView="1" maximized="1" windowWidth="1276" windowHeight="853" activeSheetId="2"/>
  </customWorkbookViews>
</workbook>
</file>

<file path=xl/calcChain.xml><?xml version="1.0" encoding="utf-8"?>
<calcChain xmlns="http://schemas.openxmlformats.org/spreadsheetml/2006/main">
  <c r="J21" i="17" l="1"/>
  <c r="H21" i="18"/>
  <c r="J21" i="20"/>
  <c r="J21" i="19"/>
  <c r="AE1" i="21"/>
  <c r="N5" i="21"/>
  <c r="AM36" i="2"/>
  <c r="AO60" i="2"/>
  <c r="AU60" i="2" s="1"/>
  <c r="AO61" i="2"/>
  <c r="AU61" i="2" s="1"/>
  <c r="AM61" i="2"/>
  <c r="AS61" i="2"/>
  <c r="AM60" i="2"/>
  <c r="AS60" i="2" s="1"/>
  <c r="AO59" i="2"/>
  <c r="AU59" i="2" s="1"/>
  <c r="AM59" i="2"/>
  <c r="AS59" i="2"/>
  <c r="AO57" i="2"/>
  <c r="AU57" i="2" s="1"/>
  <c r="AN57" i="2"/>
  <c r="AT57" i="2" s="1"/>
  <c r="AM57" i="2"/>
  <c r="AS57" i="2"/>
  <c r="AO56" i="2"/>
  <c r="AU56" i="2" s="1"/>
  <c r="AN56" i="2"/>
  <c r="AT56" i="2" s="1"/>
  <c r="AM56" i="2"/>
  <c r="AS56" i="2"/>
  <c r="AO55" i="2"/>
  <c r="AU55" i="2" s="1"/>
  <c r="AN55" i="2"/>
  <c r="AT55" i="2" s="1"/>
  <c r="AM55" i="2"/>
  <c r="AS55" i="2"/>
  <c r="AN36" i="2"/>
  <c r="G20" i="17"/>
  <c r="V42" i="17"/>
  <c r="AK12" i="2"/>
  <c r="AO25" i="21"/>
  <c r="D63" i="2"/>
  <c r="K17" i="20"/>
  <c r="K16" i="20"/>
  <c r="K15" i="20"/>
  <c r="K14" i="20"/>
  <c r="K13" i="20"/>
  <c r="K12" i="20"/>
  <c r="K11" i="20"/>
  <c r="K10" i="20"/>
  <c r="K9" i="20"/>
  <c r="K8" i="20"/>
  <c r="K7" i="20"/>
  <c r="K6" i="20"/>
  <c r="K5" i="20"/>
  <c r="K4" i="20"/>
  <c r="K3" i="20"/>
  <c r="K17" i="19"/>
  <c r="K16" i="19"/>
  <c r="K15" i="19"/>
  <c r="K14" i="19"/>
  <c r="K13" i="19"/>
  <c r="K12" i="19"/>
  <c r="K11" i="19"/>
  <c r="K10" i="19"/>
  <c r="K9" i="19"/>
  <c r="K8" i="19"/>
  <c r="K7" i="19"/>
  <c r="K6" i="19"/>
  <c r="K5" i="19"/>
  <c r="K4" i="19"/>
  <c r="K3" i="19"/>
  <c r="AF79" i="21"/>
  <c r="AG79" i="21" s="1"/>
  <c r="AQ27" i="19"/>
  <c r="AA22" i="2"/>
  <c r="AG35" i="21"/>
  <c r="K12" i="17"/>
  <c r="K10" i="17"/>
  <c r="K9" i="17"/>
  <c r="K7" i="17"/>
  <c r="K6" i="17"/>
  <c r="K4" i="17"/>
  <c r="K3" i="17"/>
  <c r="AD23" i="21"/>
  <c r="AD25" i="21" s="1"/>
  <c r="G3" i="17"/>
  <c r="G24" i="17"/>
  <c r="F3" i="18"/>
  <c r="I2" i="18"/>
  <c r="G3" i="19"/>
  <c r="G3" i="20"/>
  <c r="AI25" i="21"/>
  <c r="AO19" i="21"/>
  <c r="AI19" i="21"/>
  <c r="AT13" i="21"/>
  <c r="AO13" i="21"/>
  <c r="AI13" i="21"/>
  <c r="F2" i="18"/>
  <c r="D24" i="18" s="1"/>
  <c r="D36" i="18" s="1"/>
  <c r="D48" i="18" s="1"/>
  <c r="D60" i="18" s="1"/>
  <c r="D72" i="18" s="1"/>
  <c r="D84" i="18"/>
  <c r="D96" i="18" s="1"/>
  <c r="D108" i="18" s="1"/>
  <c r="D120" i="18" s="1"/>
  <c r="D132" i="18" s="1"/>
  <c r="D144" i="18" s="1"/>
  <c r="D156" i="18" s="1"/>
  <c r="D168" i="18"/>
  <c r="D180" i="18" s="1"/>
  <c r="D192" i="18" s="1"/>
  <c r="D204" i="18" s="1"/>
  <c r="D216" i="18" s="1"/>
  <c r="D228" i="18" s="1"/>
  <c r="D240" i="18" s="1"/>
  <c r="D252" i="18" s="1"/>
  <c r="D264" i="18" s="1"/>
  <c r="D276" i="18" s="1"/>
  <c r="D288" i="18" s="1"/>
  <c r="D300" i="18" s="1"/>
  <c r="D312" i="18" s="1"/>
  <c r="D324" i="18" s="1"/>
  <c r="D336" i="18" s="1"/>
  <c r="D348" i="18" s="1"/>
  <c r="D360" i="18" s="1"/>
  <c r="D372" i="18" s="1"/>
  <c r="D384" i="18" s="1"/>
  <c r="D396" i="18" s="1"/>
  <c r="D408" i="18" s="1"/>
  <c r="D420" i="18" s="1"/>
  <c r="D432" i="18" s="1"/>
  <c r="D444" i="18" s="1"/>
  <c r="D456" i="18" s="1"/>
  <c r="D468" i="18" s="1"/>
  <c r="D480" i="18" s="1"/>
  <c r="D492" i="18" s="1"/>
  <c r="D504" i="18" s="1"/>
  <c r="D516" i="18" s="1"/>
  <c r="D528" i="18" s="1"/>
  <c r="D540" i="18" s="1"/>
  <c r="D552" i="18" s="1"/>
  <c r="D564" i="18" s="1"/>
  <c r="D576" i="18" s="1"/>
  <c r="D588" i="18" s="1"/>
  <c r="D600" i="18" s="1"/>
  <c r="D612" i="18" s="1"/>
  <c r="D624" i="18" s="1"/>
  <c r="D636" i="18" s="1"/>
  <c r="D648" i="18" s="1"/>
  <c r="D660" i="18" s="1"/>
  <c r="D672" i="18" s="1"/>
  <c r="D684" i="18" s="1"/>
  <c r="D696" i="18" s="1"/>
  <c r="D708" i="18" s="1"/>
  <c r="D720" i="18" s="1"/>
  <c r="D732" i="18" s="1"/>
  <c r="D744" i="18" s="1"/>
  <c r="F4" i="18"/>
  <c r="F5" i="18"/>
  <c r="T24" i="18"/>
  <c r="F8" i="18"/>
  <c r="F17" i="18"/>
  <c r="A25" i="18"/>
  <c r="A26" i="18" s="1"/>
  <c r="A27" i="18" s="1"/>
  <c r="A28" i="18" s="1"/>
  <c r="A29" i="18"/>
  <c r="A30" i="18"/>
  <c r="A31" i="18" s="1"/>
  <c r="A32" i="18" s="1"/>
  <c r="A33" i="18" s="1"/>
  <c r="A34" i="18" s="1"/>
  <c r="A35" i="18" s="1"/>
  <c r="A36" i="18"/>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B36" i="18"/>
  <c r="C36" i="18"/>
  <c r="B37" i="18"/>
  <c r="B49" i="18" s="1"/>
  <c r="B61" i="18"/>
  <c r="B73" i="18" s="1"/>
  <c r="B85" i="18" s="1"/>
  <c r="B97" i="18" s="1"/>
  <c r="B109" i="18" s="1"/>
  <c r="B121" i="18" s="1"/>
  <c r="B133" i="18" s="1"/>
  <c r="B145" i="18"/>
  <c r="B157" i="18" s="1"/>
  <c r="B169" i="18" s="1"/>
  <c r="B181" i="18" s="1"/>
  <c r="B193" i="18" s="1"/>
  <c r="B205" i="18" s="1"/>
  <c r="B217" i="18" s="1"/>
  <c r="B229" i="18" s="1"/>
  <c r="B241" i="18" s="1"/>
  <c r="B253" i="18" s="1"/>
  <c r="B265" i="18" s="1"/>
  <c r="B277" i="18" s="1"/>
  <c r="B289" i="18" s="1"/>
  <c r="B301" i="18" s="1"/>
  <c r="B313" i="18" s="1"/>
  <c r="B325" i="18" s="1"/>
  <c r="B337" i="18" s="1"/>
  <c r="B349" i="18" s="1"/>
  <c r="B361" i="18" s="1"/>
  <c r="B373" i="18" s="1"/>
  <c r="B385" i="18" s="1"/>
  <c r="B397" i="18" s="1"/>
  <c r="B409" i="18" s="1"/>
  <c r="B421" i="18" s="1"/>
  <c r="B433" i="18" s="1"/>
  <c r="B445" i="18" s="1"/>
  <c r="B457" i="18" s="1"/>
  <c r="B469" i="18" s="1"/>
  <c r="B481" i="18" s="1"/>
  <c r="B493" i="18" s="1"/>
  <c r="C37" i="18"/>
  <c r="C49" i="18" s="1"/>
  <c r="C61" i="18"/>
  <c r="C73" i="18" s="1"/>
  <c r="C85" i="18"/>
  <c r="C97" i="18" s="1"/>
  <c r="C109" i="18" s="1"/>
  <c r="C121" i="18" s="1"/>
  <c r="C133" i="18" s="1"/>
  <c r="C145" i="18" s="1"/>
  <c r="C157" i="18"/>
  <c r="C169" i="18" s="1"/>
  <c r="C181" i="18" s="1"/>
  <c r="C193" i="18" s="1"/>
  <c r="C205" i="18" s="1"/>
  <c r="C217" i="18" s="1"/>
  <c r="C229" i="18" s="1"/>
  <c r="C241" i="18" s="1"/>
  <c r="C253" i="18" s="1"/>
  <c r="C265" i="18" s="1"/>
  <c r="C277" i="18" s="1"/>
  <c r="C289" i="18" s="1"/>
  <c r="C301" i="18" s="1"/>
  <c r="C313" i="18" s="1"/>
  <c r="C325" i="18" s="1"/>
  <c r="C337" i="18" s="1"/>
  <c r="C349" i="18" s="1"/>
  <c r="C361" i="18" s="1"/>
  <c r="C373" i="18" s="1"/>
  <c r="C385" i="18" s="1"/>
  <c r="C397" i="18" s="1"/>
  <c r="C409" i="18" s="1"/>
  <c r="C421" i="18" s="1"/>
  <c r="C433" i="18" s="1"/>
  <c r="C445" i="18" s="1"/>
  <c r="C457" i="18" s="1"/>
  <c r="C469" i="18" s="1"/>
  <c r="C481" i="18" s="1"/>
  <c r="C493" i="18" s="1"/>
  <c r="C505" i="18" s="1"/>
  <c r="C517" i="18" s="1"/>
  <c r="C529" i="18" s="1"/>
  <c r="C541" i="18" s="1"/>
  <c r="C553" i="18" s="1"/>
  <c r="C565" i="18" s="1"/>
  <c r="C577" i="18" s="1"/>
  <c r="C589" i="18" s="1"/>
  <c r="C601" i="18" s="1"/>
  <c r="C613" i="18" s="1"/>
  <c r="C625" i="18" s="1"/>
  <c r="C637" i="18" s="1"/>
  <c r="C649" i="18" s="1"/>
  <c r="C661" i="18" s="1"/>
  <c r="C673" i="18" s="1"/>
  <c r="C685" i="18" s="1"/>
  <c r="C697" i="18" s="1"/>
  <c r="C709" i="18" s="1"/>
  <c r="C721" i="18" s="1"/>
  <c r="C733" i="18" s="1"/>
  <c r="C745" i="18" s="1"/>
  <c r="B38" i="18"/>
  <c r="C38" i="18"/>
  <c r="C50" i="18"/>
  <c r="C62" i="18" s="1"/>
  <c r="C74" i="18"/>
  <c r="C86" i="18"/>
  <c r="C98" i="18" s="1"/>
  <c r="C110" i="18" s="1"/>
  <c r="C122" i="18" s="1"/>
  <c r="C134" i="18" s="1"/>
  <c r="C146" i="18" s="1"/>
  <c r="C158" i="18" s="1"/>
  <c r="C170" i="18" s="1"/>
  <c r="C182" i="18" s="1"/>
  <c r="C194" i="18" s="1"/>
  <c r="C206" i="18" s="1"/>
  <c r="C218" i="18" s="1"/>
  <c r="C230" i="18"/>
  <c r="C242" i="18" s="1"/>
  <c r="C254" i="18" s="1"/>
  <c r="C266" i="18" s="1"/>
  <c r="C278" i="18" s="1"/>
  <c r="C290" i="18" s="1"/>
  <c r="C302" i="18" s="1"/>
  <c r="C314" i="18" s="1"/>
  <c r="C326" i="18" s="1"/>
  <c r="C338" i="18" s="1"/>
  <c r="C350" i="18" s="1"/>
  <c r="C362" i="18" s="1"/>
  <c r="C374" i="18" s="1"/>
  <c r="C386" i="18" s="1"/>
  <c r="C398" i="18" s="1"/>
  <c r="C410" i="18" s="1"/>
  <c r="C422" i="18" s="1"/>
  <c r="C434" i="18" s="1"/>
  <c r="C446" i="18"/>
  <c r="C458" i="18" s="1"/>
  <c r="C470" i="18" s="1"/>
  <c r="C482" i="18" s="1"/>
  <c r="C494" i="18" s="1"/>
  <c r="C506" i="18" s="1"/>
  <c r="C518" i="18" s="1"/>
  <c r="C530" i="18" s="1"/>
  <c r="C542" i="18" s="1"/>
  <c r="C554" i="18" s="1"/>
  <c r="C566" i="18" s="1"/>
  <c r="C578" i="18" s="1"/>
  <c r="C590" i="18" s="1"/>
  <c r="C602" i="18" s="1"/>
  <c r="C614" i="18" s="1"/>
  <c r="C626" i="18" s="1"/>
  <c r="C638" i="18" s="1"/>
  <c r="C650" i="18" s="1"/>
  <c r="C662" i="18" s="1"/>
  <c r="C674" i="18" s="1"/>
  <c r="C686" i="18" s="1"/>
  <c r="C698" i="18" s="1"/>
  <c r="C710" i="18" s="1"/>
  <c r="C722" i="18" s="1"/>
  <c r="C734" i="18" s="1"/>
  <c r="C746" i="18" s="1"/>
  <c r="B39" i="18"/>
  <c r="B51" i="18"/>
  <c r="B63" i="18" s="1"/>
  <c r="B75" i="18"/>
  <c r="C39" i="18"/>
  <c r="C51" i="18" s="1"/>
  <c r="C63" i="18" s="1"/>
  <c r="C75" i="18" s="1"/>
  <c r="C87" i="18" s="1"/>
  <c r="C99" i="18"/>
  <c r="C111" i="18" s="1"/>
  <c r="C123" i="18" s="1"/>
  <c r="C135" i="18" s="1"/>
  <c r="C147" i="18" s="1"/>
  <c r="C159" i="18" s="1"/>
  <c r="C171" i="18" s="1"/>
  <c r="C183" i="18" s="1"/>
  <c r="C195" i="18" s="1"/>
  <c r="C207" i="18" s="1"/>
  <c r="B40" i="18"/>
  <c r="C40" i="18"/>
  <c r="C52" i="18" s="1"/>
  <c r="C64" i="18"/>
  <c r="C76" i="18" s="1"/>
  <c r="C88" i="18" s="1"/>
  <c r="C100" i="18" s="1"/>
  <c r="C112" i="18" s="1"/>
  <c r="C124" i="18" s="1"/>
  <c r="C136" i="18" s="1"/>
  <c r="C148" i="18" s="1"/>
  <c r="C160" i="18" s="1"/>
  <c r="C172" i="18" s="1"/>
  <c r="C184" i="18" s="1"/>
  <c r="C196" i="18" s="1"/>
  <c r="C208" i="18" s="1"/>
  <c r="C220" i="18" s="1"/>
  <c r="C232" i="18" s="1"/>
  <c r="C244" i="18" s="1"/>
  <c r="C256" i="18" s="1"/>
  <c r="C268" i="18" s="1"/>
  <c r="C280" i="18" s="1"/>
  <c r="C292" i="18" s="1"/>
  <c r="C304" i="18" s="1"/>
  <c r="C316" i="18" s="1"/>
  <c r="C328" i="18" s="1"/>
  <c r="C340" i="18" s="1"/>
  <c r="C352" i="18" s="1"/>
  <c r="C364" i="18" s="1"/>
  <c r="C376" i="18" s="1"/>
  <c r="C388" i="18" s="1"/>
  <c r="C400" i="18" s="1"/>
  <c r="C412" i="18" s="1"/>
  <c r="C424" i="18" s="1"/>
  <c r="C436" i="18" s="1"/>
  <c r="C448" i="18" s="1"/>
  <c r="C460" i="18" s="1"/>
  <c r="C472" i="18" s="1"/>
  <c r="C484" i="18" s="1"/>
  <c r="C496" i="18" s="1"/>
  <c r="C508" i="18" s="1"/>
  <c r="C520" i="18" s="1"/>
  <c r="C532" i="18" s="1"/>
  <c r="C544" i="18" s="1"/>
  <c r="C556" i="18" s="1"/>
  <c r="C568" i="18" s="1"/>
  <c r="C580" i="18" s="1"/>
  <c r="C592" i="18" s="1"/>
  <c r="C604" i="18" s="1"/>
  <c r="C616" i="18" s="1"/>
  <c r="C628" i="18" s="1"/>
  <c r="C640" i="18" s="1"/>
  <c r="C652" i="18" s="1"/>
  <c r="C664" i="18" s="1"/>
  <c r="C676" i="18" s="1"/>
  <c r="C688" i="18" s="1"/>
  <c r="C700" i="18" s="1"/>
  <c r="C712" i="18"/>
  <c r="C724" i="18" s="1"/>
  <c r="C736" i="18" s="1"/>
  <c r="C748" i="18" s="1"/>
  <c r="B41" i="18"/>
  <c r="B53" i="18" s="1"/>
  <c r="B65" i="18" s="1"/>
  <c r="B77" i="18" s="1"/>
  <c r="B89" i="18" s="1"/>
  <c r="B101" i="18"/>
  <c r="B113" i="18" s="1"/>
  <c r="B125" i="18" s="1"/>
  <c r="B137" i="18" s="1"/>
  <c r="B149" i="18" s="1"/>
  <c r="B161" i="18" s="1"/>
  <c r="B173" i="18"/>
  <c r="B185" i="18" s="1"/>
  <c r="B197" i="18" s="1"/>
  <c r="B209" i="18" s="1"/>
  <c r="B221" i="18" s="1"/>
  <c r="B233" i="18" s="1"/>
  <c r="B245" i="18" s="1"/>
  <c r="B257" i="18" s="1"/>
  <c r="B269" i="18" s="1"/>
  <c r="C41" i="18"/>
  <c r="C53" i="18" s="1"/>
  <c r="C65" i="18" s="1"/>
  <c r="C77" i="18" s="1"/>
  <c r="C89" i="18"/>
  <c r="C101" i="18" s="1"/>
  <c r="C113" i="18" s="1"/>
  <c r="C125" i="18" s="1"/>
  <c r="C137" i="18" s="1"/>
  <c r="C149" i="18" s="1"/>
  <c r="C161" i="18" s="1"/>
  <c r="C173" i="18" s="1"/>
  <c r="C185" i="18" s="1"/>
  <c r="C197" i="18" s="1"/>
  <c r="C209" i="18"/>
  <c r="C221" i="18" s="1"/>
  <c r="C233" i="18" s="1"/>
  <c r="C245" i="18" s="1"/>
  <c r="C257" i="18" s="1"/>
  <c r="C269" i="18" s="1"/>
  <c r="C281" i="18" s="1"/>
  <c r="C293" i="18" s="1"/>
  <c r="C305" i="18" s="1"/>
  <c r="C317" i="18" s="1"/>
  <c r="C329" i="18" s="1"/>
  <c r="C341" i="18" s="1"/>
  <c r="C353" i="18" s="1"/>
  <c r="C365" i="18" s="1"/>
  <c r="C377" i="18" s="1"/>
  <c r="C389" i="18" s="1"/>
  <c r="C401" i="18" s="1"/>
  <c r="C413" i="18" s="1"/>
  <c r="C425" i="18" s="1"/>
  <c r="C437" i="18" s="1"/>
  <c r="C449" i="18" s="1"/>
  <c r="C461" i="18" s="1"/>
  <c r="C473" i="18" s="1"/>
  <c r="C485" i="18" s="1"/>
  <c r="C497" i="18" s="1"/>
  <c r="C509" i="18" s="1"/>
  <c r="C521" i="18" s="1"/>
  <c r="C533" i="18" s="1"/>
  <c r="C545" i="18" s="1"/>
  <c r="B42" i="18"/>
  <c r="B54" i="18" s="1"/>
  <c r="B66" i="18" s="1"/>
  <c r="B78" i="18" s="1"/>
  <c r="B90" i="18" s="1"/>
  <c r="B102" i="18" s="1"/>
  <c r="B114" i="18" s="1"/>
  <c r="B126" i="18" s="1"/>
  <c r="C42" i="18"/>
  <c r="C54" i="18"/>
  <c r="C66" i="18"/>
  <c r="C78" i="18" s="1"/>
  <c r="C90" i="18" s="1"/>
  <c r="C102" i="18" s="1"/>
  <c r="C114" i="18" s="1"/>
  <c r="C126" i="18" s="1"/>
  <c r="C138" i="18" s="1"/>
  <c r="C150" i="18" s="1"/>
  <c r="C162" i="18" s="1"/>
  <c r="C174" i="18" s="1"/>
  <c r="C186" i="18" s="1"/>
  <c r="C198" i="18" s="1"/>
  <c r="C210" i="18" s="1"/>
  <c r="C222" i="18" s="1"/>
  <c r="C234" i="18" s="1"/>
  <c r="C246" i="18" s="1"/>
  <c r="C258" i="18" s="1"/>
  <c r="C270" i="18" s="1"/>
  <c r="C282" i="18" s="1"/>
  <c r="C294" i="18" s="1"/>
  <c r="C306" i="18" s="1"/>
  <c r="C318" i="18" s="1"/>
  <c r="C330" i="18" s="1"/>
  <c r="C342" i="18" s="1"/>
  <c r="C354" i="18" s="1"/>
  <c r="C366" i="18" s="1"/>
  <c r="C378" i="18" s="1"/>
  <c r="C390" i="18" s="1"/>
  <c r="C402" i="18" s="1"/>
  <c r="C414" i="18" s="1"/>
  <c r="C426" i="18" s="1"/>
  <c r="C438" i="18" s="1"/>
  <c r="C450" i="18" s="1"/>
  <c r="C462" i="18" s="1"/>
  <c r="C474" i="18" s="1"/>
  <c r="C486" i="18" s="1"/>
  <c r="C498" i="18" s="1"/>
  <c r="C510" i="18" s="1"/>
  <c r="C522" i="18" s="1"/>
  <c r="C534" i="18" s="1"/>
  <c r="C546" i="18" s="1"/>
  <c r="C558" i="18" s="1"/>
  <c r="C570" i="18" s="1"/>
  <c r="C582" i="18" s="1"/>
  <c r="C594" i="18" s="1"/>
  <c r="C606" i="18" s="1"/>
  <c r="C618" i="18" s="1"/>
  <c r="C630" i="18" s="1"/>
  <c r="C642" i="18" s="1"/>
  <c r="C654" i="18" s="1"/>
  <c r="C666" i="18" s="1"/>
  <c r="C678" i="18" s="1"/>
  <c r="C690" i="18" s="1"/>
  <c r="C702" i="18" s="1"/>
  <c r="C714" i="18"/>
  <c r="C726" i="18" s="1"/>
  <c r="C738" i="18" s="1"/>
  <c r="C750" i="18" s="1"/>
  <c r="B43" i="18"/>
  <c r="B55" i="18"/>
  <c r="B67" i="18"/>
  <c r="B79" i="18" s="1"/>
  <c r="B91" i="18" s="1"/>
  <c r="B103" i="18"/>
  <c r="B115" i="18" s="1"/>
  <c r="B127" i="18" s="1"/>
  <c r="B139" i="18"/>
  <c r="B151" i="18" s="1"/>
  <c r="B163" i="18" s="1"/>
  <c r="B175" i="18" s="1"/>
  <c r="B187" i="18" s="1"/>
  <c r="B199" i="18" s="1"/>
  <c r="B211" i="18" s="1"/>
  <c r="B223" i="18" s="1"/>
  <c r="B235" i="18" s="1"/>
  <c r="B247" i="18"/>
  <c r="B259" i="18" s="1"/>
  <c r="B271" i="18" s="1"/>
  <c r="B283" i="18" s="1"/>
  <c r="B295" i="18" s="1"/>
  <c r="B307" i="18" s="1"/>
  <c r="B319" i="18" s="1"/>
  <c r="B331" i="18" s="1"/>
  <c r="B343" i="18" s="1"/>
  <c r="B355" i="18" s="1"/>
  <c r="B367" i="18" s="1"/>
  <c r="B379" i="18" s="1"/>
  <c r="B391" i="18" s="1"/>
  <c r="B403" i="18" s="1"/>
  <c r="B415" i="18" s="1"/>
  <c r="B427" i="18" s="1"/>
  <c r="B439" i="18" s="1"/>
  <c r="B451" i="18" s="1"/>
  <c r="B463" i="18" s="1"/>
  <c r="B475" i="18" s="1"/>
  <c r="B487" i="18" s="1"/>
  <c r="B499" i="18" s="1"/>
  <c r="B511" i="18" s="1"/>
  <c r="B523" i="18" s="1"/>
  <c r="B535" i="18" s="1"/>
  <c r="B547" i="18" s="1"/>
  <c r="B559" i="18" s="1"/>
  <c r="B571" i="18" s="1"/>
  <c r="B583" i="18" s="1"/>
  <c r="B595" i="18" s="1"/>
  <c r="B607" i="18" s="1"/>
  <c r="B619" i="18" s="1"/>
  <c r="B631" i="18" s="1"/>
  <c r="B643" i="18" s="1"/>
  <c r="B655" i="18" s="1"/>
  <c r="B667" i="18" s="1"/>
  <c r="B679" i="18" s="1"/>
  <c r="B691" i="18" s="1"/>
  <c r="B703" i="18" s="1"/>
  <c r="B715" i="18" s="1"/>
  <c r="B727" i="18" s="1"/>
  <c r="B739" i="18" s="1"/>
  <c r="B751" i="18" s="1"/>
  <c r="C43" i="18"/>
  <c r="B44" i="18"/>
  <c r="B56" i="18" s="1"/>
  <c r="B68" i="18" s="1"/>
  <c r="B80" i="18" s="1"/>
  <c r="B92" i="18" s="1"/>
  <c r="B104" i="18" s="1"/>
  <c r="B116" i="18"/>
  <c r="B128" i="18" s="1"/>
  <c r="B140" i="18" s="1"/>
  <c r="B152" i="18" s="1"/>
  <c r="B164" i="18" s="1"/>
  <c r="B176" i="18" s="1"/>
  <c r="B188" i="18" s="1"/>
  <c r="B200" i="18" s="1"/>
  <c r="B212" i="18" s="1"/>
  <c r="B224" i="18" s="1"/>
  <c r="B236" i="18" s="1"/>
  <c r="B248" i="18" s="1"/>
  <c r="B260" i="18" s="1"/>
  <c r="B272" i="18" s="1"/>
  <c r="B284" i="18" s="1"/>
  <c r="B296" i="18" s="1"/>
  <c r="B308" i="18" s="1"/>
  <c r="B320" i="18" s="1"/>
  <c r="B332" i="18" s="1"/>
  <c r="B344" i="18" s="1"/>
  <c r="B356" i="18" s="1"/>
  <c r="B368" i="18" s="1"/>
  <c r="B380" i="18" s="1"/>
  <c r="B392" i="18" s="1"/>
  <c r="B404" i="18" s="1"/>
  <c r="B416" i="18" s="1"/>
  <c r="B428" i="18" s="1"/>
  <c r="B440" i="18"/>
  <c r="B452" i="18" s="1"/>
  <c r="B464" i="18" s="1"/>
  <c r="B476" i="18" s="1"/>
  <c r="B488" i="18" s="1"/>
  <c r="B500" i="18" s="1"/>
  <c r="B512" i="18" s="1"/>
  <c r="B524" i="18" s="1"/>
  <c r="B536" i="18" s="1"/>
  <c r="B548" i="18" s="1"/>
  <c r="B560" i="18" s="1"/>
  <c r="B572" i="18" s="1"/>
  <c r="B584" i="18" s="1"/>
  <c r="B596" i="18" s="1"/>
  <c r="B608" i="18" s="1"/>
  <c r="B620" i="18" s="1"/>
  <c r="B632" i="18" s="1"/>
  <c r="B644" i="18" s="1"/>
  <c r="B656" i="18" s="1"/>
  <c r="B668" i="18" s="1"/>
  <c r="B680" i="18" s="1"/>
  <c r="B692" i="18" s="1"/>
  <c r="B704" i="18" s="1"/>
  <c r="B716" i="18" s="1"/>
  <c r="C44" i="18"/>
  <c r="B45" i="18"/>
  <c r="B57" i="18" s="1"/>
  <c r="B69" i="18" s="1"/>
  <c r="B81" i="18" s="1"/>
  <c r="B93" i="18" s="1"/>
  <c r="B105" i="18" s="1"/>
  <c r="B117" i="18" s="1"/>
  <c r="B129" i="18" s="1"/>
  <c r="B141" i="18" s="1"/>
  <c r="B153" i="18"/>
  <c r="B165" i="18" s="1"/>
  <c r="B177" i="18" s="1"/>
  <c r="B189" i="18" s="1"/>
  <c r="B201" i="18" s="1"/>
  <c r="B213" i="18" s="1"/>
  <c r="B225" i="18" s="1"/>
  <c r="C45" i="18"/>
  <c r="C57" i="18" s="1"/>
  <c r="C69" i="18" s="1"/>
  <c r="B46" i="18"/>
  <c r="B58" i="18" s="1"/>
  <c r="B70" i="18" s="1"/>
  <c r="B82" i="18"/>
  <c r="B94" i="18" s="1"/>
  <c r="B106" i="18" s="1"/>
  <c r="B118" i="18"/>
  <c r="B130" i="18" s="1"/>
  <c r="B142" i="18" s="1"/>
  <c r="B154" i="18" s="1"/>
  <c r="B166" i="18" s="1"/>
  <c r="B178" i="18" s="1"/>
  <c r="B190" i="18" s="1"/>
  <c r="B202" i="18" s="1"/>
  <c r="B214" i="18" s="1"/>
  <c r="B226" i="18" s="1"/>
  <c r="B238" i="18" s="1"/>
  <c r="B250" i="18" s="1"/>
  <c r="B262" i="18" s="1"/>
  <c r="B274" i="18" s="1"/>
  <c r="B286" i="18" s="1"/>
  <c r="B298" i="18" s="1"/>
  <c r="B310" i="18" s="1"/>
  <c r="B322" i="18" s="1"/>
  <c r="B334" i="18" s="1"/>
  <c r="B346" i="18" s="1"/>
  <c r="B358" i="18" s="1"/>
  <c r="B370" i="18" s="1"/>
  <c r="B382" i="18" s="1"/>
  <c r="B394" i="18" s="1"/>
  <c r="B406" i="18" s="1"/>
  <c r="B418" i="18" s="1"/>
  <c r="B430" i="18" s="1"/>
  <c r="B442" i="18" s="1"/>
  <c r="C46" i="18"/>
  <c r="C58" i="18" s="1"/>
  <c r="C70" i="18" s="1"/>
  <c r="C82" i="18" s="1"/>
  <c r="C94" i="18" s="1"/>
  <c r="C106" i="18" s="1"/>
  <c r="C118" i="18" s="1"/>
  <c r="C130" i="18" s="1"/>
  <c r="C142" i="18" s="1"/>
  <c r="C154" i="18" s="1"/>
  <c r="C166" i="18" s="1"/>
  <c r="C178" i="18" s="1"/>
  <c r="C190" i="18" s="1"/>
  <c r="C202" i="18" s="1"/>
  <c r="C214" i="18" s="1"/>
  <c r="C226" i="18" s="1"/>
  <c r="C238" i="18" s="1"/>
  <c r="C250" i="18" s="1"/>
  <c r="C262" i="18" s="1"/>
  <c r="B47" i="18"/>
  <c r="B59" i="18" s="1"/>
  <c r="B71" i="18" s="1"/>
  <c r="B83" i="18" s="1"/>
  <c r="B95" i="18" s="1"/>
  <c r="B107" i="18" s="1"/>
  <c r="B119" i="18" s="1"/>
  <c r="B131" i="18" s="1"/>
  <c r="B143" i="18" s="1"/>
  <c r="B155" i="18"/>
  <c r="B167" i="18" s="1"/>
  <c r="B179" i="18" s="1"/>
  <c r="B191" i="18" s="1"/>
  <c r="B203" i="18" s="1"/>
  <c r="B215" i="18" s="1"/>
  <c r="B227" i="18" s="1"/>
  <c r="B239" i="18" s="1"/>
  <c r="B251" i="18" s="1"/>
  <c r="B263" i="18" s="1"/>
  <c r="B275" i="18" s="1"/>
  <c r="B287" i="18" s="1"/>
  <c r="B299" i="18" s="1"/>
  <c r="B311" i="18" s="1"/>
  <c r="B323" i="18" s="1"/>
  <c r="B335" i="18" s="1"/>
  <c r="B347" i="18" s="1"/>
  <c r="B359" i="18" s="1"/>
  <c r="B371" i="18" s="1"/>
  <c r="B383" i="18" s="1"/>
  <c r="B395" i="18" s="1"/>
  <c r="B407" i="18" s="1"/>
  <c r="B419" i="18" s="1"/>
  <c r="B431" i="18" s="1"/>
  <c r="B443" i="18" s="1"/>
  <c r="B455" i="18" s="1"/>
  <c r="B467" i="18" s="1"/>
  <c r="B479" i="18" s="1"/>
  <c r="C47" i="18"/>
  <c r="C59" i="18"/>
  <c r="C71" i="18" s="1"/>
  <c r="C83" i="18" s="1"/>
  <c r="C95" i="18"/>
  <c r="C107" i="18" s="1"/>
  <c r="C119" i="18" s="1"/>
  <c r="C131" i="18"/>
  <c r="C143" i="18" s="1"/>
  <c r="C155" i="18" s="1"/>
  <c r="C167" i="18" s="1"/>
  <c r="C179" i="18" s="1"/>
  <c r="C191" i="18" s="1"/>
  <c r="C203" i="18" s="1"/>
  <c r="C215" i="18" s="1"/>
  <c r="C227" i="18" s="1"/>
  <c r="C239" i="18" s="1"/>
  <c r="C251" i="18" s="1"/>
  <c r="C263" i="18" s="1"/>
  <c r="C275" i="18" s="1"/>
  <c r="C287" i="18" s="1"/>
  <c r="C299" i="18" s="1"/>
  <c r="C311" i="18" s="1"/>
  <c r="C323" i="18" s="1"/>
  <c r="C335" i="18" s="1"/>
  <c r="C347" i="18" s="1"/>
  <c r="C359" i="18" s="1"/>
  <c r="C371" i="18" s="1"/>
  <c r="C383" i="18" s="1"/>
  <c r="C395" i="18" s="1"/>
  <c r="C407" i="18" s="1"/>
  <c r="C419" i="18" s="1"/>
  <c r="C431" i="18" s="1"/>
  <c r="C443" i="18" s="1"/>
  <c r="C455" i="18" s="1"/>
  <c r="C467" i="18" s="1"/>
  <c r="C479" i="18" s="1"/>
  <c r="C491" i="18" s="1"/>
  <c r="C503" i="18" s="1"/>
  <c r="C515" i="18" s="1"/>
  <c r="C527" i="18" s="1"/>
  <c r="C539" i="18" s="1"/>
  <c r="C551" i="18" s="1"/>
  <c r="C563" i="18" s="1"/>
  <c r="C575" i="18" s="1"/>
  <c r="C587" i="18" s="1"/>
  <c r="C599" i="18" s="1"/>
  <c r="C611" i="18" s="1"/>
  <c r="C623" i="18" s="1"/>
  <c r="C635" i="18" s="1"/>
  <c r="C647" i="18" s="1"/>
  <c r="C659" i="18" s="1"/>
  <c r="C671" i="18" s="1"/>
  <c r="C683" i="18" s="1"/>
  <c r="C695" i="18" s="1"/>
  <c r="C707" i="18" s="1"/>
  <c r="C719" i="18" s="1"/>
  <c r="C731" i="18" s="1"/>
  <c r="C743" i="18" s="1"/>
  <c r="C755" i="18" s="1"/>
  <c r="B48" i="18"/>
  <c r="B60" i="18"/>
  <c r="B72" i="18" s="1"/>
  <c r="B84" i="18"/>
  <c r="B96" i="18" s="1"/>
  <c r="B108" i="18" s="1"/>
  <c r="B120" i="18" s="1"/>
  <c r="B132" i="18" s="1"/>
  <c r="B144" i="18" s="1"/>
  <c r="B156" i="18"/>
  <c r="B168" i="18" s="1"/>
  <c r="B180" i="18" s="1"/>
  <c r="B192" i="18" s="1"/>
  <c r="B204" i="18" s="1"/>
  <c r="B216" i="18" s="1"/>
  <c r="B228" i="18" s="1"/>
  <c r="B240" i="18" s="1"/>
  <c r="B252" i="18" s="1"/>
  <c r="B264" i="18" s="1"/>
  <c r="B276" i="18" s="1"/>
  <c r="B288" i="18" s="1"/>
  <c r="B300" i="18" s="1"/>
  <c r="B312" i="18" s="1"/>
  <c r="B324" i="18" s="1"/>
  <c r="B336" i="18" s="1"/>
  <c r="B348" i="18" s="1"/>
  <c r="B360" i="18" s="1"/>
  <c r="B372" i="18" s="1"/>
  <c r="B384" i="18" s="1"/>
  <c r="B396" i="18" s="1"/>
  <c r="B408" i="18" s="1"/>
  <c r="B420" i="18" s="1"/>
  <c r="B432" i="18" s="1"/>
  <c r="B444" i="18" s="1"/>
  <c r="B456" i="18" s="1"/>
  <c r="B468" i="18" s="1"/>
  <c r="B480" i="18" s="1"/>
  <c r="B492" i="18" s="1"/>
  <c r="B504" i="18" s="1"/>
  <c r="B516" i="18" s="1"/>
  <c r="B528" i="18" s="1"/>
  <c r="B540" i="18" s="1"/>
  <c r="B552" i="18" s="1"/>
  <c r="B564" i="18" s="1"/>
  <c r="B576" i="18" s="1"/>
  <c r="B588" i="18" s="1"/>
  <c r="B600" i="18" s="1"/>
  <c r="B612" i="18" s="1"/>
  <c r="B624" i="18" s="1"/>
  <c r="B636" i="18" s="1"/>
  <c r="B648" i="18" s="1"/>
  <c r="B660" i="18" s="1"/>
  <c r="B672" i="18" s="1"/>
  <c r="B684" i="18" s="1"/>
  <c r="B696" i="18" s="1"/>
  <c r="B708" i="18" s="1"/>
  <c r="B720" i="18" s="1"/>
  <c r="B732" i="18" s="1"/>
  <c r="B744" i="18" s="1"/>
  <c r="C48" i="18"/>
  <c r="C60" i="18" s="1"/>
  <c r="C72" i="18" s="1"/>
  <c r="C84" i="18"/>
  <c r="C96" i="18" s="1"/>
  <c r="C108" i="18" s="1"/>
  <c r="C120" i="18" s="1"/>
  <c r="C132" i="18" s="1"/>
  <c r="C144" i="18" s="1"/>
  <c r="C156" i="18" s="1"/>
  <c r="C168" i="18" s="1"/>
  <c r="C180" i="18" s="1"/>
  <c r="C192" i="18" s="1"/>
  <c r="C204" i="18" s="1"/>
  <c r="C216" i="18" s="1"/>
  <c r="C228" i="18" s="1"/>
  <c r="C240" i="18" s="1"/>
  <c r="C252" i="18" s="1"/>
  <c r="C264" i="18" s="1"/>
  <c r="C276" i="18" s="1"/>
  <c r="C288" i="18" s="1"/>
  <c r="C300" i="18"/>
  <c r="C312" i="18" s="1"/>
  <c r="C324" i="18" s="1"/>
  <c r="C336" i="18" s="1"/>
  <c r="C348" i="18" s="1"/>
  <c r="C360" i="18" s="1"/>
  <c r="C372" i="18" s="1"/>
  <c r="C384" i="18" s="1"/>
  <c r="C396" i="18" s="1"/>
  <c r="C408" i="18" s="1"/>
  <c r="C420" i="18" s="1"/>
  <c r="C432" i="18" s="1"/>
  <c r="C444" i="18" s="1"/>
  <c r="C456" i="18" s="1"/>
  <c r="C468" i="18" s="1"/>
  <c r="C480" i="18" s="1"/>
  <c r="C492" i="18" s="1"/>
  <c r="C504" i="18" s="1"/>
  <c r="C516" i="18"/>
  <c r="C528" i="18" s="1"/>
  <c r="C540" i="18" s="1"/>
  <c r="C552" i="18" s="1"/>
  <c r="C564" i="18" s="1"/>
  <c r="C576" i="18" s="1"/>
  <c r="C588" i="18" s="1"/>
  <c r="C600" i="18" s="1"/>
  <c r="C612" i="18" s="1"/>
  <c r="C624" i="18" s="1"/>
  <c r="C636" i="18" s="1"/>
  <c r="C648" i="18" s="1"/>
  <c r="C660" i="18" s="1"/>
  <c r="C672" i="18" s="1"/>
  <c r="C684" i="18" s="1"/>
  <c r="C696" i="18" s="1"/>
  <c r="C708" i="18" s="1"/>
  <c r="C720" i="18" s="1"/>
  <c r="C732" i="18" s="1"/>
  <c r="C744" i="18" s="1"/>
  <c r="B50" i="18"/>
  <c r="B62" i="18"/>
  <c r="B74" i="18" s="1"/>
  <c r="B86" i="18" s="1"/>
  <c r="C219" i="18"/>
  <c r="C231" i="18" s="1"/>
  <c r="C243" i="18" s="1"/>
  <c r="C255" i="18" s="1"/>
  <c r="C267" i="18" s="1"/>
  <c r="C279" i="18" s="1"/>
  <c r="C291" i="18" s="1"/>
  <c r="C303" i="18" s="1"/>
  <c r="C315" i="18" s="1"/>
  <c r="C327" i="18" s="1"/>
  <c r="C339" i="18" s="1"/>
  <c r="C351" i="18" s="1"/>
  <c r="C363" i="18" s="1"/>
  <c r="C375" i="18" s="1"/>
  <c r="C387" i="18" s="1"/>
  <c r="C399" i="18" s="1"/>
  <c r="C411" i="18" s="1"/>
  <c r="C423" i="18" s="1"/>
  <c r="C435" i="18"/>
  <c r="C447" i="18" s="1"/>
  <c r="C459" i="18" s="1"/>
  <c r="C471" i="18" s="1"/>
  <c r="B52" i="18"/>
  <c r="B64" i="18" s="1"/>
  <c r="B76" i="18" s="1"/>
  <c r="B88" i="18"/>
  <c r="B100" i="18" s="1"/>
  <c r="B112" i="18" s="1"/>
  <c r="B124" i="18"/>
  <c r="B136" i="18" s="1"/>
  <c r="B138" i="18"/>
  <c r="B150" i="18" s="1"/>
  <c r="B162" i="18" s="1"/>
  <c r="B174" i="18" s="1"/>
  <c r="B186" i="18" s="1"/>
  <c r="B198" i="18" s="1"/>
  <c r="B210" i="18" s="1"/>
  <c r="B222" i="18" s="1"/>
  <c r="B234" i="18" s="1"/>
  <c r="B246" i="18" s="1"/>
  <c r="B258" i="18" s="1"/>
  <c r="B270" i="18" s="1"/>
  <c r="B282" i="18" s="1"/>
  <c r="B294" i="18" s="1"/>
  <c r="B306" i="18" s="1"/>
  <c r="B318" i="18" s="1"/>
  <c r="B330" i="18" s="1"/>
  <c r="B342" i="18" s="1"/>
  <c r="B354" i="18" s="1"/>
  <c r="B366" i="18" s="1"/>
  <c r="B378" i="18" s="1"/>
  <c r="B390" i="18" s="1"/>
  <c r="B402" i="18" s="1"/>
  <c r="B414" i="18" s="1"/>
  <c r="B426" i="18" s="1"/>
  <c r="B438" i="18" s="1"/>
  <c r="B450" i="18" s="1"/>
  <c r="B462" i="18" s="1"/>
  <c r="B474" i="18" s="1"/>
  <c r="B486" i="18" s="1"/>
  <c r="B498" i="18" s="1"/>
  <c r="B510" i="18" s="1"/>
  <c r="B522" i="18" s="1"/>
  <c r="B534" i="18" s="1"/>
  <c r="B546" i="18" s="1"/>
  <c r="B558" i="18" s="1"/>
  <c r="B570" i="18" s="1"/>
  <c r="B582" i="18" s="1"/>
  <c r="B594" i="18" s="1"/>
  <c r="B606" i="18" s="1"/>
  <c r="B618" i="18" s="1"/>
  <c r="B630" i="18" s="1"/>
  <c r="B642" i="18" s="1"/>
  <c r="B654" i="18" s="1"/>
  <c r="B666" i="18" s="1"/>
  <c r="B678" i="18" s="1"/>
  <c r="B690" i="18" s="1"/>
  <c r="B702" i="18" s="1"/>
  <c r="B714" i="18" s="1"/>
  <c r="B726" i="18" s="1"/>
  <c r="B738" i="18" s="1"/>
  <c r="B750" i="18" s="1"/>
  <c r="C55" i="18"/>
  <c r="C67" i="18"/>
  <c r="C79" i="18"/>
  <c r="C91" i="18" s="1"/>
  <c r="C103" i="18" s="1"/>
  <c r="C115" i="18"/>
  <c r="C127" i="18" s="1"/>
  <c r="C139" i="18" s="1"/>
  <c r="C151" i="18" s="1"/>
  <c r="C163" i="18" s="1"/>
  <c r="C175" i="18" s="1"/>
  <c r="C187" i="18" s="1"/>
  <c r="C199" i="18" s="1"/>
  <c r="C211" i="18" s="1"/>
  <c r="C223" i="18" s="1"/>
  <c r="C235" i="18" s="1"/>
  <c r="C247" i="18" s="1"/>
  <c r="C259" i="18" s="1"/>
  <c r="C271" i="18" s="1"/>
  <c r="C283" i="18" s="1"/>
  <c r="C295" i="18" s="1"/>
  <c r="C307" i="18" s="1"/>
  <c r="C319" i="18" s="1"/>
  <c r="C331" i="18" s="1"/>
  <c r="C56" i="18"/>
  <c r="C68" i="18" s="1"/>
  <c r="C81" i="18"/>
  <c r="C93" i="18" s="1"/>
  <c r="B505" i="18"/>
  <c r="B517" i="18" s="1"/>
  <c r="B529" i="18" s="1"/>
  <c r="B541" i="18" s="1"/>
  <c r="B553" i="18" s="1"/>
  <c r="B565" i="18" s="1"/>
  <c r="B577" i="18" s="1"/>
  <c r="B589" i="18" s="1"/>
  <c r="B601" i="18" s="1"/>
  <c r="B98" i="18"/>
  <c r="B110" i="18" s="1"/>
  <c r="B122" i="18" s="1"/>
  <c r="B134" i="18" s="1"/>
  <c r="B146" i="18" s="1"/>
  <c r="B158" i="18" s="1"/>
  <c r="B170" i="18" s="1"/>
  <c r="B182" i="18" s="1"/>
  <c r="B194" i="18" s="1"/>
  <c r="B206" i="18"/>
  <c r="B218" i="18" s="1"/>
  <c r="B230" i="18" s="1"/>
  <c r="B242" i="18" s="1"/>
  <c r="B254" i="18" s="1"/>
  <c r="B266" i="18" s="1"/>
  <c r="B278" i="18" s="1"/>
  <c r="B290" i="18" s="1"/>
  <c r="B302" i="18" s="1"/>
  <c r="B314" i="18" s="1"/>
  <c r="B326" i="18" s="1"/>
  <c r="B338" i="18" s="1"/>
  <c r="B350" i="18" s="1"/>
  <c r="B362" i="18" s="1"/>
  <c r="B374" i="18" s="1"/>
  <c r="B386" i="18"/>
  <c r="B398" i="18" s="1"/>
  <c r="B410" i="18" s="1"/>
  <c r="B422" i="18" s="1"/>
  <c r="B434" i="18" s="1"/>
  <c r="B446" i="18" s="1"/>
  <c r="B458" i="18" s="1"/>
  <c r="B470" i="18" s="1"/>
  <c r="B482" i="18" s="1"/>
  <c r="B494" i="18" s="1"/>
  <c r="B506" i="18" s="1"/>
  <c r="B518" i="18" s="1"/>
  <c r="B530" i="18" s="1"/>
  <c r="B542" i="18" s="1"/>
  <c r="B554" i="18" s="1"/>
  <c r="B566" i="18" s="1"/>
  <c r="B578" i="18" s="1"/>
  <c r="B590" i="18" s="1"/>
  <c r="B602" i="18" s="1"/>
  <c r="B614" i="18" s="1"/>
  <c r="B626" i="18" s="1"/>
  <c r="B638" i="18" s="1"/>
  <c r="B650" i="18" s="1"/>
  <c r="B662" i="18" s="1"/>
  <c r="B674" i="18" s="1"/>
  <c r="B686" i="18" s="1"/>
  <c r="B698" i="18" s="1"/>
  <c r="B710" i="18" s="1"/>
  <c r="B722" i="18" s="1"/>
  <c r="B734" i="18" s="1"/>
  <c r="B746" i="18" s="1"/>
  <c r="B87" i="18"/>
  <c r="B99" i="18"/>
  <c r="B111" i="18"/>
  <c r="B123" i="18" s="1"/>
  <c r="B135" i="18" s="1"/>
  <c r="B147" i="18" s="1"/>
  <c r="B159" i="18" s="1"/>
  <c r="B171" i="18" s="1"/>
  <c r="B183" i="18" s="1"/>
  <c r="B195" i="18" s="1"/>
  <c r="B207" i="18" s="1"/>
  <c r="B219" i="18" s="1"/>
  <c r="B231" i="18" s="1"/>
  <c r="B243" i="18" s="1"/>
  <c r="B255" i="18" s="1"/>
  <c r="B267" i="18" s="1"/>
  <c r="B279" i="18" s="1"/>
  <c r="B291" i="18" s="1"/>
  <c r="B303" i="18" s="1"/>
  <c r="B315" i="18" s="1"/>
  <c r="B327" i="18" s="1"/>
  <c r="B339" i="18" s="1"/>
  <c r="B351" i="18" s="1"/>
  <c r="B363" i="18" s="1"/>
  <c r="B375" i="18" s="1"/>
  <c r="B387" i="18" s="1"/>
  <c r="B399" i="18" s="1"/>
  <c r="B411" i="18" s="1"/>
  <c r="B423" i="18" s="1"/>
  <c r="B435" i="18" s="1"/>
  <c r="B447" i="18" s="1"/>
  <c r="B459" i="18" s="1"/>
  <c r="B471" i="18" s="1"/>
  <c r="B483" i="18" s="1"/>
  <c r="B495" i="18" s="1"/>
  <c r="B507" i="18" s="1"/>
  <c r="B519" i="18" s="1"/>
  <c r="B531" i="18" s="1"/>
  <c r="B543" i="18"/>
  <c r="B555" i="18" s="1"/>
  <c r="B567" i="18" s="1"/>
  <c r="B579" i="18" s="1"/>
  <c r="B591" i="18" s="1"/>
  <c r="B603" i="18" s="1"/>
  <c r="B615" i="18" s="1"/>
  <c r="B627" i="18" s="1"/>
  <c r="B639" i="18" s="1"/>
  <c r="B651" i="18" s="1"/>
  <c r="B663" i="18" s="1"/>
  <c r="B675" i="18" s="1"/>
  <c r="B687" i="18" s="1"/>
  <c r="B699" i="18" s="1"/>
  <c r="B711" i="18" s="1"/>
  <c r="B723" i="18" s="1"/>
  <c r="B735" i="18" s="1"/>
  <c r="B747" i="18" s="1"/>
  <c r="C80" i="18"/>
  <c r="C92" i="18"/>
  <c r="C104" i="18" s="1"/>
  <c r="C116" i="18" s="1"/>
  <c r="C128" i="18" s="1"/>
  <c r="C140" i="18" s="1"/>
  <c r="C152" i="18" s="1"/>
  <c r="C164" i="18" s="1"/>
  <c r="C176" i="18" s="1"/>
  <c r="C188" i="18" s="1"/>
  <c r="C200" i="18" s="1"/>
  <c r="C212" i="18" s="1"/>
  <c r="C224" i="18" s="1"/>
  <c r="C236" i="18" s="1"/>
  <c r="C248" i="18" s="1"/>
  <c r="C260" i="18" s="1"/>
  <c r="C272" i="18" s="1"/>
  <c r="C284" i="18" s="1"/>
  <c r="C296" i="18" s="1"/>
  <c r="C308" i="18" s="1"/>
  <c r="C320" i="18" s="1"/>
  <c r="C332" i="18" s="1"/>
  <c r="C344" i="18" s="1"/>
  <c r="C356" i="18" s="1"/>
  <c r="C368" i="18" s="1"/>
  <c r="C380" i="18" s="1"/>
  <c r="C392" i="18" s="1"/>
  <c r="C404" i="18" s="1"/>
  <c r="C416" i="18" s="1"/>
  <c r="C428" i="18" s="1"/>
  <c r="C440" i="18" s="1"/>
  <c r="C452" i="18" s="1"/>
  <c r="C464" i="18" s="1"/>
  <c r="C476" i="18" s="1"/>
  <c r="C488" i="18" s="1"/>
  <c r="C500" i="18" s="1"/>
  <c r="C512" i="18" s="1"/>
  <c r="C524" i="18" s="1"/>
  <c r="C536" i="18" s="1"/>
  <c r="C548" i="18" s="1"/>
  <c r="C560" i="18" s="1"/>
  <c r="C572" i="18" s="1"/>
  <c r="C584" i="18" s="1"/>
  <c r="C596" i="18" s="1"/>
  <c r="C608" i="18" s="1"/>
  <c r="C620" i="18" s="1"/>
  <c r="C632" i="18" s="1"/>
  <c r="C644" i="18" s="1"/>
  <c r="C656" i="18" s="1"/>
  <c r="C668" i="18" s="1"/>
  <c r="C680" i="18" s="1"/>
  <c r="C692" i="18" s="1"/>
  <c r="C704" i="18" s="1"/>
  <c r="C716" i="18" s="1"/>
  <c r="C728" i="18" s="1"/>
  <c r="C740" i="18" s="1"/>
  <c r="C752" i="18" s="1"/>
  <c r="C105" i="18"/>
  <c r="C117" i="18" s="1"/>
  <c r="C129" i="18" s="1"/>
  <c r="C141" i="18" s="1"/>
  <c r="C153" i="18" s="1"/>
  <c r="C165" i="18" s="1"/>
  <c r="C177" i="18" s="1"/>
  <c r="C189" i="18" s="1"/>
  <c r="C201" i="18" s="1"/>
  <c r="C213" i="18" s="1"/>
  <c r="C225" i="18" s="1"/>
  <c r="C237" i="18" s="1"/>
  <c r="C249" i="18" s="1"/>
  <c r="C261" i="18" s="1"/>
  <c r="C273" i="18" s="1"/>
  <c r="C285" i="18" s="1"/>
  <c r="C297" i="18" s="1"/>
  <c r="C309" i="18" s="1"/>
  <c r="C321" i="18" s="1"/>
  <c r="C333" i="18" s="1"/>
  <c r="C345" i="18" s="1"/>
  <c r="C357" i="18" s="1"/>
  <c r="C369" i="18" s="1"/>
  <c r="C381" i="18" s="1"/>
  <c r="C393" i="18" s="1"/>
  <c r="C405" i="18" s="1"/>
  <c r="C417" i="18" s="1"/>
  <c r="C429" i="18" s="1"/>
  <c r="C441" i="18" s="1"/>
  <c r="C453" i="18" s="1"/>
  <c r="C465" i="18" s="1"/>
  <c r="C477" i="18" s="1"/>
  <c r="C489" i="18" s="1"/>
  <c r="C501" i="18" s="1"/>
  <c r="C513" i="18" s="1"/>
  <c r="C525" i="18" s="1"/>
  <c r="C537" i="18" s="1"/>
  <c r="C549" i="18" s="1"/>
  <c r="C561" i="18" s="1"/>
  <c r="C573" i="18" s="1"/>
  <c r="C585" i="18" s="1"/>
  <c r="C597" i="18" s="1"/>
  <c r="C609" i="18" s="1"/>
  <c r="C621" i="18" s="1"/>
  <c r="C633" i="18" s="1"/>
  <c r="C645" i="18" s="1"/>
  <c r="C657" i="18" s="1"/>
  <c r="C669" i="18" s="1"/>
  <c r="C681" i="18" s="1"/>
  <c r="C693" i="18" s="1"/>
  <c r="C705" i="18" s="1"/>
  <c r="C717" i="18" s="1"/>
  <c r="C729" i="18" s="1"/>
  <c r="C741" i="18" s="1"/>
  <c r="C753" i="18" s="1"/>
  <c r="B148" i="18"/>
  <c r="B160" i="18" s="1"/>
  <c r="B172" i="18" s="1"/>
  <c r="B184" i="18" s="1"/>
  <c r="B196" i="18" s="1"/>
  <c r="B208" i="18" s="1"/>
  <c r="B220" i="18" s="1"/>
  <c r="B232" i="18" s="1"/>
  <c r="B244" i="18" s="1"/>
  <c r="B256" i="18" s="1"/>
  <c r="B268" i="18" s="1"/>
  <c r="B280" i="18" s="1"/>
  <c r="B292" i="18" s="1"/>
  <c r="B304" i="18" s="1"/>
  <c r="B316" i="18" s="1"/>
  <c r="B328" i="18" s="1"/>
  <c r="B340" i="18" s="1"/>
  <c r="B352" i="18" s="1"/>
  <c r="B364" i="18" s="1"/>
  <c r="B376" i="18" s="1"/>
  <c r="B388" i="18" s="1"/>
  <c r="B400" i="18" s="1"/>
  <c r="B412" i="18" s="1"/>
  <c r="B424" i="18" s="1"/>
  <c r="B436" i="18" s="1"/>
  <c r="B448" i="18" s="1"/>
  <c r="B460" i="18" s="1"/>
  <c r="B472" i="18" s="1"/>
  <c r="B484" i="18" s="1"/>
  <c r="B496" i="18" s="1"/>
  <c r="B508" i="18" s="1"/>
  <c r="B520" i="18" s="1"/>
  <c r="B532" i="18" s="1"/>
  <c r="B544" i="18" s="1"/>
  <c r="B556" i="18" s="1"/>
  <c r="B568" i="18" s="1"/>
  <c r="B580" i="18" s="1"/>
  <c r="B592" i="18" s="1"/>
  <c r="B604" i="18" s="1"/>
  <c r="B616" i="18" s="1"/>
  <c r="B628" i="18" s="1"/>
  <c r="B640" i="18" s="1"/>
  <c r="B652" i="18" s="1"/>
  <c r="B664" i="18" s="1"/>
  <c r="B676" i="18" s="1"/>
  <c r="B688" i="18" s="1"/>
  <c r="B700" i="18" s="1"/>
  <c r="B712" i="18" s="1"/>
  <c r="B724" i="18" s="1"/>
  <c r="B736" i="18" s="1"/>
  <c r="B748" i="18" s="1"/>
  <c r="B281" i="18"/>
  <c r="B293" i="18" s="1"/>
  <c r="B305" i="18" s="1"/>
  <c r="B317" i="18"/>
  <c r="B329" i="18" s="1"/>
  <c r="B341" i="18" s="1"/>
  <c r="B353" i="18" s="1"/>
  <c r="B365" i="18" s="1"/>
  <c r="B377" i="18" s="1"/>
  <c r="B389" i="18" s="1"/>
  <c r="B401" i="18" s="1"/>
  <c r="B413" i="18" s="1"/>
  <c r="B425" i="18"/>
  <c r="B437" i="18" s="1"/>
  <c r="B449" i="18" s="1"/>
  <c r="B461" i="18" s="1"/>
  <c r="B473" i="18" s="1"/>
  <c r="B485" i="18" s="1"/>
  <c r="B497" i="18" s="1"/>
  <c r="B509" i="18" s="1"/>
  <c r="B521" i="18" s="1"/>
  <c r="B533" i="18" s="1"/>
  <c r="B545" i="18" s="1"/>
  <c r="B557" i="18" s="1"/>
  <c r="B569" i="18" s="1"/>
  <c r="B581" i="18" s="1"/>
  <c r="B593" i="18" s="1"/>
  <c r="B605" i="18" s="1"/>
  <c r="B617" i="18" s="1"/>
  <c r="B629" i="18" s="1"/>
  <c r="B641" i="18"/>
  <c r="B653" i="18" s="1"/>
  <c r="B665" i="18" s="1"/>
  <c r="B677" i="18" s="1"/>
  <c r="B689" i="18" s="1"/>
  <c r="B701" i="18" s="1"/>
  <c r="B713" i="18" s="1"/>
  <c r="B725" i="18" s="1"/>
  <c r="B737" i="18" s="1"/>
  <c r="B749" i="18" s="1"/>
  <c r="C557" i="18"/>
  <c r="C569" i="18" s="1"/>
  <c r="C581" i="18" s="1"/>
  <c r="C593" i="18" s="1"/>
  <c r="C605" i="18" s="1"/>
  <c r="C617" i="18" s="1"/>
  <c r="C629" i="18" s="1"/>
  <c r="C641" i="18" s="1"/>
  <c r="C653" i="18" s="1"/>
  <c r="C665" i="18" s="1"/>
  <c r="C677" i="18" s="1"/>
  <c r="C689" i="18" s="1"/>
  <c r="C701" i="18" s="1"/>
  <c r="C713" i="18" s="1"/>
  <c r="C725" i="18" s="1"/>
  <c r="C737" i="18" s="1"/>
  <c r="C749" i="18" s="1"/>
  <c r="C274" i="18"/>
  <c r="C286" i="18" s="1"/>
  <c r="C298" i="18" s="1"/>
  <c r="C310" i="18" s="1"/>
  <c r="C322" i="18" s="1"/>
  <c r="C334" i="18" s="1"/>
  <c r="C346" i="18" s="1"/>
  <c r="C358" i="18" s="1"/>
  <c r="C370" i="18" s="1"/>
  <c r="C382" i="18" s="1"/>
  <c r="C394" i="18" s="1"/>
  <c r="C406" i="18" s="1"/>
  <c r="C418" i="18" s="1"/>
  <c r="C430" i="18" s="1"/>
  <c r="C442" i="18" s="1"/>
  <c r="C454" i="18" s="1"/>
  <c r="C466" i="18" s="1"/>
  <c r="C478" i="18" s="1"/>
  <c r="C490" i="18" s="1"/>
  <c r="C502" i="18" s="1"/>
  <c r="C514" i="18" s="1"/>
  <c r="C526" i="18" s="1"/>
  <c r="C538" i="18" s="1"/>
  <c r="C550" i="18" s="1"/>
  <c r="C562" i="18" s="1"/>
  <c r="C574" i="18" s="1"/>
  <c r="C586" i="18" s="1"/>
  <c r="C598" i="18" s="1"/>
  <c r="C610" i="18" s="1"/>
  <c r="C622" i="18" s="1"/>
  <c r="C634" i="18" s="1"/>
  <c r="C646" i="18" s="1"/>
  <c r="C658" i="18" s="1"/>
  <c r="C670" i="18" s="1"/>
  <c r="C682" i="18" s="1"/>
  <c r="C694" i="18" s="1"/>
  <c r="C706" i="18"/>
  <c r="C718" i="18" s="1"/>
  <c r="C730" i="18" s="1"/>
  <c r="C742" i="18" s="1"/>
  <c r="C754" i="18" s="1"/>
  <c r="C483" i="18"/>
  <c r="C495" i="18" s="1"/>
  <c r="C507" i="18" s="1"/>
  <c r="C519" i="18"/>
  <c r="C531" i="18" s="1"/>
  <c r="C543" i="18" s="1"/>
  <c r="C555" i="18" s="1"/>
  <c r="C567" i="18" s="1"/>
  <c r="C579" i="18" s="1"/>
  <c r="C591" i="18" s="1"/>
  <c r="C603" i="18" s="1"/>
  <c r="C615" i="18" s="1"/>
  <c r="C627" i="18" s="1"/>
  <c r="C639" i="18" s="1"/>
  <c r="C651" i="18" s="1"/>
  <c r="C663" i="18" s="1"/>
  <c r="C675" i="18" s="1"/>
  <c r="C687" i="18" s="1"/>
  <c r="C699" i="18" s="1"/>
  <c r="C711" i="18" s="1"/>
  <c r="C723" i="18" s="1"/>
  <c r="C735" i="18" s="1"/>
  <c r="C747" i="18" s="1"/>
  <c r="C343" i="18"/>
  <c r="C355" i="18" s="1"/>
  <c r="C367" i="18" s="1"/>
  <c r="C379" i="18" s="1"/>
  <c r="C391" i="18" s="1"/>
  <c r="C403" i="18" s="1"/>
  <c r="C415" i="18" s="1"/>
  <c r="C427" i="18" s="1"/>
  <c r="C439" i="18" s="1"/>
  <c r="C451" i="18" s="1"/>
  <c r="C463" i="18" s="1"/>
  <c r="C475" i="18" s="1"/>
  <c r="C487" i="18" s="1"/>
  <c r="C499" i="18" s="1"/>
  <c r="C511" i="18" s="1"/>
  <c r="C523" i="18" s="1"/>
  <c r="C535" i="18" s="1"/>
  <c r="C547" i="18" s="1"/>
  <c r="C559" i="18" s="1"/>
  <c r="C571" i="18" s="1"/>
  <c r="C583" i="18" s="1"/>
  <c r="C595" i="18" s="1"/>
  <c r="C607" i="18" s="1"/>
  <c r="C619" i="18" s="1"/>
  <c r="C631" i="18" s="1"/>
  <c r="C643" i="18" s="1"/>
  <c r="C655" i="18" s="1"/>
  <c r="C667" i="18" s="1"/>
  <c r="C679" i="18" s="1"/>
  <c r="C691" i="18" s="1"/>
  <c r="C703" i="18" s="1"/>
  <c r="C715" i="18" s="1"/>
  <c r="C727" i="18" s="1"/>
  <c r="C739" i="18" s="1"/>
  <c r="C751" i="18" s="1"/>
  <c r="B237" i="18"/>
  <c r="B249" i="18"/>
  <c r="B261" i="18" s="1"/>
  <c r="B273" i="18" s="1"/>
  <c r="B285" i="18"/>
  <c r="B297" i="18" s="1"/>
  <c r="B309" i="18" s="1"/>
  <c r="B321" i="18"/>
  <c r="B333" i="18" s="1"/>
  <c r="B345" i="18" s="1"/>
  <c r="B357" i="18" s="1"/>
  <c r="B369" i="18" s="1"/>
  <c r="B381" i="18" s="1"/>
  <c r="B393" i="18" s="1"/>
  <c r="B405" i="18" s="1"/>
  <c r="B417" i="18" s="1"/>
  <c r="B429" i="18"/>
  <c r="B441" i="18" s="1"/>
  <c r="B453" i="18" s="1"/>
  <c r="B465" i="18" s="1"/>
  <c r="B477" i="18" s="1"/>
  <c r="B489" i="18" s="1"/>
  <c r="B501" i="18" s="1"/>
  <c r="B513" i="18" s="1"/>
  <c r="B525" i="18" s="1"/>
  <c r="B537" i="18" s="1"/>
  <c r="B549" i="18" s="1"/>
  <c r="B561" i="18" s="1"/>
  <c r="B573" i="18" s="1"/>
  <c r="B585" i="18" s="1"/>
  <c r="B597" i="18" s="1"/>
  <c r="B609" i="18" s="1"/>
  <c r="B621" i="18" s="1"/>
  <c r="B633" i="18" s="1"/>
  <c r="B645" i="18" s="1"/>
  <c r="B657" i="18" s="1"/>
  <c r="B669" i="18" s="1"/>
  <c r="B681" i="18" s="1"/>
  <c r="B693" i="18" s="1"/>
  <c r="B705" i="18" s="1"/>
  <c r="B717" i="18" s="1"/>
  <c r="B729" i="18" s="1"/>
  <c r="B741" i="18" s="1"/>
  <c r="B753" i="18" s="1"/>
  <c r="B491" i="18"/>
  <c r="B503" i="18" s="1"/>
  <c r="B515" i="18" s="1"/>
  <c r="B527" i="18"/>
  <c r="B539" i="18" s="1"/>
  <c r="B551" i="18" s="1"/>
  <c r="B563" i="18"/>
  <c r="B575" i="18" s="1"/>
  <c r="B587" i="18" s="1"/>
  <c r="B599" i="18" s="1"/>
  <c r="B611" i="18" s="1"/>
  <c r="B623" i="18" s="1"/>
  <c r="B635" i="18" s="1"/>
  <c r="B647" i="18" s="1"/>
  <c r="B659" i="18" s="1"/>
  <c r="B671" i="18" s="1"/>
  <c r="B683" i="18" s="1"/>
  <c r="B695" i="18" s="1"/>
  <c r="B707" i="18" s="1"/>
  <c r="B719" i="18" s="1"/>
  <c r="B731" i="18" s="1"/>
  <c r="B743" i="18" s="1"/>
  <c r="B755" i="18" s="1"/>
  <c r="B454" i="18"/>
  <c r="B466" i="18" s="1"/>
  <c r="B478" i="18" s="1"/>
  <c r="B490" i="18" s="1"/>
  <c r="B502" i="18" s="1"/>
  <c r="B514" i="18" s="1"/>
  <c r="B526" i="18" s="1"/>
  <c r="B538" i="18" s="1"/>
  <c r="B550" i="18" s="1"/>
  <c r="B562" i="18" s="1"/>
  <c r="B574" i="18" s="1"/>
  <c r="B586" i="18" s="1"/>
  <c r="B598" i="18" s="1"/>
  <c r="B610" i="18" s="1"/>
  <c r="B622" i="18" s="1"/>
  <c r="B634" i="18" s="1"/>
  <c r="B646" i="18" s="1"/>
  <c r="B658" i="18" s="1"/>
  <c r="B670" i="18" s="1"/>
  <c r="B682" i="18" s="1"/>
  <c r="B694" i="18" s="1"/>
  <c r="B706" i="18" s="1"/>
  <c r="B718" i="18" s="1"/>
  <c r="B730" i="18" s="1"/>
  <c r="B742" i="18" s="1"/>
  <c r="B754" i="18" s="1"/>
  <c r="B728" i="18"/>
  <c r="B740" i="18" s="1"/>
  <c r="B752" i="18" s="1"/>
  <c r="B613" i="18"/>
  <c r="B625" i="18" s="1"/>
  <c r="B637" i="18" s="1"/>
  <c r="B649" i="18" s="1"/>
  <c r="B661" i="18" s="1"/>
  <c r="B673" i="18" s="1"/>
  <c r="B685" i="18" s="1"/>
  <c r="B697" i="18" s="1"/>
  <c r="B709" i="18" s="1"/>
  <c r="B721" i="18" s="1"/>
  <c r="B733" i="18" s="1"/>
  <c r="B745" i="18" s="1"/>
  <c r="G2" i="20"/>
  <c r="E24" i="20" s="1"/>
  <c r="E36" i="20" s="1"/>
  <c r="E48" i="20"/>
  <c r="E60" i="20" s="1"/>
  <c r="E72" i="20" s="1"/>
  <c r="E84" i="20"/>
  <c r="E96" i="20" s="1"/>
  <c r="E108" i="20" s="1"/>
  <c r="E120" i="20" s="1"/>
  <c r="E132" i="20" s="1"/>
  <c r="E144" i="20" s="1"/>
  <c r="E156" i="20" s="1"/>
  <c r="E168" i="20" s="1"/>
  <c r="E180" i="20" s="1"/>
  <c r="E192" i="20" s="1"/>
  <c r="E204" i="20" s="1"/>
  <c r="E216" i="20" s="1"/>
  <c r="E228" i="20" s="1"/>
  <c r="E240" i="20" s="1"/>
  <c r="E252" i="20" s="1"/>
  <c r="E264" i="20" s="1"/>
  <c r="E276" i="20" s="1"/>
  <c r="E288" i="20" s="1"/>
  <c r="E300" i="20" s="1"/>
  <c r="E312" i="20" s="1"/>
  <c r="E324" i="20" s="1"/>
  <c r="E336" i="20" s="1"/>
  <c r="E348" i="20" s="1"/>
  <c r="E360" i="20" s="1"/>
  <c r="E372" i="20" s="1"/>
  <c r="E384" i="20" s="1"/>
  <c r="E396" i="20" s="1"/>
  <c r="E408" i="20" s="1"/>
  <c r="E420" i="20" s="1"/>
  <c r="E432" i="20" s="1"/>
  <c r="E444" i="20" s="1"/>
  <c r="E456" i="20" s="1"/>
  <c r="E468" i="20" s="1"/>
  <c r="E480" i="20" s="1"/>
  <c r="E492" i="20" s="1"/>
  <c r="E504" i="20" s="1"/>
  <c r="E516" i="20" s="1"/>
  <c r="E528" i="20" s="1"/>
  <c r="E540" i="20" s="1"/>
  <c r="E552" i="20" s="1"/>
  <c r="E564" i="20" s="1"/>
  <c r="E576" i="20" s="1"/>
  <c r="E588" i="20" s="1"/>
  <c r="E600" i="20" s="1"/>
  <c r="E612" i="20" s="1"/>
  <c r="E624" i="20" s="1"/>
  <c r="E636" i="20" s="1"/>
  <c r="E648" i="20" s="1"/>
  <c r="E660" i="20" s="1"/>
  <c r="E672" i="20" s="1"/>
  <c r="E684" i="20" s="1"/>
  <c r="E696" i="20"/>
  <c r="E708" i="20" s="1"/>
  <c r="E720" i="20" s="1"/>
  <c r="E732" i="20" s="1"/>
  <c r="E744" i="20" s="1"/>
  <c r="L3" i="20"/>
  <c r="G4" i="20"/>
  <c r="G32" i="20" s="1"/>
  <c r="L4" i="20"/>
  <c r="G5" i="20"/>
  <c r="L5" i="20"/>
  <c r="L6" i="20"/>
  <c r="L7" i="20"/>
  <c r="L8" i="20"/>
  <c r="L9" i="20"/>
  <c r="L10" i="20"/>
  <c r="L11" i="20"/>
  <c r="L12" i="20"/>
  <c r="L13" i="20"/>
  <c r="L14" i="20"/>
  <c r="L15" i="20"/>
  <c r="L16" i="20"/>
  <c r="L17" i="20"/>
  <c r="G17" i="20"/>
  <c r="G20" i="20"/>
  <c r="A24" i="20"/>
  <c r="Q24" i="20"/>
  <c r="Q36" i="20"/>
  <c r="Q48" i="20"/>
  <c r="Q60" i="20" s="1"/>
  <c r="Q72" i="20" s="1"/>
  <c r="Q84" i="20" s="1"/>
  <c r="AC24" i="20"/>
  <c r="B25" i="20"/>
  <c r="AC25" i="20"/>
  <c r="N25" i="20"/>
  <c r="N26" i="20"/>
  <c r="N27" i="20"/>
  <c r="N28" i="20" s="1"/>
  <c r="N29" i="20" s="1"/>
  <c r="N30" i="20"/>
  <c r="N31" i="20" s="1"/>
  <c r="N32" i="20" s="1"/>
  <c r="N33" i="20" s="1"/>
  <c r="N34" i="20" s="1"/>
  <c r="N35" i="20" s="1"/>
  <c r="N36" i="20"/>
  <c r="N37" i="20" s="1"/>
  <c r="N38" i="20" s="1"/>
  <c r="N39" i="20" s="1"/>
  <c r="N40" i="20" s="1"/>
  <c r="N41" i="20" s="1"/>
  <c r="N42" i="20" s="1"/>
  <c r="N43" i="20" s="1"/>
  <c r="N44" i="20" s="1"/>
  <c r="N45" i="20" s="1"/>
  <c r="N46" i="20" s="1"/>
  <c r="N47" i="20" s="1"/>
  <c r="N48" i="20" s="1"/>
  <c r="N49" i="20" s="1"/>
  <c r="N50" i="20" s="1"/>
  <c r="N51" i="20" s="1"/>
  <c r="N52" i="20" s="1"/>
  <c r="N53" i="20" s="1"/>
  <c r="N54" i="20" s="1"/>
  <c r="N55" i="20" s="1"/>
  <c r="N56" i="20" s="1"/>
  <c r="N57" i="20" s="1"/>
  <c r="N58" i="20" s="1"/>
  <c r="N59" i="20" s="1"/>
  <c r="N60" i="20" s="1"/>
  <c r="N61" i="20" s="1"/>
  <c r="N62" i="20" s="1"/>
  <c r="N63" i="20" s="1"/>
  <c r="N64" i="20" s="1"/>
  <c r="N65" i="20" s="1"/>
  <c r="N66" i="20" s="1"/>
  <c r="N67" i="20" s="1"/>
  <c r="N68" i="20" s="1"/>
  <c r="N69" i="20" s="1"/>
  <c r="N70" i="20" s="1"/>
  <c r="N71" i="20" s="1"/>
  <c r="N72" i="20" s="1"/>
  <c r="N73" i="20" s="1"/>
  <c r="N74" i="20" s="1"/>
  <c r="N75" i="20" s="1"/>
  <c r="N76" i="20" s="1"/>
  <c r="N77" i="20" s="1"/>
  <c r="N78" i="20" s="1"/>
  <c r="N79" i="20" s="1"/>
  <c r="N80" i="20" s="1"/>
  <c r="N81" i="20" s="1"/>
  <c r="N82" i="20" s="1"/>
  <c r="N83" i="20" s="1"/>
  <c r="N84" i="20" s="1"/>
  <c r="N85" i="20" s="1"/>
  <c r="N86" i="20" s="1"/>
  <c r="N87" i="20" s="1"/>
  <c r="N88" i="20" s="1"/>
  <c r="N89" i="20" s="1"/>
  <c r="N90" i="20" s="1"/>
  <c r="N91" i="20" s="1"/>
  <c r="N92" i="20" s="1"/>
  <c r="N93" i="20" s="1"/>
  <c r="N94" i="20" s="1"/>
  <c r="N95" i="20" s="1"/>
  <c r="N96" i="20" s="1"/>
  <c r="N97" i="20" s="1"/>
  <c r="N98" i="20" s="1"/>
  <c r="N99" i="20" s="1"/>
  <c r="N100" i="20" s="1"/>
  <c r="N101" i="20" s="1"/>
  <c r="N102" i="20" s="1"/>
  <c r="N103" i="20" s="1"/>
  <c r="N104" i="20" s="1"/>
  <c r="N105" i="20" s="1"/>
  <c r="N106" i="20" s="1"/>
  <c r="N107" i="20" s="1"/>
  <c r="N108" i="20" s="1"/>
  <c r="N109" i="20" s="1"/>
  <c r="N110" i="20" s="1"/>
  <c r="N111" i="20" s="1"/>
  <c r="N112" i="20" s="1"/>
  <c r="N113" i="20" s="1"/>
  <c r="N114" i="20" s="1"/>
  <c r="N115" i="20" s="1"/>
  <c r="N116" i="20" s="1"/>
  <c r="N117" i="20" s="1"/>
  <c r="N118" i="20" s="1"/>
  <c r="N119" i="20" s="1"/>
  <c r="N120" i="20" s="1"/>
  <c r="N121" i="20" s="1"/>
  <c r="N122" i="20" s="1"/>
  <c r="N123" i="20" s="1"/>
  <c r="N124" i="20" s="1"/>
  <c r="N125" i="20" s="1"/>
  <c r="N126" i="20" s="1"/>
  <c r="N127" i="20" s="1"/>
  <c r="N128" i="20" s="1"/>
  <c r="N129" i="20" s="1"/>
  <c r="N130" i="20" s="1"/>
  <c r="N131" i="20" s="1"/>
  <c r="N132" i="20" s="1"/>
  <c r="N133" i="20" s="1"/>
  <c r="N134" i="20" s="1"/>
  <c r="N135" i="20" s="1"/>
  <c r="N136" i="20" s="1"/>
  <c r="N137" i="20" s="1"/>
  <c r="N138" i="20" s="1"/>
  <c r="N139" i="20" s="1"/>
  <c r="N140" i="20" s="1"/>
  <c r="N141" i="20" s="1"/>
  <c r="N142" i="20" s="1"/>
  <c r="N143" i="20" s="1"/>
  <c r="N144" i="20" s="1"/>
  <c r="N145" i="20" s="1"/>
  <c r="N146" i="20" s="1"/>
  <c r="N147" i="20" s="1"/>
  <c r="N148" i="20" s="1"/>
  <c r="N149" i="20" s="1"/>
  <c r="N150" i="20" s="1"/>
  <c r="N151" i="20" s="1"/>
  <c r="N152" i="20" s="1"/>
  <c r="N153" i="20" s="1"/>
  <c r="N154" i="20" s="1"/>
  <c r="N155" i="20" s="1"/>
  <c r="N156" i="20" s="1"/>
  <c r="N157" i="20" s="1"/>
  <c r="N158" i="20" s="1"/>
  <c r="N159" i="20" s="1"/>
  <c r="N160" i="20" s="1"/>
  <c r="N161" i="20" s="1"/>
  <c r="N162" i="20" s="1"/>
  <c r="N163" i="20" s="1"/>
  <c r="N164" i="20" s="1"/>
  <c r="N165" i="20" s="1"/>
  <c r="N166" i="20" s="1"/>
  <c r="N167" i="20" s="1"/>
  <c r="N168" i="20" s="1"/>
  <c r="N169" i="20" s="1"/>
  <c r="N170" i="20" s="1"/>
  <c r="N171" i="20" s="1"/>
  <c r="N172" i="20" s="1"/>
  <c r="N173" i="20" s="1"/>
  <c r="N174" i="20" s="1"/>
  <c r="N175" i="20" s="1"/>
  <c r="N176" i="20" s="1"/>
  <c r="N177" i="20" s="1"/>
  <c r="N178" i="20" s="1"/>
  <c r="N179" i="20" s="1"/>
  <c r="N180" i="20" s="1"/>
  <c r="N181" i="20" s="1"/>
  <c r="N182" i="20" s="1"/>
  <c r="N183" i="20" s="1"/>
  <c r="N184" i="20" s="1"/>
  <c r="N185" i="20" s="1"/>
  <c r="N186" i="20" s="1"/>
  <c r="N187" i="20" s="1"/>
  <c r="N188" i="20" s="1"/>
  <c r="N189" i="20" s="1"/>
  <c r="N190" i="20" s="1"/>
  <c r="N191" i="20" s="1"/>
  <c r="N192" i="20" s="1"/>
  <c r="N193" i="20" s="1"/>
  <c r="N194" i="20" s="1"/>
  <c r="N195" i="20" s="1"/>
  <c r="N196" i="20" s="1"/>
  <c r="N197" i="20" s="1"/>
  <c r="N198" i="20" s="1"/>
  <c r="N199" i="20" s="1"/>
  <c r="N200" i="20" s="1"/>
  <c r="N201" i="20" s="1"/>
  <c r="N202" i="20" s="1"/>
  <c r="N203" i="20" s="1"/>
  <c r="N204" i="20" s="1"/>
  <c r="N205" i="20" s="1"/>
  <c r="N206" i="20" s="1"/>
  <c r="N207" i="20" s="1"/>
  <c r="N208" i="20" s="1"/>
  <c r="N209" i="20" s="1"/>
  <c r="N210" i="20" s="1"/>
  <c r="N211" i="20" s="1"/>
  <c r="N212" i="20" s="1"/>
  <c r="N213" i="20" s="1"/>
  <c r="N214" i="20" s="1"/>
  <c r="N215" i="20" s="1"/>
  <c r="N216" i="20" s="1"/>
  <c r="N217" i="20" s="1"/>
  <c r="N218" i="20" s="1"/>
  <c r="N219" i="20" s="1"/>
  <c r="N220" i="20" s="1"/>
  <c r="N221" i="20" s="1"/>
  <c r="N222" i="20" s="1"/>
  <c r="N223" i="20" s="1"/>
  <c r="N224" i="20" s="1"/>
  <c r="N225" i="20" s="1"/>
  <c r="N226" i="20" s="1"/>
  <c r="N227" i="20" s="1"/>
  <c r="N228" i="20" s="1"/>
  <c r="N229" i="20" s="1"/>
  <c r="N230" i="20" s="1"/>
  <c r="N231" i="20" s="1"/>
  <c r="N232" i="20" s="1"/>
  <c r="N233" i="20" s="1"/>
  <c r="N234" i="20" s="1"/>
  <c r="N235" i="20" s="1"/>
  <c r="N236" i="20" s="1"/>
  <c r="N237" i="20" s="1"/>
  <c r="N238" i="20" s="1"/>
  <c r="N239" i="20" s="1"/>
  <c r="N240" i="20" s="1"/>
  <c r="N241" i="20" s="1"/>
  <c r="N242" i="20" s="1"/>
  <c r="N243" i="20" s="1"/>
  <c r="N244" i="20" s="1"/>
  <c r="N245" i="20" s="1"/>
  <c r="N246" i="20" s="1"/>
  <c r="N247" i="20" s="1"/>
  <c r="N248" i="20" s="1"/>
  <c r="N249" i="20" s="1"/>
  <c r="N250" i="20" s="1"/>
  <c r="N251" i="20" s="1"/>
  <c r="N252" i="20" s="1"/>
  <c r="N253" i="20" s="1"/>
  <c r="N254" i="20" s="1"/>
  <c r="N255" i="20" s="1"/>
  <c r="N256" i="20" s="1"/>
  <c r="N257" i="20" s="1"/>
  <c r="N258" i="20" s="1"/>
  <c r="N259" i="20" s="1"/>
  <c r="N260" i="20" s="1"/>
  <c r="N261" i="20" s="1"/>
  <c r="N262" i="20" s="1"/>
  <c r="N263" i="20" s="1"/>
  <c r="N264" i="20" s="1"/>
  <c r="N265" i="20" s="1"/>
  <c r="N266" i="20" s="1"/>
  <c r="N267" i="20" s="1"/>
  <c r="N268" i="20" s="1"/>
  <c r="N269" i="20" s="1"/>
  <c r="N270" i="20" s="1"/>
  <c r="N271" i="20" s="1"/>
  <c r="N272" i="20" s="1"/>
  <c r="N273" i="20" s="1"/>
  <c r="N274" i="20" s="1"/>
  <c r="N275" i="20" s="1"/>
  <c r="N276" i="20" s="1"/>
  <c r="N277" i="20" s="1"/>
  <c r="N278" i="20" s="1"/>
  <c r="N279" i="20" s="1"/>
  <c r="N280" i="20" s="1"/>
  <c r="N281" i="20" s="1"/>
  <c r="N282" i="20" s="1"/>
  <c r="N283" i="20" s="1"/>
  <c r="N284" i="20" s="1"/>
  <c r="N285" i="20" s="1"/>
  <c r="N286" i="20" s="1"/>
  <c r="N287" i="20" s="1"/>
  <c r="N288" i="20" s="1"/>
  <c r="N289" i="20" s="1"/>
  <c r="N290" i="20" s="1"/>
  <c r="N291" i="20" s="1"/>
  <c r="N292" i="20" s="1"/>
  <c r="N293" i="20" s="1"/>
  <c r="N294" i="20" s="1"/>
  <c r="N295" i="20" s="1"/>
  <c r="N296" i="20" s="1"/>
  <c r="N297" i="20" s="1"/>
  <c r="N298" i="20" s="1"/>
  <c r="N299" i="20" s="1"/>
  <c r="N300" i="20" s="1"/>
  <c r="N301" i="20" s="1"/>
  <c r="N302" i="20" s="1"/>
  <c r="N303" i="20" s="1"/>
  <c r="N304" i="20" s="1"/>
  <c r="N305" i="20" s="1"/>
  <c r="N306" i="20" s="1"/>
  <c r="N307" i="20" s="1"/>
  <c r="N308" i="20" s="1"/>
  <c r="N309" i="20" s="1"/>
  <c r="N310" i="20" s="1"/>
  <c r="N311" i="20" s="1"/>
  <c r="N312" i="20" s="1"/>
  <c r="N313" i="20" s="1"/>
  <c r="N314" i="20" s="1"/>
  <c r="N315" i="20" s="1"/>
  <c r="N316" i="20" s="1"/>
  <c r="N317" i="20" s="1"/>
  <c r="N318" i="20" s="1"/>
  <c r="N319" i="20" s="1"/>
  <c r="N320" i="20" s="1"/>
  <c r="N321" i="20" s="1"/>
  <c r="N322" i="20" s="1"/>
  <c r="N323" i="20" s="1"/>
  <c r="N324" i="20" s="1"/>
  <c r="N325" i="20" s="1"/>
  <c r="N326" i="20" s="1"/>
  <c r="N327" i="20" s="1"/>
  <c r="N328" i="20" s="1"/>
  <c r="N329" i="20" s="1"/>
  <c r="N330" i="20" s="1"/>
  <c r="N331" i="20" s="1"/>
  <c r="N332" i="20" s="1"/>
  <c r="N333" i="20" s="1"/>
  <c r="N334" i="20" s="1"/>
  <c r="N335" i="20" s="1"/>
  <c r="N336" i="20" s="1"/>
  <c r="N337" i="20" s="1"/>
  <c r="N338" i="20" s="1"/>
  <c r="N339" i="20" s="1"/>
  <c r="N340" i="20" s="1"/>
  <c r="N341" i="20" s="1"/>
  <c r="N342" i="20" s="1"/>
  <c r="N343" i="20" s="1"/>
  <c r="N344" i="20" s="1"/>
  <c r="N345" i="20" s="1"/>
  <c r="N346" i="20" s="1"/>
  <c r="N347" i="20" s="1"/>
  <c r="N348" i="20" s="1"/>
  <c r="N349" i="20" s="1"/>
  <c r="N350" i="20" s="1"/>
  <c r="N351" i="20" s="1"/>
  <c r="N352" i="20" s="1"/>
  <c r="N353" i="20" s="1"/>
  <c r="N354" i="20" s="1"/>
  <c r="N355" i="20" s="1"/>
  <c r="N356" i="20" s="1"/>
  <c r="N357" i="20" s="1"/>
  <c r="N358" i="20" s="1"/>
  <c r="N359" i="20" s="1"/>
  <c r="N360" i="20" s="1"/>
  <c r="N361" i="20" s="1"/>
  <c r="N362" i="20" s="1"/>
  <c r="N363" i="20" s="1"/>
  <c r="N364" i="20" s="1"/>
  <c r="N365" i="20" s="1"/>
  <c r="N366" i="20" s="1"/>
  <c r="N367" i="20" s="1"/>
  <c r="N368" i="20" s="1"/>
  <c r="N369" i="20" s="1"/>
  <c r="N370" i="20" s="1"/>
  <c r="N371" i="20" s="1"/>
  <c r="N372" i="20" s="1"/>
  <c r="N373" i="20" s="1"/>
  <c r="N374" i="20" s="1"/>
  <c r="N375" i="20" s="1"/>
  <c r="N376" i="20" s="1"/>
  <c r="N377" i="20" s="1"/>
  <c r="N378" i="20" s="1"/>
  <c r="N379" i="20" s="1"/>
  <c r="N380" i="20" s="1"/>
  <c r="N381" i="20" s="1"/>
  <c r="N382" i="20" s="1"/>
  <c r="N383" i="20" s="1"/>
  <c r="N384" i="20" s="1"/>
  <c r="N385" i="20" s="1"/>
  <c r="N386" i="20" s="1"/>
  <c r="N387" i="20" s="1"/>
  <c r="N388" i="20" s="1"/>
  <c r="N389" i="20" s="1"/>
  <c r="N390" i="20" s="1"/>
  <c r="N391" i="20" s="1"/>
  <c r="N392" i="20" s="1"/>
  <c r="N393" i="20" s="1"/>
  <c r="N394" i="20" s="1"/>
  <c r="N395" i="20" s="1"/>
  <c r="N396" i="20" s="1"/>
  <c r="N397" i="20" s="1"/>
  <c r="N398" i="20" s="1"/>
  <c r="N399" i="20" s="1"/>
  <c r="N400" i="20" s="1"/>
  <c r="N401" i="20" s="1"/>
  <c r="N402" i="20" s="1"/>
  <c r="N403" i="20" s="1"/>
  <c r="N404" i="20" s="1"/>
  <c r="N405" i="20" s="1"/>
  <c r="N406" i="20" s="1"/>
  <c r="N407" i="20" s="1"/>
  <c r="N408" i="20" s="1"/>
  <c r="N409" i="20" s="1"/>
  <c r="N410" i="20" s="1"/>
  <c r="N411" i="20" s="1"/>
  <c r="N412" i="20" s="1"/>
  <c r="N413" i="20" s="1"/>
  <c r="N414" i="20" s="1"/>
  <c r="N415" i="20" s="1"/>
  <c r="N416" i="20" s="1"/>
  <c r="N417" i="20" s="1"/>
  <c r="N418" i="20" s="1"/>
  <c r="N419" i="20" s="1"/>
  <c r="N420" i="20" s="1"/>
  <c r="N421" i="20" s="1"/>
  <c r="N422" i="20" s="1"/>
  <c r="N423" i="20" s="1"/>
  <c r="N424" i="20" s="1"/>
  <c r="N425" i="20" s="1"/>
  <c r="N426" i="20" s="1"/>
  <c r="N427" i="20" s="1"/>
  <c r="N428" i="20" s="1"/>
  <c r="N429" i="20" s="1"/>
  <c r="N430" i="20" s="1"/>
  <c r="N431" i="20" s="1"/>
  <c r="N432" i="20" s="1"/>
  <c r="N433" i="20" s="1"/>
  <c r="N434" i="20" s="1"/>
  <c r="N435" i="20" s="1"/>
  <c r="N436" i="20" s="1"/>
  <c r="N437" i="20" s="1"/>
  <c r="N438" i="20" s="1"/>
  <c r="N439" i="20" s="1"/>
  <c r="N440" i="20" s="1"/>
  <c r="N441" i="20" s="1"/>
  <c r="N442" i="20" s="1"/>
  <c r="N443" i="20" s="1"/>
  <c r="N444" i="20" s="1"/>
  <c r="N445" i="20" s="1"/>
  <c r="N446" i="20" s="1"/>
  <c r="N447" i="20" s="1"/>
  <c r="N448" i="20" s="1"/>
  <c r="N449" i="20" s="1"/>
  <c r="N450" i="20" s="1"/>
  <c r="N451" i="20" s="1"/>
  <c r="N452" i="20" s="1"/>
  <c r="N453" i="20" s="1"/>
  <c r="N454" i="20" s="1"/>
  <c r="N455" i="20" s="1"/>
  <c r="N456" i="20" s="1"/>
  <c r="N457" i="20" s="1"/>
  <c r="N458" i="20" s="1"/>
  <c r="N459" i="20" s="1"/>
  <c r="N460" i="20" s="1"/>
  <c r="N461" i="20" s="1"/>
  <c r="N462" i="20" s="1"/>
  <c r="N463" i="20" s="1"/>
  <c r="N464" i="20" s="1"/>
  <c r="N465" i="20" s="1"/>
  <c r="N466" i="20" s="1"/>
  <c r="N467" i="20" s="1"/>
  <c r="N468" i="20" s="1"/>
  <c r="N469" i="20" s="1"/>
  <c r="N470" i="20" s="1"/>
  <c r="N471" i="20" s="1"/>
  <c r="N472" i="20" s="1"/>
  <c r="N473" i="20" s="1"/>
  <c r="N474" i="20" s="1"/>
  <c r="N475" i="20" s="1"/>
  <c r="N476" i="20" s="1"/>
  <c r="N477" i="20" s="1"/>
  <c r="N478" i="20" s="1"/>
  <c r="N479" i="20" s="1"/>
  <c r="N480" i="20" s="1"/>
  <c r="N481" i="20" s="1"/>
  <c r="N482" i="20" s="1"/>
  <c r="N483" i="20" s="1"/>
  <c r="N484" i="20" s="1"/>
  <c r="N485" i="20" s="1"/>
  <c r="N486" i="20" s="1"/>
  <c r="N487" i="20" s="1"/>
  <c r="N488" i="20" s="1"/>
  <c r="N489" i="20" s="1"/>
  <c r="N490" i="20" s="1"/>
  <c r="N491" i="20" s="1"/>
  <c r="N492" i="20" s="1"/>
  <c r="N493" i="20" s="1"/>
  <c r="N494" i="20" s="1"/>
  <c r="N495" i="20" s="1"/>
  <c r="N496" i="20" s="1"/>
  <c r="N497" i="20" s="1"/>
  <c r="N498" i="20" s="1"/>
  <c r="N499" i="20" s="1"/>
  <c r="N500" i="20" s="1"/>
  <c r="N501" i="20" s="1"/>
  <c r="N502" i="20" s="1"/>
  <c r="N503" i="20" s="1"/>
  <c r="N504" i="20" s="1"/>
  <c r="N505" i="20" s="1"/>
  <c r="N506" i="20" s="1"/>
  <c r="N507" i="20" s="1"/>
  <c r="N508" i="20" s="1"/>
  <c r="N509" i="20" s="1"/>
  <c r="N510" i="20" s="1"/>
  <c r="N511" i="20" s="1"/>
  <c r="N512" i="20" s="1"/>
  <c r="N513" i="20" s="1"/>
  <c r="N514" i="20" s="1"/>
  <c r="N515" i="20" s="1"/>
  <c r="N516" i="20" s="1"/>
  <c r="N517" i="20" s="1"/>
  <c r="N518" i="20" s="1"/>
  <c r="N519" i="20" s="1"/>
  <c r="N520" i="20" s="1"/>
  <c r="N521" i="20" s="1"/>
  <c r="N522" i="20" s="1"/>
  <c r="N523" i="20" s="1"/>
  <c r="N524" i="20" s="1"/>
  <c r="N525" i="20" s="1"/>
  <c r="N526" i="20" s="1"/>
  <c r="N527" i="20" s="1"/>
  <c r="N528" i="20" s="1"/>
  <c r="N529" i="20" s="1"/>
  <c r="N530" i="20" s="1"/>
  <c r="N531" i="20" s="1"/>
  <c r="N532" i="20" s="1"/>
  <c r="N533" i="20" s="1"/>
  <c r="N534" i="20" s="1"/>
  <c r="N535" i="20" s="1"/>
  <c r="N536" i="20" s="1"/>
  <c r="N537" i="20" s="1"/>
  <c r="N538" i="20" s="1"/>
  <c r="N539" i="20" s="1"/>
  <c r="N540" i="20" s="1"/>
  <c r="N541" i="20" s="1"/>
  <c r="N542" i="20" s="1"/>
  <c r="N543" i="20" s="1"/>
  <c r="N544" i="20" s="1"/>
  <c r="N545" i="20" s="1"/>
  <c r="N546" i="20" s="1"/>
  <c r="N547" i="20" s="1"/>
  <c r="N548" i="20" s="1"/>
  <c r="N549" i="20" s="1"/>
  <c r="N550" i="20" s="1"/>
  <c r="N551" i="20" s="1"/>
  <c r="N552" i="20" s="1"/>
  <c r="N553" i="20" s="1"/>
  <c r="N554" i="20" s="1"/>
  <c r="N555" i="20" s="1"/>
  <c r="N556" i="20" s="1"/>
  <c r="N557" i="20" s="1"/>
  <c r="N558" i="20" s="1"/>
  <c r="N559" i="20" s="1"/>
  <c r="N560" i="20" s="1"/>
  <c r="N561" i="20" s="1"/>
  <c r="N562" i="20" s="1"/>
  <c r="N563" i="20" s="1"/>
  <c r="N564" i="20" s="1"/>
  <c r="N565" i="20" s="1"/>
  <c r="N566" i="20" s="1"/>
  <c r="N567" i="20" s="1"/>
  <c r="N568" i="20" s="1"/>
  <c r="N569" i="20" s="1"/>
  <c r="N570" i="20" s="1"/>
  <c r="N571" i="20" s="1"/>
  <c r="N572" i="20" s="1"/>
  <c r="N573" i="20" s="1"/>
  <c r="N574" i="20" s="1"/>
  <c r="N575" i="20" s="1"/>
  <c r="N576" i="20" s="1"/>
  <c r="N577" i="20" s="1"/>
  <c r="N578" i="20" s="1"/>
  <c r="N579" i="20" s="1"/>
  <c r="N580" i="20" s="1"/>
  <c r="N581" i="20" s="1"/>
  <c r="N582" i="20" s="1"/>
  <c r="N583" i="20" s="1"/>
  <c r="N584" i="20" s="1"/>
  <c r="N585" i="20" s="1"/>
  <c r="N586" i="20" s="1"/>
  <c r="N587" i="20" s="1"/>
  <c r="N588" i="20" s="1"/>
  <c r="N589" i="20" s="1"/>
  <c r="N590" i="20" s="1"/>
  <c r="N591" i="20" s="1"/>
  <c r="N592" i="20" s="1"/>
  <c r="N593" i="20" s="1"/>
  <c r="N594" i="20" s="1"/>
  <c r="N595" i="20" s="1"/>
  <c r="N596" i="20" s="1"/>
  <c r="N597" i="20" s="1"/>
  <c r="N598" i="20" s="1"/>
  <c r="N599" i="20" s="1"/>
  <c r="N600" i="20" s="1"/>
  <c r="N601" i="20" s="1"/>
  <c r="N602" i="20" s="1"/>
  <c r="N603" i="20" s="1"/>
  <c r="N604" i="20" s="1"/>
  <c r="N605" i="20" s="1"/>
  <c r="N606" i="20" s="1"/>
  <c r="N607" i="20" s="1"/>
  <c r="N608" i="20" s="1"/>
  <c r="N609" i="20" s="1"/>
  <c r="N610" i="20" s="1"/>
  <c r="N611" i="20" s="1"/>
  <c r="N612" i="20" s="1"/>
  <c r="N613" i="20" s="1"/>
  <c r="N614" i="20" s="1"/>
  <c r="N615" i="20" s="1"/>
  <c r="N616" i="20" s="1"/>
  <c r="N617" i="20" s="1"/>
  <c r="N618" i="20" s="1"/>
  <c r="N619" i="20" s="1"/>
  <c r="N620" i="20" s="1"/>
  <c r="N621" i="20" s="1"/>
  <c r="N622" i="20" s="1"/>
  <c r="N623" i="20" s="1"/>
  <c r="N624" i="20" s="1"/>
  <c r="N625" i="20" s="1"/>
  <c r="N626" i="20" s="1"/>
  <c r="N627" i="20" s="1"/>
  <c r="N628" i="20" s="1"/>
  <c r="N629" i="20" s="1"/>
  <c r="N630" i="20" s="1"/>
  <c r="N631" i="20" s="1"/>
  <c r="N632" i="20" s="1"/>
  <c r="N633" i="20" s="1"/>
  <c r="N634" i="20" s="1"/>
  <c r="N635" i="20" s="1"/>
  <c r="N636" i="20" s="1"/>
  <c r="N637" i="20" s="1"/>
  <c r="N638" i="20" s="1"/>
  <c r="N639" i="20" s="1"/>
  <c r="N640" i="20" s="1"/>
  <c r="N641" i="20" s="1"/>
  <c r="N642" i="20" s="1"/>
  <c r="N643" i="20" s="1"/>
  <c r="N644" i="20" s="1"/>
  <c r="N645" i="20" s="1"/>
  <c r="N646" i="20" s="1"/>
  <c r="N647" i="20" s="1"/>
  <c r="N648" i="20" s="1"/>
  <c r="N649" i="20" s="1"/>
  <c r="N650" i="20" s="1"/>
  <c r="N651" i="20" s="1"/>
  <c r="N652" i="20" s="1"/>
  <c r="N653" i="20" s="1"/>
  <c r="N654" i="20" s="1"/>
  <c r="N655" i="20" s="1"/>
  <c r="N656" i="20" s="1"/>
  <c r="N657" i="20" s="1"/>
  <c r="N658" i="20" s="1"/>
  <c r="N659" i="20" s="1"/>
  <c r="N660" i="20" s="1"/>
  <c r="N661" i="20" s="1"/>
  <c r="N662" i="20" s="1"/>
  <c r="N663" i="20" s="1"/>
  <c r="N664" i="20" s="1"/>
  <c r="N665" i="20" s="1"/>
  <c r="N666" i="20" s="1"/>
  <c r="N667" i="20" s="1"/>
  <c r="N668" i="20" s="1"/>
  <c r="N669" i="20" s="1"/>
  <c r="N670" i="20" s="1"/>
  <c r="N671" i="20" s="1"/>
  <c r="N672" i="20" s="1"/>
  <c r="N673" i="20" s="1"/>
  <c r="N674" i="20" s="1"/>
  <c r="N675" i="20" s="1"/>
  <c r="N676" i="20" s="1"/>
  <c r="N677" i="20" s="1"/>
  <c r="N678" i="20" s="1"/>
  <c r="N679" i="20" s="1"/>
  <c r="N680" i="20" s="1"/>
  <c r="N681" i="20" s="1"/>
  <c r="N682" i="20" s="1"/>
  <c r="N683" i="20" s="1"/>
  <c r="N684" i="20" s="1"/>
  <c r="N685" i="20" s="1"/>
  <c r="N686" i="20" s="1"/>
  <c r="N687" i="20" s="1"/>
  <c r="N688" i="20" s="1"/>
  <c r="N689" i="20" s="1"/>
  <c r="N690" i="20" s="1"/>
  <c r="N691" i="20" s="1"/>
  <c r="N692" i="20" s="1"/>
  <c r="N693" i="20" s="1"/>
  <c r="N694" i="20" s="1"/>
  <c r="N695" i="20" s="1"/>
  <c r="N696" i="20" s="1"/>
  <c r="N697" i="20" s="1"/>
  <c r="N698" i="20" s="1"/>
  <c r="N699" i="20" s="1"/>
  <c r="N700" i="20" s="1"/>
  <c r="N701" i="20" s="1"/>
  <c r="N702" i="20" s="1"/>
  <c r="N703" i="20" s="1"/>
  <c r="N704" i="20" s="1"/>
  <c r="N705" i="20" s="1"/>
  <c r="N706" i="20" s="1"/>
  <c r="N707" i="20" s="1"/>
  <c r="N708" i="20" s="1"/>
  <c r="N709" i="20" s="1"/>
  <c r="N710" i="20" s="1"/>
  <c r="N711" i="20" s="1"/>
  <c r="N712" i="20" s="1"/>
  <c r="N713" i="20" s="1"/>
  <c r="N714" i="20" s="1"/>
  <c r="N715" i="20" s="1"/>
  <c r="N716" i="20" s="1"/>
  <c r="N717" i="20" s="1"/>
  <c r="N718" i="20" s="1"/>
  <c r="N719" i="20" s="1"/>
  <c r="N720" i="20" s="1"/>
  <c r="N721" i="20" s="1"/>
  <c r="N722" i="20" s="1"/>
  <c r="N723" i="20" s="1"/>
  <c r="N724" i="20" s="1"/>
  <c r="N725" i="20" s="1"/>
  <c r="N726" i="20" s="1"/>
  <c r="N727" i="20" s="1"/>
  <c r="N728" i="20" s="1"/>
  <c r="N729" i="20" s="1"/>
  <c r="N730" i="20" s="1"/>
  <c r="N731" i="20" s="1"/>
  <c r="N732" i="20" s="1"/>
  <c r="N733" i="20" s="1"/>
  <c r="N734" i="20" s="1"/>
  <c r="N735" i="20" s="1"/>
  <c r="N736" i="20" s="1"/>
  <c r="N737" i="20" s="1"/>
  <c r="N738" i="20" s="1"/>
  <c r="N739" i="20" s="1"/>
  <c r="N740" i="20" s="1"/>
  <c r="N741" i="20" s="1"/>
  <c r="N742" i="20" s="1"/>
  <c r="N743" i="20" s="1"/>
  <c r="N744" i="20" s="1"/>
  <c r="N745" i="20" s="1"/>
  <c r="N746" i="20" s="1"/>
  <c r="N747" i="20" s="1"/>
  <c r="N748" i="20" s="1"/>
  <c r="N749" i="20" s="1"/>
  <c r="N750" i="20" s="1"/>
  <c r="N751" i="20" s="1"/>
  <c r="N752" i="20" s="1"/>
  <c r="N753" i="20" s="1"/>
  <c r="N754" i="20" s="1"/>
  <c r="N755" i="20" s="1"/>
  <c r="B26" i="20"/>
  <c r="AG26" i="20"/>
  <c r="AG27" i="20" s="1"/>
  <c r="AG28" i="20" s="1"/>
  <c r="AG29" i="20"/>
  <c r="AG30" i="20" s="1"/>
  <c r="AG31" i="20" s="1"/>
  <c r="AG32" i="20" s="1"/>
  <c r="AG33" i="20" s="1"/>
  <c r="AG34" i="20" s="1"/>
  <c r="AG35" i="20" s="1"/>
  <c r="AG36" i="20" s="1"/>
  <c r="AG37" i="20" s="1"/>
  <c r="AG38" i="20" s="1"/>
  <c r="AG39" i="20" s="1"/>
  <c r="AG40" i="20" s="1"/>
  <c r="AG41" i="20" s="1"/>
  <c r="AG42" i="20" s="1"/>
  <c r="AG43" i="20" s="1"/>
  <c r="AG44" i="20" s="1"/>
  <c r="AG45" i="20" s="1"/>
  <c r="AG46" i="20" s="1"/>
  <c r="AG47" i="20" s="1"/>
  <c r="AG48" i="20" s="1"/>
  <c r="AG49" i="20" s="1"/>
  <c r="C36" i="20"/>
  <c r="D36" i="20"/>
  <c r="D48" i="20" s="1"/>
  <c r="D60" i="20" s="1"/>
  <c r="D72" i="20" s="1"/>
  <c r="D84" i="20" s="1"/>
  <c r="D96" i="20" s="1"/>
  <c r="D108" i="20" s="1"/>
  <c r="D120" i="20" s="1"/>
  <c r="D132" i="20" s="1"/>
  <c r="D144" i="20" s="1"/>
  <c r="D156" i="20" s="1"/>
  <c r="D168" i="20"/>
  <c r="D180" i="20" s="1"/>
  <c r="D192" i="20" s="1"/>
  <c r="D204" i="20" s="1"/>
  <c r="D216" i="20" s="1"/>
  <c r="D228" i="20" s="1"/>
  <c r="O36" i="20"/>
  <c r="P36" i="20"/>
  <c r="P48" i="20" s="1"/>
  <c r="P60" i="20"/>
  <c r="C37" i="20"/>
  <c r="C49" i="20" s="1"/>
  <c r="C61" i="20"/>
  <c r="C73" i="20" s="1"/>
  <c r="C85" i="20" s="1"/>
  <c r="C97" i="20" s="1"/>
  <c r="C109" i="20" s="1"/>
  <c r="C121" i="20" s="1"/>
  <c r="C133" i="20" s="1"/>
  <c r="C145" i="20" s="1"/>
  <c r="C157" i="20" s="1"/>
  <c r="C169" i="20" s="1"/>
  <c r="C181" i="20" s="1"/>
  <c r="C193" i="20" s="1"/>
  <c r="C205" i="20" s="1"/>
  <c r="C217" i="20" s="1"/>
  <c r="C229" i="20" s="1"/>
  <c r="C241" i="20" s="1"/>
  <c r="C253" i="20" s="1"/>
  <c r="C265" i="20" s="1"/>
  <c r="C277" i="20" s="1"/>
  <c r="C289" i="20" s="1"/>
  <c r="C301" i="20" s="1"/>
  <c r="C313" i="20" s="1"/>
  <c r="C325" i="20" s="1"/>
  <c r="C337" i="20" s="1"/>
  <c r="C349" i="20" s="1"/>
  <c r="C361" i="20" s="1"/>
  <c r="C373" i="20" s="1"/>
  <c r="C385" i="20" s="1"/>
  <c r="C397" i="20" s="1"/>
  <c r="C409" i="20" s="1"/>
  <c r="C421" i="20" s="1"/>
  <c r="C433" i="20" s="1"/>
  <c r="C445" i="20" s="1"/>
  <c r="C457" i="20" s="1"/>
  <c r="C469" i="20" s="1"/>
  <c r="C481" i="20" s="1"/>
  <c r="C493" i="20" s="1"/>
  <c r="C505" i="20" s="1"/>
  <c r="C517" i="20" s="1"/>
  <c r="C529" i="20"/>
  <c r="C541" i="20" s="1"/>
  <c r="C553" i="20" s="1"/>
  <c r="C565" i="20" s="1"/>
  <c r="C577" i="20" s="1"/>
  <c r="D37" i="20"/>
  <c r="D49" i="20"/>
  <c r="D61" i="20" s="1"/>
  <c r="D73" i="20" s="1"/>
  <c r="D85" i="20" s="1"/>
  <c r="D97" i="20" s="1"/>
  <c r="D109" i="20" s="1"/>
  <c r="D121" i="20" s="1"/>
  <c r="D133" i="20" s="1"/>
  <c r="O37" i="20"/>
  <c r="P37" i="20"/>
  <c r="P49" i="20" s="1"/>
  <c r="P61" i="20" s="1"/>
  <c r="P73" i="20" s="1"/>
  <c r="P85" i="20" s="1"/>
  <c r="C38" i="20"/>
  <c r="C50" i="20"/>
  <c r="C62" i="20" s="1"/>
  <c r="C74" i="20" s="1"/>
  <c r="C86" i="20"/>
  <c r="C98" i="20" s="1"/>
  <c r="C110" i="20" s="1"/>
  <c r="C122" i="20" s="1"/>
  <c r="C134" i="20" s="1"/>
  <c r="C146" i="20" s="1"/>
  <c r="C158" i="20" s="1"/>
  <c r="D38" i="20"/>
  <c r="O38" i="20"/>
  <c r="O50" i="20"/>
  <c r="O62" i="20" s="1"/>
  <c r="O74" i="20" s="1"/>
  <c r="O86" i="20"/>
  <c r="O98" i="20" s="1"/>
  <c r="P38" i="20"/>
  <c r="C39" i="20"/>
  <c r="D39" i="20"/>
  <c r="O39" i="20"/>
  <c r="P39" i="20"/>
  <c r="C40" i="20"/>
  <c r="D40" i="20"/>
  <c r="D52" i="20"/>
  <c r="D64" i="20" s="1"/>
  <c r="D76" i="20" s="1"/>
  <c r="D88" i="20" s="1"/>
  <c r="D100" i="20" s="1"/>
  <c r="O40" i="20"/>
  <c r="O52" i="20"/>
  <c r="O64" i="20" s="1"/>
  <c r="O76" i="20" s="1"/>
  <c r="O88" i="20"/>
  <c r="O100" i="20" s="1"/>
  <c r="O112" i="20" s="1"/>
  <c r="O124" i="20"/>
  <c r="O136" i="20" s="1"/>
  <c r="O148" i="20" s="1"/>
  <c r="O160" i="20" s="1"/>
  <c r="O172" i="20" s="1"/>
  <c r="O184" i="20" s="1"/>
  <c r="O196" i="20" s="1"/>
  <c r="O208" i="20" s="1"/>
  <c r="O220" i="20" s="1"/>
  <c r="O232" i="20" s="1"/>
  <c r="O244" i="20" s="1"/>
  <c r="O256" i="20" s="1"/>
  <c r="O268" i="20" s="1"/>
  <c r="O280" i="20" s="1"/>
  <c r="O292" i="20" s="1"/>
  <c r="O304" i="20" s="1"/>
  <c r="O316" i="20" s="1"/>
  <c r="O328" i="20" s="1"/>
  <c r="O340" i="20" s="1"/>
  <c r="O352" i="20" s="1"/>
  <c r="O364" i="20" s="1"/>
  <c r="O376" i="20" s="1"/>
  <c r="O388" i="20" s="1"/>
  <c r="O400" i="20" s="1"/>
  <c r="O412" i="20" s="1"/>
  <c r="O424" i="20" s="1"/>
  <c r="O436" i="20" s="1"/>
  <c r="O448" i="20" s="1"/>
  <c r="O460" i="20" s="1"/>
  <c r="O472" i="20" s="1"/>
  <c r="P40" i="20"/>
  <c r="P52" i="20" s="1"/>
  <c r="C41" i="20"/>
  <c r="D41" i="20"/>
  <c r="D53" i="20" s="1"/>
  <c r="D65" i="20" s="1"/>
  <c r="D77" i="20" s="1"/>
  <c r="D89" i="20" s="1"/>
  <c r="O41" i="20"/>
  <c r="O53" i="20"/>
  <c r="O65" i="20" s="1"/>
  <c r="O77" i="20" s="1"/>
  <c r="O89" i="20" s="1"/>
  <c r="O101" i="20" s="1"/>
  <c r="O113" i="20" s="1"/>
  <c r="O125" i="20" s="1"/>
  <c r="O137" i="20" s="1"/>
  <c r="O149" i="20" s="1"/>
  <c r="O161" i="20" s="1"/>
  <c r="O173" i="20" s="1"/>
  <c r="O185" i="20" s="1"/>
  <c r="O197" i="20" s="1"/>
  <c r="O209" i="20" s="1"/>
  <c r="O221" i="20" s="1"/>
  <c r="O233" i="20" s="1"/>
  <c r="O245" i="20" s="1"/>
  <c r="O257" i="20" s="1"/>
  <c r="O269" i="20" s="1"/>
  <c r="O281" i="20" s="1"/>
  <c r="O293" i="20" s="1"/>
  <c r="O305" i="20" s="1"/>
  <c r="O317" i="20" s="1"/>
  <c r="O329" i="20" s="1"/>
  <c r="O341" i="20" s="1"/>
  <c r="O353" i="20" s="1"/>
  <c r="O365" i="20" s="1"/>
  <c r="O377" i="20"/>
  <c r="O389" i="20" s="1"/>
  <c r="O401" i="20" s="1"/>
  <c r="O413" i="20" s="1"/>
  <c r="P41" i="20"/>
  <c r="C42" i="20"/>
  <c r="C54" i="20"/>
  <c r="D42" i="20"/>
  <c r="O42" i="20"/>
  <c r="O54" i="20"/>
  <c r="O66" i="20" s="1"/>
  <c r="O78" i="20" s="1"/>
  <c r="O90" i="20" s="1"/>
  <c r="O102" i="20" s="1"/>
  <c r="O114" i="20" s="1"/>
  <c r="O126" i="20" s="1"/>
  <c r="O138" i="20" s="1"/>
  <c r="O150" i="20" s="1"/>
  <c r="O162" i="20"/>
  <c r="O174" i="20" s="1"/>
  <c r="O186" i="20" s="1"/>
  <c r="O198" i="20" s="1"/>
  <c r="O210" i="20" s="1"/>
  <c r="P42" i="20"/>
  <c r="V42" i="20"/>
  <c r="V43" i="20" s="1"/>
  <c r="V44" i="20" s="1"/>
  <c r="V45" i="20" s="1"/>
  <c r="V46" i="20" s="1"/>
  <c r="V47" i="20" s="1"/>
  <c r="V48" i="20"/>
  <c r="V49" i="20" s="1"/>
  <c r="V50" i="20" s="1"/>
  <c r="V51" i="20" s="1"/>
  <c r="V52" i="20" s="1"/>
  <c r="V53" i="20" s="1"/>
  <c r="V54" i="20" s="1"/>
  <c r="V55" i="20" s="1"/>
  <c r="V56" i="20" s="1"/>
  <c r="V57" i="20" s="1"/>
  <c r="V58" i="20" s="1"/>
  <c r="V59" i="20" s="1"/>
  <c r="V60" i="20" s="1"/>
  <c r="V61" i="20" s="1"/>
  <c r="V62" i="20" s="1"/>
  <c r="C43" i="20"/>
  <c r="D43" i="20"/>
  <c r="O43" i="20"/>
  <c r="P43" i="20"/>
  <c r="P55" i="20" s="1"/>
  <c r="P67" i="20" s="1"/>
  <c r="P79" i="20" s="1"/>
  <c r="P91" i="20" s="1"/>
  <c r="P103" i="20" s="1"/>
  <c r="P115" i="20" s="1"/>
  <c r="P127" i="20" s="1"/>
  <c r="P139" i="20" s="1"/>
  <c r="P151" i="20" s="1"/>
  <c r="P163" i="20" s="1"/>
  <c r="P175" i="20" s="1"/>
  <c r="P187" i="20" s="1"/>
  <c r="P199" i="20" s="1"/>
  <c r="P211" i="20" s="1"/>
  <c r="P223" i="20" s="1"/>
  <c r="P235" i="20"/>
  <c r="P247" i="20" s="1"/>
  <c r="P259" i="20" s="1"/>
  <c r="P271" i="20" s="1"/>
  <c r="P283" i="20" s="1"/>
  <c r="P295" i="20" s="1"/>
  <c r="P307" i="20" s="1"/>
  <c r="P319" i="20" s="1"/>
  <c r="P331" i="20" s="1"/>
  <c r="P343" i="20" s="1"/>
  <c r="P355" i="20" s="1"/>
  <c r="P367" i="20" s="1"/>
  <c r="P379" i="20" s="1"/>
  <c r="P391" i="20" s="1"/>
  <c r="P403" i="20" s="1"/>
  <c r="V63" i="20"/>
  <c r="V64" i="20" s="1"/>
  <c r="V65" i="20" s="1"/>
  <c r="V66" i="20" s="1"/>
  <c r="V67" i="20" s="1"/>
  <c r="V68" i="20" s="1"/>
  <c r="V69" i="20" s="1"/>
  <c r="V70" i="20" s="1"/>
  <c r="V71" i="20" s="1"/>
  <c r="V72" i="20" s="1"/>
  <c r="V73" i="20" s="1"/>
  <c r="V74" i="20" s="1"/>
  <c r="V75" i="20" s="1"/>
  <c r="V76" i="20" s="1"/>
  <c r="V77" i="20" s="1"/>
  <c r="V78" i="20" s="1"/>
  <c r="V79" i="20" s="1"/>
  <c r="V80" i="20" s="1"/>
  <c r="V81" i="20" s="1"/>
  <c r="V82" i="20" s="1"/>
  <c r="V83" i="20" s="1"/>
  <c r="V84" i="20" s="1"/>
  <c r="V85" i="20" s="1"/>
  <c r="V86" i="20" s="1"/>
  <c r="V87" i="20" s="1"/>
  <c r="V88" i="20" s="1"/>
  <c r="V89" i="20" s="1"/>
  <c r="V90" i="20" s="1"/>
  <c r="V91" i="20" s="1"/>
  <c r="V92" i="20" s="1"/>
  <c r="V93" i="20" s="1"/>
  <c r="V94" i="20" s="1"/>
  <c r="V95" i="20" s="1"/>
  <c r="V96" i="20" s="1"/>
  <c r="V97" i="20" s="1"/>
  <c r="V98" i="20" s="1"/>
  <c r="V99" i="20" s="1"/>
  <c r="V100" i="20" s="1"/>
  <c r="V101" i="20" s="1"/>
  <c r="V102" i="20" s="1"/>
  <c r="V103" i="20" s="1"/>
  <c r="V104" i="20" s="1"/>
  <c r="V105" i="20" s="1"/>
  <c r="V106" i="20" s="1"/>
  <c r="V107" i="20" s="1"/>
  <c r="V108" i="20" s="1"/>
  <c r="V109" i="20" s="1"/>
  <c r="V110" i="20" s="1"/>
  <c r="V111" i="20" s="1"/>
  <c r="V112" i="20" s="1"/>
  <c r="V113" i="20" s="1"/>
  <c r="V114" i="20" s="1"/>
  <c r="V115" i="20" s="1"/>
  <c r="V116" i="20" s="1"/>
  <c r="V117" i="20" s="1"/>
  <c r="V118" i="20" s="1"/>
  <c r="V119" i="20" s="1"/>
  <c r="V120" i="20" s="1"/>
  <c r="V121" i="20" s="1"/>
  <c r="V122" i="20" s="1"/>
  <c r="V123" i="20" s="1"/>
  <c r="V124" i="20" s="1"/>
  <c r="V125" i="20" s="1"/>
  <c r="V126" i="20" s="1"/>
  <c r="V127" i="20" s="1"/>
  <c r="V128" i="20" s="1"/>
  <c r="V129" i="20" s="1"/>
  <c r="V130" i="20" s="1"/>
  <c r="V131" i="20" s="1"/>
  <c r="V132" i="20" s="1"/>
  <c r="V133" i="20" s="1"/>
  <c r="V134" i="20" s="1"/>
  <c r="V135" i="20" s="1"/>
  <c r="V136" i="20" s="1"/>
  <c r="V137" i="20" s="1"/>
  <c r="V138" i="20" s="1"/>
  <c r="V139" i="20" s="1"/>
  <c r="V140" i="20" s="1"/>
  <c r="V141" i="20" s="1"/>
  <c r="V142" i="20" s="1"/>
  <c r="V143" i="20" s="1"/>
  <c r="V144" i="20" s="1"/>
  <c r="V145" i="20" s="1"/>
  <c r="V146" i="20" s="1"/>
  <c r="V147" i="20" s="1"/>
  <c r="V148" i="20" s="1"/>
  <c r="V149" i="20" s="1"/>
  <c r="V150" i="20" s="1"/>
  <c r="V151" i="20" s="1"/>
  <c r="V152" i="20" s="1"/>
  <c r="V153" i="20" s="1"/>
  <c r="V154" i="20" s="1"/>
  <c r="V155" i="20" s="1"/>
  <c r="V156" i="20" s="1"/>
  <c r="V157" i="20" s="1"/>
  <c r="V158" i="20" s="1"/>
  <c r="V159" i="20" s="1"/>
  <c r="V160" i="20" s="1"/>
  <c r="V161" i="20" s="1"/>
  <c r="V162" i="20" s="1"/>
  <c r="V163" i="20" s="1"/>
  <c r="V164" i="20" s="1"/>
  <c r="V165" i="20" s="1"/>
  <c r="V166" i="20" s="1"/>
  <c r="V167" i="20" s="1"/>
  <c r="V168" i="20" s="1"/>
  <c r="V169" i="20" s="1"/>
  <c r="V170" i="20" s="1"/>
  <c r="V171" i="20" s="1"/>
  <c r="V172" i="20" s="1"/>
  <c r="V173" i="20" s="1"/>
  <c r="V174" i="20" s="1"/>
  <c r="V175" i="20" s="1"/>
  <c r="V176" i="20" s="1"/>
  <c r="V177" i="20" s="1"/>
  <c r="V178" i="20" s="1"/>
  <c r="V179" i="20" s="1"/>
  <c r="V180" i="20" s="1"/>
  <c r="V181" i="20" s="1"/>
  <c r="V182" i="20" s="1"/>
  <c r="V183" i="20" s="1"/>
  <c r="V184" i="20" s="1"/>
  <c r="V185" i="20" s="1"/>
  <c r="V186" i="20" s="1"/>
  <c r="V187" i="20" s="1"/>
  <c r="V188" i="20" s="1"/>
  <c r="V189" i="20" s="1"/>
  <c r="V190" i="20" s="1"/>
  <c r="V191" i="20" s="1"/>
  <c r="V192" i="20" s="1"/>
  <c r="V193" i="20" s="1"/>
  <c r="V194" i="20" s="1"/>
  <c r="V195" i="20" s="1"/>
  <c r="V196" i="20" s="1"/>
  <c r="V197" i="20" s="1"/>
  <c r="V198" i="20" s="1"/>
  <c r="V199" i="20" s="1"/>
  <c r="V200" i="20" s="1"/>
  <c r="V201" i="20" s="1"/>
  <c r="V202" i="20" s="1"/>
  <c r="V203" i="20" s="1"/>
  <c r="V204" i="20" s="1"/>
  <c r="V205" i="20" s="1"/>
  <c r="V206" i="20" s="1"/>
  <c r="V207" i="20" s="1"/>
  <c r="V208" i="20" s="1"/>
  <c r="V209" i="20" s="1"/>
  <c r="V210" i="20" s="1"/>
  <c r="V211" i="20" s="1"/>
  <c r="V212" i="20" s="1"/>
  <c r="V213" i="20" s="1"/>
  <c r="V214" i="20" s="1"/>
  <c r="V215" i="20" s="1"/>
  <c r="V216" i="20" s="1"/>
  <c r="V217" i="20" s="1"/>
  <c r="V218" i="20" s="1"/>
  <c r="V219" i="20" s="1"/>
  <c r="V220" i="20" s="1"/>
  <c r="V221" i="20" s="1"/>
  <c r="V222" i="20" s="1"/>
  <c r="V223" i="20" s="1"/>
  <c r="V224" i="20" s="1"/>
  <c r="V225" i="20" s="1"/>
  <c r="V226" i="20" s="1"/>
  <c r="V227" i="20" s="1"/>
  <c r="V228" i="20" s="1"/>
  <c r="V229" i="20" s="1"/>
  <c r="V230" i="20" s="1"/>
  <c r="V231" i="20" s="1"/>
  <c r="V232" i="20" s="1"/>
  <c r="V233" i="20" s="1"/>
  <c r="V234" i="20" s="1"/>
  <c r="V235" i="20" s="1"/>
  <c r="V236" i="20" s="1"/>
  <c r="V237" i="20" s="1"/>
  <c r="V238" i="20" s="1"/>
  <c r="V239" i="20" s="1"/>
  <c r="V240" i="20" s="1"/>
  <c r="V241" i="20" s="1"/>
  <c r="V242" i="20" s="1"/>
  <c r="V243" i="20" s="1"/>
  <c r="V244" i="20" s="1"/>
  <c r="V245" i="20" s="1"/>
  <c r="V246" i="20" s="1"/>
  <c r="V247" i="20" s="1"/>
  <c r="V248" i="20" s="1"/>
  <c r="V249" i="20" s="1"/>
  <c r="V250" i="20" s="1"/>
  <c r="V251" i="20" s="1"/>
  <c r="V252" i="20" s="1"/>
  <c r="V253" i="20" s="1"/>
  <c r="V254" i="20" s="1"/>
  <c r="V255" i="20" s="1"/>
  <c r="V256" i="20" s="1"/>
  <c r="V257" i="20" s="1"/>
  <c r="V258" i="20" s="1"/>
  <c r="V259" i="20" s="1"/>
  <c r="V260" i="20" s="1"/>
  <c r="V261" i="20" s="1"/>
  <c r="V262" i="20" s="1"/>
  <c r="V263" i="20" s="1"/>
  <c r="V264" i="20" s="1"/>
  <c r="V265" i="20" s="1"/>
  <c r="V266" i="20" s="1"/>
  <c r="V267" i="20" s="1"/>
  <c r="V268" i="20" s="1"/>
  <c r="V269" i="20" s="1"/>
  <c r="V270" i="20" s="1"/>
  <c r="V271" i="20" s="1"/>
  <c r="V272" i="20" s="1"/>
  <c r="V273" i="20" s="1"/>
  <c r="V274" i="20" s="1"/>
  <c r="V275" i="20" s="1"/>
  <c r="V276" i="20" s="1"/>
  <c r="V277" i="20" s="1"/>
  <c r="V278" i="20" s="1"/>
  <c r="V279" i="20" s="1"/>
  <c r="V280" i="20" s="1"/>
  <c r="V281" i="20" s="1"/>
  <c r="V282" i="20" s="1"/>
  <c r="V283" i="20" s="1"/>
  <c r="V284" i="20" s="1"/>
  <c r="V285" i="20" s="1"/>
  <c r="V286" i="20" s="1"/>
  <c r="V287" i="20" s="1"/>
  <c r="V288" i="20" s="1"/>
  <c r="V289" i="20" s="1"/>
  <c r="V290" i="20" s="1"/>
  <c r="V291" i="20" s="1"/>
  <c r="V292" i="20" s="1"/>
  <c r="V293" i="20" s="1"/>
  <c r="V294" i="20" s="1"/>
  <c r="V295" i="20" s="1"/>
  <c r="V296" i="20" s="1"/>
  <c r="V297" i="20" s="1"/>
  <c r="V298" i="20" s="1"/>
  <c r="V299" i="20" s="1"/>
  <c r="V300" i="20" s="1"/>
  <c r="V301" i="20" s="1"/>
  <c r="V302" i="20" s="1"/>
  <c r="V303" i="20" s="1"/>
  <c r="V304" i="20" s="1"/>
  <c r="V305" i="20" s="1"/>
  <c r="V306" i="20" s="1"/>
  <c r="V307" i="20" s="1"/>
  <c r="V308" i="20" s="1"/>
  <c r="V309" i="20" s="1"/>
  <c r="V310" i="20" s="1"/>
  <c r="V311" i="20" s="1"/>
  <c r="V312" i="20" s="1"/>
  <c r="V313" i="20" s="1"/>
  <c r="V314" i="20" s="1"/>
  <c r="V315" i="20" s="1"/>
  <c r="V316" i="20" s="1"/>
  <c r="V317" i="20" s="1"/>
  <c r="V318" i="20" s="1"/>
  <c r="V319" i="20" s="1"/>
  <c r="V320" i="20" s="1"/>
  <c r="V321" i="20" s="1"/>
  <c r="V322" i="20" s="1"/>
  <c r="V323" i="20" s="1"/>
  <c r="V324" i="20" s="1"/>
  <c r="V325" i="20" s="1"/>
  <c r="V326" i="20" s="1"/>
  <c r="V327" i="20" s="1"/>
  <c r="V328" i="20" s="1"/>
  <c r="V329" i="20" s="1"/>
  <c r="V330" i="20" s="1"/>
  <c r="V331" i="20" s="1"/>
  <c r="V332" i="20" s="1"/>
  <c r="V333" i="20" s="1"/>
  <c r="V334" i="20" s="1"/>
  <c r="V335" i="20" s="1"/>
  <c r="V336" i="20" s="1"/>
  <c r="V337" i="20" s="1"/>
  <c r="V338" i="20" s="1"/>
  <c r="V339" i="20" s="1"/>
  <c r="V340" i="20" s="1"/>
  <c r="V341" i="20" s="1"/>
  <c r="V342" i="20" s="1"/>
  <c r="V343" i="20" s="1"/>
  <c r="V344" i="20" s="1"/>
  <c r="V345" i="20" s="1"/>
  <c r="V346" i="20" s="1"/>
  <c r="V347" i="20" s="1"/>
  <c r="V348" i="20" s="1"/>
  <c r="V349" i="20" s="1"/>
  <c r="V350" i="20" s="1"/>
  <c r="V351" i="20" s="1"/>
  <c r="V352" i="20" s="1"/>
  <c r="V353" i="20" s="1"/>
  <c r="V354" i="20" s="1"/>
  <c r="V355" i="20" s="1"/>
  <c r="V356" i="20" s="1"/>
  <c r="V357" i="20" s="1"/>
  <c r="V358" i="20" s="1"/>
  <c r="V359" i="20" s="1"/>
  <c r="V360" i="20" s="1"/>
  <c r="V361" i="20" s="1"/>
  <c r="V362" i="20" s="1"/>
  <c r="V363" i="20" s="1"/>
  <c r="V364" i="20" s="1"/>
  <c r="V365" i="20" s="1"/>
  <c r="V366" i="20" s="1"/>
  <c r="V367" i="20" s="1"/>
  <c r="V368" i="20" s="1"/>
  <c r="V369" i="20" s="1"/>
  <c r="V370" i="20" s="1"/>
  <c r="V371" i="20" s="1"/>
  <c r="V372" i="20" s="1"/>
  <c r="V373" i="20" s="1"/>
  <c r="V374" i="20" s="1"/>
  <c r="V375" i="20" s="1"/>
  <c r="V376" i="20" s="1"/>
  <c r="V377" i="20" s="1"/>
  <c r="V378" i="20" s="1"/>
  <c r="V379" i="20" s="1"/>
  <c r="V380" i="20" s="1"/>
  <c r="V381" i="20" s="1"/>
  <c r="V382" i="20" s="1"/>
  <c r="V383" i="20" s="1"/>
  <c r="V384" i="20" s="1"/>
  <c r="V385" i="20" s="1"/>
  <c r="V386" i="20" s="1"/>
  <c r="V387" i="20" s="1"/>
  <c r="V388" i="20" s="1"/>
  <c r="V389" i="20" s="1"/>
  <c r="V390" i="20" s="1"/>
  <c r="V391" i="20" s="1"/>
  <c r="V392" i="20" s="1"/>
  <c r="V393" i="20" s="1"/>
  <c r="V394" i="20" s="1"/>
  <c r="V395" i="20" s="1"/>
  <c r="V396" i="20" s="1"/>
  <c r="V397" i="20" s="1"/>
  <c r="V398" i="20" s="1"/>
  <c r="V399" i="20" s="1"/>
  <c r="V400" i="20" s="1"/>
  <c r="V401" i="20" s="1"/>
  <c r="V402" i="20" s="1"/>
  <c r="V403" i="20" s="1"/>
  <c r="V404" i="20" s="1"/>
  <c r="V405" i="20" s="1"/>
  <c r="V406" i="20" s="1"/>
  <c r="V407" i="20" s="1"/>
  <c r="V408" i="20" s="1"/>
  <c r="V409" i="20" s="1"/>
  <c r="V410" i="20" s="1"/>
  <c r="V411" i="20" s="1"/>
  <c r="V412" i="20" s="1"/>
  <c r="V413" i="20" s="1"/>
  <c r="V414" i="20" s="1"/>
  <c r="V415" i="20" s="1"/>
  <c r="V416" i="20" s="1"/>
  <c r="V417" i="20" s="1"/>
  <c r="V418" i="20" s="1"/>
  <c r="V419" i="20" s="1"/>
  <c r="V420" i="20" s="1"/>
  <c r="V421" i="20" s="1"/>
  <c r="V422" i="20" s="1"/>
  <c r="V423" i="20" s="1"/>
  <c r="V424" i="20" s="1"/>
  <c r="V425" i="20" s="1"/>
  <c r="V426" i="20" s="1"/>
  <c r="V427" i="20" s="1"/>
  <c r="V428" i="20" s="1"/>
  <c r="V429" i="20" s="1"/>
  <c r="V430" i="20" s="1"/>
  <c r="V431" i="20" s="1"/>
  <c r="V432" i="20" s="1"/>
  <c r="V433" i="20" s="1"/>
  <c r="V434" i="20" s="1"/>
  <c r="V435" i="20" s="1"/>
  <c r="V436" i="20" s="1"/>
  <c r="V437" i="20" s="1"/>
  <c r="V438" i="20" s="1"/>
  <c r="V439" i="20" s="1"/>
  <c r="V440" i="20" s="1"/>
  <c r="V441" i="20" s="1"/>
  <c r="V442" i="20" s="1"/>
  <c r="V443" i="20" s="1"/>
  <c r="V444" i="20" s="1"/>
  <c r="V445" i="20" s="1"/>
  <c r="V446" i="20" s="1"/>
  <c r="V447" i="20" s="1"/>
  <c r="V448" i="20" s="1"/>
  <c r="V449" i="20" s="1"/>
  <c r="V450" i="20" s="1"/>
  <c r="V451" i="20" s="1"/>
  <c r="V452" i="20" s="1"/>
  <c r="V453" i="20" s="1"/>
  <c r="V454" i="20" s="1"/>
  <c r="V455" i="20" s="1"/>
  <c r="V456" i="20" s="1"/>
  <c r="V457" i="20" s="1"/>
  <c r="V458" i="20" s="1"/>
  <c r="V459" i="20" s="1"/>
  <c r="V460" i="20" s="1"/>
  <c r="V461" i="20" s="1"/>
  <c r="V462" i="20" s="1"/>
  <c r="V463" i="20" s="1"/>
  <c r="V464" i="20" s="1"/>
  <c r="V465" i="20" s="1"/>
  <c r="V466" i="20" s="1"/>
  <c r="V467" i="20" s="1"/>
  <c r="V468" i="20" s="1"/>
  <c r="V469" i="20" s="1"/>
  <c r="V470" i="20" s="1"/>
  <c r="V471" i="20" s="1"/>
  <c r="V472" i="20" s="1"/>
  <c r="V473" i="20" s="1"/>
  <c r="V474" i="20" s="1"/>
  <c r="V475" i="20" s="1"/>
  <c r="V476" i="20" s="1"/>
  <c r="V477" i="20" s="1"/>
  <c r="V478" i="20" s="1"/>
  <c r="V479" i="20" s="1"/>
  <c r="V480" i="20" s="1"/>
  <c r="V481" i="20" s="1"/>
  <c r="V482" i="20" s="1"/>
  <c r="V483" i="20" s="1"/>
  <c r="V484" i="20" s="1"/>
  <c r="V485" i="20" s="1"/>
  <c r="V486" i="20" s="1"/>
  <c r="V487" i="20" s="1"/>
  <c r="V488" i="20" s="1"/>
  <c r="V489" i="20" s="1"/>
  <c r="V490" i="20" s="1"/>
  <c r="V491" i="20" s="1"/>
  <c r="V492" i="20" s="1"/>
  <c r="V493" i="20" s="1"/>
  <c r="V494" i="20" s="1"/>
  <c r="V495" i="20" s="1"/>
  <c r="V496" i="20" s="1"/>
  <c r="V497" i="20" s="1"/>
  <c r="V498" i="20" s="1"/>
  <c r="V499" i="20" s="1"/>
  <c r="V500" i="20" s="1"/>
  <c r="V501" i="20" s="1"/>
  <c r="V502" i="20" s="1"/>
  <c r="V503" i="20" s="1"/>
  <c r="V504" i="20" s="1"/>
  <c r="V505" i="20" s="1"/>
  <c r="V506" i="20" s="1"/>
  <c r="V507" i="20" s="1"/>
  <c r="V508" i="20" s="1"/>
  <c r="V509" i="20" s="1"/>
  <c r="V510" i="20" s="1"/>
  <c r="V511" i="20" s="1"/>
  <c r="V512" i="20" s="1"/>
  <c r="V513" i="20" s="1"/>
  <c r="V514" i="20" s="1"/>
  <c r="V515" i="20" s="1"/>
  <c r="V516" i="20" s="1"/>
  <c r="V517" i="20" s="1"/>
  <c r="V518" i="20" s="1"/>
  <c r="V519" i="20" s="1"/>
  <c r="V520" i="20" s="1"/>
  <c r="V521" i="20" s="1"/>
  <c r="V522" i="20" s="1"/>
  <c r="V523" i="20" s="1"/>
  <c r="V524" i="20" s="1"/>
  <c r="V525" i="20" s="1"/>
  <c r="V526" i="20" s="1"/>
  <c r="V527" i="20" s="1"/>
  <c r="V528" i="20" s="1"/>
  <c r="V529" i="20" s="1"/>
  <c r="V530" i="20" s="1"/>
  <c r="V531" i="20" s="1"/>
  <c r="V532" i="20" s="1"/>
  <c r="V533" i="20" s="1"/>
  <c r="V534" i="20" s="1"/>
  <c r="V535" i="20" s="1"/>
  <c r="V536" i="20" s="1"/>
  <c r="V537" i="20" s="1"/>
  <c r="V538" i="20" s="1"/>
  <c r="V539" i="20" s="1"/>
  <c r="V540" i="20" s="1"/>
  <c r="V541" i="20" s="1"/>
  <c r="V542" i="20" s="1"/>
  <c r="V543" i="20" s="1"/>
  <c r="V544" i="20" s="1"/>
  <c r="V545" i="20" s="1"/>
  <c r="V546" i="20" s="1"/>
  <c r="V547" i="20" s="1"/>
  <c r="V548" i="20" s="1"/>
  <c r="V549" i="20" s="1"/>
  <c r="V550" i="20" s="1"/>
  <c r="V551" i="20" s="1"/>
  <c r="V552" i="20" s="1"/>
  <c r="V553" i="20" s="1"/>
  <c r="V554" i="20" s="1"/>
  <c r="V555" i="20" s="1"/>
  <c r="V556" i="20" s="1"/>
  <c r="V557" i="20" s="1"/>
  <c r="V558" i="20" s="1"/>
  <c r="V559" i="20" s="1"/>
  <c r="V560" i="20" s="1"/>
  <c r="V561" i="20" s="1"/>
  <c r="V562" i="20" s="1"/>
  <c r="V563" i="20" s="1"/>
  <c r="V564" i="20" s="1"/>
  <c r="V565" i="20" s="1"/>
  <c r="V566" i="20" s="1"/>
  <c r="V567" i="20" s="1"/>
  <c r="V568" i="20" s="1"/>
  <c r="V569" i="20" s="1"/>
  <c r="V570" i="20" s="1"/>
  <c r="V571" i="20" s="1"/>
  <c r="V572" i="20" s="1"/>
  <c r="V573" i="20" s="1"/>
  <c r="V574" i="20" s="1"/>
  <c r="V575" i="20" s="1"/>
  <c r="V576" i="20" s="1"/>
  <c r="V577" i="20" s="1"/>
  <c r="V578" i="20" s="1"/>
  <c r="V579" i="20" s="1"/>
  <c r="V580" i="20" s="1"/>
  <c r="V581" i="20" s="1"/>
  <c r="V582" i="20" s="1"/>
  <c r="V583" i="20" s="1"/>
  <c r="V584" i="20" s="1"/>
  <c r="V585" i="20" s="1"/>
  <c r="V586" i="20" s="1"/>
  <c r="V587" i="20" s="1"/>
  <c r="V588" i="20" s="1"/>
  <c r="V589" i="20" s="1"/>
  <c r="V590" i="20" s="1"/>
  <c r="V591" i="20" s="1"/>
  <c r="V592" i="20" s="1"/>
  <c r="V593" i="20" s="1"/>
  <c r="V594" i="20" s="1"/>
  <c r="V595" i="20" s="1"/>
  <c r="V596" i="20" s="1"/>
  <c r="V597" i="20" s="1"/>
  <c r="V598" i="20" s="1"/>
  <c r="V599" i="20" s="1"/>
  <c r="V600" i="20" s="1"/>
  <c r="V601" i="20" s="1"/>
  <c r="V602" i="20" s="1"/>
  <c r="V603" i="20" s="1"/>
  <c r="V604" i="20" s="1"/>
  <c r="V605" i="20" s="1"/>
  <c r="V606" i="20" s="1"/>
  <c r="V607" i="20" s="1"/>
  <c r="V608" i="20" s="1"/>
  <c r="V609" i="20" s="1"/>
  <c r="V610" i="20" s="1"/>
  <c r="V611" i="20" s="1"/>
  <c r="V612" i="20" s="1"/>
  <c r="V613" i="20" s="1"/>
  <c r="V614" i="20" s="1"/>
  <c r="V615" i="20" s="1"/>
  <c r="V616" i="20" s="1"/>
  <c r="V617" i="20" s="1"/>
  <c r="V618" i="20" s="1"/>
  <c r="V619" i="20" s="1"/>
  <c r="V620" i="20" s="1"/>
  <c r="V621" i="20" s="1"/>
  <c r="V622" i="20" s="1"/>
  <c r="V623" i="20" s="1"/>
  <c r="V624" i="20" s="1"/>
  <c r="V625" i="20" s="1"/>
  <c r="V626" i="20" s="1"/>
  <c r="V627" i="20" s="1"/>
  <c r="V628" i="20" s="1"/>
  <c r="V629" i="20" s="1"/>
  <c r="V630" i="20" s="1"/>
  <c r="V631" i="20" s="1"/>
  <c r="V632" i="20" s="1"/>
  <c r="V633" i="20" s="1"/>
  <c r="V634" i="20" s="1"/>
  <c r="V635" i="20" s="1"/>
  <c r="V636" i="20" s="1"/>
  <c r="V637" i="20" s="1"/>
  <c r="V638" i="20" s="1"/>
  <c r="V639" i="20" s="1"/>
  <c r="V640" i="20" s="1"/>
  <c r="V641" i="20" s="1"/>
  <c r="V642" i="20" s="1"/>
  <c r="V643" i="20" s="1"/>
  <c r="V644" i="20" s="1"/>
  <c r="V645" i="20" s="1"/>
  <c r="V646" i="20" s="1"/>
  <c r="V647" i="20" s="1"/>
  <c r="V648" i="20" s="1"/>
  <c r="V649" i="20" s="1"/>
  <c r="V650" i="20" s="1"/>
  <c r="V651" i="20" s="1"/>
  <c r="V652" i="20" s="1"/>
  <c r="V653" i="20" s="1"/>
  <c r="V654" i="20" s="1"/>
  <c r="V655" i="20" s="1"/>
  <c r="V656" i="20" s="1"/>
  <c r="V657" i="20" s="1"/>
  <c r="V658" i="20" s="1"/>
  <c r="V659" i="20" s="1"/>
  <c r="V660" i="20" s="1"/>
  <c r="V661" i="20" s="1"/>
  <c r="V662" i="20" s="1"/>
  <c r="V663" i="20" s="1"/>
  <c r="V664" i="20" s="1"/>
  <c r="V665" i="20" s="1"/>
  <c r="V666" i="20" s="1"/>
  <c r="V667" i="20" s="1"/>
  <c r="V668" i="20" s="1"/>
  <c r="V669" i="20" s="1"/>
  <c r="V670" i="20" s="1"/>
  <c r="V671" i="20" s="1"/>
  <c r="V672" i="20" s="1"/>
  <c r="V673" i="20" s="1"/>
  <c r="V674" i="20" s="1"/>
  <c r="V675" i="20" s="1"/>
  <c r="V676" i="20" s="1"/>
  <c r="V677" i="20" s="1"/>
  <c r="V678" i="20" s="1"/>
  <c r="V679" i="20" s="1"/>
  <c r="V680" i="20" s="1"/>
  <c r="V681" i="20" s="1"/>
  <c r="V682" i="20" s="1"/>
  <c r="V683" i="20" s="1"/>
  <c r="V684" i="20" s="1"/>
  <c r="V685" i="20" s="1"/>
  <c r="V686" i="20" s="1"/>
  <c r="V687" i="20" s="1"/>
  <c r="V688" i="20" s="1"/>
  <c r="V689" i="20" s="1"/>
  <c r="V690" i="20" s="1"/>
  <c r="V691" i="20" s="1"/>
  <c r="V692" i="20" s="1"/>
  <c r="V693" i="20" s="1"/>
  <c r="V694" i="20" s="1"/>
  <c r="V695" i="20" s="1"/>
  <c r="V696" i="20" s="1"/>
  <c r="V697" i="20" s="1"/>
  <c r="V698" i="20" s="1"/>
  <c r="V699" i="20" s="1"/>
  <c r="V700" i="20" s="1"/>
  <c r="V701" i="20" s="1"/>
  <c r="V702" i="20" s="1"/>
  <c r="V703" i="20" s="1"/>
  <c r="V704" i="20" s="1"/>
  <c r="V705" i="20" s="1"/>
  <c r="V706" i="20" s="1"/>
  <c r="V707" i="20" s="1"/>
  <c r="V708" i="20" s="1"/>
  <c r="V709" i="20" s="1"/>
  <c r="V710" i="20" s="1"/>
  <c r="V711" i="20" s="1"/>
  <c r="V712" i="20" s="1"/>
  <c r="V713" i="20" s="1"/>
  <c r="V714" i="20" s="1"/>
  <c r="V715" i="20" s="1"/>
  <c r="V716" i="20" s="1"/>
  <c r="V717" i="20" s="1"/>
  <c r="V718" i="20" s="1"/>
  <c r="V719" i="20" s="1"/>
  <c r="V720" i="20" s="1"/>
  <c r="V721" i="20" s="1"/>
  <c r="V722" i="20" s="1"/>
  <c r="V723" i="20" s="1"/>
  <c r="V724" i="20" s="1"/>
  <c r="V725" i="20" s="1"/>
  <c r="V726" i="20" s="1"/>
  <c r="V727" i="20" s="1"/>
  <c r="V728" i="20" s="1"/>
  <c r="V729" i="20" s="1"/>
  <c r="V730" i="20" s="1"/>
  <c r="V731" i="20" s="1"/>
  <c r="V732" i="20" s="1"/>
  <c r="V733" i="20" s="1"/>
  <c r="V734" i="20" s="1"/>
  <c r="V735" i="20" s="1"/>
  <c r="V736" i="20" s="1"/>
  <c r="V737" i="20" s="1"/>
  <c r="V738" i="20" s="1"/>
  <c r="V739" i="20" s="1"/>
  <c r="V740" i="20" s="1"/>
  <c r="V741" i="20" s="1"/>
  <c r="V742" i="20" s="1"/>
  <c r="V743" i="20" s="1"/>
  <c r="V744" i="20" s="1"/>
  <c r="V745" i="20" s="1"/>
  <c r="V746" i="20" s="1"/>
  <c r="V747" i="20" s="1"/>
  <c r="V748" i="20" s="1"/>
  <c r="V749" i="20" s="1"/>
  <c r="V750" i="20" s="1"/>
  <c r="V751" i="20" s="1"/>
  <c r="V752" i="20" s="1"/>
  <c r="V753" i="20" s="1"/>
  <c r="V754" i="20" s="1"/>
  <c r="V755" i="20" s="1"/>
  <c r="C44" i="20"/>
  <c r="C56" i="20"/>
  <c r="C68" i="20" s="1"/>
  <c r="C80" i="20"/>
  <c r="C92" i="20" s="1"/>
  <c r="C104" i="20" s="1"/>
  <c r="C116" i="20" s="1"/>
  <c r="C128" i="20" s="1"/>
  <c r="C140" i="20" s="1"/>
  <c r="C152" i="20" s="1"/>
  <c r="C164" i="20"/>
  <c r="C176" i="20" s="1"/>
  <c r="C188" i="20" s="1"/>
  <c r="C200" i="20" s="1"/>
  <c r="C212" i="20" s="1"/>
  <c r="C224" i="20" s="1"/>
  <c r="C236" i="20" s="1"/>
  <c r="C248" i="20" s="1"/>
  <c r="C260" i="20" s="1"/>
  <c r="C272" i="20" s="1"/>
  <c r="C284" i="20" s="1"/>
  <c r="C296" i="20"/>
  <c r="C308" i="20" s="1"/>
  <c r="C320" i="20" s="1"/>
  <c r="C332" i="20" s="1"/>
  <c r="C344" i="20" s="1"/>
  <c r="C356" i="20" s="1"/>
  <c r="C368" i="20" s="1"/>
  <c r="C380" i="20" s="1"/>
  <c r="C392" i="20" s="1"/>
  <c r="C404" i="20" s="1"/>
  <c r="C416" i="20" s="1"/>
  <c r="C428" i="20" s="1"/>
  <c r="C440" i="20" s="1"/>
  <c r="C452" i="20" s="1"/>
  <c r="C464" i="20" s="1"/>
  <c r="C476" i="20" s="1"/>
  <c r="C488" i="20" s="1"/>
  <c r="C500" i="20" s="1"/>
  <c r="C512" i="20" s="1"/>
  <c r="C524" i="20" s="1"/>
  <c r="C536" i="20" s="1"/>
  <c r="C548" i="20" s="1"/>
  <c r="C560" i="20" s="1"/>
  <c r="C572" i="20" s="1"/>
  <c r="C584" i="20" s="1"/>
  <c r="C596" i="20"/>
  <c r="C608" i="20" s="1"/>
  <c r="C620" i="20" s="1"/>
  <c r="C632" i="20" s="1"/>
  <c r="C644" i="20" s="1"/>
  <c r="C656" i="20" s="1"/>
  <c r="C668" i="20" s="1"/>
  <c r="C680" i="20" s="1"/>
  <c r="C692" i="20" s="1"/>
  <c r="C704" i="20" s="1"/>
  <c r="C716" i="20" s="1"/>
  <c r="C728" i="20" s="1"/>
  <c r="C740" i="20" s="1"/>
  <c r="C752" i="20" s="1"/>
  <c r="D44" i="20"/>
  <c r="O44" i="20"/>
  <c r="P44" i="20"/>
  <c r="P56" i="20"/>
  <c r="P68" i="20"/>
  <c r="P80" i="20" s="1"/>
  <c r="P92" i="20" s="1"/>
  <c r="P104" i="20" s="1"/>
  <c r="P116" i="20" s="1"/>
  <c r="P128" i="20" s="1"/>
  <c r="P140" i="20" s="1"/>
  <c r="P152" i="20" s="1"/>
  <c r="P164" i="20" s="1"/>
  <c r="P176" i="20" s="1"/>
  <c r="P188" i="20" s="1"/>
  <c r="P200" i="20" s="1"/>
  <c r="P212" i="20" s="1"/>
  <c r="P224" i="20" s="1"/>
  <c r="P236" i="20" s="1"/>
  <c r="P248" i="20" s="1"/>
  <c r="P260" i="20" s="1"/>
  <c r="P272" i="20" s="1"/>
  <c r="P284" i="20" s="1"/>
  <c r="P296" i="20" s="1"/>
  <c r="P308" i="20" s="1"/>
  <c r="P320" i="20" s="1"/>
  <c r="P332" i="20" s="1"/>
  <c r="P344" i="20" s="1"/>
  <c r="P356" i="20" s="1"/>
  <c r="P368" i="20" s="1"/>
  <c r="P380" i="20" s="1"/>
  <c r="P392" i="20" s="1"/>
  <c r="P404" i="20" s="1"/>
  <c r="P416" i="20" s="1"/>
  <c r="P428" i="20" s="1"/>
  <c r="P440" i="20" s="1"/>
  <c r="P452" i="20" s="1"/>
  <c r="P464" i="20" s="1"/>
  <c r="P476" i="20" s="1"/>
  <c r="P488" i="20" s="1"/>
  <c r="P500" i="20" s="1"/>
  <c r="P512" i="20" s="1"/>
  <c r="P524" i="20" s="1"/>
  <c r="P536" i="20" s="1"/>
  <c r="P548" i="20" s="1"/>
  <c r="P560" i="20" s="1"/>
  <c r="P572" i="20" s="1"/>
  <c r="P584" i="20" s="1"/>
  <c r="P596" i="20" s="1"/>
  <c r="P608" i="20" s="1"/>
  <c r="P620" i="20" s="1"/>
  <c r="P632" i="20" s="1"/>
  <c r="P644" i="20" s="1"/>
  <c r="P656" i="20" s="1"/>
  <c r="P668" i="20" s="1"/>
  <c r="P680" i="20" s="1"/>
  <c r="P692" i="20" s="1"/>
  <c r="P704" i="20" s="1"/>
  <c r="P716" i="20"/>
  <c r="P728" i="20" s="1"/>
  <c r="P740" i="20" s="1"/>
  <c r="P752" i="20" s="1"/>
  <c r="C45" i="20"/>
  <c r="C57" i="20"/>
  <c r="C69" i="20"/>
  <c r="C81" i="20" s="1"/>
  <c r="C93" i="20" s="1"/>
  <c r="C105" i="20" s="1"/>
  <c r="C117" i="20" s="1"/>
  <c r="C129" i="20" s="1"/>
  <c r="C141" i="20" s="1"/>
  <c r="C153" i="20" s="1"/>
  <c r="C165" i="20" s="1"/>
  <c r="C177" i="20" s="1"/>
  <c r="C189" i="20" s="1"/>
  <c r="C201" i="20" s="1"/>
  <c r="C213" i="20" s="1"/>
  <c r="C225" i="20" s="1"/>
  <c r="C237" i="20" s="1"/>
  <c r="C249" i="20" s="1"/>
  <c r="D45" i="20"/>
  <c r="D57" i="20"/>
  <c r="D69" i="20" s="1"/>
  <c r="D81" i="20" s="1"/>
  <c r="D93" i="20" s="1"/>
  <c r="D105" i="20" s="1"/>
  <c r="D117" i="20"/>
  <c r="D129" i="20" s="1"/>
  <c r="D141" i="20" s="1"/>
  <c r="D153" i="20" s="1"/>
  <c r="D165" i="20" s="1"/>
  <c r="D177" i="20" s="1"/>
  <c r="D189" i="20" s="1"/>
  <c r="D201" i="20" s="1"/>
  <c r="D213" i="20" s="1"/>
  <c r="D225" i="20" s="1"/>
  <c r="D237" i="20" s="1"/>
  <c r="D249" i="20" s="1"/>
  <c r="D261" i="20" s="1"/>
  <c r="D273" i="20" s="1"/>
  <c r="D285" i="20" s="1"/>
  <c r="D297" i="20" s="1"/>
  <c r="D309" i="20" s="1"/>
  <c r="D321" i="20" s="1"/>
  <c r="D333" i="20" s="1"/>
  <c r="D345" i="20" s="1"/>
  <c r="D357" i="20" s="1"/>
  <c r="D369" i="20" s="1"/>
  <c r="D381" i="20" s="1"/>
  <c r="D393" i="20" s="1"/>
  <c r="D405" i="20" s="1"/>
  <c r="D417" i="20" s="1"/>
  <c r="D429" i="20" s="1"/>
  <c r="D441" i="20" s="1"/>
  <c r="D453" i="20" s="1"/>
  <c r="D465" i="20" s="1"/>
  <c r="D477" i="20" s="1"/>
  <c r="D489" i="20" s="1"/>
  <c r="D501" i="20" s="1"/>
  <c r="D513" i="20" s="1"/>
  <c r="D525" i="20" s="1"/>
  <c r="D537" i="20" s="1"/>
  <c r="D549" i="20" s="1"/>
  <c r="D561" i="20" s="1"/>
  <c r="D573" i="20" s="1"/>
  <c r="D585" i="20" s="1"/>
  <c r="D597" i="20" s="1"/>
  <c r="D609" i="20" s="1"/>
  <c r="D621" i="20" s="1"/>
  <c r="D633" i="20" s="1"/>
  <c r="D645" i="20" s="1"/>
  <c r="D657" i="20" s="1"/>
  <c r="D669" i="20" s="1"/>
  <c r="D681" i="20" s="1"/>
  <c r="D693" i="20" s="1"/>
  <c r="D705" i="20" s="1"/>
  <c r="D717" i="20" s="1"/>
  <c r="D729" i="20" s="1"/>
  <c r="D741" i="20" s="1"/>
  <c r="D753" i="20" s="1"/>
  <c r="O45" i="20"/>
  <c r="O57" i="20" s="1"/>
  <c r="O69" i="20" s="1"/>
  <c r="O81" i="20" s="1"/>
  <c r="O93" i="20" s="1"/>
  <c r="O105" i="20" s="1"/>
  <c r="O117" i="20" s="1"/>
  <c r="O129" i="20" s="1"/>
  <c r="O141" i="20" s="1"/>
  <c r="O153" i="20" s="1"/>
  <c r="O165" i="20" s="1"/>
  <c r="O177" i="20" s="1"/>
  <c r="O189" i="20" s="1"/>
  <c r="O201" i="20" s="1"/>
  <c r="O213" i="20" s="1"/>
  <c r="O225" i="20" s="1"/>
  <c r="O237" i="20" s="1"/>
  <c r="O249" i="20" s="1"/>
  <c r="O261" i="20" s="1"/>
  <c r="O273" i="20" s="1"/>
  <c r="O285" i="20" s="1"/>
  <c r="O297" i="20" s="1"/>
  <c r="O309" i="20" s="1"/>
  <c r="O321" i="20" s="1"/>
  <c r="O333" i="20" s="1"/>
  <c r="O345" i="20" s="1"/>
  <c r="O357" i="20" s="1"/>
  <c r="O369" i="20" s="1"/>
  <c r="O381" i="20" s="1"/>
  <c r="O393" i="20" s="1"/>
  <c r="O405" i="20" s="1"/>
  <c r="O417" i="20" s="1"/>
  <c r="O429" i="20" s="1"/>
  <c r="O441" i="20" s="1"/>
  <c r="O453" i="20" s="1"/>
  <c r="O465" i="20" s="1"/>
  <c r="O477" i="20" s="1"/>
  <c r="O489" i="20" s="1"/>
  <c r="O501" i="20" s="1"/>
  <c r="O513" i="20" s="1"/>
  <c r="O525" i="20" s="1"/>
  <c r="O537" i="20" s="1"/>
  <c r="O549" i="20" s="1"/>
  <c r="O561" i="20" s="1"/>
  <c r="O573" i="20" s="1"/>
  <c r="O585" i="20" s="1"/>
  <c r="P45" i="20"/>
  <c r="P57" i="20" s="1"/>
  <c r="P69" i="20" s="1"/>
  <c r="P81" i="20" s="1"/>
  <c r="P93" i="20" s="1"/>
  <c r="P105" i="20"/>
  <c r="P117" i="20"/>
  <c r="P129" i="20" s="1"/>
  <c r="P141" i="20" s="1"/>
  <c r="P153" i="20" s="1"/>
  <c r="P165" i="20" s="1"/>
  <c r="P177" i="20" s="1"/>
  <c r="P189" i="20" s="1"/>
  <c r="P201" i="20" s="1"/>
  <c r="P213" i="20" s="1"/>
  <c r="P225" i="20" s="1"/>
  <c r="P237" i="20" s="1"/>
  <c r="P249" i="20" s="1"/>
  <c r="P261" i="20" s="1"/>
  <c r="P273" i="20" s="1"/>
  <c r="P285" i="20" s="1"/>
  <c r="P297" i="20" s="1"/>
  <c r="P309" i="20" s="1"/>
  <c r="P321" i="20" s="1"/>
  <c r="P333" i="20" s="1"/>
  <c r="P345" i="20" s="1"/>
  <c r="P357" i="20" s="1"/>
  <c r="P369" i="20" s="1"/>
  <c r="P381" i="20" s="1"/>
  <c r="P393" i="20" s="1"/>
  <c r="P405" i="20" s="1"/>
  <c r="P417" i="20" s="1"/>
  <c r="P429" i="20" s="1"/>
  <c r="P441" i="20" s="1"/>
  <c r="P453" i="20" s="1"/>
  <c r="P465" i="20"/>
  <c r="P477" i="20" s="1"/>
  <c r="P489" i="20" s="1"/>
  <c r="P501" i="20" s="1"/>
  <c r="P513" i="20" s="1"/>
  <c r="P525" i="20" s="1"/>
  <c r="P537" i="20" s="1"/>
  <c r="P549" i="20" s="1"/>
  <c r="P561" i="20" s="1"/>
  <c r="P573" i="20" s="1"/>
  <c r="P585" i="20" s="1"/>
  <c r="P597" i="20" s="1"/>
  <c r="P609" i="20" s="1"/>
  <c r="P621" i="20" s="1"/>
  <c r="P633" i="20" s="1"/>
  <c r="P645" i="20" s="1"/>
  <c r="P657" i="20" s="1"/>
  <c r="P669" i="20" s="1"/>
  <c r="P681" i="20" s="1"/>
  <c r="P693" i="20" s="1"/>
  <c r="P705" i="20" s="1"/>
  <c r="P717" i="20" s="1"/>
  <c r="P729" i="20" s="1"/>
  <c r="P741" i="20" s="1"/>
  <c r="P753" i="20" s="1"/>
  <c r="C46" i="20"/>
  <c r="D46" i="20"/>
  <c r="O46" i="20"/>
  <c r="O58" i="20"/>
  <c r="O70" i="20"/>
  <c r="O82" i="20" s="1"/>
  <c r="O94" i="20" s="1"/>
  <c r="O106" i="20" s="1"/>
  <c r="O118" i="20" s="1"/>
  <c r="O130" i="20" s="1"/>
  <c r="O142" i="20" s="1"/>
  <c r="O154" i="20" s="1"/>
  <c r="O166" i="20" s="1"/>
  <c r="O178" i="20" s="1"/>
  <c r="O190" i="20" s="1"/>
  <c r="O202" i="20"/>
  <c r="O214" i="20" s="1"/>
  <c r="O226" i="20" s="1"/>
  <c r="O238" i="20" s="1"/>
  <c r="O250" i="20" s="1"/>
  <c r="O262" i="20" s="1"/>
  <c r="O274" i="20" s="1"/>
  <c r="O286" i="20" s="1"/>
  <c r="O298" i="20" s="1"/>
  <c r="O310" i="20" s="1"/>
  <c r="O322" i="20" s="1"/>
  <c r="O334" i="20" s="1"/>
  <c r="O346" i="20" s="1"/>
  <c r="O358" i="20" s="1"/>
  <c r="O370" i="20" s="1"/>
  <c r="O382" i="20" s="1"/>
  <c r="O394" i="20" s="1"/>
  <c r="O406" i="20" s="1"/>
  <c r="O418" i="20" s="1"/>
  <c r="O430" i="20" s="1"/>
  <c r="O442" i="20" s="1"/>
  <c r="O454" i="20" s="1"/>
  <c r="O466" i="20" s="1"/>
  <c r="O478" i="20" s="1"/>
  <c r="O490" i="20" s="1"/>
  <c r="O502" i="20" s="1"/>
  <c r="O514" i="20" s="1"/>
  <c r="O526" i="20" s="1"/>
  <c r="P46" i="20"/>
  <c r="C47" i="20"/>
  <c r="C59" i="20"/>
  <c r="C71" i="20" s="1"/>
  <c r="C83" i="20" s="1"/>
  <c r="C95" i="20" s="1"/>
  <c r="C107" i="20" s="1"/>
  <c r="C119" i="20" s="1"/>
  <c r="C131" i="20" s="1"/>
  <c r="C143" i="20" s="1"/>
  <c r="C155" i="20" s="1"/>
  <c r="C167" i="20" s="1"/>
  <c r="C179" i="20" s="1"/>
  <c r="C191" i="20" s="1"/>
  <c r="C203" i="20" s="1"/>
  <c r="C215" i="20" s="1"/>
  <c r="C227" i="20" s="1"/>
  <c r="C239" i="20" s="1"/>
  <c r="C251" i="20" s="1"/>
  <c r="C263" i="20" s="1"/>
  <c r="C275" i="20" s="1"/>
  <c r="C287" i="20" s="1"/>
  <c r="C299" i="20" s="1"/>
  <c r="C311" i="20" s="1"/>
  <c r="D47" i="20"/>
  <c r="D59" i="20" s="1"/>
  <c r="D71" i="20" s="1"/>
  <c r="D83" i="20" s="1"/>
  <c r="D95" i="20" s="1"/>
  <c r="D107" i="20"/>
  <c r="D119" i="20" s="1"/>
  <c r="D131" i="20" s="1"/>
  <c r="D143" i="20" s="1"/>
  <c r="D155" i="20" s="1"/>
  <c r="D167" i="20" s="1"/>
  <c r="D179" i="20" s="1"/>
  <c r="D191" i="20"/>
  <c r="D203" i="20" s="1"/>
  <c r="D215" i="20" s="1"/>
  <c r="D227" i="20" s="1"/>
  <c r="D239" i="20" s="1"/>
  <c r="D251" i="20" s="1"/>
  <c r="D263" i="20" s="1"/>
  <c r="O47" i="20"/>
  <c r="P47" i="20"/>
  <c r="P59" i="20"/>
  <c r="P71" i="20" s="1"/>
  <c r="P83" i="20"/>
  <c r="P95" i="20" s="1"/>
  <c r="P107" i="20" s="1"/>
  <c r="P119" i="20" s="1"/>
  <c r="P131" i="20" s="1"/>
  <c r="P143" i="20" s="1"/>
  <c r="P155" i="20" s="1"/>
  <c r="P167" i="20" s="1"/>
  <c r="P179" i="20" s="1"/>
  <c r="P191" i="20" s="1"/>
  <c r="C48" i="20"/>
  <c r="C60" i="20"/>
  <c r="C72" i="20" s="1"/>
  <c r="C84" i="20" s="1"/>
  <c r="C96" i="20" s="1"/>
  <c r="C108" i="20" s="1"/>
  <c r="C120" i="20" s="1"/>
  <c r="C132" i="20" s="1"/>
  <c r="C144" i="20" s="1"/>
  <c r="C156" i="20" s="1"/>
  <c r="C168" i="20" s="1"/>
  <c r="C180" i="20" s="1"/>
  <c r="C192" i="20" s="1"/>
  <c r="C204" i="20" s="1"/>
  <c r="C216" i="20" s="1"/>
  <c r="C228" i="20" s="1"/>
  <c r="C240" i="20" s="1"/>
  <c r="C252" i="20" s="1"/>
  <c r="C264" i="20" s="1"/>
  <c r="C276" i="20" s="1"/>
  <c r="C288" i="20" s="1"/>
  <c r="C300" i="20" s="1"/>
  <c r="C312" i="20" s="1"/>
  <c r="C324" i="20" s="1"/>
  <c r="C336" i="20" s="1"/>
  <c r="C348" i="20" s="1"/>
  <c r="C360" i="20" s="1"/>
  <c r="C372" i="20" s="1"/>
  <c r="C384" i="20" s="1"/>
  <c r="C396" i="20" s="1"/>
  <c r="C408" i="20"/>
  <c r="C420" i="20" s="1"/>
  <c r="C432" i="20" s="1"/>
  <c r="C444" i="20" s="1"/>
  <c r="C456" i="20" s="1"/>
  <c r="C468" i="20" s="1"/>
  <c r="C480" i="20" s="1"/>
  <c r="C492" i="20" s="1"/>
  <c r="C504" i="20" s="1"/>
  <c r="C516" i="20" s="1"/>
  <c r="C528" i="20" s="1"/>
  <c r="C540" i="20" s="1"/>
  <c r="C552" i="20" s="1"/>
  <c r="C564" i="20" s="1"/>
  <c r="C576" i="20" s="1"/>
  <c r="C588" i="20" s="1"/>
  <c r="C600" i="20" s="1"/>
  <c r="C612" i="20" s="1"/>
  <c r="C624" i="20" s="1"/>
  <c r="C636" i="20" s="1"/>
  <c r="C648" i="20" s="1"/>
  <c r="C660" i="20" s="1"/>
  <c r="C672" i="20" s="1"/>
  <c r="C684" i="20" s="1"/>
  <c r="C696" i="20" s="1"/>
  <c r="C708" i="20" s="1"/>
  <c r="C720" i="20" s="1"/>
  <c r="C732" i="20" s="1"/>
  <c r="C744" i="20" s="1"/>
  <c r="O48" i="20"/>
  <c r="P72" i="20"/>
  <c r="P84" i="20"/>
  <c r="P96" i="20" s="1"/>
  <c r="P108" i="20" s="1"/>
  <c r="P120" i="20" s="1"/>
  <c r="P132" i="20" s="1"/>
  <c r="P144" i="20" s="1"/>
  <c r="P156" i="20" s="1"/>
  <c r="P168" i="20" s="1"/>
  <c r="P180" i="20" s="1"/>
  <c r="P192" i="20" s="1"/>
  <c r="P204" i="20" s="1"/>
  <c r="P216" i="20" s="1"/>
  <c r="P228" i="20" s="1"/>
  <c r="P240" i="20" s="1"/>
  <c r="P252" i="20" s="1"/>
  <c r="P264" i="20" s="1"/>
  <c r="P276" i="20" s="1"/>
  <c r="P288" i="20" s="1"/>
  <c r="P300" i="20" s="1"/>
  <c r="P312" i="20" s="1"/>
  <c r="P324" i="20" s="1"/>
  <c r="P336" i="20" s="1"/>
  <c r="P348" i="20" s="1"/>
  <c r="P360" i="20" s="1"/>
  <c r="P372" i="20" s="1"/>
  <c r="P384" i="20" s="1"/>
  <c r="P396" i="20" s="1"/>
  <c r="O49" i="20"/>
  <c r="O61" i="20"/>
  <c r="O73" i="20" s="1"/>
  <c r="O85" i="20" s="1"/>
  <c r="O97" i="20" s="1"/>
  <c r="O109" i="20" s="1"/>
  <c r="O121" i="20"/>
  <c r="O133" i="20" s="1"/>
  <c r="O145" i="20" s="1"/>
  <c r="O157" i="20" s="1"/>
  <c r="O169" i="20" s="1"/>
  <c r="O181" i="20" s="1"/>
  <c r="O193" i="20" s="1"/>
  <c r="O205" i="20"/>
  <c r="O217" i="20" s="1"/>
  <c r="O229" i="20" s="1"/>
  <c r="O241" i="20" s="1"/>
  <c r="O253" i="20" s="1"/>
  <c r="O265" i="20" s="1"/>
  <c r="O277" i="20" s="1"/>
  <c r="O289" i="20" s="1"/>
  <c r="O301" i="20" s="1"/>
  <c r="O313" i="20" s="1"/>
  <c r="O325" i="20" s="1"/>
  <c r="O337" i="20" s="1"/>
  <c r="O349" i="20" s="1"/>
  <c r="O361" i="20" s="1"/>
  <c r="O373" i="20" s="1"/>
  <c r="O385" i="20" s="1"/>
  <c r="O397" i="20" s="1"/>
  <c r="O409" i="20" s="1"/>
  <c r="O421" i="20" s="1"/>
  <c r="O433" i="20" s="1"/>
  <c r="O445" i="20" s="1"/>
  <c r="O457" i="20" s="1"/>
  <c r="O469" i="20" s="1"/>
  <c r="O481" i="20" s="1"/>
  <c r="O493" i="20" s="1"/>
  <c r="O505" i="20" s="1"/>
  <c r="O517" i="20" s="1"/>
  <c r="O529" i="20" s="1"/>
  <c r="O541" i="20" s="1"/>
  <c r="O553" i="20" s="1"/>
  <c r="O565" i="20" s="1"/>
  <c r="O577" i="20" s="1"/>
  <c r="O589" i="20" s="1"/>
  <c r="O601" i="20" s="1"/>
  <c r="O613" i="20" s="1"/>
  <c r="O625" i="20" s="1"/>
  <c r="O637" i="20" s="1"/>
  <c r="O649" i="20" s="1"/>
  <c r="O661" i="20" s="1"/>
  <c r="O673" i="20" s="1"/>
  <c r="O685" i="20" s="1"/>
  <c r="O697" i="20" s="1"/>
  <c r="O709" i="20" s="1"/>
  <c r="O721" i="20" s="1"/>
  <c r="O733" i="20" s="1"/>
  <c r="O745" i="20" s="1"/>
  <c r="D50" i="20"/>
  <c r="D62" i="20"/>
  <c r="D74" i="20"/>
  <c r="D86" i="20" s="1"/>
  <c r="D98" i="20" s="1"/>
  <c r="D110" i="20" s="1"/>
  <c r="D122" i="20" s="1"/>
  <c r="D134" i="20"/>
  <c r="D146" i="20" s="1"/>
  <c r="D158" i="20" s="1"/>
  <c r="D170" i="20" s="1"/>
  <c r="D182" i="20" s="1"/>
  <c r="D194" i="20" s="1"/>
  <c r="D206" i="20" s="1"/>
  <c r="D218" i="20"/>
  <c r="D230" i="20" s="1"/>
  <c r="D242" i="20" s="1"/>
  <c r="D254" i="20" s="1"/>
  <c r="D266" i="20" s="1"/>
  <c r="D278" i="20" s="1"/>
  <c r="D290" i="20" s="1"/>
  <c r="D302" i="20" s="1"/>
  <c r="D314" i="20" s="1"/>
  <c r="D326" i="20" s="1"/>
  <c r="D338" i="20" s="1"/>
  <c r="D350" i="20" s="1"/>
  <c r="D362" i="20" s="1"/>
  <c r="D374" i="20" s="1"/>
  <c r="D386" i="20" s="1"/>
  <c r="D398" i="20" s="1"/>
  <c r="D410" i="20" s="1"/>
  <c r="D422" i="20" s="1"/>
  <c r="D434" i="20" s="1"/>
  <c r="D446" i="20" s="1"/>
  <c r="P50" i="20"/>
  <c r="P62" i="20"/>
  <c r="P74" i="20" s="1"/>
  <c r="P86" i="20"/>
  <c r="P98" i="20" s="1"/>
  <c r="P110" i="20" s="1"/>
  <c r="P122" i="20" s="1"/>
  <c r="P134" i="20" s="1"/>
  <c r="P146" i="20" s="1"/>
  <c r="P158" i="20" s="1"/>
  <c r="P170" i="20"/>
  <c r="P182" i="20" s="1"/>
  <c r="P194" i="20" s="1"/>
  <c r="P206" i="20" s="1"/>
  <c r="P218" i="20" s="1"/>
  <c r="P230" i="20" s="1"/>
  <c r="P242" i="20" s="1"/>
  <c r="P254" i="20" s="1"/>
  <c r="P266" i="20" s="1"/>
  <c r="P278" i="20" s="1"/>
  <c r="P290" i="20" s="1"/>
  <c r="P302" i="20" s="1"/>
  <c r="P314" i="20" s="1"/>
  <c r="P326" i="20" s="1"/>
  <c r="P338" i="20" s="1"/>
  <c r="P350" i="20" s="1"/>
  <c r="P362" i="20" s="1"/>
  <c r="P374" i="20" s="1"/>
  <c r="P386" i="20" s="1"/>
  <c r="P398" i="20" s="1"/>
  <c r="P410" i="20" s="1"/>
  <c r="P422" i="20" s="1"/>
  <c r="P434" i="20" s="1"/>
  <c r="P446" i="20" s="1"/>
  <c r="P458" i="20" s="1"/>
  <c r="P470" i="20" s="1"/>
  <c r="P482" i="20" s="1"/>
  <c r="P494" i="20" s="1"/>
  <c r="P506" i="20" s="1"/>
  <c r="P518" i="20" s="1"/>
  <c r="P530" i="20" s="1"/>
  <c r="P542" i="20" s="1"/>
  <c r="P554" i="20" s="1"/>
  <c r="P566" i="20" s="1"/>
  <c r="P578" i="20" s="1"/>
  <c r="P590" i="20" s="1"/>
  <c r="C51" i="20"/>
  <c r="C63" i="20"/>
  <c r="C75" i="20" s="1"/>
  <c r="C87" i="20"/>
  <c r="C99" i="20" s="1"/>
  <c r="C111" i="20" s="1"/>
  <c r="C123" i="20" s="1"/>
  <c r="C135" i="20" s="1"/>
  <c r="C147" i="20" s="1"/>
  <c r="C159" i="20" s="1"/>
  <c r="C171" i="20" s="1"/>
  <c r="C183" i="20" s="1"/>
  <c r="C195" i="20" s="1"/>
  <c r="C207" i="20" s="1"/>
  <c r="C219" i="20" s="1"/>
  <c r="C231" i="20" s="1"/>
  <c r="C243" i="20" s="1"/>
  <c r="C255" i="20" s="1"/>
  <c r="C267" i="20" s="1"/>
  <c r="C279" i="20" s="1"/>
  <c r="D51" i="20"/>
  <c r="D63" i="20" s="1"/>
  <c r="D75" i="20" s="1"/>
  <c r="D87" i="20" s="1"/>
  <c r="D99" i="20" s="1"/>
  <c r="O51" i="20"/>
  <c r="O63" i="20" s="1"/>
  <c r="O75" i="20" s="1"/>
  <c r="O87" i="20" s="1"/>
  <c r="O99" i="20" s="1"/>
  <c r="O111" i="20" s="1"/>
  <c r="O123" i="20" s="1"/>
  <c r="O135" i="20" s="1"/>
  <c r="O147" i="20" s="1"/>
  <c r="O159" i="20" s="1"/>
  <c r="O171" i="20" s="1"/>
  <c r="O183" i="20" s="1"/>
  <c r="O195" i="20" s="1"/>
  <c r="O207" i="20" s="1"/>
  <c r="O219" i="20" s="1"/>
  <c r="O231" i="20" s="1"/>
  <c r="O243" i="20" s="1"/>
  <c r="O255" i="20" s="1"/>
  <c r="O267" i="20" s="1"/>
  <c r="O279" i="20" s="1"/>
  <c r="O291" i="20" s="1"/>
  <c r="O303" i="20" s="1"/>
  <c r="O315" i="20" s="1"/>
  <c r="O327" i="20" s="1"/>
  <c r="O339" i="20" s="1"/>
  <c r="O351" i="20" s="1"/>
  <c r="O363" i="20" s="1"/>
  <c r="O375" i="20" s="1"/>
  <c r="O387" i="20" s="1"/>
  <c r="O399" i="20" s="1"/>
  <c r="O411" i="20" s="1"/>
  <c r="O423" i="20" s="1"/>
  <c r="O435" i="20" s="1"/>
  <c r="O447" i="20" s="1"/>
  <c r="O459" i="20" s="1"/>
  <c r="O471" i="20" s="1"/>
  <c r="O483" i="20" s="1"/>
  <c r="O495" i="20" s="1"/>
  <c r="O507" i="20" s="1"/>
  <c r="O519" i="20" s="1"/>
  <c r="O531" i="20" s="1"/>
  <c r="O543" i="20" s="1"/>
  <c r="O555" i="20" s="1"/>
  <c r="O567" i="20" s="1"/>
  <c r="O579" i="20" s="1"/>
  <c r="O591" i="20" s="1"/>
  <c r="O603" i="20" s="1"/>
  <c r="O615" i="20" s="1"/>
  <c r="O627" i="20" s="1"/>
  <c r="O639" i="20" s="1"/>
  <c r="O651" i="20" s="1"/>
  <c r="O663" i="20" s="1"/>
  <c r="O675" i="20" s="1"/>
  <c r="O687" i="20" s="1"/>
  <c r="O699" i="20" s="1"/>
  <c r="O711" i="20" s="1"/>
  <c r="O723" i="20" s="1"/>
  <c r="O735" i="20" s="1"/>
  <c r="O747" i="20" s="1"/>
  <c r="P51" i="20"/>
  <c r="P63" i="20" s="1"/>
  <c r="P75" i="20" s="1"/>
  <c r="C52" i="20"/>
  <c r="C64" i="20" s="1"/>
  <c r="C76" i="20" s="1"/>
  <c r="C88" i="20" s="1"/>
  <c r="C100" i="20" s="1"/>
  <c r="C112" i="20" s="1"/>
  <c r="C124" i="20" s="1"/>
  <c r="C136" i="20" s="1"/>
  <c r="C148" i="20" s="1"/>
  <c r="C160" i="20" s="1"/>
  <c r="C172" i="20"/>
  <c r="C184" i="20" s="1"/>
  <c r="C196" i="20" s="1"/>
  <c r="C208" i="20" s="1"/>
  <c r="C220" i="20" s="1"/>
  <c r="C232" i="20" s="1"/>
  <c r="C244" i="20" s="1"/>
  <c r="C256" i="20" s="1"/>
  <c r="C268" i="20" s="1"/>
  <c r="C280" i="20" s="1"/>
  <c r="C292" i="20" s="1"/>
  <c r="D112" i="20"/>
  <c r="D124" i="20"/>
  <c r="D136" i="20" s="1"/>
  <c r="D148" i="20" s="1"/>
  <c r="D160" i="20" s="1"/>
  <c r="D172" i="20" s="1"/>
  <c r="D184" i="20" s="1"/>
  <c r="D196" i="20" s="1"/>
  <c r="D208" i="20" s="1"/>
  <c r="D220" i="20" s="1"/>
  <c r="D232" i="20" s="1"/>
  <c r="P64" i="20"/>
  <c r="P76" i="20"/>
  <c r="P88" i="20"/>
  <c r="P100" i="20" s="1"/>
  <c r="P112" i="20" s="1"/>
  <c r="P124" i="20" s="1"/>
  <c r="P136" i="20" s="1"/>
  <c r="P148" i="20"/>
  <c r="P160" i="20" s="1"/>
  <c r="P172" i="20" s="1"/>
  <c r="P184" i="20" s="1"/>
  <c r="P196" i="20" s="1"/>
  <c r="P208" i="20" s="1"/>
  <c r="P220" i="20" s="1"/>
  <c r="P232" i="20" s="1"/>
  <c r="C53" i="20"/>
  <c r="C65" i="20"/>
  <c r="D101" i="20"/>
  <c r="D113" i="20" s="1"/>
  <c r="D125" i="20" s="1"/>
  <c r="D137" i="20" s="1"/>
  <c r="D149" i="20" s="1"/>
  <c r="D161" i="20"/>
  <c r="D173" i="20"/>
  <c r="D185" i="20" s="1"/>
  <c r="D197" i="20" s="1"/>
  <c r="D209" i="20" s="1"/>
  <c r="D221" i="20" s="1"/>
  <c r="D233" i="20" s="1"/>
  <c r="D245" i="20" s="1"/>
  <c r="D257" i="20" s="1"/>
  <c r="D269" i="20" s="1"/>
  <c r="P53" i="20"/>
  <c r="P65" i="20" s="1"/>
  <c r="P77" i="20" s="1"/>
  <c r="P89" i="20" s="1"/>
  <c r="P101" i="20" s="1"/>
  <c r="P113" i="20" s="1"/>
  <c r="P125" i="20" s="1"/>
  <c r="P137" i="20" s="1"/>
  <c r="P149" i="20" s="1"/>
  <c r="P161" i="20" s="1"/>
  <c r="P173" i="20" s="1"/>
  <c r="P185" i="20" s="1"/>
  <c r="P197" i="20" s="1"/>
  <c r="P209" i="20" s="1"/>
  <c r="P221" i="20" s="1"/>
  <c r="P233" i="20" s="1"/>
  <c r="P245" i="20" s="1"/>
  <c r="P257" i="20" s="1"/>
  <c r="P269" i="20" s="1"/>
  <c r="P281" i="20" s="1"/>
  <c r="P293" i="20" s="1"/>
  <c r="P305" i="20" s="1"/>
  <c r="P317" i="20" s="1"/>
  <c r="P329" i="20" s="1"/>
  <c r="P341" i="20" s="1"/>
  <c r="P353" i="20" s="1"/>
  <c r="P365" i="20" s="1"/>
  <c r="P377" i="20" s="1"/>
  <c r="P389" i="20" s="1"/>
  <c r="P401" i="20" s="1"/>
  <c r="P413" i="20" s="1"/>
  <c r="P425" i="20" s="1"/>
  <c r="P437" i="20" s="1"/>
  <c r="P449" i="20" s="1"/>
  <c r="P461" i="20" s="1"/>
  <c r="P473" i="20" s="1"/>
  <c r="P485" i="20" s="1"/>
  <c r="P497" i="20" s="1"/>
  <c r="P509" i="20" s="1"/>
  <c r="P521" i="20" s="1"/>
  <c r="P533" i="20" s="1"/>
  <c r="D54" i="20"/>
  <c r="D66" i="20" s="1"/>
  <c r="D78" i="20"/>
  <c r="D90" i="20"/>
  <c r="D102" i="20" s="1"/>
  <c r="D114" i="20" s="1"/>
  <c r="D126" i="20" s="1"/>
  <c r="D138" i="20" s="1"/>
  <c r="D150" i="20" s="1"/>
  <c r="D162" i="20" s="1"/>
  <c r="D174" i="20" s="1"/>
  <c r="D186" i="20" s="1"/>
  <c r="D198" i="20" s="1"/>
  <c r="D210" i="20" s="1"/>
  <c r="D222" i="20"/>
  <c r="D234" i="20" s="1"/>
  <c r="D246" i="20" s="1"/>
  <c r="D258" i="20" s="1"/>
  <c r="D270" i="20" s="1"/>
  <c r="D282" i="20" s="1"/>
  <c r="D294" i="20"/>
  <c r="D306" i="20" s="1"/>
  <c r="D318" i="20" s="1"/>
  <c r="D330" i="20" s="1"/>
  <c r="D342" i="20" s="1"/>
  <c r="D354" i="20" s="1"/>
  <c r="D366" i="20" s="1"/>
  <c r="D378" i="20" s="1"/>
  <c r="D390" i="20" s="1"/>
  <c r="D402" i="20" s="1"/>
  <c r="D414" i="20" s="1"/>
  <c r="D426" i="20" s="1"/>
  <c r="D438" i="20" s="1"/>
  <c r="D450" i="20" s="1"/>
  <c r="D462" i="20" s="1"/>
  <c r="D474" i="20" s="1"/>
  <c r="D486" i="20" s="1"/>
  <c r="D498" i="20" s="1"/>
  <c r="D510" i="20" s="1"/>
  <c r="D522" i="20" s="1"/>
  <c r="D534" i="20" s="1"/>
  <c r="D546" i="20" s="1"/>
  <c r="D558" i="20" s="1"/>
  <c r="D570" i="20" s="1"/>
  <c r="D582" i="20" s="1"/>
  <c r="D594" i="20" s="1"/>
  <c r="D606" i="20" s="1"/>
  <c r="D618" i="20" s="1"/>
  <c r="D630" i="20" s="1"/>
  <c r="P54" i="20"/>
  <c r="P66" i="20"/>
  <c r="P78" i="20" s="1"/>
  <c r="P90" i="20" s="1"/>
  <c r="P102" i="20" s="1"/>
  <c r="P114" i="20" s="1"/>
  <c r="P126" i="20" s="1"/>
  <c r="P138" i="20" s="1"/>
  <c r="P150" i="20" s="1"/>
  <c r="P162" i="20" s="1"/>
  <c r="P174" i="20" s="1"/>
  <c r="P186" i="20" s="1"/>
  <c r="P198" i="20" s="1"/>
  <c r="P210" i="20" s="1"/>
  <c r="P222" i="20" s="1"/>
  <c r="P234" i="20" s="1"/>
  <c r="P246" i="20" s="1"/>
  <c r="P258" i="20" s="1"/>
  <c r="P270" i="20" s="1"/>
  <c r="P282" i="20" s="1"/>
  <c r="P294" i="20" s="1"/>
  <c r="P306" i="20" s="1"/>
  <c r="P318" i="20" s="1"/>
  <c r="P330" i="20" s="1"/>
  <c r="P342" i="20" s="1"/>
  <c r="P354" i="20" s="1"/>
  <c r="P366" i="20" s="1"/>
  <c r="P378" i="20" s="1"/>
  <c r="P390" i="20" s="1"/>
  <c r="P402" i="20" s="1"/>
  <c r="P414" i="20" s="1"/>
  <c r="P426" i="20" s="1"/>
  <c r="P438" i="20" s="1"/>
  <c r="P450" i="20" s="1"/>
  <c r="P462" i="20" s="1"/>
  <c r="P474" i="20" s="1"/>
  <c r="P486" i="20" s="1"/>
  <c r="P498" i="20" s="1"/>
  <c r="P510" i="20" s="1"/>
  <c r="P522" i="20" s="1"/>
  <c r="P534" i="20" s="1"/>
  <c r="C55" i="20"/>
  <c r="C67" i="20"/>
  <c r="C79" i="20" s="1"/>
  <c r="C91" i="20"/>
  <c r="C103" i="20"/>
  <c r="C115" i="20" s="1"/>
  <c r="C127" i="20" s="1"/>
  <c r="C139" i="20" s="1"/>
  <c r="C151" i="20" s="1"/>
  <c r="C163" i="20" s="1"/>
  <c r="C175" i="20" s="1"/>
  <c r="C187" i="20" s="1"/>
  <c r="C199" i="20" s="1"/>
  <c r="C211" i="20" s="1"/>
  <c r="C223" i="20" s="1"/>
  <c r="C235" i="20" s="1"/>
  <c r="C247" i="20" s="1"/>
  <c r="C259" i="20" s="1"/>
  <c r="C271" i="20" s="1"/>
  <c r="C283" i="20" s="1"/>
  <c r="C295" i="20" s="1"/>
  <c r="C307" i="20" s="1"/>
  <c r="C319" i="20" s="1"/>
  <c r="C331" i="20" s="1"/>
  <c r="C343" i="20" s="1"/>
  <c r="C355" i="20" s="1"/>
  <c r="C367" i="20" s="1"/>
  <c r="C379" i="20" s="1"/>
  <c r="C391" i="20" s="1"/>
  <c r="C403" i="20" s="1"/>
  <c r="C415" i="20" s="1"/>
  <c r="C427" i="20" s="1"/>
  <c r="C439" i="20" s="1"/>
  <c r="C451" i="20" s="1"/>
  <c r="C463" i="20" s="1"/>
  <c r="C475" i="20" s="1"/>
  <c r="C487" i="20" s="1"/>
  <c r="C499" i="20" s="1"/>
  <c r="C511" i="20" s="1"/>
  <c r="C523" i="20" s="1"/>
  <c r="C535" i="20" s="1"/>
  <c r="C547" i="20" s="1"/>
  <c r="C559" i="20" s="1"/>
  <c r="C571" i="20" s="1"/>
  <c r="C583" i="20" s="1"/>
  <c r="C595" i="20" s="1"/>
  <c r="C607" i="20" s="1"/>
  <c r="C619" i="20" s="1"/>
  <c r="C631" i="20" s="1"/>
  <c r="C643" i="20" s="1"/>
  <c r="C655" i="20" s="1"/>
  <c r="C667" i="20" s="1"/>
  <c r="C679" i="20" s="1"/>
  <c r="C691" i="20" s="1"/>
  <c r="C703" i="20" s="1"/>
  <c r="C715" i="20" s="1"/>
  <c r="C727" i="20" s="1"/>
  <c r="C739" i="20" s="1"/>
  <c r="C751" i="20" s="1"/>
  <c r="D55" i="20"/>
  <c r="D67" i="20"/>
  <c r="D79" i="20"/>
  <c r="D91" i="20" s="1"/>
  <c r="D103" i="20" s="1"/>
  <c r="D115" i="20" s="1"/>
  <c r="D127" i="20" s="1"/>
  <c r="D139" i="20" s="1"/>
  <c r="D151" i="20" s="1"/>
  <c r="D163" i="20" s="1"/>
  <c r="D175" i="20" s="1"/>
  <c r="D187" i="20" s="1"/>
  <c r="D199" i="20" s="1"/>
  <c r="D211" i="20" s="1"/>
  <c r="D223" i="20" s="1"/>
  <c r="D235" i="20" s="1"/>
  <c r="D247" i="20" s="1"/>
  <c r="D259" i="20" s="1"/>
  <c r="D271" i="20" s="1"/>
  <c r="D283" i="20" s="1"/>
  <c r="D295" i="20" s="1"/>
  <c r="D307" i="20" s="1"/>
  <c r="D319" i="20" s="1"/>
  <c r="D331" i="20" s="1"/>
  <c r="D343" i="20" s="1"/>
  <c r="D355" i="20" s="1"/>
  <c r="D367" i="20" s="1"/>
  <c r="D379" i="20" s="1"/>
  <c r="D391" i="20" s="1"/>
  <c r="D403" i="20" s="1"/>
  <c r="D415" i="20" s="1"/>
  <c r="D427" i="20" s="1"/>
  <c r="D439" i="20" s="1"/>
  <c r="D451" i="20" s="1"/>
  <c r="D463" i="20" s="1"/>
  <c r="D475" i="20" s="1"/>
  <c r="D487" i="20" s="1"/>
  <c r="D499" i="20" s="1"/>
  <c r="D511" i="20" s="1"/>
  <c r="O55" i="20"/>
  <c r="O67" i="20"/>
  <c r="O79" i="20" s="1"/>
  <c r="O91" i="20" s="1"/>
  <c r="O103" i="20"/>
  <c r="O115" i="20" s="1"/>
  <c r="O127" i="20" s="1"/>
  <c r="O139" i="20" s="1"/>
  <c r="O151" i="20" s="1"/>
  <c r="O163" i="20" s="1"/>
  <c r="O175" i="20" s="1"/>
  <c r="O187" i="20" s="1"/>
  <c r="O199" i="20" s="1"/>
  <c r="O211" i="20" s="1"/>
  <c r="O223" i="20" s="1"/>
  <c r="O235" i="20" s="1"/>
  <c r="O247" i="20" s="1"/>
  <c r="O259" i="20" s="1"/>
  <c r="O271" i="20" s="1"/>
  <c r="O283" i="20" s="1"/>
  <c r="O295" i="20" s="1"/>
  <c r="O307" i="20" s="1"/>
  <c r="O319" i="20" s="1"/>
  <c r="O331" i="20" s="1"/>
  <c r="O343" i="20" s="1"/>
  <c r="O355" i="20" s="1"/>
  <c r="O367" i="20" s="1"/>
  <c r="O379" i="20" s="1"/>
  <c r="O391" i="20" s="1"/>
  <c r="O403" i="20" s="1"/>
  <c r="O415" i="20" s="1"/>
  <c r="O427" i="20" s="1"/>
  <c r="O439" i="20" s="1"/>
  <c r="O451" i="20" s="1"/>
  <c r="O463" i="20" s="1"/>
  <c r="O475" i="20" s="1"/>
  <c r="O487" i="20" s="1"/>
  <c r="O499" i="20" s="1"/>
  <c r="O511" i="20" s="1"/>
  <c r="O523" i="20" s="1"/>
  <c r="O535" i="20" s="1"/>
  <c r="O547" i="20" s="1"/>
  <c r="O559" i="20" s="1"/>
  <c r="O571" i="20" s="1"/>
  <c r="O583" i="20" s="1"/>
  <c r="O595" i="20" s="1"/>
  <c r="O607" i="20" s="1"/>
  <c r="O619" i="20" s="1"/>
  <c r="O631" i="20" s="1"/>
  <c r="O643" i="20" s="1"/>
  <c r="O655" i="20" s="1"/>
  <c r="O667" i="20" s="1"/>
  <c r="O679" i="20" s="1"/>
  <c r="O691" i="20" s="1"/>
  <c r="O703" i="20" s="1"/>
  <c r="O715" i="20" s="1"/>
  <c r="O727" i="20" s="1"/>
  <c r="O739" i="20" s="1"/>
  <c r="O751" i="20" s="1"/>
  <c r="D56" i="20"/>
  <c r="D68" i="20"/>
  <c r="D80" i="20" s="1"/>
  <c r="D92" i="20" s="1"/>
  <c r="D104" i="20"/>
  <c r="D116" i="20" s="1"/>
  <c r="D128" i="20" s="1"/>
  <c r="D140" i="20" s="1"/>
  <c r="D152" i="20" s="1"/>
  <c r="D164" i="20" s="1"/>
  <c r="D176" i="20" s="1"/>
  <c r="D188" i="20" s="1"/>
  <c r="D200" i="20" s="1"/>
  <c r="D212" i="20" s="1"/>
  <c r="D224" i="20" s="1"/>
  <c r="D236" i="20" s="1"/>
  <c r="D248" i="20" s="1"/>
  <c r="D260" i="20" s="1"/>
  <c r="D272" i="20" s="1"/>
  <c r="D284" i="20" s="1"/>
  <c r="D296" i="20" s="1"/>
  <c r="D308" i="20" s="1"/>
  <c r="D320" i="20" s="1"/>
  <c r="D332" i="20" s="1"/>
  <c r="D344" i="20" s="1"/>
  <c r="D356" i="20" s="1"/>
  <c r="D368" i="20" s="1"/>
  <c r="D380" i="20" s="1"/>
  <c r="D392" i="20" s="1"/>
  <c r="D404" i="20" s="1"/>
  <c r="D416" i="20" s="1"/>
  <c r="D428" i="20" s="1"/>
  <c r="O56" i="20"/>
  <c r="O68" i="20" s="1"/>
  <c r="O80" i="20" s="1"/>
  <c r="O92" i="20"/>
  <c r="O104" i="20" s="1"/>
  <c r="O116" i="20" s="1"/>
  <c r="O128" i="20" s="1"/>
  <c r="O140" i="20" s="1"/>
  <c r="O152" i="20" s="1"/>
  <c r="O164" i="20"/>
  <c r="O176" i="20" s="1"/>
  <c r="O188" i="20" s="1"/>
  <c r="O200" i="20" s="1"/>
  <c r="O212" i="20" s="1"/>
  <c r="O224" i="20" s="1"/>
  <c r="O236" i="20" s="1"/>
  <c r="O248" i="20" s="1"/>
  <c r="C58" i="20"/>
  <c r="C70" i="20" s="1"/>
  <c r="C82" i="20" s="1"/>
  <c r="C94" i="20" s="1"/>
  <c r="C106" i="20" s="1"/>
  <c r="C118" i="20" s="1"/>
  <c r="C130" i="20" s="1"/>
  <c r="C142" i="20" s="1"/>
  <c r="C154" i="20" s="1"/>
  <c r="C166" i="20" s="1"/>
  <c r="C178" i="20" s="1"/>
  <c r="C190" i="20" s="1"/>
  <c r="C202" i="20" s="1"/>
  <c r="C214" i="20" s="1"/>
  <c r="C226" i="20" s="1"/>
  <c r="C238" i="20" s="1"/>
  <c r="C250" i="20" s="1"/>
  <c r="C262" i="20" s="1"/>
  <c r="C274" i="20" s="1"/>
  <c r="C286" i="20" s="1"/>
  <c r="C298" i="20" s="1"/>
  <c r="C310" i="20" s="1"/>
  <c r="C322" i="20" s="1"/>
  <c r="C334" i="20" s="1"/>
  <c r="C346" i="20" s="1"/>
  <c r="C358" i="20" s="1"/>
  <c r="C370" i="20" s="1"/>
  <c r="C382" i="20" s="1"/>
  <c r="C394" i="20" s="1"/>
  <c r="C406" i="20" s="1"/>
  <c r="C418" i="20" s="1"/>
  <c r="C430" i="20" s="1"/>
  <c r="C442" i="20" s="1"/>
  <c r="C454" i="20" s="1"/>
  <c r="C466" i="20" s="1"/>
  <c r="C478" i="20" s="1"/>
  <c r="C490" i="20" s="1"/>
  <c r="C502" i="20" s="1"/>
  <c r="C514" i="20" s="1"/>
  <c r="C526" i="20" s="1"/>
  <c r="C538" i="20" s="1"/>
  <c r="C550" i="20" s="1"/>
  <c r="C562" i="20" s="1"/>
  <c r="C574" i="20" s="1"/>
  <c r="C586" i="20" s="1"/>
  <c r="C598" i="20" s="1"/>
  <c r="C610" i="20" s="1"/>
  <c r="C622" i="20" s="1"/>
  <c r="C634" i="20" s="1"/>
  <c r="C646" i="20" s="1"/>
  <c r="C658" i="20" s="1"/>
  <c r="C670" i="20" s="1"/>
  <c r="C682" i="20" s="1"/>
  <c r="C694" i="20" s="1"/>
  <c r="C706" i="20" s="1"/>
  <c r="C718" i="20" s="1"/>
  <c r="C730" i="20" s="1"/>
  <c r="C742" i="20" s="1"/>
  <c r="C754" i="20" s="1"/>
  <c r="D58" i="20"/>
  <c r="D70" i="20" s="1"/>
  <c r="D82" i="20" s="1"/>
  <c r="D94" i="20" s="1"/>
  <c r="D106" i="20" s="1"/>
  <c r="D118" i="20" s="1"/>
  <c r="D130" i="20"/>
  <c r="D142" i="20" s="1"/>
  <c r="D154" i="20" s="1"/>
  <c r="D166" i="20" s="1"/>
  <c r="D178" i="20" s="1"/>
  <c r="D190" i="20" s="1"/>
  <c r="D202" i="20" s="1"/>
  <c r="D214" i="20" s="1"/>
  <c r="D226" i="20" s="1"/>
  <c r="D238" i="20" s="1"/>
  <c r="D250" i="20" s="1"/>
  <c r="D262" i="20" s="1"/>
  <c r="D274" i="20" s="1"/>
  <c r="D286" i="20" s="1"/>
  <c r="D298" i="20" s="1"/>
  <c r="D310" i="20" s="1"/>
  <c r="D322" i="20" s="1"/>
  <c r="D334" i="20" s="1"/>
  <c r="D346" i="20" s="1"/>
  <c r="D358" i="20" s="1"/>
  <c r="D370" i="20" s="1"/>
  <c r="D382" i="20" s="1"/>
  <c r="D394" i="20" s="1"/>
  <c r="D406" i="20" s="1"/>
  <c r="D418" i="20" s="1"/>
  <c r="D430" i="20" s="1"/>
  <c r="D442" i="20" s="1"/>
  <c r="D454" i="20" s="1"/>
  <c r="D466" i="20" s="1"/>
  <c r="D478" i="20" s="1"/>
  <c r="D490" i="20" s="1"/>
  <c r="D502" i="20" s="1"/>
  <c r="D514" i="20" s="1"/>
  <c r="D526" i="20" s="1"/>
  <c r="D538" i="20" s="1"/>
  <c r="D550" i="20" s="1"/>
  <c r="D562" i="20" s="1"/>
  <c r="D574" i="20" s="1"/>
  <c r="D586" i="20" s="1"/>
  <c r="D598" i="20" s="1"/>
  <c r="D610" i="20" s="1"/>
  <c r="D622" i="20" s="1"/>
  <c r="D634" i="20" s="1"/>
  <c r="D646" i="20" s="1"/>
  <c r="D658" i="20" s="1"/>
  <c r="D670" i="20" s="1"/>
  <c r="D682" i="20" s="1"/>
  <c r="D694" i="20" s="1"/>
  <c r="D706" i="20" s="1"/>
  <c r="D718" i="20" s="1"/>
  <c r="D730" i="20" s="1"/>
  <c r="D742" i="20" s="1"/>
  <c r="D754" i="20" s="1"/>
  <c r="P58" i="20"/>
  <c r="P70" i="20"/>
  <c r="P82" i="20" s="1"/>
  <c r="P94" i="20" s="1"/>
  <c r="P106" i="20" s="1"/>
  <c r="P118" i="20" s="1"/>
  <c r="P130" i="20" s="1"/>
  <c r="P142" i="20" s="1"/>
  <c r="P154" i="20" s="1"/>
  <c r="P166" i="20" s="1"/>
  <c r="P178" i="20" s="1"/>
  <c r="P190" i="20" s="1"/>
  <c r="P202" i="20" s="1"/>
  <c r="P214" i="20" s="1"/>
  <c r="P226" i="20" s="1"/>
  <c r="P238" i="20" s="1"/>
  <c r="P250" i="20" s="1"/>
  <c r="P262" i="20" s="1"/>
  <c r="P274" i="20" s="1"/>
  <c r="P286" i="20" s="1"/>
  <c r="P298" i="20" s="1"/>
  <c r="P310" i="20" s="1"/>
  <c r="P322" i="20" s="1"/>
  <c r="P334" i="20" s="1"/>
  <c r="P346" i="20" s="1"/>
  <c r="P358" i="20" s="1"/>
  <c r="P370" i="20" s="1"/>
  <c r="P382" i="20" s="1"/>
  <c r="P394" i="20" s="1"/>
  <c r="P406" i="20" s="1"/>
  <c r="P418" i="20" s="1"/>
  <c r="P430" i="20" s="1"/>
  <c r="P442" i="20" s="1"/>
  <c r="P454" i="20" s="1"/>
  <c r="P466" i="20" s="1"/>
  <c r="P478" i="20" s="1"/>
  <c r="P490" i="20" s="1"/>
  <c r="P502" i="20" s="1"/>
  <c r="P514" i="20" s="1"/>
  <c r="P526" i="20" s="1"/>
  <c r="P538" i="20" s="1"/>
  <c r="P550" i="20" s="1"/>
  <c r="P562" i="20" s="1"/>
  <c r="P574" i="20" s="1"/>
  <c r="P586" i="20" s="1"/>
  <c r="P598" i="20" s="1"/>
  <c r="P610" i="20" s="1"/>
  <c r="P622" i="20" s="1"/>
  <c r="P634" i="20" s="1"/>
  <c r="P646" i="20" s="1"/>
  <c r="P658" i="20" s="1"/>
  <c r="P670" i="20" s="1"/>
  <c r="P682" i="20" s="1"/>
  <c r="P694" i="20" s="1"/>
  <c r="P706" i="20" s="1"/>
  <c r="P718" i="20" s="1"/>
  <c r="P730" i="20" s="1"/>
  <c r="P742" i="20" s="1"/>
  <c r="P754" i="20" s="1"/>
  <c r="O59" i="20"/>
  <c r="O71" i="20" s="1"/>
  <c r="O83" i="20"/>
  <c r="O95" i="20" s="1"/>
  <c r="O107" i="20" s="1"/>
  <c r="O119" i="20" s="1"/>
  <c r="O131" i="20" s="1"/>
  <c r="O143" i="20" s="1"/>
  <c r="O155" i="20"/>
  <c r="O167" i="20" s="1"/>
  <c r="O179" i="20" s="1"/>
  <c r="O191" i="20" s="1"/>
  <c r="O203" i="20" s="1"/>
  <c r="O215" i="20" s="1"/>
  <c r="O227" i="20"/>
  <c r="O239" i="20" s="1"/>
  <c r="O251" i="20" s="1"/>
  <c r="O263" i="20" s="1"/>
  <c r="O275" i="20" s="1"/>
  <c r="O287" i="20" s="1"/>
  <c r="O299" i="20" s="1"/>
  <c r="O311" i="20" s="1"/>
  <c r="O323" i="20" s="1"/>
  <c r="O335" i="20" s="1"/>
  <c r="O347" i="20" s="1"/>
  <c r="O359" i="20" s="1"/>
  <c r="O371" i="20" s="1"/>
  <c r="O383" i="20" s="1"/>
  <c r="O395" i="20" s="1"/>
  <c r="O407" i="20" s="1"/>
  <c r="O419" i="20" s="1"/>
  <c r="O431" i="20" s="1"/>
  <c r="O443" i="20"/>
  <c r="O455" i="20" s="1"/>
  <c r="O467" i="20" s="1"/>
  <c r="O479" i="20" s="1"/>
  <c r="O491" i="20" s="1"/>
  <c r="O503" i="20" s="1"/>
  <c r="O515" i="20" s="1"/>
  <c r="O527" i="20" s="1"/>
  <c r="O539" i="20" s="1"/>
  <c r="O551" i="20" s="1"/>
  <c r="O563" i="20" s="1"/>
  <c r="O575" i="20" s="1"/>
  <c r="O587" i="20" s="1"/>
  <c r="O599" i="20" s="1"/>
  <c r="O611" i="20" s="1"/>
  <c r="O623" i="20" s="1"/>
  <c r="O635" i="20" s="1"/>
  <c r="O647" i="20" s="1"/>
  <c r="O659" i="20" s="1"/>
  <c r="O671" i="20" s="1"/>
  <c r="O683" i="20" s="1"/>
  <c r="O695" i="20" s="1"/>
  <c r="O707" i="20" s="1"/>
  <c r="O719" i="20" s="1"/>
  <c r="O731" i="20" s="1"/>
  <c r="O743" i="20" s="1"/>
  <c r="O755" i="20" s="1"/>
  <c r="P203" i="20"/>
  <c r="O60" i="20"/>
  <c r="O72" i="20" s="1"/>
  <c r="O84" i="20" s="1"/>
  <c r="O96" i="20"/>
  <c r="O108" i="20" s="1"/>
  <c r="O120" i="20"/>
  <c r="O132" i="20" s="1"/>
  <c r="O144" i="20" s="1"/>
  <c r="O156" i="20" s="1"/>
  <c r="O168" i="20" s="1"/>
  <c r="O180" i="20" s="1"/>
  <c r="O192" i="20" s="1"/>
  <c r="O204" i="20" s="1"/>
  <c r="O216" i="20" s="1"/>
  <c r="O228" i="20" s="1"/>
  <c r="O240" i="20" s="1"/>
  <c r="O252" i="20" s="1"/>
  <c r="O264" i="20" s="1"/>
  <c r="O276" i="20" s="1"/>
  <c r="O110" i="20"/>
  <c r="O122" i="20" s="1"/>
  <c r="O134" i="20" s="1"/>
  <c r="O146" i="20" s="1"/>
  <c r="O158" i="20" s="1"/>
  <c r="O170" i="20" s="1"/>
  <c r="O182" i="20" s="1"/>
  <c r="O194" i="20" s="1"/>
  <c r="O206" i="20" s="1"/>
  <c r="O218" i="20" s="1"/>
  <c r="O230" i="20" s="1"/>
  <c r="O242" i="20" s="1"/>
  <c r="O254" i="20" s="1"/>
  <c r="O266" i="20" s="1"/>
  <c r="O278" i="20" s="1"/>
  <c r="O290" i="20" s="1"/>
  <c r="O302" i="20" s="1"/>
  <c r="O314" i="20" s="1"/>
  <c r="O326" i="20" s="1"/>
  <c r="O338" i="20" s="1"/>
  <c r="O350" i="20" s="1"/>
  <c r="O362" i="20" s="1"/>
  <c r="O374" i="20" s="1"/>
  <c r="O386" i="20" s="1"/>
  <c r="O398" i="20" s="1"/>
  <c r="O410" i="20" s="1"/>
  <c r="O422" i="20" s="1"/>
  <c r="O434" i="20" s="1"/>
  <c r="O446" i="20" s="1"/>
  <c r="O458" i="20" s="1"/>
  <c r="O470" i="20" s="1"/>
  <c r="O482" i="20" s="1"/>
  <c r="O494" i="20" s="1"/>
  <c r="O506" i="20" s="1"/>
  <c r="O518" i="20" s="1"/>
  <c r="O530" i="20" s="1"/>
  <c r="O542" i="20"/>
  <c r="O554" i="20" s="1"/>
  <c r="O566" i="20" s="1"/>
  <c r="O578" i="20" s="1"/>
  <c r="O590" i="20" s="1"/>
  <c r="O602" i="20" s="1"/>
  <c r="O614" i="20" s="1"/>
  <c r="O626" i="20" s="1"/>
  <c r="O638" i="20" s="1"/>
  <c r="O650" i="20" s="1"/>
  <c r="O662" i="20" s="1"/>
  <c r="O674" i="20" s="1"/>
  <c r="O686" i="20" s="1"/>
  <c r="O698" i="20" s="1"/>
  <c r="O710" i="20" s="1"/>
  <c r="O722" i="20" s="1"/>
  <c r="O734" i="20" s="1"/>
  <c r="O746" i="20" s="1"/>
  <c r="D111" i="20"/>
  <c r="D123" i="20" s="1"/>
  <c r="D135" i="20" s="1"/>
  <c r="D147" i="20" s="1"/>
  <c r="D159" i="20" s="1"/>
  <c r="D171" i="20" s="1"/>
  <c r="D183" i="20" s="1"/>
  <c r="D195" i="20" s="1"/>
  <c r="D207" i="20" s="1"/>
  <c r="D219" i="20" s="1"/>
  <c r="D231" i="20" s="1"/>
  <c r="D243" i="20" s="1"/>
  <c r="D255" i="20" s="1"/>
  <c r="D267" i="20" s="1"/>
  <c r="D279" i="20" s="1"/>
  <c r="D291" i="20" s="1"/>
  <c r="D303" i="20" s="1"/>
  <c r="D315" i="20" s="1"/>
  <c r="D327" i="20" s="1"/>
  <c r="D339" i="20" s="1"/>
  <c r="D351" i="20" s="1"/>
  <c r="D363" i="20" s="1"/>
  <c r="D375" i="20" s="1"/>
  <c r="P87" i="20"/>
  <c r="P99" i="20" s="1"/>
  <c r="P111" i="20"/>
  <c r="P123" i="20" s="1"/>
  <c r="P135" i="20" s="1"/>
  <c r="P147" i="20" s="1"/>
  <c r="P159" i="20" s="1"/>
  <c r="P171" i="20" s="1"/>
  <c r="P183" i="20" s="1"/>
  <c r="P195" i="20" s="1"/>
  <c r="P207" i="20" s="1"/>
  <c r="P219" i="20" s="1"/>
  <c r="P231" i="20" s="1"/>
  <c r="P243" i="20" s="1"/>
  <c r="P255" i="20" s="1"/>
  <c r="P267" i="20" s="1"/>
  <c r="P279" i="20" s="1"/>
  <c r="P291" i="20" s="1"/>
  <c r="P303" i="20" s="1"/>
  <c r="P315" i="20" s="1"/>
  <c r="P327" i="20" s="1"/>
  <c r="P339" i="20" s="1"/>
  <c r="P351" i="20" s="1"/>
  <c r="P363" i="20" s="1"/>
  <c r="P375" i="20" s="1"/>
  <c r="P387" i="20" s="1"/>
  <c r="P399" i="20" s="1"/>
  <c r="P411" i="20" s="1"/>
  <c r="P423" i="20" s="1"/>
  <c r="P435" i="20" s="1"/>
  <c r="P447" i="20" s="1"/>
  <c r="P459" i="20" s="1"/>
  <c r="P471" i="20" s="1"/>
  <c r="P483" i="20" s="1"/>
  <c r="P495" i="20" s="1"/>
  <c r="P507" i="20" s="1"/>
  <c r="P519" i="20" s="1"/>
  <c r="P531" i="20" s="1"/>
  <c r="P543" i="20" s="1"/>
  <c r="P555" i="20" s="1"/>
  <c r="P567" i="20" s="1"/>
  <c r="P579" i="20" s="1"/>
  <c r="P591" i="20" s="1"/>
  <c r="P603" i="20" s="1"/>
  <c r="P615" i="20" s="1"/>
  <c r="P627" i="20" s="1"/>
  <c r="P639" i="20" s="1"/>
  <c r="P651" i="20" s="1"/>
  <c r="P663" i="20" s="1"/>
  <c r="P675" i="20" s="1"/>
  <c r="P687" i="20" s="1"/>
  <c r="P699" i="20" s="1"/>
  <c r="P711" i="20" s="1"/>
  <c r="P723" i="20" s="1"/>
  <c r="P735" i="20" s="1"/>
  <c r="P747" i="20" s="1"/>
  <c r="C77" i="20"/>
  <c r="C89" i="20" s="1"/>
  <c r="C101" i="20" s="1"/>
  <c r="C113" i="20" s="1"/>
  <c r="C125" i="20" s="1"/>
  <c r="C137" i="20" s="1"/>
  <c r="C149" i="20"/>
  <c r="C161" i="20" s="1"/>
  <c r="C173" i="20" s="1"/>
  <c r="C185" i="20" s="1"/>
  <c r="C197" i="20" s="1"/>
  <c r="C209" i="20" s="1"/>
  <c r="C221" i="20"/>
  <c r="C233" i="20" s="1"/>
  <c r="C245" i="20" s="1"/>
  <c r="C257" i="20" s="1"/>
  <c r="C269" i="20" s="1"/>
  <c r="C281" i="20" s="1"/>
  <c r="C293" i="20" s="1"/>
  <c r="C305" i="20" s="1"/>
  <c r="C317" i="20" s="1"/>
  <c r="C329" i="20" s="1"/>
  <c r="C341" i="20" s="1"/>
  <c r="C353" i="20" s="1"/>
  <c r="C365" i="20" s="1"/>
  <c r="C377" i="20" s="1"/>
  <c r="C389" i="20" s="1"/>
  <c r="C401" i="20" s="1"/>
  <c r="C413" i="20" s="1"/>
  <c r="C425" i="20" s="1"/>
  <c r="C437" i="20" s="1"/>
  <c r="C449" i="20" s="1"/>
  <c r="C461" i="20" s="1"/>
  <c r="C473" i="20" s="1"/>
  <c r="C485" i="20" s="1"/>
  <c r="C497" i="20" s="1"/>
  <c r="C509" i="20" s="1"/>
  <c r="C521" i="20" s="1"/>
  <c r="C533" i="20" s="1"/>
  <c r="C545" i="20" s="1"/>
  <c r="C557" i="20" s="1"/>
  <c r="C569" i="20" s="1"/>
  <c r="C581" i="20" s="1"/>
  <c r="C593" i="20" s="1"/>
  <c r="C605" i="20" s="1"/>
  <c r="C617" i="20" s="1"/>
  <c r="C629" i="20" s="1"/>
  <c r="C641" i="20" s="1"/>
  <c r="C653" i="20" s="1"/>
  <c r="C665" i="20" s="1"/>
  <c r="C677" i="20" s="1"/>
  <c r="C689" i="20" s="1"/>
  <c r="C701" i="20" s="1"/>
  <c r="C713" i="20" s="1"/>
  <c r="C725" i="20" s="1"/>
  <c r="C737" i="20" s="1"/>
  <c r="C749" i="20" s="1"/>
  <c r="C66" i="20"/>
  <c r="C78" i="20"/>
  <c r="C90" i="20"/>
  <c r="C102" i="20" s="1"/>
  <c r="C114" i="20" s="1"/>
  <c r="C126" i="20"/>
  <c r="C138" i="20" s="1"/>
  <c r="C150" i="20" s="1"/>
  <c r="C162" i="20" s="1"/>
  <c r="C174" i="20" s="1"/>
  <c r="C186" i="20" s="1"/>
  <c r="C198" i="20" s="1"/>
  <c r="C210" i="20" s="1"/>
  <c r="C222" i="20" s="1"/>
  <c r="C234" i="20" s="1"/>
  <c r="C246" i="20" s="1"/>
  <c r="C258" i="20" s="1"/>
  <c r="C270" i="20" s="1"/>
  <c r="C282" i="20" s="1"/>
  <c r="C294" i="20" s="1"/>
  <c r="C306" i="20" s="1"/>
  <c r="C323" i="20"/>
  <c r="C335" i="20" s="1"/>
  <c r="C347" i="20" s="1"/>
  <c r="C359" i="20" s="1"/>
  <c r="C371" i="20" s="1"/>
  <c r="C383" i="20" s="1"/>
  <c r="C395" i="20" s="1"/>
  <c r="C407" i="20" s="1"/>
  <c r="C419" i="20" s="1"/>
  <c r="C431" i="20" s="1"/>
  <c r="C443" i="20" s="1"/>
  <c r="C455" i="20" s="1"/>
  <c r="C467" i="20" s="1"/>
  <c r="C479" i="20" s="1"/>
  <c r="C491" i="20" s="1"/>
  <c r="C503" i="20" s="1"/>
  <c r="C515" i="20" s="1"/>
  <c r="C527" i="20" s="1"/>
  <c r="C539" i="20"/>
  <c r="C551" i="20" s="1"/>
  <c r="C563" i="20" s="1"/>
  <c r="C575" i="20" s="1"/>
  <c r="C587" i="20" s="1"/>
  <c r="C599" i="20" s="1"/>
  <c r="C611" i="20" s="1"/>
  <c r="C623" i="20" s="1"/>
  <c r="C635" i="20" s="1"/>
  <c r="C647" i="20" s="1"/>
  <c r="C659" i="20" s="1"/>
  <c r="C671" i="20" s="1"/>
  <c r="C683" i="20" s="1"/>
  <c r="C695" i="20" s="1"/>
  <c r="C707" i="20" s="1"/>
  <c r="C719" i="20" s="1"/>
  <c r="C731" i="20" s="1"/>
  <c r="C743" i="20" s="1"/>
  <c r="C755" i="20" s="1"/>
  <c r="D145" i="20"/>
  <c r="D157" i="20"/>
  <c r="D169" i="20"/>
  <c r="D181" i="20" s="1"/>
  <c r="D193" i="20" s="1"/>
  <c r="D205" i="20" s="1"/>
  <c r="D217" i="20" s="1"/>
  <c r="D229" i="20" s="1"/>
  <c r="D241" i="20" s="1"/>
  <c r="D253" i="20" s="1"/>
  <c r="D265" i="20" s="1"/>
  <c r="D277" i="20" s="1"/>
  <c r="D289" i="20" s="1"/>
  <c r="D301" i="20" s="1"/>
  <c r="D313" i="20"/>
  <c r="D325" i="20" s="1"/>
  <c r="D337" i="20" s="1"/>
  <c r="D349" i="20" s="1"/>
  <c r="D361" i="20" s="1"/>
  <c r="D373" i="20" s="1"/>
  <c r="D385" i="20" s="1"/>
  <c r="D397" i="20" s="1"/>
  <c r="D409" i="20" s="1"/>
  <c r="D421" i="20" s="1"/>
  <c r="D433" i="20" s="1"/>
  <c r="D445" i="20" s="1"/>
  <c r="D457" i="20"/>
  <c r="D469" i="20" s="1"/>
  <c r="D481" i="20" s="1"/>
  <c r="D493" i="20" s="1"/>
  <c r="D505" i="20" s="1"/>
  <c r="D517" i="20" s="1"/>
  <c r="D529" i="20" s="1"/>
  <c r="D541" i="20" s="1"/>
  <c r="D553" i="20" s="1"/>
  <c r="D565" i="20" s="1"/>
  <c r="D577" i="20" s="1"/>
  <c r="D589" i="20" s="1"/>
  <c r="D601" i="20" s="1"/>
  <c r="D613" i="20" s="1"/>
  <c r="D625" i="20" s="1"/>
  <c r="D637" i="20" s="1"/>
  <c r="D649" i="20" s="1"/>
  <c r="D661" i="20" s="1"/>
  <c r="D673" i="20" s="1"/>
  <c r="D685" i="20" s="1"/>
  <c r="D697" i="20" s="1"/>
  <c r="D709" i="20" s="1"/>
  <c r="D721" i="20" s="1"/>
  <c r="D733" i="20" s="1"/>
  <c r="D745" i="20" s="1"/>
  <c r="C170" i="20"/>
  <c r="C182" i="20"/>
  <c r="C194" i="20"/>
  <c r="C206" i="20" s="1"/>
  <c r="C218" i="20" s="1"/>
  <c r="C230" i="20" s="1"/>
  <c r="C242" i="20" s="1"/>
  <c r="C254" i="20" s="1"/>
  <c r="C266" i="20" s="1"/>
  <c r="C278" i="20" s="1"/>
  <c r="C290" i="20" s="1"/>
  <c r="C302" i="20" s="1"/>
  <c r="C314" i="20" s="1"/>
  <c r="C326" i="20" s="1"/>
  <c r="C338" i="20" s="1"/>
  <c r="C350" i="20" s="1"/>
  <c r="C362" i="20" s="1"/>
  <c r="C374" i="20" s="1"/>
  <c r="C386" i="20" s="1"/>
  <c r="C398" i="20" s="1"/>
  <c r="C410" i="20" s="1"/>
  <c r="C422" i="20" s="1"/>
  <c r="C434" i="20" s="1"/>
  <c r="C446" i="20" s="1"/>
  <c r="C458" i="20" s="1"/>
  <c r="C470" i="20" s="1"/>
  <c r="C482" i="20" s="1"/>
  <c r="C494" i="20" s="1"/>
  <c r="C506" i="20" s="1"/>
  <c r="C518" i="20" s="1"/>
  <c r="C530" i="20" s="1"/>
  <c r="C542" i="20" s="1"/>
  <c r="C554" i="20" s="1"/>
  <c r="C566" i="20" s="1"/>
  <c r="C578" i="20" s="1"/>
  <c r="C590" i="20" s="1"/>
  <c r="C602" i="20" s="1"/>
  <c r="C614" i="20" s="1"/>
  <c r="C626" i="20" s="1"/>
  <c r="C638" i="20" s="1"/>
  <c r="C650" i="20" s="1"/>
  <c r="C662" i="20" s="1"/>
  <c r="O260" i="20"/>
  <c r="O272" i="20" s="1"/>
  <c r="O284" i="20" s="1"/>
  <c r="O296" i="20" s="1"/>
  <c r="O308" i="20" s="1"/>
  <c r="O320" i="20" s="1"/>
  <c r="O332" i="20" s="1"/>
  <c r="O344" i="20" s="1"/>
  <c r="O356" i="20" s="1"/>
  <c r="O368" i="20" s="1"/>
  <c r="O380" i="20" s="1"/>
  <c r="O392" i="20" s="1"/>
  <c r="O404" i="20" s="1"/>
  <c r="O416" i="20" s="1"/>
  <c r="O428" i="20" s="1"/>
  <c r="O440" i="20" s="1"/>
  <c r="O452" i="20" s="1"/>
  <c r="O464" i="20" s="1"/>
  <c r="O476" i="20" s="1"/>
  <c r="O488" i="20" s="1"/>
  <c r="O500" i="20" s="1"/>
  <c r="O512" i="20" s="1"/>
  <c r="O524" i="20" s="1"/>
  <c r="O536" i="20" s="1"/>
  <c r="O548" i="20"/>
  <c r="O560" i="20" s="1"/>
  <c r="O572" i="20" s="1"/>
  <c r="O584" i="20" s="1"/>
  <c r="O596" i="20" s="1"/>
  <c r="O608" i="20" s="1"/>
  <c r="O620" i="20" s="1"/>
  <c r="O632" i="20" s="1"/>
  <c r="O644" i="20" s="1"/>
  <c r="O656" i="20" s="1"/>
  <c r="O668" i="20" s="1"/>
  <c r="O680" i="20" s="1"/>
  <c r="O692" i="20" s="1"/>
  <c r="O704" i="20" s="1"/>
  <c r="O716" i="20" s="1"/>
  <c r="O728" i="20" s="1"/>
  <c r="O740" i="20" s="1"/>
  <c r="O752" i="20" s="1"/>
  <c r="P97" i="20"/>
  <c r="P109" i="20"/>
  <c r="P121" i="20" s="1"/>
  <c r="P133" i="20" s="1"/>
  <c r="P145" i="20" s="1"/>
  <c r="P157" i="20" s="1"/>
  <c r="P169" i="20" s="1"/>
  <c r="P181" i="20" s="1"/>
  <c r="P193" i="20" s="1"/>
  <c r="P205" i="20" s="1"/>
  <c r="P217" i="20" s="1"/>
  <c r="P229" i="20" s="1"/>
  <c r="P241" i="20" s="1"/>
  <c r="P253" i="20" s="1"/>
  <c r="P265" i="20" s="1"/>
  <c r="P277" i="20" s="1"/>
  <c r="P289" i="20" s="1"/>
  <c r="P301" i="20" s="1"/>
  <c r="P313" i="20" s="1"/>
  <c r="P325" i="20" s="1"/>
  <c r="P337" i="20" s="1"/>
  <c r="P349" i="20" s="1"/>
  <c r="P361" i="20" s="1"/>
  <c r="P373" i="20" s="1"/>
  <c r="P385" i="20" s="1"/>
  <c r="P397" i="20" s="1"/>
  <c r="P409" i="20" s="1"/>
  <c r="P421" i="20" s="1"/>
  <c r="P433" i="20" s="1"/>
  <c r="P445" i="20" s="1"/>
  <c r="P457" i="20" s="1"/>
  <c r="P469" i="20" s="1"/>
  <c r="P481" i="20" s="1"/>
  <c r="P493" i="20" s="1"/>
  <c r="P505" i="20" s="1"/>
  <c r="P517" i="20" s="1"/>
  <c r="P529" i="20" s="1"/>
  <c r="P541" i="20" s="1"/>
  <c r="P553" i="20" s="1"/>
  <c r="P565" i="20" s="1"/>
  <c r="P577" i="20" s="1"/>
  <c r="P589" i="20" s="1"/>
  <c r="P601" i="20" s="1"/>
  <c r="P613" i="20" s="1"/>
  <c r="P625" i="20" s="1"/>
  <c r="P637" i="20" s="1"/>
  <c r="P649" i="20" s="1"/>
  <c r="P661" i="20" s="1"/>
  <c r="P673" i="20" s="1"/>
  <c r="P685" i="20" s="1"/>
  <c r="P697" i="20" s="1"/>
  <c r="P709" i="20" s="1"/>
  <c r="P721" i="20" s="1"/>
  <c r="P733" i="20" s="1"/>
  <c r="P745" i="20" s="1"/>
  <c r="C318" i="20"/>
  <c r="C330" i="20" s="1"/>
  <c r="C342" i="20" s="1"/>
  <c r="C354" i="20" s="1"/>
  <c r="C366" i="20" s="1"/>
  <c r="C378" i="20" s="1"/>
  <c r="C390" i="20" s="1"/>
  <c r="C402" i="20" s="1"/>
  <c r="C414" i="20" s="1"/>
  <c r="C426" i="20" s="1"/>
  <c r="C438" i="20" s="1"/>
  <c r="C450" i="20" s="1"/>
  <c r="C462" i="20" s="1"/>
  <c r="C474" i="20" s="1"/>
  <c r="C486" i="20" s="1"/>
  <c r="C498" i="20" s="1"/>
  <c r="C510" i="20" s="1"/>
  <c r="C522" i="20" s="1"/>
  <c r="C534" i="20" s="1"/>
  <c r="C546" i="20" s="1"/>
  <c r="C558" i="20" s="1"/>
  <c r="C570" i="20" s="1"/>
  <c r="C582" i="20" s="1"/>
  <c r="C594" i="20" s="1"/>
  <c r="C606" i="20" s="1"/>
  <c r="C618" i="20" s="1"/>
  <c r="C630" i="20" s="1"/>
  <c r="C642" i="20" s="1"/>
  <c r="C654" i="20" s="1"/>
  <c r="C666" i="20" s="1"/>
  <c r="C678" i="20" s="1"/>
  <c r="C690" i="20" s="1"/>
  <c r="C702" i="20" s="1"/>
  <c r="C714" i="20" s="1"/>
  <c r="C726" i="20" s="1"/>
  <c r="C738" i="20" s="1"/>
  <c r="C750" i="20" s="1"/>
  <c r="C261" i="20"/>
  <c r="C273" i="20" s="1"/>
  <c r="C285" i="20" s="1"/>
  <c r="C297" i="20" s="1"/>
  <c r="C309" i="20" s="1"/>
  <c r="C321" i="20" s="1"/>
  <c r="C333" i="20" s="1"/>
  <c r="C345" i="20" s="1"/>
  <c r="C357" i="20" s="1"/>
  <c r="C369" i="20" s="1"/>
  <c r="C381" i="20" s="1"/>
  <c r="C393" i="20" s="1"/>
  <c r="C405" i="20" s="1"/>
  <c r="C417" i="20" s="1"/>
  <c r="C429" i="20" s="1"/>
  <c r="C441" i="20" s="1"/>
  <c r="C453" i="20" s="1"/>
  <c r="C465" i="20" s="1"/>
  <c r="C477" i="20" s="1"/>
  <c r="C489" i="20" s="1"/>
  <c r="C501" i="20" s="1"/>
  <c r="C513" i="20" s="1"/>
  <c r="C525" i="20" s="1"/>
  <c r="C537" i="20" s="1"/>
  <c r="C549" i="20"/>
  <c r="C561" i="20" s="1"/>
  <c r="C573" i="20" s="1"/>
  <c r="C585" i="20" s="1"/>
  <c r="C597" i="20" s="1"/>
  <c r="C609" i="20" s="1"/>
  <c r="C621" i="20" s="1"/>
  <c r="C633" i="20" s="1"/>
  <c r="C645" i="20" s="1"/>
  <c r="C657" i="20" s="1"/>
  <c r="C669" i="20" s="1"/>
  <c r="C681" i="20" s="1"/>
  <c r="C693" i="20" s="1"/>
  <c r="C705" i="20" s="1"/>
  <c r="C717" i="20" s="1"/>
  <c r="C729" i="20" s="1"/>
  <c r="C741" i="20" s="1"/>
  <c r="C753" i="20" s="1"/>
  <c r="Q96" i="20"/>
  <c r="Q108" i="20" s="1"/>
  <c r="Q120" i="20" s="1"/>
  <c r="Q132" i="20" s="1"/>
  <c r="Q144" i="20" s="1"/>
  <c r="Q156" i="20" s="1"/>
  <c r="Q168" i="20" s="1"/>
  <c r="Q180" i="20" s="1"/>
  <c r="Q192" i="20" s="1"/>
  <c r="Q204" i="20" s="1"/>
  <c r="Q216" i="20" s="1"/>
  <c r="Q228" i="20" s="1"/>
  <c r="Q240" i="20" s="1"/>
  <c r="Q252" i="20" s="1"/>
  <c r="Q264" i="20" s="1"/>
  <c r="Q276" i="20" s="1"/>
  <c r="Q288" i="20" s="1"/>
  <c r="Q300" i="20" s="1"/>
  <c r="Q312" i="20" s="1"/>
  <c r="Q324" i="20" s="1"/>
  <c r="Q336" i="20" s="1"/>
  <c r="Q348" i="20" s="1"/>
  <c r="Q360" i="20" s="1"/>
  <c r="Q372" i="20" s="1"/>
  <c r="Q384" i="20" s="1"/>
  <c r="Q396" i="20" s="1"/>
  <c r="Q408" i="20" s="1"/>
  <c r="Q420" i="20" s="1"/>
  <c r="Q432" i="20" s="1"/>
  <c r="Q444" i="20" s="1"/>
  <c r="Q456" i="20" s="1"/>
  <c r="Q468" i="20" s="1"/>
  <c r="Q480" i="20" s="1"/>
  <c r="Q492" i="20" s="1"/>
  <c r="Q504" i="20" s="1"/>
  <c r="Q516" i="20" s="1"/>
  <c r="Q528" i="20" s="1"/>
  <c r="Q540" i="20" s="1"/>
  <c r="Q552" i="20" s="1"/>
  <c r="Q564" i="20" s="1"/>
  <c r="Q576" i="20" s="1"/>
  <c r="Q588" i="20" s="1"/>
  <c r="Q600" i="20" s="1"/>
  <c r="Q612" i="20" s="1"/>
  <c r="Q624" i="20" s="1"/>
  <c r="Q636" i="20" s="1"/>
  <c r="Q648" i="20" s="1"/>
  <c r="Q660" i="20" s="1"/>
  <c r="Q672" i="20" s="1"/>
  <c r="Q684" i="20" s="1"/>
  <c r="Q696" i="20" s="1"/>
  <c r="Q708" i="20" s="1"/>
  <c r="Q720" i="20" s="1"/>
  <c r="Q732" i="20" s="1"/>
  <c r="Q744" i="20" s="1"/>
  <c r="D387" i="20"/>
  <c r="D399" i="20" s="1"/>
  <c r="D411" i="20" s="1"/>
  <c r="D423" i="20" s="1"/>
  <c r="D435" i="20" s="1"/>
  <c r="D447" i="20" s="1"/>
  <c r="D459" i="20" s="1"/>
  <c r="D471" i="20" s="1"/>
  <c r="D483" i="20" s="1"/>
  <c r="D495" i="20" s="1"/>
  <c r="D507" i="20" s="1"/>
  <c r="D519" i="20" s="1"/>
  <c r="D531" i="20" s="1"/>
  <c r="D543" i="20" s="1"/>
  <c r="D555" i="20" s="1"/>
  <c r="D567" i="20" s="1"/>
  <c r="D579" i="20" s="1"/>
  <c r="D591" i="20" s="1"/>
  <c r="D603" i="20" s="1"/>
  <c r="D615" i="20" s="1"/>
  <c r="D627" i="20" s="1"/>
  <c r="D639" i="20" s="1"/>
  <c r="D651" i="20" s="1"/>
  <c r="D663" i="20" s="1"/>
  <c r="D675" i="20" s="1"/>
  <c r="D687" i="20" s="1"/>
  <c r="D699" i="20" s="1"/>
  <c r="D711" i="20" s="1"/>
  <c r="D723" i="20" s="1"/>
  <c r="D735" i="20" s="1"/>
  <c r="D747" i="20"/>
  <c r="C304" i="20"/>
  <c r="C316" i="20" s="1"/>
  <c r="C328" i="20" s="1"/>
  <c r="C340" i="20" s="1"/>
  <c r="C352" i="20" s="1"/>
  <c r="C364" i="20" s="1"/>
  <c r="C376" i="20" s="1"/>
  <c r="C388" i="20" s="1"/>
  <c r="C400" i="20" s="1"/>
  <c r="C412" i="20" s="1"/>
  <c r="C424" i="20" s="1"/>
  <c r="C436" i="20" s="1"/>
  <c r="C448" i="20" s="1"/>
  <c r="C460" i="20" s="1"/>
  <c r="C472" i="20" s="1"/>
  <c r="C484" i="20" s="1"/>
  <c r="C496" i="20" s="1"/>
  <c r="C508" i="20" s="1"/>
  <c r="C520" i="20" s="1"/>
  <c r="C532" i="20" s="1"/>
  <c r="C544" i="20" s="1"/>
  <c r="C556" i="20" s="1"/>
  <c r="C568" i="20" s="1"/>
  <c r="C580" i="20" s="1"/>
  <c r="C592" i="20" s="1"/>
  <c r="C604" i="20" s="1"/>
  <c r="C616" i="20" s="1"/>
  <c r="C628" i="20" s="1"/>
  <c r="C640" i="20" s="1"/>
  <c r="C652" i="20" s="1"/>
  <c r="C664" i="20" s="1"/>
  <c r="C676" i="20" s="1"/>
  <c r="C688" i="20" s="1"/>
  <c r="C700" i="20" s="1"/>
  <c r="C712" i="20" s="1"/>
  <c r="C724" i="20" s="1"/>
  <c r="C736" i="20" s="1"/>
  <c r="C748" i="20" s="1"/>
  <c r="D275" i="20"/>
  <c r="D287" i="20"/>
  <c r="D299" i="20" s="1"/>
  <c r="D311" i="20" s="1"/>
  <c r="D323" i="20" s="1"/>
  <c r="D335" i="20" s="1"/>
  <c r="D347" i="20" s="1"/>
  <c r="D359" i="20" s="1"/>
  <c r="D371" i="20" s="1"/>
  <c r="D383" i="20" s="1"/>
  <c r="D395" i="20" s="1"/>
  <c r="D407" i="20" s="1"/>
  <c r="D419" i="20" s="1"/>
  <c r="D431" i="20" s="1"/>
  <c r="D443" i="20" s="1"/>
  <c r="D455" i="20" s="1"/>
  <c r="D467" i="20" s="1"/>
  <c r="D479" i="20" s="1"/>
  <c r="D491" i="20" s="1"/>
  <c r="D503" i="20" s="1"/>
  <c r="D515" i="20" s="1"/>
  <c r="D527" i="20" s="1"/>
  <c r="D539" i="20" s="1"/>
  <c r="D551" i="20" s="1"/>
  <c r="D563" i="20" s="1"/>
  <c r="D575" i="20" s="1"/>
  <c r="D587" i="20" s="1"/>
  <c r="D599" i="20" s="1"/>
  <c r="D611" i="20" s="1"/>
  <c r="D623" i="20" s="1"/>
  <c r="D635" i="20" s="1"/>
  <c r="D647" i="20" s="1"/>
  <c r="D659" i="20" s="1"/>
  <c r="D671" i="20" s="1"/>
  <c r="D683" i="20" s="1"/>
  <c r="D695" i="20" s="1"/>
  <c r="D707" i="20" s="1"/>
  <c r="D719" i="20" s="1"/>
  <c r="D731" i="20" s="1"/>
  <c r="D743" i="20" s="1"/>
  <c r="D755" i="20" s="1"/>
  <c r="D240" i="20"/>
  <c r="D252" i="20" s="1"/>
  <c r="D264" i="20" s="1"/>
  <c r="D276" i="20" s="1"/>
  <c r="D288" i="20" s="1"/>
  <c r="D300" i="20"/>
  <c r="D312" i="20" s="1"/>
  <c r="D324" i="20" s="1"/>
  <c r="D336" i="20" s="1"/>
  <c r="D348" i="20" s="1"/>
  <c r="D360" i="20" s="1"/>
  <c r="D372" i="20" s="1"/>
  <c r="D384" i="20" s="1"/>
  <c r="D396" i="20" s="1"/>
  <c r="D408" i="20" s="1"/>
  <c r="D420" i="20" s="1"/>
  <c r="D432" i="20" s="1"/>
  <c r="D444" i="20" s="1"/>
  <c r="D456" i="20" s="1"/>
  <c r="D468" i="20" s="1"/>
  <c r="D480" i="20" s="1"/>
  <c r="D492" i="20" s="1"/>
  <c r="D504" i="20" s="1"/>
  <c r="D516" i="20" s="1"/>
  <c r="D528" i="20" s="1"/>
  <c r="D540" i="20" s="1"/>
  <c r="D552" i="20" s="1"/>
  <c r="D564" i="20" s="1"/>
  <c r="D576" i="20" s="1"/>
  <c r="D588" i="20" s="1"/>
  <c r="D600" i="20" s="1"/>
  <c r="D612" i="20" s="1"/>
  <c r="D244" i="20"/>
  <c r="D256" i="20"/>
  <c r="D268" i="20" s="1"/>
  <c r="D280" i="20" s="1"/>
  <c r="D292" i="20" s="1"/>
  <c r="D304" i="20" s="1"/>
  <c r="D316" i="20" s="1"/>
  <c r="D328" i="20" s="1"/>
  <c r="D340" i="20" s="1"/>
  <c r="D352" i="20" s="1"/>
  <c r="D364" i="20" s="1"/>
  <c r="D376" i="20" s="1"/>
  <c r="D388" i="20" s="1"/>
  <c r="D400" i="20" s="1"/>
  <c r="D412" i="20" s="1"/>
  <c r="D424" i="20" s="1"/>
  <c r="D436" i="20" s="1"/>
  <c r="D448" i="20" s="1"/>
  <c r="D460" i="20" s="1"/>
  <c r="D472" i="20" s="1"/>
  <c r="D484" i="20" s="1"/>
  <c r="D496" i="20" s="1"/>
  <c r="D508" i="20" s="1"/>
  <c r="D520" i="20" s="1"/>
  <c r="D532" i="20" s="1"/>
  <c r="D544" i="20" s="1"/>
  <c r="D556" i="20" s="1"/>
  <c r="D568" i="20" s="1"/>
  <c r="D580" i="20" s="1"/>
  <c r="D592" i="20" s="1"/>
  <c r="D604" i="20" s="1"/>
  <c r="D616" i="20" s="1"/>
  <c r="D628" i="20" s="1"/>
  <c r="D640" i="20" s="1"/>
  <c r="D652" i="20" s="1"/>
  <c r="D664" i="20" s="1"/>
  <c r="D676" i="20" s="1"/>
  <c r="D688" i="20" s="1"/>
  <c r="D700" i="20" s="1"/>
  <c r="D712" i="20" s="1"/>
  <c r="D724" i="20" s="1"/>
  <c r="D736" i="20" s="1"/>
  <c r="D748" i="20" s="1"/>
  <c r="D281" i="20"/>
  <c r="D293" i="20" s="1"/>
  <c r="D305" i="20" s="1"/>
  <c r="D317" i="20" s="1"/>
  <c r="D329" i="20" s="1"/>
  <c r="D341" i="20" s="1"/>
  <c r="D353" i="20"/>
  <c r="D365" i="20" s="1"/>
  <c r="D377" i="20" s="1"/>
  <c r="D389" i="20" s="1"/>
  <c r="D401" i="20" s="1"/>
  <c r="D413" i="20" s="1"/>
  <c r="D425" i="20" s="1"/>
  <c r="D437" i="20" s="1"/>
  <c r="D449" i="20" s="1"/>
  <c r="D461" i="20" s="1"/>
  <c r="D473" i="20" s="1"/>
  <c r="D485" i="20" s="1"/>
  <c r="D497" i="20" s="1"/>
  <c r="D509" i="20" s="1"/>
  <c r="D521" i="20" s="1"/>
  <c r="D533" i="20" s="1"/>
  <c r="D545" i="20" s="1"/>
  <c r="D557" i="20" s="1"/>
  <c r="D569" i="20" s="1"/>
  <c r="D581" i="20" s="1"/>
  <c r="D593" i="20" s="1"/>
  <c r="D605" i="20" s="1"/>
  <c r="D617" i="20" s="1"/>
  <c r="D629" i="20" s="1"/>
  <c r="D641" i="20" s="1"/>
  <c r="D653" i="20" s="1"/>
  <c r="D665" i="20" s="1"/>
  <c r="D677" i="20" s="1"/>
  <c r="D689" i="20" s="1"/>
  <c r="D701" i="20" s="1"/>
  <c r="D713" i="20" s="1"/>
  <c r="D725" i="20" s="1"/>
  <c r="D737" i="20" s="1"/>
  <c r="D749" i="20" s="1"/>
  <c r="O222" i="20"/>
  <c r="O234" i="20" s="1"/>
  <c r="O246" i="20" s="1"/>
  <c r="O258" i="20" s="1"/>
  <c r="O270" i="20" s="1"/>
  <c r="O282" i="20" s="1"/>
  <c r="O294" i="20" s="1"/>
  <c r="O306" i="20" s="1"/>
  <c r="O318" i="20" s="1"/>
  <c r="O330" i="20" s="1"/>
  <c r="O342" i="20" s="1"/>
  <c r="O354" i="20" s="1"/>
  <c r="O366" i="20" s="1"/>
  <c r="O378" i="20" s="1"/>
  <c r="O390" i="20" s="1"/>
  <c r="O402" i="20" s="1"/>
  <c r="O414" i="20" s="1"/>
  <c r="O426" i="20" s="1"/>
  <c r="O438" i="20" s="1"/>
  <c r="O450" i="20" s="1"/>
  <c r="O462" i="20" s="1"/>
  <c r="O474" i="20" s="1"/>
  <c r="O486" i="20" s="1"/>
  <c r="O498" i="20" s="1"/>
  <c r="O510" i="20" s="1"/>
  <c r="O522" i="20" s="1"/>
  <c r="O534" i="20" s="1"/>
  <c r="O546" i="20" s="1"/>
  <c r="O558" i="20" s="1"/>
  <c r="O570" i="20" s="1"/>
  <c r="O582" i="20" s="1"/>
  <c r="O594" i="20" s="1"/>
  <c r="O606" i="20" s="1"/>
  <c r="O618" i="20" s="1"/>
  <c r="O630" i="20" s="1"/>
  <c r="O642" i="20" s="1"/>
  <c r="O654" i="20" s="1"/>
  <c r="O666" i="20" s="1"/>
  <c r="O678" i="20" s="1"/>
  <c r="O690" i="20" s="1"/>
  <c r="O702" i="20" s="1"/>
  <c r="O714" i="20" s="1"/>
  <c r="O726" i="20" s="1"/>
  <c r="O738" i="20" s="1"/>
  <c r="O750" i="20" s="1"/>
  <c r="O597" i="20"/>
  <c r="O609" i="20" s="1"/>
  <c r="O621" i="20" s="1"/>
  <c r="O633" i="20" s="1"/>
  <c r="O645" i="20" s="1"/>
  <c r="O657" i="20" s="1"/>
  <c r="O669" i="20" s="1"/>
  <c r="O681" i="20" s="1"/>
  <c r="O693" i="20" s="1"/>
  <c r="O705" i="20" s="1"/>
  <c r="O717" i="20" s="1"/>
  <c r="O729" i="20" s="1"/>
  <c r="O741" i="20" s="1"/>
  <c r="O753" i="20" s="1"/>
  <c r="P215" i="20"/>
  <c r="P227" i="20"/>
  <c r="P239" i="20" s="1"/>
  <c r="P251" i="20" s="1"/>
  <c r="P263" i="20" s="1"/>
  <c r="P275" i="20" s="1"/>
  <c r="P287" i="20" s="1"/>
  <c r="P299" i="20" s="1"/>
  <c r="P311" i="20" s="1"/>
  <c r="P323" i="20" s="1"/>
  <c r="P335" i="20"/>
  <c r="P347" i="20" s="1"/>
  <c r="P359" i="20" s="1"/>
  <c r="P371" i="20" s="1"/>
  <c r="P383" i="20" s="1"/>
  <c r="P395" i="20" s="1"/>
  <c r="P407" i="20" s="1"/>
  <c r="P419" i="20" s="1"/>
  <c r="P431" i="20" s="1"/>
  <c r="P443" i="20" s="1"/>
  <c r="P455" i="20" s="1"/>
  <c r="P467" i="20" s="1"/>
  <c r="P479" i="20" s="1"/>
  <c r="P491" i="20" s="1"/>
  <c r="P503" i="20" s="1"/>
  <c r="P515" i="20" s="1"/>
  <c r="P527" i="20" s="1"/>
  <c r="P539" i="20" s="1"/>
  <c r="P551" i="20" s="1"/>
  <c r="P563" i="20" s="1"/>
  <c r="P575" i="20" s="1"/>
  <c r="P587" i="20" s="1"/>
  <c r="P599" i="20" s="1"/>
  <c r="P611" i="20" s="1"/>
  <c r="P623" i="20" s="1"/>
  <c r="P635" i="20" s="1"/>
  <c r="P647" i="20" s="1"/>
  <c r="P659" i="20" s="1"/>
  <c r="P671" i="20" s="1"/>
  <c r="P683" i="20" s="1"/>
  <c r="P695" i="20" s="1"/>
  <c r="P707" i="20" s="1"/>
  <c r="P719" i="20" s="1"/>
  <c r="P731" i="20" s="1"/>
  <c r="P743" i="20" s="1"/>
  <c r="P755" i="20" s="1"/>
  <c r="D458" i="20"/>
  <c r="D470" i="20" s="1"/>
  <c r="D482" i="20" s="1"/>
  <c r="D494" i="20" s="1"/>
  <c r="D506" i="20" s="1"/>
  <c r="D518" i="20" s="1"/>
  <c r="D530" i="20" s="1"/>
  <c r="D542" i="20" s="1"/>
  <c r="D554" i="20" s="1"/>
  <c r="D566" i="20" s="1"/>
  <c r="D578" i="20" s="1"/>
  <c r="D590" i="20" s="1"/>
  <c r="D602" i="20" s="1"/>
  <c r="D614" i="20" s="1"/>
  <c r="D626" i="20" s="1"/>
  <c r="D638" i="20" s="1"/>
  <c r="D650" i="20" s="1"/>
  <c r="D662" i="20" s="1"/>
  <c r="D674" i="20" s="1"/>
  <c r="D686" i="20" s="1"/>
  <c r="D698" i="20" s="1"/>
  <c r="D710" i="20" s="1"/>
  <c r="D722" i="20" s="1"/>
  <c r="D734" i="20" s="1"/>
  <c r="D746" i="20" s="1"/>
  <c r="P244" i="20"/>
  <c r="P256" i="20" s="1"/>
  <c r="P268" i="20" s="1"/>
  <c r="P280" i="20" s="1"/>
  <c r="P292" i="20" s="1"/>
  <c r="P304" i="20" s="1"/>
  <c r="P316" i="20" s="1"/>
  <c r="P328" i="20" s="1"/>
  <c r="P340" i="20" s="1"/>
  <c r="P352" i="20" s="1"/>
  <c r="P364" i="20" s="1"/>
  <c r="P376" i="20" s="1"/>
  <c r="P388" i="20" s="1"/>
  <c r="P400" i="20" s="1"/>
  <c r="P412" i="20" s="1"/>
  <c r="P424" i="20" s="1"/>
  <c r="P436" i="20" s="1"/>
  <c r="P448" i="20" s="1"/>
  <c r="P460" i="20" s="1"/>
  <c r="P472" i="20" s="1"/>
  <c r="P484" i="20" s="1"/>
  <c r="P496" i="20" s="1"/>
  <c r="P508" i="20" s="1"/>
  <c r="P520" i="20" s="1"/>
  <c r="P532" i="20" s="1"/>
  <c r="P544" i="20" s="1"/>
  <c r="P556" i="20" s="1"/>
  <c r="P568" i="20" s="1"/>
  <c r="P580" i="20" s="1"/>
  <c r="D642" i="20"/>
  <c r="D654" i="20" s="1"/>
  <c r="D666" i="20" s="1"/>
  <c r="D678" i="20" s="1"/>
  <c r="D690" i="20" s="1"/>
  <c r="D702" i="20" s="1"/>
  <c r="D714" i="20" s="1"/>
  <c r="D726" i="20" s="1"/>
  <c r="D738" i="20" s="1"/>
  <c r="D750" i="20" s="1"/>
  <c r="O288" i="20"/>
  <c r="O300" i="20" s="1"/>
  <c r="O312" i="20" s="1"/>
  <c r="O324" i="20" s="1"/>
  <c r="O336" i="20" s="1"/>
  <c r="O348" i="20" s="1"/>
  <c r="O360" i="20" s="1"/>
  <c r="O372" i="20" s="1"/>
  <c r="O384" i="20" s="1"/>
  <c r="O396" i="20" s="1"/>
  <c r="O408" i="20" s="1"/>
  <c r="O420" i="20" s="1"/>
  <c r="O432" i="20" s="1"/>
  <c r="O444" i="20" s="1"/>
  <c r="O456" i="20" s="1"/>
  <c r="O468" i="20" s="1"/>
  <c r="O480" i="20" s="1"/>
  <c r="O492" i="20" s="1"/>
  <c r="O504" i="20" s="1"/>
  <c r="O516" i="20" s="1"/>
  <c r="O528" i="20" s="1"/>
  <c r="O540" i="20" s="1"/>
  <c r="O552" i="20" s="1"/>
  <c r="O564" i="20" s="1"/>
  <c r="O576" i="20" s="1"/>
  <c r="O588" i="20" s="1"/>
  <c r="O600" i="20" s="1"/>
  <c r="O612" i="20" s="1"/>
  <c r="O624" i="20" s="1"/>
  <c r="O636" i="20" s="1"/>
  <c r="O648" i="20" s="1"/>
  <c r="O660" i="20" s="1"/>
  <c r="O672" i="20" s="1"/>
  <c r="O684" i="20" s="1"/>
  <c r="O696" i="20" s="1"/>
  <c r="O708" i="20" s="1"/>
  <c r="O720" i="20" s="1"/>
  <c r="O732" i="20" s="1"/>
  <c r="O744" i="20" s="1"/>
  <c r="O425" i="20"/>
  <c r="O437" i="20" s="1"/>
  <c r="O449" i="20" s="1"/>
  <c r="O461" i="20" s="1"/>
  <c r="O473" i="20" s="1"/>
  <c r="O485" i="20" s="1"/>
  <c r="O497" i="20" s="1"/>
  <c r="O509" i="20" s="1"/>
  <c r="O521" i="20" s="1"/>
  <c r="O533" i="20" s="1"/>
  <c r="O545" i="20" s="1"/>
  <c r="O557" i="20" s="1"/>
  <c r="O569" i="20" s="1"/>
  <c r="O581" i="20" s="1"/>
  <c r="O593" i="20" s="1"/>
  <c r="O605" i="20"/>
  <c r="O617" i="20" s="1"/>
  <c r="O629" i="20" s="1"/>
  <c r="O641" i="20" s="1"/>
  <c r="O653" i="20" s="1"/>
  <c r="O665" i="20" s="1"/>
  <c r="O677" i="20"/>
  <c r="O689" i="20" s="1"/>
  <c r="O701" i="20" s="1"/>
  <c r="O713" i="20" s="1"/>
  <c r="O725" i="20" s="1"/>
  <c r="O737" i="20" s="1"/>
  <c r="O749" i="20" s="1"/>
  <c r="P545" i="20"/>
  <c r="P557" i="20" s="1"/>
  <c r="P569" i="20" s="1"/>
  <c r="P581" i="20" s="1"/>
  <c r="P593" i="20" s="1"/>
  <c r="P605" i="20" s="1"/>
  <c r="P617" i="20" s="1"/>
  <c r="P629" i="20" s="1"/>
  <c r="P641" i="20" s="1"/>
  <c r="P653" i="20" s="1"/>
  <c r="P665" i="20" s="1"/>
  <c r="P677" i="20" s="1"/>
  <c r="P689" i="20" s="1"/>
  <c r="P701" i="20" s="1"/>
  <c r="P713" i="20" s="1"/>
  <c r="P725" i="20" s="1"/>
  <c r="P737" i="20" s="1"/>
  <c r="P749" i="20" s="1"/>
  <c r="P415" i="20"/>
  <c r="P427" i="20" s="1"/>
  <c r="P439" i="20" s="1"/>
  <c r="P451" i="20" s="1"/>
  <c r="P463" i="20" s="1"/>
  <c r="P475" i="20" s="1"/>
  <c r="P487" i="20" s="1"/>
  <c r="P499" i="20" s="1"/>
  <c r="P511" i="20" s="1"/>
  <c r="P523" i="20" s="1"/>
  <c r="P535" i="20" s="1"/>
  <c r="P547" i="20" s="1"/>
  <c r="P559" i="20" s="1"/>
  <c r="P571" i="20" s="1"/>
  <c r="P583" i="20" s="1"/>
  <c r="P595" i="20" s="1"/>
  <c r="P607" i="20" s="1"/>
  <c r="P619" i="20" s="1"/>
  <c r="P631" i="20" s="1"/>
  <c r="P643" i="20" s="1"/>
  <c r="P655" i="20" s="1"/>
  <c r="P667" i="20" s="1"/>
  <c r="P679" i="20" s="1"/>
  <c r="P691" i="20" s="1"/>
  <c r="P703" i="20" s="1"/>
  <c r="P715" i="20" s="1"/>
  <c r="P727" i="20" s="1"/>
  <c r="P739" i="20" s="1"/>
  <c r="P751" i="20" s="1"/>
  <c r="D440" i="20"/>
  <c r="D452" i="20" s="1"/>
  <c r="D464" i="20" s="1"/>
  <c r="D476" i="20" s="1"/>
  <c r="D488" i="20" s="1"/>
  <c r="D500" i="20" s="1"/>
  <c r="D512" i="20"/>
  <c r="D524" i="20" s="1"/>
  <c r="D536" i="20" s="1"/>
  <c r="D548" i="20" s="1"/>
  <c r="D560" i="20" s="1"/>
  <c r="D572" i="20" s="1"/>
  <c r="D584" i="20" s="1"/>
  <c r="D596" i="20" s="1"/>
  <c r="D608" i="20" s="1"/>
  <c r="D620" i="20" s="1"/>
  <c r="D632" i="20" s="1"/>
  <c r="D644" i="20" s="1"/>
  <c r="D656" i="20" s="1"/>
  <c r="D668" i="20" s="1"/>
  <c r="D680" i="20" s="1"/>
  <c r="D692" i="20" s="1"/>
  <c r="D704" i="20" s="1"/>
  <c r="D716" i="20" s="1"/>
  <c r="D728" i="20" s="1"/>
  <c r="D740" i="20" s="1"/>
  <c r="D752" i="20" s="1"/>
  <c r="C291" i="20"/>
  <c r="C303" i="20" s="1"/>
  <c r="C315" i="20" s="1"/>
  <c r="C327" i="20" s="1"/>
  <c r="C339" i="20" s="1"/>
  <c r="C351" i="20" s="1"/>
  <c r="C363" i="20" s="1"/>
  <c r="C375" i="20" s="1"/>
  <c r="C387" i="20" s="1"/>
  <c r="C399" i="20" s="1"/>
  <c r="C411" i="20" s="1"/>
  <c r="C423" i="20" s="1"/>
  <c r="C435" i="20" s="1"/>
  <c r="C447" i="20" s="1"/>
  <c r="C459" i="20" s="1"/>
  <c r="C471" i="20" s="1"/>
  <c r="C483" i="20" s="1"/>
  <c r="C495" i="20" s="1"/>
  <c r="C507" i="20" s="1"/>
  <c r="C519" i="20" s="1"/>
  <c r="C531" i="20" s="1"/>
  <c r="C543" i="20" s="1"/>
  <c r="C555" i="20" s="1"/>
  <c r="C567" i="20" s="1"/>
  <c r="C579" i="20" s="1"/>
  <c r="C591" i="20" s="1"/>
  <c r="C603" i="20" s="1"/>
  <c r="C615" i="20" s="1"/>
  <c r="C627" i="20" s="1"/>
  <c r="C639" i="20" s="1"/>
  <c r="C651" i="20" s="1"/>
  <c r="C663" i="20" s="1"/>
  <c r="C675" i="20" s="1"/>
  <c r="C687" i="20" s="1"/>
  <c r="C699" i="20" s="1"/>
  <c r="C711" i="20" s="1"/>
  <c r="C723" i="20" s="1"/>
  <c r="C735" i="20" s="1"/>
  <c r="C747" i="20" s="1"/>
  <c r="P592" i="20"/>
  <c r="P604" i="20" s="1"/>
  <c r="P616" i="20" s="1"/>
  <c r="P628" i="20" s="1"/>
  <c r="P640" i="20" s="1"/>
  <c r="P652" i="20" s="1"/>
  <c r="P664" i="20" s="1"/>
  <c r="P676" i="20" s="1"/>
  <c r="P688" i="20" s="1"/>
  <c r="P700" i="20" s="1"/>
  <c r="P712" i="20" s="1"/>
  <c r="P724" i="20" s="1"/>
  <c r="P736" i="20" s="1"/>
  <c r="P748" i="20" s="1"/>
  <c r="D624" i="20"/>
  <c r="D636" i="20" s="1"/>
  <c r="D648" i="20" s="1"/>
  <c r="D660" i="20" s="1"/>
  <c r="D672" i="20" s="1"/>
  <c r="D684" i="20" s="1"/>
  <c r="D696" i="20" s="1"/>
  <c r="D708" i="20" s="1"/>
  <c r="D720" i="20" s="1"/>
  <c r="D732" i="20" s="1"/>
  <c r="D744" i="20" s="1"/>
  <c r="O484" i="20"/>
  <c r="O496" i="20"/>
  <c r="O508" i="20" s="1"/>
  <c r="O520" i="20" s="1"/>
  <c r="O532" i="20" s="1"/>
  <c r="O544" i="20" s="1"/>
  <c r="O556" i="20" s="1"/>
  <c r="O568" i="20" s="1"/>
  <c r="O580" i="20" s="1"/>
  <c r="O592" i="20" s="1"/>
  <c r="O604" i="20" s="1"/>
  <c r="O616" i="20" s="1"/>
  <c r="O628" i="20" s="1"/>
  <c r="O640" i="20" s="1"/>
  <c r="O652" i="20" s="1"/>
  <c r="O664" i="20" s="1"/>
  <c r="O676" i="20" s="1"/>
  <c r="O688" i="20" s="1"/>
  <c r="O700" i="20" s="1"/>
  <c r="O712" i="20"/>
  <c r="O724" i="20" s="1"/>
  <c r="O736" i="20" s="1"/>
  <c r="O748" i="20" s="1"/>
  <c r="O538" i="20"/>
  <c r="O550" i="20" s="1"/>
  <c r="O562" i="20" s="1"/>
  <c r="O574" i="20" s="1"/>
  <c r="O586" i="20" s="1"/>
  <c r="O598" i="20" s="1"/>
  <c r="O610" i="20" s="1"/>
  <c r="O622" i="20" s="1"/>
  <c r="O634" i="20" s="1"/>
  <c r="O646" i="20" s="1"/>
  <c r="O658" i="20" s="1"/>
  <c r="O670" i="20" s="1"/>
  <c r="O682" i="20" s="1"/>
  <c r="O694" i="20" s="1"/>
  <c r="O706" i="20" s="1"/>
  <c r="O718" i="20" s="1"/>
  <c r="O730" i="20" s="1"/>
  <c r="O742" i="20" s="1"/>
  <c r="O754" i="20" s="1"/>
  <c r="D523" i="20"/>
  <c r="D535" i="20" s="1"/>
  <c r="D547" i="20" s="1"/>
  <c r="D559" i="20" s="1"/>
  <c r="D571" i="20" s="1"/>
  <c r="D583" i="20" s="1"/>
  <c r="D595" i="20" s="1"/>
  <c r="D607" i="20" s="1"/>
  <c r="D619" i="20" s="1"/>
  <c r="D631" i="20" s="1"/>
  <c r="D643" i="20" s="1"/>
  <c r="D655" i="20" s="1"/>
  <c r="D667" i="20" s="1"/>
  <c r="D679" i="20" s="1"/>
  <c r="D691" i="20" s="1"/>
  <c r="D703" i="20" s="1"/>
  <c r="D715" i="20" s="1"/>
  <c r="D727" i="20" s="1"/>
  <c r="D739" i="20" s="1"/>
  <c r="D751" i="20" s="1"/>
  <c r="P408" i="20"/>
  <c r="P420" i="20" s="1"/>
  <c r="P432" i="20" s="1"/>
  <c r="P444" i="20" s="1"/>
  <c r="P456" i="20" s="1"/>
  <c r="P468" i="20" s="1"/>
  <c r="P480" i="20" s="1"/>
  <c r="P492" i="20" s="1"/>
  <c r="P504" i="20" s="1"/>
  <c r="P516" i="20" s="1"/>
  <c r="P528" i="20" s="1"/>
  <c r="P540" i="20" s="1"/>
  <c r="P552" i="20" s="1"/>
  <c r="P564" i="20" s="1"/>
  <c r="P576" i="20" s="1"/>
  <c r="P588" i="20" s="1"/>
  <c r="P600" i="20" s="1"/>
  <c r="P612" i="20" s="1"/>
  <c r="P624" i="20" s="1"/>
  <c r="P636" i="20" s="1"/>
  <c r="P648" i="20" s="1"/>
  <c r="P660" i="20" s="1"/>
  <c r="P672" i="20" s="1"/>
  <c r="P684" i="20" s="1"/>
  <c r="P696" i="20" s="1"/>
  <c r="P708" i="20" s="1"/>
  <c r="P720" i="20" s="1"/>
  <c r="P732" i="20" s="1"/>
  <c r="P744" i="20" s="1"/>
  <c r="C589" i="20"/>
  <c r="C601" i="20"/>
  <c r="C613" i="20" s="1"/>
  <c r="C625" i="20" s="1"/>
  <c r="C637" i="20" s="1"/>
  <c r="C649" i="20" s="1"/>
  <c r="C661" i="20" s="1"/>
  <c r="C673" i="20" s="1"/>
  <c r="C685" i="20" s="1"/>
  <c r="C697" i="20" s="1"/>
  <c r="C709" i="20" s="1"/>
  <c r="C721" i="20" s="1"/>
  <c r="C733" i="20" s="1"/>
  <c r="C745" i="20" s="1"/>
  <c r="P602" i="20"/>
  <c r="P614" i="20" s="1"/>
  <c r="P626" i="20" s="1"/>
  <c r="P638" i="20" s="1"/>
  <c r="P650" i="20" s="1"/>
  <c r="P662" i="20" s="1"/>
  <c r="P674" i="20" s="1"/>
  <c r="P686" i="20" s="1"/>
  <c r="P698" i="20" s="1"/>
  <c r="P710" i="20" s="1"/>
  <c r="P722" i="20" s="1"/>
  <c r="P734" i="20" s="1"/>
  <c r="P746" i="20" s="1"/>
  <c r="P546" i="20"/>
  <c r="P558" i="20" s="1"/>
  <c r="P570" i="20" s="1"/>
  <c r="P582" i="20" s="1"/>
  <c r="P594" i="20" s="1"/>
  <c r="P606" i="20" s="1"/>
  <c r="P618" i="20" s="1"/>
  <c r="P630" i="20" s="1"/>
  <c r="P642" i="20" s="1"/>
  <c r="P654" i="20" s="1"/>
  <c r="P666" i="20" s="1"/>
  <c r="P678" i="20" s="1"/>
  <c r="P690" i="20" s="1"/>
  <c r="P702" i="20" s="1"/>
  <c r="P714" i="20" s="1"/>
  <c r="P726" i="20" s="1"/>
  <c r="P738" i="20" s="1"/>
  <c r="P750" i="20" s="1"/>
  <c r="C674" i="20"/>
  <c r="C686" i="20" s="1"/>
  <c r="C698" i="20" s="1"/>
  <c r="C710" i="20" s="1"/>
  <c r="C722" i="20" s="1"/>
  <c r="C734" i="20" s="1"/>
  <c r="C746" i="20" s="1"/>
  <c r="G2" i="19"/>
  <c r="E24" i="19" s="1"/>
  <c r="L3" i="19"/>
  <c r="G4" i="19"/>
  <c r="G28" i="19" s="1"/>
  <c r="L4" i="19"/>
  <c r="G5" i="19"/>
  <c r="L5" i="19"/>
  <c r="L6" i="19"/>
  <c r="L7" i="19"/>
  <c r="L8" i="19"/>
  <c r="L9" i="19"/>
  <c r="L10" i="19"/>
  <c r="L11" i="19"/>
  <c r="L12" i="19"/>
  <c r="L13" i="19"/>
  <c r="L14" i="19"/>
  <c r="L15" i="19"/>
  <c r="L16" i="19"/>
  <c r="L17" i="19"/>
  <c r="G17" i="19"/>
  <c r="G20" i="19"/>
  <c r="V42" i="19"/>
  <c r="V43" i="19" s="1"/>
  <c r="V44" i="19" s="1"/>
  <c r="V45" i="19" s="1"/>
  <c r="V46" i="19" s="1"/>
  <c r="V47" i="19" s="1"/>
  <c r="V48" i="19" s="1"/>
  <c r="V49" i="19" s="1"/>
  <c r="V50" i="19" s="1"/>
  <c r="V51" i="19" s="1"/>
  <c r="V52" i="19" s="1"/>
  <c r="V53" i="19" s="1"/>
  <c r="V54" i="19" s="1"/>
  <c r="V55" i="19" s="1"/>
  <c r="V56" i="19" s="1"/>
  <c r="V57" i="19" s="1"/>
  <c r="V58" i="19" s="1"/>
  <c r="V59" i="19" s="1"/>
  <c r="V60" i="19" s="1"/>
  <c r="V61" i="19" s="1"/>
  <c r="V62" i="19" s="1"/>
  <c r="V63" i="19" s="1"/>
  <c r="V64" i="19" s="1"/>
  <c r="V65" i="19" s="1"/>
  <c r="V66" i="19" s="1"/>
  <c r="V67" i="19" s="1"/>
  <c r="V68" i="19" s="1"/>
  <c r="V69" i="19" s="1"/>
  <c r="V70" i="19" s="1"/>
  <c r="V71" i="19" s="1"/>
  <c r="V72" i="19" s="1"/>
  <c r="V73" i="19" s="1"/>
  <c r="V74" i="19" s="1"/>
  <c r="V75" i="19"/>
  <c r="V76" i="19" s="1"/>
  <c r="V77" i="19" s="1"/>
  <c r="V78" i="19" s="1"/>
  <c r="V79" i="19" s="1"/>
  <c r="V80" i="19" s="1"/>
  <c r="V81" i="19" s="1"/>
  <c r="V82" i="19" s="1"/>
  <c r="V83" i="19" s="1"/>
  <c r="V84" i="19" s="1"/>
  <c r="V85" i="19" s="1"/>
  <c r="V86" i="19" s="1"/>
  <c r="V87" i="19" s="1"/>
  <c r="V88" i="19" s="1"/>
  <c r="V89" i="19" s="1"/>
  <c r="V90" i="19" s="1"/>
  <c r="V91" i="19" s="1"/>
  <c r="V92" i="19" s="1"/>
  <c r="V93" i="19" s="1"/>
  <c r="V94" i="19" s="1"/>
  <c r="V95" i="19" s="1"/>
  <c r="V96" i="19" s="1"/>
  <c r="V97" i="19" s="1"/>
  <c r="V98" i="19" s="1"/>
  <c r="V99" i="19" s="1"/>
  <c r="V100" i="19" s="1"/>
  <c r="V101" i="19" s="1"/>
  <c r="V102" i="19" s="1"/>
  <c r="V103" i="19" s="1"/>
  <c r="V104" i="19" s="1"/>
  <c r="V105" i="19" s="1"/>
  <c r="V106" i="19" s="1"/>
  <c r="V107" i="19" s="1"/>
  <c r="V108" i="19" s="1"/>
  <c r="V109" i="19" s="1"/>
  <c r="V110" i="19" s="1"/>
  <c r="V111" i="19" s="1"/>
  <c r="V112" i="19" s="1"/>
  <c r="V113" i="19" s="1"/>
  <c r="V114" i="19" s="1"/>
  <c r="V115" i="19" s="1"/>
  <c r="V116" i="19" s="1"/>
  <c r="V117" i="19" s="1"/>
  <c r="V118" i="19" s="1"/>
  <c r="V119" i="19" s="1"/>
  <c r="V120" i="19" s="1"/>
  <c r="V121" i="19" s="1"/>
  <c r="V122" i="19" s="1"/>
  <c r="V123" i="19" s="1"/>
  <c r="V124" i="19" s="1"/>
  <c r="V125" i="19" s="1"/>
  <c r="V126" i="19" s="1"/>
  <c r="V127" i="19" s="1"/>
  <c r="V128" i="19" s="1"/>
  <c r="V129" i="19" s="1"/>
  <c r="V130" i="19" s="1"/>
  <c r="V131" i="19" s="1"/>
  <c r="V132" i="19" s="1"/>
  <c r="V133" i="19" s="1"/>
  <c r="V134" i="19" s="1"/>
  <c r="V135" i="19" s="1"/>
  <c r="V136" i="19" s="1"/>
  <c r="V137" i="19" s="1"/>
  <c r="V138" i="19" s="1"/>
  <c r="V139" i="19" s="1"/>
  <c r="V140" i="19" s="1"/>
  <c r="V141" i="19" s="1"/>
  <c r="V142" i="19" s="1"/>
  <c r="V143" i="19" s="1"/>
  <c r="V144" i="19" s="1"/>
  <c r="V145" i="19" s="1"/>
  <c r="V146" i="19" s="1"/>
  <c r="V147" i="19" s="1"/>
  <c r="V148" i="19" s="1"/>
  <c r="V149" i="19" s="1"/>
  <c r="V150" i="19" s="1"/>
  <c r="V151" i="19" s="1"/>
  <c r="V152" i="19" s="1"/>
  <c r="V153" i="19" s="1"/>
  <c r="V154" i="19" s="1"/>
  <c r="V155" i="19" s="1"/>
  <c r="V156" i="19" s="1"/>
  <c r="V157" i="19" s="1"/>
  <c r="V158" i="19" s="1"/>
  <c r="V159" i="19" s="1"/>
  <c r="V160" i="19" s="1"/>
  <c r="V161" i="19" s="1"/>
  <c r="V162" i="19" s="1"/>
  <c r="V163" i="19" s="1"/>
  <c r="V164" i="19" s="1"/>
  <c r="V165" i="19" s="1"/>
  <c r="V166" i="19" s="1"/>
  <c r="V167" i="19" s="1"/>
  <c r="V168" i="19" s="1"/>
  <c r="V169" i="19" s="1"/>
  <c r="V170" i="19" s="1"/>
  <c r="V171" i="19" s="1"/>
  <c r="V172" i="19" s="1"/>
  <c r="V173" i="19" s="1"/>
  <c r="V174" i="19" s="1"/>
  <c r="V175" i="19" s="1"/>
  <c r="V176" i="19" s="1"/>
  <c r="V177" i="19" s="1"/>
  <c r="V178" i="19" s="1"/>
  <c r="V179" i="19" s="1"/>
  <c r="V180" i="19" s="1"/>
  <c r="V181" i="19" s="1"/>
  <c r="V182" i="19" s="1"/>
  <c r="V183" i="19" s="1"/>
  <c r="V184" i="19" s="1"/>
  <c r="V185" i="19" s="1"/>
  <c r="V186" i="19" s="1"/>
  <c r="V187" i="19" s="1"/>
  <c r="V188" i="19" s="1"/>
  <c r="V189" i="19"/>
  <c r="V190" i="19" s="1"/>
  <c r="V191" i="19" s="1"/>
  <c r="V192" i="19" s="1"/>
  <c r="V193" i="19" s="1"/>
  <c r="V194" i="19" s="1"/>
  <c r="V195" i="19" s="1"/>
  <c r="V196" i="19" s="1"/>
  <c r="V197" i="19" s="1"/>
  <c r="V198" i="19" s="1"/>
  <c r="V199" i="19" s="1"/>
  <c r="V200" i="19" s="1"/>
  <c r="V201" i="19" s="1"/>
  <c r="V202" i="19" s="1"/>
  <c r="V203" i="19" s="1"/>
  <c r="V204" i="19" s="1"/>
  <c r="V205" i="19" s="1"/>
  <c r="V206" i="19" s="1"/>
  <c r="V207" i="19" s="1"/>
  <c r="V208" i="19" s="1"/>
  <c r="V209" i="19" s="1"/>
  <c r="V210" i="19" s="1"/>
  <c r="V211" i="19" s="1"/>
  <c r="V212" i="19" s="1"/>
  <c r="V213" i="19" s="1"/>
  <c r="V214" i="19" s="1"/>
  <c r="V215" i="19" s="1"/>
  <c r="V216" i="19" s="1"/>
  <c r="V217" i="19" s="1"/>
  <c r="V218" i="19" s="1"/>
  <c r="V219" i="19" s="1"/>
  <c r="V220" i="19" s="1"/>
  <c r="V221" i="19" s="1"/>
  <c r="V222" i="19" s="1"/>
  <c r="V223" i="19" s="1"/>
  <c r="V224" i="19" s="1"/>
  <c r="V225" i="19" s="1"/>
  <c r="V226" i="19" s="1"/>
  <c r="V227" i="19" s="1"/>
  <c r="V228" i="19" s="1"/>
  <c r="V229" i="19" s="1"/>
  <c r="V230" i="19" s="1"/>
  <c r="V231" i="19" s="1"/>
  <c r="V232" i="19" s="1"/>
  <c r="V233" i="19" s="1"/>
  <c r="V234" i="19" s="1"/>
  <c r="V235" i="19" s="1"/>
  <c r="V236" i="19" s="1"/>
  <c r="V237" i="19" s="1"/>
  <c r="V238" i="19" s="1"/>
  <c r="V239" i="19" s="1"/>
  <c r="V240" i="19" s="1"/>
  <c r="V241" i="19" s="1"/>
  <c r="V242" i="19" s="1"/>
  <c r="V243" i="19" s="1"/>
  <c r="V244" i="19" s="1"/>
  <c r="V245" i="19" s="1"/>
  <c r="V246" i="19" s="1"/>
  <c r="V247" i="19" s="1"/>
  <c r="V248" i="19" s="1"/>
  <c r="V249" i="19" s="1"/>
  <c r="V250" i="19" s="1"/>
  <c r="V251" i="19" s="1"/>
  <c r="V252" i="19" s="1"/>
  <c r="V253" i="19" s="1"/>
  <c r="V254" i="19" s="1"/>
  <c r="V255" i="19" s="1"/>
  <c r="V256" i="19" s="1"/>
  <c r="V257" i="19" s="1"/>
  <c r="V258" i="19" s="1"/>
  <c r="V259" i="19" s="1"/>
  <c r="V260" i="19" s="1"/>
  <c r="V261" i="19" s="1"/>
  <c r="V262" i="19" s="1"/>
  <c r="V263" i="19" s="1"/>
  <c r="V264" i="19" s="1"/>
  <c r="V265" i="19" s="1"/>
  <c r="V266" i="19" s="1"/>
  <c r="V267" i="19" s="1"/>
  <c r="V268" i="19" s="1"/>
  <c r="V269" i="19" s="1"/>
  <c r="V270" i="19" s="1"/>
  <c r="V271" i="19" s="1"/>
  <c r="V272" i="19" s="1"/>
  <c r="V273" i="19" s="1"/>
  <c r="V274" i="19" s="1"/>
  <c r="V275" i="19" s="1"/>
  <c r="V276" i="19" s="1"/>
  <c r="V277" i="19" s="1"/>
  <c r="V278" i="19" s="1"/>
  <c r="V279" i="19" s="1"/>
  <c r="V280" i="19" s="1"/>
  <c r="V281" i="19" s="1"/>
  <c r="V282" i="19" s="1"/>
  <c r="V283" i="19" s="1"/>
  <c r="V284" i="19" s="1"/>
  <c r="V285" i="19" s="1"/>
  <c r="V286" i="19" s="1"/>
  <c r="V287" i="19" s="1"/>
  <c r="V288" i="19" s="1"/>
  <c r="V289" i="19" s="1"/>
  <c r="V290" i="19" s="1"/>
  <c r="V291" i="19" s="1"/>
  <c r="V292" i="19" s="1"/>
  <c r="V293" i="19" s="1"/>
  <c r="V294" i="19" s="1"/>
  <c r="V295" i="19" s="1"/>
  <c r="V296" i="19" s="1"/>
  <c r="V297" i="19" s="1"/>
  <c r="V298" i="19" s="1"/>
  <c r="V299" i="19" s="1"/>
  <c r="V300" i="19" s="1"/>
  <c r="V301" i="19" s="1"/>
  <c r="V302" i="19" s="1"/>
  <c r="V303" i="19" s="1"/>
  <c r="V304" i="19" s="1"/>
  <c r="V305" i="19" s="1"/>
  <c r="V306" i="19" s="1"/>
  <c r="V307" i="19" s="1"/>
  <c r="V308" i="19" s="1"/>
  <c r="V309" i="19" s="1"/>
  <c r="V310" i="19" s="1"/>
  <c r="V311" i="19" s="1"/>
  <c r="V312" i="19" s="1"/>
  <c r="V313" i="19" s="1"/>
  <c r="V314" i="19" s="1"/>
  <c r="V315" i="19" s="1"/>
  <c r="V316" i="19" s="1"/>
  <c r="V317" i="19" s="1"/>
  <c r="V318" i="19" s="1"/>
  <c r="V319" i="19" s="1"/>
  <c r="V320" i="19" s="1"/>
  <c r="V321" i="19" s="1"/>
  <c r="V322" i="19" s="1"/>
  <c r="V323" i="19" s="1"/>
  <c r="V324" i="19" s="1"/>
  <c r="V325" i="19" s="1"/>
  <c r="V326" i="19" s="1"/>
  <c r="V327" i="19" s="1"/>
  <c r="V328" i="19" s="1"/>
  <c r="V329" i="19" s="1"/>
  <c r="V330" i="19" s="1"/>
  <c r="V331" i="19" s="1"/>
  <c r="V332" i="19" s="1"/>
  <c r="V333" i="19" s="1"/>
  <c r="V334" i="19" s="1"/>
  <c r="V335" i="19" s="1"/>
  <c r="V336" i="19" s="1"/>
  <c r="V337" i="19" s="1"/>
  <c r="V338" i="19" s="1"/>
  <c r="V339" i="19" s="1"/>
  <c r="V340" i="19" s="1"/>
  <c r="V341" i="19" s="1"/>
  <c r="V342" i="19" s="1"/>
  <c r="V343" i="19" s="1"/>
  <c r="V344" i="19" s="1"/>
  <c r="V345" i="19" s="1"/>
  <c r="V346" i="19" s="1"/>
  <c r="V347" i="19" s="1"/>
  <c r="V348" i="19" s="1"/>
  <c r="V349" i="19" s="1"/>
  <c r="V350" i="19" s="1"/>
  <c r="V351" i="19" s="1"/>
  <c r="V352" i="19" s="1"/>
  <c r="V353" i="19" s="1"/>
  <c r="V354" i="19" s="1"/>
  <c r="V355" i="19" s="1"/>
  <c r="V356" i="19" s="1"/>
  <c r="V357" i="19" s="1"/>
  <c r="V358" i="19" s="1"/>
  <c r="V359" i="19" s="1"/>
  <c r="V360" i="19" s="1"/>
  <c r="V361" i="19" s="1"/>
  <c r="V362" i="19" s="1"/>
  <c r="V363" i="19" s="1"/>
  <c r="V364" i="19" s="1"/>
  <c r="V365" i="19" s="1"/>
  <c r="V366" i="19" s="1"/>
  <c r="V367" i="19" s="1"/>
  <c r="V368" i="19" s="1"/>
  <c r="V369" i="19" s="1"/>
  <c r="V370" i="19" s="1"/>
  <c r="V371" i="19" s="1"/>
  <c r="V372" i="19" s="1"/>
  <c r="V373" i="19" s="1"/>
  <c r="V374" i="19" s="1"/>
  <c r="V375" i="19" s="1"/>
  <c r="V376" i="19" s="1"/>
  <c r="V377" i="19" s="1"/>
  <c r="V378" i="19" s="1"/>
  <c r="V379" i="19" s="1"/>
  <c r="V380" i="19" s="1"/>
  <c r="V381" i="19" s="1"/>
  <c r="V382" i="19" s="1"/>
  <c r="V383" i="19" s="1"/>
  <c r="V384" i="19" s="1"/>
  <c r="V385" i="19" s="1"/>
  <c r="V386" i="19" s="1"/>
  <c r="V387" i="19" s="1"/>
  <c r="V388" i="19" s="1"/>
  <c r="V389" i="19" s="1"/>
  <c r="V390" i="19" s="1"/>
  <c r="V391" i="19" s="1"/>
  <c r="V392" i="19" s="1"/>
  <c r="V393" i="19" s="1"/>
  <c r="V394" i="19" s="1"/>
  <c r="V395" i="19" s="1"/>
  <c r="V396" i="19" s="1"/>
  <c r="V397" i="19" s="1"/>
  <c r="V398" i="19" s="1"/>
  <c r="V399" i="19" s="1"/>
  <c r="V400" i="19" s="1"/>
  <c r="V401" i="19" s="1"/>
  <c r="V402" i="19" s="1"/>
  <c r="V403" i="19" s="1"/>
  <c r="V404" i="19" s="1"/>
  <c r="V405" i="19" s="1"/>
  <c r="V406" i="19" s="1"/>
  <c r="V407" i="19" s="1"/>
  <c r="V408" i="19" s="1"/>
  <c r="V409" i="19" s="1"/>
  <c r="V410" i="19" s="1"/>
  <c r="V411" i="19" s="1"/>
  <c r="V412" i="19" s="1"/>
  <c r="V413" i="19" s="1"/>
  <c r="V414" i="19" s="1"/>
  <c r="V415" i="19" s="1"/>
  <c r="V416" i="19" s="1"/>
  <c r="V417" i="19" s="1"/>
  <c r="V418" i="19" s="1"/>
  <c r="V419" i="19" s="1"/>
  <c r="V420" i="19" s="1"/>
  <c r="V421" i="19" s="1"/>
  <c r="V422" i="19" s="1"/>
  <c r="V423" i="19" s="1"/>
  <c r="V424" i="19" s="1"/>
  <c r="V425" i="19" s="1"/>
  <c r="V426" i="19" s="1"/>
  <c r="V427" i="19" s="1"/>
  <c r="V428" i="19" s="1"/>
  <c r="V429" i="19" s="1"/>
  <c r="V430" i="19" s="1"/>
  <c r="V431" i="19" s="1"/>
  <c r="V432" i="19" s="1"/>
  <c r="V433" i="19" s="1"/>
  <c r="V434" i="19" s="1"/>
  <c r="V435" i="19" s="1"/>
  <c r="V436" i="19" s="1"/>
  <c r="V437" i="19" s="1"/>
  <c r="V438" i="19" s="1"/>
  <c r="V439" i="19" s="1"/>
  <c r="V440" i="19" s="1"/>
  <c r="V441" i="19" s="1"/>
  <c r="V442" i="19" s="1"/>
  <c r="V443" i="19" s="1"/>
  <c r="V444" i="19" s="1"/>
  <c r="V445" i="19" s="1"/>
  <c r="V446" i="19" s="1"/>
  <c r="V447" i="19" s="1"/>
  <c r="V448" i="19" s="1"/>
  <c r="V449" i="19" s="1"/>
  <c r="V450" i="19" s="1"/>
  <c r="V451" i="19" s="1"/>
  <c r="V452" i="19" s="1"/>
  <c r="V453" i="19" s="1"/>
  <c r="V454" i="19" s="1"/>
  <c r="V455" i="19" s="1"/>
  <c r="V456" i="19" s="1"/>
  <c r="V457" i="19" s="1"/>
  <c r="V458" i="19" s="1"/>
  <c r="V459" i="19" s="1"/>
  <c r="V460" i="19" s="1"/>
  <c r="V461" i="19" s="1"/>
  <c r="V462" i="19" s="1"/>
  <c r="V463" i="19" s="1"/>
  <c r="V464" i="19" s="1"/>
  <c r="V465" i="19" s="1"/>
  <c r="V466" i="19" s="1"/>
  <c r="V467" i="19" s="1"/>
  <c r="V468" i="19" s="1"/>
  <c r="V469" i="19" s="1"/>
  <c r="V470" i="19" s="1"/>
  <c r="V471" i="19" s="1"/>
  <c r="V472" i="19" s="1"/>
  <c r="V473" i="19" s="1"/>
  <c r="V474" i="19" s="1"/>
  <c r="V475" i="19" s="1"/>
  <c r="V476" i="19" s="1"/>
  <c r="V477" i="19" s="1"/>
  <c r="V478" i="19" s="1"/>
  <c r="V479" i="19" s="1"/>
  <c r="V480" i="19" s="1"/>
  <c r="V481" i="19" s="1"/>
  <c r="V482" i="19" s="1"/>
  <c r="V483" i="19" s="1"/>
  <c r="V484" i="19" s="1"/>
  <c r="V485" i="19" s="1"/>
  <c r="V486" i="19" s="1"/>
  <c r="V487" i="19" s="1"/>
  <c r="V488" i="19" s="1"/>
  <c r="V489" i="19" s="1"/>
  <c r="V490" i="19" s="1"/>
  <c r="V491" i="19" s="1"/>
  <c r="V492" i="19" s="1"/>
  <c r="V493" i="19" s="1"/>
  <c r="V494" i="19" s="1"/>
  <c r="V495" i="19" s="1"/>
  <c r="V496" i="19" s="1"/>
  <c r="V497" i="19" s="1"/>
  <c r="V498" i="19" s="1"/>
  <c r="V499" i="19" s="1"/>
  <c r="V500" i="19" s="1"/>
  <c r="V501" i="19" s="1"/>
  <c r="V502" i="19" s="1"/>
  <c r="V503" i="19" s="1"/>
  <c r="V504" i="19" s="1"/>
  <c r="V505" i="19" s="1"/>
  <c r="V506" i="19" s="1"/>
  <c r="V507" i="19" s="1"/>
  <c r="V508" i="19" s="1"/>
  <c r="V509" i="19" s="1"/>
  <c r="V510" i="19" s="1"/>
  <c r="V511" i="19" s="1"/>
  <c r="V512" i="19" s="1"/>
  <c r="V513" i="19"/>
  <c r="V514" i="19" s="1"/>
  <c r="V515" i="19" s="1"/>
  <c r="V516" i="19" s="1"/>
  <c r="V517" i="19" s="1"/>
  <c r="V518" i="19" s="1"/>
  <c r="V519" i="19" s="1"/>
  <c r="V520" i="19" s="1"/>
  <c r="V521" i="19" s="1"/>
  <c r="V522" i="19" s="1"/>
  <c r="V523" i="19" s="1"/>
  <c r="V524" i="19" s="1"/>
  <c r="V525" i="19" s="1"/>
  <c r="V526" i="19" s="1"/>
  <c r="V527" i="19" s="1"/>
  <c r="V528" i="19" s="1"/>
  <c r="V529" i="19" s="1"/>
  <c r="V530" i="19" s="1"/>
  <c r="V531" i="19" s="1"/>
  <c r="V532" i="19" s="1"/>
  <c r="V533" i="19" s="1"/>
  <c r="V534" i="19" s="1"/>
  <c r="V535" i="19" s="1"/>
  <c r="V536" i="19" s="1"/>
  <c r="V537" i="19" s="1"/>
  <c r="V538" i="19" s="1"/>
  <c r="V539" i="19" s="1"/>
  <c r="V540" i="19" s="1"/>
  <c r="V541" i="19" s="1"/>
  <c r="V542" i="19" s="1"/>
  <c r="V543" i="19" s="1"/>
  <c r="V544" i="19" s="1"/>
  <c r="V545" i="19" s="1"/>
  <c r="V546" i="19" s="1"/>
  <c r="V547" i="19" s="1"/>
  <c r="V548" i="19" s="1"/>
  <c r="V549" i="19" s="1"/>
  <c r="V550" i="19" s="1"/>
  <c r="V551" i="19" s="1"/>
  <c r="V552" i="19" s="1"/>
  <c r="V553" i="19" s="1"/>
  <c r="V554" i="19" s="1"/>
  <c r="V555" i="19" s="1"/>
  <c r="V556" i="19" s="1"/>
  <c r="V557" i="19" s="1"/>
  <c r="V558" i="19" s="1"/>
  <c r="V559" i="19" s="1"/>
  <c r="V560" i="19" s="1"/>
  <c r="V561" i="19" s="1"/>
  <c r="V562" i="19" s="1"/>
  <c r="V563" i="19" s="1"/>
  <c r="V564" i="19" s="1"/>
  <c r="V565" i="19" s="1"/>
  <c r="V566" i="19" s="1"/>
  <c r="V567" i="19" s="1"/>
  <c r="V568" i="19" s="1"/>
  <c r="V569" i="19" s="1"/>
  <c r="V570" i="19" s="1"/>
  <c r="V571" i="19" s="1"/>
  <c r="V572" i="19" s="1"/>
  <c r="V573" i="19" s="1"/>
  <c r="V574" i="19" s="1"/>
  <c r="V575" i="19" s="1"/>
  <c r="V576" i="19" s="1"/>
  <c r="V577" i="19" s="1"/>
  <c r="V578" i="19" s="1"/>
  <c r="V579" i="19" s="1"/>
  <c r="V580" i="19" s="1"/>
  <c r="V581" i="19" s="1"/>
  <c r="V582" i="19" s="1"/>
  <c r="V583" i="19" s="1"/>
  <c r="V584" i="19" s="1"/>
  <c r="V585" i="19" s="1"/>
  <c r="V586" i="19" s="1"/>
  <c r="V587" i="19" s="1"/>
  <c r="V588" i="19" s="1"/>
  <c r="V589" i="19" s="1"/>
  <c r="V590" i="19" s="1"/>
  <c r="V591" i="19" s="1"/>
  <c r="V592" i="19" s="1"/>
  <c r="V593" i="19" s="1"/>
  <c r="V594" i="19" s="1"/>
  <c r="V595" i="19" s="1"/>
  <c r="V596" i="19" s="1"/>
  <c r="V597" i="19" s="1"/>
  <c r="V598" i="19" s="1"/>
  <c r="V599" i="19" s="1"/>
  <c r="V600" i="19" s="1"/>
  <c r="V601" i="19" s="1"/>
  <c r="V602" i="19" s="1"/>
  <c r="V603" i="19" s="1"/>
  <c r="V604" i="19" s="1"/>
  <c r="V605" i="19" s="1"/>
  <c r="V606" i="19" s="1"/>
  <c r="V607" i="19" s="1"/>
  <c r="V608" i="19" s="1"/>
  <c r="V609" i="19" s="1"/>
  <c r="V610" i="19" s="1"/>
  <c r="V611" i="19" s="1"/>
  <c r="V612" i="19" s="1"/>
  <c r="V613" i="19" s="1"/>
  <c r="V614" i="19" s="1"/>
  <c r="V615" i="19" s="1"/>
  <c r="V616" i="19" s="1"/>
  <c r="V617" i="19" s="1"/>
  <c r="V618" i="19" s="1"/>
  <c r="V619" i="19" s="1"/>
  <c r="V620" i="19" s="1"/>
  <c r="V621" i="19" s="1"/>
  <c r="V622" i="19" s="1"/>
  <c r="V623" i="19" s="1"/>
  <c r="V624" i="19" s="1"/>
  <c r="V625" i="19" s="1"/>
  <c r="V626" i="19" s="1"/>
  <c r="V627" i="19" s="1"/>
  <c r="V628" i="19" s="1"/>
  <c r="V629" i="19" s="1"/>
  <c r="V630" i="19" s="1"/>
  <c r="V631" i="19" s="1"/>
  <c r="V632" i="19" s="1"/>
  <c r="V633" i="19" s="1"/>
  <c r="V634" i="19" s="1"/>
  <c r="V635" i="19" s="1"/>
  <c r="V636" i="19" s="1"/>
  <c r="V637" i="19" s="1"/>
  <c r="V638" i="19" s="1"/>
  <c r="V639" i="19" s="1"/>
  <c r="V640" i="19" s="1"/>
  <c r="V641" i="19" s="1"/>
  <c r="V642" i="19" s="1"/>
  <c r="V643" i="19" s="1"/>
  <c r="V644" i="19" s="1"/>
  <c r="V645" i="19" s="1"/>
  <c r="V646" i="19" s="1"/>
  <c r="V647" i="19" s="1"/>
  <c r="V648" i="19" s="1"/>
  <c r="V649" i="19" s="1"/>
  <c r="V650" i="19" s="1"/>
  <c r="V651" i="19" s="1"/>
  <c r="V652" i="19" s="1"/>
  <c r="V653" i="19" s="1"/>
  <c r="V654" i="19" s="1"/>
  <c r="V655" i="19" s="1"/>
  <c r="V656" i="19" s="1"/>
  <c r="V657" i="19" s="1"/>
  <c r="V658" i="19" s="1"/>
  <c r="V659" i="19" s="1"/>
  <c r="V660" i="19" s="1"/>
  <c r="V661" i="19" s="1"/>
  <c r="V662" i="19" s="1"/>
  <c r="V663" i="19" s="1"/>
  <c r="V664" i="19" s="1"/>
  <c r="V665" i="19" s="1"/>
  <c r="V666" i="19" s="1"/>
  <c r="V667" i="19" s="1"/>
  <c r="V668" i="19" s="1"/>
  <c r="V669" i="19" s="1"/>
  <c r="V670" i="19" s="1"/>
  <c r="V671" i="19" s="1"/>
  <c r="V672" i="19" s="1"/>
  <c r="V673" i="19" s="1"/>
  <c r="V674" i="19" s="1"/>
  <c r="V675" i="19" s="1"/>
  <c r="V676" i="19" s="1"/>
  <c r="V677" i="19" s="1"/>
  <c r="V678" i="19" s="1"/>
  <c r="V679" i="19" s="1"/>
  <c r="V680" i="19" s="1"/>
  <c r="V681" i="19" s="1"/>
  <c r="V682" i="19" s="1"/>
  <c r="V683" i="19" s="1"/>
  <c r="V684" i="19" s="1"/>
  <c r="V685" i="19" s="1"/>
  <c r="V686" i="19" s="1"/>
  <c r="V687" i="19" s="1"/>
  <c r="V688" i="19" s="1"/>
  <c r="V689" i="19" s="1"/>
  <c r="V690" i="19" s="1"/>
  <c r="V691" i="19" s="1"/>
  <c r="V692" i="19" s="1"/>
  <c r="V693" i="19" s="1"/>
  <c r="V694" i="19" s="1"/>
  <c r="V695" i="19" s="1"/>
  <c r="V696" i="19" s="1"/>
  <c r="V697" i="19" s="1"/>
  <c r="V698" i="19" s="1"/>
  <c r="V699" i="19" s="1"/>
  <c r="V700" i="19" s="1"/>
  <c r="V701" i="19" s="1"/>
  <c r="V702" i="19" s="1"/>
  <c r="V703" i="19" s="1"/>
  <c r="V704" i="19" s="1"/>
  <c r="V705" i="19" s="1"/>
  <c r="V706" i="19" s="1"/>
  <c r="V707" i="19" s="1"/>
  <c r="V708" i="19" s="1"/>
  <c r="V709" i="19" s="1"/>
  <c r="V710" i="19" s="1"/>
  <c r="V711" i="19" s="1"/>
  <c r="V712" i="19" s="1"/>
  <c r="V713" i="19" s="1"/>
  <c r="V714" i="19" s="1"/>
  <c r="V715" i="19" s="1"/>
  <c r="V716" i="19" s="1"/>
  <c r="V717" i="19" s="1"/>
  <c r="V718" i="19" s="1"/>
  <c r="V719" i="19" s="1"/>
  <c r="V720" i="19" s="1"/>
  <c r="V721" i="19" s="1"/>
  <c r="V722" i="19" s="1"/>
  <c r="V723" i="19" s="1"/>
  <c r="V724" i="19" s="1"/>
  <c r="V725" i="19" s="1"/>
  <c r="V726" i="19" s="1"/>
  <c r="V727" i="19" s="1"/>
  <c r="V728" i="19" s="1"/>
  <c r="V729" i="19" s="1"/>
  <c r="V730" i="19" s="1"/>
  <c r="V731" i="19" s="1"/>
  <c r="V732" i="19" s="1"/>
  <c r="V733" i="19" s="1"/>
  <c r="V734" i="19" s="1"/>
  <c r="V735" i="19" s="1"/>
  <c r="V736" i="19" s="1"/>
  <c r="V737" i="19" s="1"/>
  <c r="V738" i="19" s="1"/>
  <c r="V739" i="19" s="1"/>
  <c r="V740" i="19" s="1"/>
  <c r="V741" i="19" s="1"/>
  <c r="V742" i="19" s="1"/>
  <c r="V743" i="19" s="1"/>
  <c r="V744" i="19" s="1"/>
  <c r="V745" i="19" s="1"/>
  <c r="V746" i="19" s="1"/>
  <c r="V747" i="19" s="1"/>
  <c r="V748" i="19" s="1"/>
  <c r="V749" i="19" s="1"/>
  <c r="V750" i="19" s="1"/>
  <c r="V751" i="19" s="1"/>
  <c r="V752" i="19" s="1"/>
  <c r="V753" i="19" s="1"/>
  <c r="V754" i="19" s="1"/>
  <c r="V755" i="19" s="1"/>
  <c r="A24" i="19"/>
  <c r="Q24" i="19"/>
  <c r="Q25" i="19" s="1"/>
  <c r="AC24" i="19"/>
  <c r="B25" i="19"/>
  <c r="A25" i="19" s="1"/>
  <c r="N25" i="19"/>
  <c r="N26" i="19" s="1"/>
  <c r="N27" i="19" s="1"/>
  <c r="N28" i="19" s="1"/>
  <c r="N29" i="19"/>
  <c r="N30" i="19"/>
  <c r="N31" i="19" s="1"/>
  <c r="N32" i="19" s="1"/>
  <c r="N33" i="19" s="1"/>
  <c r="N34" i="19" s="1"/>
  <c r="N35" i="19" s="1"/>
  <c r="N36" i="19" s="1"/>
  <c r="N37" i="19" s="1"/>
  <c r="N38" i="19" s="1"/>
  <c r="N39" i="19" s="1"/>
  <c r="N40" i="19" s="1"/>
  <c r="N41" i="19" s="1"/>
  <c r="N42" i="19" s="1"/>
  <c r="N43" i="19" s="1"/>
  <c r="N44" i="19" s="1"/>
  <c r="N45" i="19" s="1"/>
  <c r="N46" i="19" s="1"/>
  <c r="N47" i="19" s="1"/>
  <c r="N48" i="19" s="1"/>
  <c r="N49" i="19" s="1"/>
  <c r="N50" i="19" s="1"/>
  <c r="N51" i="19" s="1"/>
  <c r="N52" i="19" s="1"/>
  <c r="N53" i="19" s="1"/>
  <c r="N54" i="19" s="1"/>
  <c r="N55" i="19" s="1"/>
  <c r="N56" i="19" s="1"/>
  <c r="N57" i="19" s="1"/>
  <c r="N58" i="19" s="1"/>
  <c r="N59" i="19" s="1"/>
  <c r="N60" i="19" s="1"/>
  <c r="N61" i="19" s="1"/>
  <c r="N62" i="19" s="1"/>
  <c r="N63" i="19" s="1"/>
  <c r="N64" i="19" s="1"/>
  <c r="N65" i="19"/>
  <c r="N66" i="19" s="1"/>
  <c r="N67" i="19" s="1"/>
  <c r="N68" i="19" s="1"/>
  <c r="N69" i="19" s="1"/>
  <c r="N70" i="19" s="1"/>
  <c r="N71" i="19" s="1"/>
  <c r="N72" i="19" s="1"/>
  <c r="N73" i="19" s="1"/>
  <c r="N74" i="19" s="1"/>
  <c r="N75" i="19" s="1"/>
  <c r="N76" i="19" s="1"/>
  <c r="N77" i="19" s="1"/>
  <c r="N78" i="19" s="1"/>
  <c r="N79" i="19" s="1"/>
  <c r="N80" i="19" s="1"/>
  <c r="N81" i="19" s="1"/>
  <c r="N82" i="19" s="1"/>
  <c r="N83" i="19" s="1"/>
  <c r="N84" i="19" s="1"/>
  <c r="N85" i="19" s="1"/>
  <c r="N86" i="19" s="1"/>
  <c r="N87" i="19" s="1"/>
  <c r="N88" i="19" s="1"/>
  <c r="N89" i="19" s="1"/>
  <c r="N90" i="19" s="1"/>
  <c r="N91" i="19" s="1"/>
  <c r="N92" i="19" s="1"/>
  <c r="N93" i="19" s="1"/>
  <c r="N94" i="19" s="1"/>
  <c r="N95" i="19" s="1"/>
  <c r="N96" i="19" s="1"/>
  <c r="N97" i="19" s="1"/>
  <c r="N98" i="19" s="1"/>
  <c r="N99" i="19" s="1"/>
  <c r="N100" i="19" s="1"/>
  <c r="N101" i="19" s="1"/>
  <c r="N102" i="19" s="1"/>
  <c r="N103" i="19" s="1"/>
  <c r="N104" i="19" s="1"/>
  <c r="N105" i="19" s="1"/>
  <c r="N106" i="19" s="1"/>
  <c r="N107" i="19" s="1"/>
  <c r="N108" i="19" s="1"/>
  <c r="N109" i="19" s="1"/>
  <c r="N110" i="19" s="1"/>
  <c r="N111" i="19" s="1"/>
  <c r="N112" i="19" s="1"/>
  <c r="N113" i="19" s="1"/>
  <c r="N114" i="19" s="1"/>
  <c r="N115" i="19" s="1"/>
  <c r="N116" i="19" s="1"/>
  <c r="N117" i="19" s="1"/>
  <c r="N118" i="19" s="1"/>
  <c r="N119" i="19" s="1"/>
  <c r="N120" i="19" s="1"/>
  <c r="N121" i="19" s="1"/>
  <c r="N122" i="19" s="1"/>
  <c r="N123" i="19" s="1"/>
  <c r="N124" i="19" s="1"/>
  <c r="N125" i="19" s="1"/>
  <c r="N126" i="19" s="1"/>
  <c r="N127" i="19" s="1"/>
  <c r="N128" i="19" s="1"/>
  <c r="N129" i="19" s="1"/>
  <c r="N130" i="19" s="1"/>
  <c r="N131" i="19" s="1"/>
  <c r="N132" i="19" s="1"/>
  <c r="N133" i="19" s="1"/>
  <c r="N134" i="19" s="1"/>
  <c r="N135" i="19" s="1"/>
  <c r="N136" i="19" s="1"/>
  <c r="N137" i="19" s="1"/>
  <c r="N138" i="19" s="1"/>
  <c r="N139" i="19" s="1"/>
  <c r="N140" i="19" s="1"/>
  <c r="N141" i="19" s="1"/>
  <c r="N142" i="19" s="1"/>
  <c r="N143" i="19" s="1"/>
  <c r="N144" i="19" s="1"/>
  <c r="N145" i="19" s="1"/>
  <c r="N146" i="19" s="1"/>
  <c r="N147" i="19" s="1"/>
  <c r="N148" i="19" s="1"/>
  <c r="N149" i="19" s="1"/>
  <c r="N150" i="19" s="1"/>
  <c r="N151" i="19" s="1"/>
  <c r="N152" i="19" s="1"/>
  <c r="N153" i="19" s="1"/>
  <c r="N154" i="19" s="1"/>
  <c r="N155" i="19" s="1"/>
  <c r="N156" i="19" s="1"/>
  <c r="N157" i="19" s="1"/>
  <c r="N158" i="19" s="1"/>
  <c r="N159" i="19" s="1"/>
  <c r="N160" i="19" s="1"/>
  <c r="N161" i="19" s="1"/>
  <c r="N162" i="19" s="1"/>
  <c r="N163" i="19" s="1"/>
  <c r="N164" i="19" s="1"/>
  <c r="N165" i="19" s="1"/>
  <c r="N166" i="19" s="1"/>
  <c r="N167" i="19" s="1"/>
  <c r="N168" i="19" s="1"/>
  <c r="N169" i="19" s="1"/>
  <c r="N170" i="19" s="1"/>
  <c r="N171" i="19" s="1"/>
  <c r="N172" i="19" s="1"/>
  <c r="N173" i="19" s="1"/>
  <c r="N174" i="19" s="1"/>
  <c r="N175" i="19" s="1"/>
  <c r="N176" i="19" s="1"/>
  <c r="N177" i="19" s="1"/>
  <c r="N178" i="19" s="1"/>
  <c r="N179" i="19" s="1"/>
  <c r="N180" i="19" s="1"/>
  <c r="N181" i="19" s="1"/>
  <c r="N182" i="19" s="1"/>
  <c r="N183" i="19" s="1"/>
  <c r="N184" i="19" s="1"/>
  <c r="N185" i="19" s="1"/>
  <c r="N186" i="19" s="1"/>
  <c r="N187" i="19" s="1"/>
  <c r="N188" i="19" s="1"/>
  <c r="N189" i="19" s="1"/>
  <c r="N190" i="19" s="1"/>
  <c r="N191" i="19" s="1"/>
  <c r="N192" i="19" s="1"/>
  <c r="N193" i="19" s="1"/>
  <c r="N194" i="19" s="1"/>
  <c r="N195" i="19" s="1"/>
  <c r="N196" i="19" s="1"/>
  <c r="N197" i="19" s="1"/>
  <c r="N198" i="19" s="1"/>
  <c r="N199" i="19" s="1"/>
  <c r="N200" i="19" s="1"/>
  <c r="N201" i="19" s="1"/>
  <c r="N202" i="19" s="1"/>
  <c r="N203" i="19" s="1"/>
  <c r="N204" i="19" s="1"/>
  <c r="N205" i="19" s="1"/>
  <c r="N206" i="19" s="1"/>
  <c r="N207" i="19" s="1"/>
  <c r="N208" i="19" s="1"/>
  <c r="N209" i="19" s="1"/>
  <c r="N210" i="19" s="1"/>
  <c r="N211" i="19" s="1"/>
  <c r="N212" i="19" s="1"/>
  <c r="N213" i="19" s="1"/>
  <c r="N214" i="19" s="1"/>
  <c r="N215" i="19" s="1"/>
  <c r="N216" i="19" s="1"/>
  <c r="N217" i="19" s="1"/>
  <c r="N218" i="19" s="1"/>
  <c r="N219" i="19" s="1"/>
  <c r="N220" i="19" s="1"/>
  <c r="N221" i="19" s="1"/>
  <c r="N222" i="19" s="1"/>
  <c r="N223" i="19" s="1"/>
  <c r="N224" i="19" s="1"/>
  <c r="N225" i="19" s="1"/>
  <c r="N226" i="19" s="1"/>
  <c r="N227" i="19"/>
  <c r="N228" i="19" s="1"/>
  <c r="N229" i="19" s="1"/>
  <c r="N230" i="19" s="1"/>
  <c r="N231" i="19" s="1"/>
  <c r="N232" i="19" s="1"/>
  <c r="N233" i="19" s="1"/>
  <c r="N234" i="19" s="1"/>
  <c r="N235" i="19" s="1"/>
  <c r="N236" i="19" s="1"/>
  <c r="N237" i="19" s="1"/>
  <c r="N238" i="19" s="1"/>
  <c r="N239" i="19" s="1"/>
  <c r="N240" i="19" s="1"/>
  <c r="N241" i="19" s="1"/>
  <c r="N242" i="19" s="1"/>
  <c r="N243" i="19" s="1"/>
  <c r="N244" i="19" s="1"/>
  <c r="N245" i="19" s="1"/>
  <c r="N246" i="19" s="1"/>
  <c r="N247" i="19" s="1"/>
  <c r="N248" i="19" s="1"/>
  <c r="N249" i="19" s="1"/>
  <c r="N250" i="19" s="1"/>
  <c r="N251" i="19" s="1"/>
  <c r="N252" i="19" s="1"/>
  <c r="N253" i="19" s="1"/>
  <c r="N254" i="19" s="1"/>
  <c r="N255" i="19" s="1"/>
  <c r="N256" i="19" s="1"/>
  <c r="N257" i="19" s="1"/>
  <c r="N258" i="19" s="1"/>
  <c r="N259" i="19" s="1"/>
  <c r="N260" i="19" s="1"/>
  <c r="N261" i="19" s="1"/>
  <c r="N262" i="19" s="1"/>
  <c r="N263" i="19" s="1"/>
  <c r="N264" i="19" s="1"/>
  <c r="N265" i="19" s="1"/>
  <c r="N266" i="19" s="1"/>
  <c r="N267" i="19" s="1"/>
  <c r="N268" i="19" s="1"/>
  <c r="N269" i="19" s="1"/>
  <c r="N270" i="19" s="1"/>
  <c r="N271" i="19" s="1"/>
  <c r="N272" i="19" s="1"/>
  <c r="N273" i="19" s="1"/>
  <c r="N274" i="19" s="1"/>
  <c r="N275" i="19" s="1"/>
  <c r="N276" i="19" s="1"/>
  <c r="N277" i="19" s="1"/>
  <c r="N278" i="19" s="1"/>
  <c r="N279" i="19" s="1"/>
  <c r="N280" i="19" s="1"/>
  <c r="N281" i="19" s="1"/>
  <c r="N282" i="19" s="1"/>
  <c r="N283" i="19" s="1"/>
  <c r="N284" i="19" s="1"/>
  <c r="N285" i="19" s="1"/>
  <c r="N286" i="19" s="1"/>
  <c r="N287" i="19" s="1"/>
  <c r="N288" i="19" s="1"/>
  <c r="N289" i="19" s="1"/>
  <c r="N290" i="19" s="1"/>
  <c r="N291" i="19" s="1"/>
  <c r="N292" i="19" s="1"/>
  <c r="N293" i="19" s="1"/>
  <c r="N294" i="19" s="1"/>
  <c r="N295" i="19" s="1"/>
  <c r="N296" i="19" s="1"/>
  <c r="N297" i="19" s="1"/>
  <c r="N298" i="19" s="1"/>
  <c r="N299" i="19" s="1"/>
  <c r="N300" i="19" s="1"/>
  <c r="N301" i="19" s="1"/>
  <c r="N302" i="19" s="1"/>
  <c r="N303" i="19" s="1"/>
  <c r="N304" i="19" s="1"/>
  <c r="N305" i="19" s="1"/>
  <c r="N306" i="19" s="1"/>
  <c r="N307" i="19" s="1"/>
  <c r="N308" i="19" s="1"/>
  <c r="N309" i="19" s="1"/>
  <c r="N310" i="19" s="1"/>
  <c r="N311" i="19" s="1"/>
  <c r="N312" i="19" s="1"/>
  <c r="N313" i="19" s="1"/>
  <c r="N314" i="19" s="1"/>
  <c r="N315" i="19" s="1"/>
  <c r="N316" i="19" s="1"/>
  <c r="N317" i="19" s="1"/>
  <c r="N318" i="19" s="1"/>
  <c r="N319" i="19" s="1"/>
  <c r="N320" i="19" s="1"/>
  <c r="N321" i="19" s="1"/>
  <c r="N322" i="19" s="1"/>
  <c r="N323" i="19" s="1"/>
  <c r="N324" i="19" s="1"/>
  <c r="N325" i="19" s="1"/>
  <c r="N326" i="19" s="1"/>
  <c r="N327" i="19" s="1"/>
  <c r="N328" i="19" s="1"/>
  <c r="N329" i="19" s="1"/>
  <c r="N330" i="19" s="1"/>
  <c r="N331" i="19" s="1"/>
  <c r="N332" i="19" s="1"/>
  <c r="N333" i="19" s="1"/>
  <c r="N334" i="19" s="1"/>
  <c r="N335" i="19" s="1"/>
  <c r="N336" i="19" s="1"/>
  <c r="N337" i="19" s="1"/>
  <c r="N338" i="19" s="1"/>
  <c r="N339" i="19" s="1"/>
  <c r="N340" i="19" s="1"/>
  <c r="N341" i="19" s="1"/>
  <c r="N342" i="19" s="1"/>
  <c r="N343" i="19" s="1"/>
  <c r="N344" i="19" s="1"/>
  <c r="N345" i="19" s="1"/>
  <c r="N346" i="19" s="1"/>
  <c r="N347" i="19" s="1"/>
  <c r="N348" i="19" s="1"/>
  <c r="N349" i="19" s="1"/>
  <c r="N350" i="19" s="1"/>
  <c r="N351" i="19" s="1"/>
  <c r="N352" i="19" s="1"/>
  <c r="N353" i="19" s="1"/>
  <c r="N354" i="19" s="1"/>
  <c r="N355" i="19" s="1"/>
  <c r="N356" i="19" s="1"/>
  <c r="N357" i="19" s="1"/>
  <c r="N358" i="19" s="1"/>
  <c r="N359" i="19" s="1"/>
  <c r="N360" i="19" s="1"/>
  <c r="N361" i="19" s="1"/>
  <c r="N362" i="19" s="1"/>
  <c r="N363" i="19" s="1"/>
  <c r="N364" i="19" s="1"/>
  <c r="N365" i="19" s="1"/>
  <c r="N366" i="19" s="1"/>
  <c r="N367" i="19" s="1"/>
  <c r="N368" i="19" s="1"/>
  <c r="N369" i="19" s="1"/>
  <c r="N370" i="19" s="1"/>
  <c r="N371" i="19" s="1"/>
  <c r="N372" i="19" s="1"/>
  <c r="N373" i="19" s="1"/>
  <c r="N374" i="19" s="1"/>
  <c r="N375" i="19" s="1"/>
  <c r="N376" i="19" s="1"/>
  <c r="N377" i="19" s="1"/>
  <c r="N378" i="19" s="1"/>
  <c r="N379" i="19" s="1"/>
  <c r="N380" i="19" s="1"/>
  <c r="N381" i="19" s="1"/>
  <c r="N382" i="19" s="1"/>
  <c r="N383" i="19" s="1"/>
  <c r="N384" i="19" s="1"/>
  <c r="N385" i="19" s="1"/>
  <c r="N386" i="19" s="1"/>
  <c r="N387" i="19" s="1"/>
  <c r="N388" i="19" s="1"/>
  <c r="N389" i="19" s="1"/>
  <c r="N390" i="19" s="1"/>
  <c r="N391" i="19" s="1"/>
  <c r="N392" i="19" s="1"/>
  <c r="N393" i="19" s="1"/>
  <c r="N394" i="19" s="1"/>
  <c r="N395" i="19" s="1"/>
  <c r="N396" i="19" s="1"/>
  <c r="N397" i="19" s="1"/>
  <c r="N398" i="19" s="1"/>
  <c r="N399" i="19" s="1"/>
  <c r="N400" i="19" s="1"/>
  <c r="N401" i="19" s="1"/>
  <c r="N402" i="19" s="1"/>
  <c r="N403" i="19" s="1"/>
  <c r="N404" i="19" s="1"/>
  <c r="N405" i="19" s="1"/>
  <c r="N406" i="19" s="1"/>
  <c r="N407" i="19" s="1"/>
  <c r="N408" i="19" s="1"/>
  <c r="N409" i="19" s="1"/>
  <c r="N410" i="19" s="1"/>
  <c r="N411" i="19" s="1"/>
  <c r="N412" i="19" s="1"/>
  <c r="N413" i="19" s="1"/>
  <c r="N414" i="19" s="1"/>
  <c r="N415" i="19" s="1"/>
  <c r="N416" i="19" s="1"/>
  <c r="N417" i="19" s="1"/>
  <c r="N418" i="19" s="1"/>
  <c r="N419" i="19" s="1"/>
  <c r="N420" i="19" s="1"/>
  <c r="N421" i="19" s="1"/>
  <c r="N422" i="19" s="1"/>
  <c r="N423" i="19" s="1"/>
  <c r="N424" i="19" s="1"/>
  <c r="N425" i="19" s="1"/>
  <c r="N426" i="19" s="1"/>
  <c r="N427" i="19" s="1"/>
  <c r="N428" i="19" s="1"/>
  <c r="N429" i="19" s="1"/>
  <c r="N430" i="19" s="1"/>
  <c r="N431" i="19" s="1"/>
  <c r="N432" i="19" s="1"/>
  <c r="N433" i="19" s="1"/>
  <c r="N434" i="19" s="1"/>
  <c r="N435" i="19" s="1"/>
  <c r="N436" i="19" s="1"/>
  <c r="N437" i="19" s="1"/>
  <c r="N438" i="19" s="1"/>
  <c r="N439" i="19" s="1"/>
  <c r="N440" i="19" s="1"/>
  <c r="N441" i="19" s="1"/>
  <c r="N442" i="19" s="1"/>
  <c r="N443" i="19" s="1"/>
  <c r="N444" i="19" s="1"/>
  <c r="N445" i="19" s="1"/>
  <c r="N446" i="19" s="1"/>
  <c r="N447" i="19" s="1"/>
  <c r="N448" i="19" s="1"/>
  <c r="N449" i="19" s="1"/>
  <c r="N450" i="19" s="1"/>
  <c r="N451" i="19" s="1"/>
  <c r="N452" i="19" s="1"/>
  <c r="N453" i="19" s="1"/>
  <c r="N454" i="19" s="1"/>
  <c r="N455" i="19" s="1"/>
  <c r="N456" i="19" s="1"/>
  <c r="N457" i="19" s="1"/>
  <c r="N458" i="19" s="1"/>
  <c r="N459" i="19" s="1"/>
  <c r="N460" i="19" s="1"/>
  <c r="N461" i="19" s="1"/>
  <c r="N462" i="19" s="1"/>
  <c r="N463" i="19" s="1"/>
  <c r="N464" i="19" s="1"/>
  <c r="N465" i="19" s="1"/>
  <c r="N466" i="19" s="1"/>
  <c r="N467" i="19" s="1"/>
  <c r="N468" i="19" s="1"/>
  <c r="N469" i="19" s="1"/>
  <c r="N470" i="19" s="1"/>
  <c r="N471" i="19" s="1"/>
  <c r="N472" i="19" s="1"/>
  <c r="N473" i="19" s="1"/>
  <c r="N474" i="19" s="1"/>
  <c r="N475" i="19" s="1"/>
  <c r="N476" i="19" s="1"/>
  <c r="N477" i="19" s="1"/>
  <c r="N478" i="19" s="1"/>
  <c r="N479" i="19" s="1"/>
  <c r="N480" i="19" s="1"/>
  <c r="N481" i="19" s="1"/>
  <c r="N482" i="19" s="1"/>
  <c r="N483" i="19" s="1"/>
  <c r="N484" i="19" s="1"/>
  <c r="N485" i="19" s="1"/>
  <c r="N486" i="19" s="1"/>
  <c r="N487" i="19" s="1"/>
  <c r="N488" i="19" s="1"/>
  <c r="N489" i="19" s="1"/>
  <c r="N490" i="19" s="1"/>
  <c r="N491" i="19" s="1"/>
  <c r="N492" i="19" s="1"/>
  <c r="N493" i="19" s="1"/>
  <c r="N494" i="19" s="1"/>
  <c r="N495" i="19" s="1"/>
  <c r="N496" i="19" s="1"/>
  <c r="N497" i="19" s="1"/>
  <c r="N498" i="19" s="1"/>
  <c r="N499" i="19" s="1"/>
  <c r="N500" i="19" s="1"/>
  <c r="N501" i="19" s="1"/>
  <c r="N502" i="19" s="1"/>
  <c r="N503" i="19" s="1"/>
  <c r="N504" i="19" s="1"/>
  <c r="N505" i="19" s="1"/>
  <c r="N506" i="19" s="1"/>
  <c r="N507" i="19" s="1"/>
  <c r="N508" i="19" s="1"/>
  <c r="N509" i="19" s="1"/>
  <c r="N510" i="19" s="1"/>
  <c r="N511" i="19" s="1"/>
  <c r="N512" i="19" s="1"/>
  <c r="N513" i="19" s="1"/>
  <c r="N514" i="19" s="1"/>
  <c r="N515" i="19" s="1"/>
  <c r="N516" i="19" s="1"/>
  <c r="N517" i="19" s="1"/>
  <c r="N518" i="19" s="1"/>
  <c r="N519" i="19" s="1"/>
  <c r="N520" i="19" s="1"/>
  <c r="N521" i="19" s="1"/>
  <c r="N522" i="19" s="1"/>
  <c r="N523" i="19" s="1"/>
  <c r="N524" i="19" s="1"/>
  <c r="N525" i="19" s="1"/>
  <c r="N526" i="19" s="1"/>
  <c r="N527" i="19" s="1"/>
  <c r="N528" i="19" s="1"/>
  <c r="N529" i="19" s="1"/>
  <c r="N530" i="19" s="1"/>
  <c r="N531" i="19" s="1"/>
  <c r="N532" i="19" s="1"/>
  <c r="N533" i="19" s="1"/>
  <c r="N534" i="19" s="1"/>
  <c r="N535" i="19" s="1"/>
  <c r="N536" i="19" s="1"/>
  <c r="N537" i="19" s="1"/>
  <c r="N538" i="19" s="1"/>
  <c r="N539" i="19" s="1"/>
  <c r="N540" i="19" s="1"/>
  <c r="N541" i="19" s="1"/>
  <c r="N542" i="19" s="1"/>
  <c r="N543" i="19" s="1"/>
  <c r="N544" i="19" s="1"/>
  <c r="N545" i="19" s="1"/>
  <c r="N546" i="19" s="1"/>
  <c r="N547" i="19" s="1"/>
  <c r="N548" i="19" s="1"/>
  <c r="N549" i="19" s="1"/>
  <c r="N550" i="19" s="1"/>
  <c r="N551" i="19" s="1"/>
  <c r="N552" i="19" s="1"/>
  <c r="N553" i="19" s="1"/>
  <c r="N554" i="19" s="1"/>
  <c r="N555" i="19" s="1"/>
  <c r="N556" i="19" s="1"/>
  <c r="N557" i="19" s="1"/>
  <c r="N558" i="19" s="1"/>
  <c r="N559" i="19" s="1"/>
  <c r="N560" i="19" s="1"/>
  <c r="N561" i="19" s="1"/>
  <c r="N562" i="19" s="1"/>
  <c r="N563" i="19" s="1"/>
  <c r="N564" i="19" s="1"/>
  <c r="N565" i="19" s="1"/>
  <c r="N566" i="19" s="1"/>
  <c r="N567" i="19" s="1"/>
  <c r="N568" i="19" s="1"/>
  <c r="N569" i="19" s="1"/>
  <c r="N570" i="19" s="1"/>
  <c r="N571" i="19" s="1"/>
  <c r="N572" i="19" s="1"/>
  <c r="N573" i="19" s="1"/>
  <c r="N574" i="19" s="1"/>
  <c r="N575" i="19" s="1"/>
  <c r="N576" i="19" s="1"/>
  <c r="N577" i="19" s="1"/>
  <c r="N578" i="19" s="1"/>
  <c r="N579" i="19" s="1"/>
  <c r="N580" i="19" s="1"/>
  <c r="N581" i="19" s="1"/>
  <c r="N582" i="19" s="1"/>
  <c r="N583" i="19" s="1"/>
  <c r="N584" i="19" s="1"/>
  <c r="N585" i="19" s="1"/>
  <c r="N586" i="19" s="1"/>
  <c r="N587" i="19" s="1"/>
  <c r="N588" i="19" s="1"/>
  <c r="N589" i="19" s="1"/>
  <c r="N590" i="19" s="1"/>
  <c r="N591" i="19" s="1"/>
  <c r="N592" i="19" s="1"/>
  <c r="N593" i="19" s="1"/>
  <c r="N594" i="19" s="1"/>
  <c r="N595" i="19" s="1"/>
  <c r="N596" i="19" s="1"/>
  <c r="N597" i="19" s="1"/>
  <c r="N598" i="19" s="1"/>
  <c r="N599" i="19" s="1"/>
  <c r="N600" i="19" s="1"/>
  <c r="N601" i="19" s="1"/>
  <c r="N602" i="19" s="1"/>
  <c r="N603" i="19" s="1"/>
  <c r="N604" i="19" s="1"/>
  <c r="N605" i="19" s="1"/>
  <c r="N606" i="19" s="1"/>
  <c r="N607" i="19" s="1"/>
  <c r="N608" i="19" s="1"/>
  <c r="N609" i="19" s="1"/>
  <c r="N610" i="19" s="1"/>
  <c r="N611" i="19" s="1"/>
  <c r="N612" i="19" s="1"/>
  <c r="N613" i="19" s="1"/>
  <c r="N614" i="19" s="1"/>
  <c r="N615" i="19" s="1"/>
  <c r="N616" i="19" s="1"/>
  <c r="N617" i="19" s="1"/>
  <c r="N618" i="19" s="1"/>
  <c r="N619" i="19" s="1"/>
  <c r="N620" i="19" s="1"/>
  <c r="N621" i="19" s="1"/>
  <c r="N622" i="19" s="1"/>
  <c r="N623" i="19" s="1"/>
  <c r="N624" i="19" s="1"/>
  <c r="N625" i="19" s="1"/>
  <c r="N626" i="19" s="1"/>
  <c r="N627" i="19" s="1"/>
  <c r="N628" i="19" s="1"/>
  <c r="N629" i="19" s="1"/>
  <c r="N630" i="19" s="1"/>
  <c r="N631" i="19" s="1"/>
  <c r="N632" i="19" s="1"/>
  <c r="N633" i="19" s="1"/>
  <c r="N634" i="19" s="1"/>
  <c r="N635" i="19" s="1"/>
  <c r="N636" i="19" s="1"/>
  <c r="N637" i="19" s="1"/>
  <c r="N638" i="19" s="1"/>
  <c r="N639" i="19" s="1"/>
  <c r="N640" i="19" s="1"/>
  <c r="N641" i="19" s="1"/>
  <c r="N642" i="19" s="1"/>
  <c r="N643" i="19" s="1"/>
  <c r="N644" i="19" s="1"/>
  <c r="N645" i="19" s="1"/>
  <c r="N646" i="19" s="1"/>
  <c r="N647" i="19" s="1"/>
  <c r="N648" i="19" s="1"/>
  <c r="N649" i="19" s="1"/>
  <c r="N650" i="19" s="1"/>
  <c r="N651" i="19" s="1"/>
  <c r="N652" i="19" s="1"/>
  <c r="N653" i="19" s="1"/>
  <c r="N654" i="19" s="1"/>
  <c r="N655" i="19" s="1"/>
  <c r="N656" i="19" s="1"/>
  <c r="N657" i="19" s="1"/>
  <c r="N658" i="19" s="1"/>
  <c r="N659" i="19" s="1"/>
  <c r="N660" i="19" s="1"/>
  <c r="N661" i="19" s="1"/>
  <c r="N662" i="19" s="1"/>
  <c r="N663" i="19" s="1"/>
  <c r="N664" i="19" s="1"/>
  <c r="N665" i="19" s="1"/>
  <c r="N666" i="19" s="1"/>
  <c r="N667" i="19" s="1"/>
  <c r="N668" i="19" s="1"/>
  <c r="N669" i="19" s="1"/>
  <c r="N670" i="19" s="1"/>
  <c r="N671" i="19" s="1"/>
  <c r="N672" i="19" s="1"/>
  <c r="N673" i="19" s="1"/>
  <c r="N674" i="19" s="1"/>
  <c r="N675" i="19" s="1"/>
  <c r="N676" i="19" s="1"/>
  <c r="N677" i="19" s="1"/>
  <c r="N678" i="19" s="1"/>
  <c r="N679" i="19" s="1"/>
  <c r="N680" i="19" s="1"/>
  <c r="N681" i="19" s="1"/>
  <c r="N682" i="19" s="1"/>
  <c r="N683" i="19" s="1"/>
  <c r="N684" i="19" s="1"/>
  <c r="N685" i="19" s="1"/>
  <c r="N686" i="19" s="1"/>
  <c r="N687" i="19" s="1"/>
  <c r="N688" i="19" s="1"/>
  <c r="N689" i="19" s="1"/>
  <c r="N690" i="19" s="1"/>
  <c r="N691" i="19" s="1"/>
  <c r="N692" i="19" s="1"/>
  <c r="N693" i="19" s="1"/>
  <c r="N694" i="19" s="1"/>
  <c r="N695" i="19" s="1"/>
  <c r="N696" i="19" s="1"/>
  <c r="N697" i="19" s="1"/>
  <c r="N698" i="19" s="1"/>
  <c r="N699" i="19" s="1"/>
  <c r="N700" i="19" s="1"/>
  <c r="N701" i="19" s="1"/>
  <c r="N702" i="19" s="1"/>
  <c r="N703" i="19" s="1"/>
  <c r="N704" i="19" s="1"/>
  <c r="N705" i="19" s="1"/>
  <c r="N706" i="19" s="1"/>
  <c r="N707" i="19" s="1"/>
  <c r="N708" i="19" s="1"/>
  <c r="N709" i="19" s="1"/>
  <c r="N710" i="19" s="1"/>
  <c r="N711" i="19" s="1"/>
  <c r="N712" i="19" s="1"/>
  <c r="N713" i="19" s="1"/>
  <c r="N714" i="19" s="1"/>
  <c r="N715" i="19" s="1"/>
  <c r="N716" i="19" s="1"/>
  <c r="N717" i="19" s="1"/>
  <c r="N718" i="19" s="1"/>
  <c r="N719" i="19" s="1"/>
  <c r="N720" i="19" s="1"/>
  <c r="N721" i="19" s="1"/>
  <c r="N722" i="19" s="1"/>
  <c r="N723" i="19" s="1"/>
  <c r="N724" i="19" s="1"/>
  <c r="N725" i="19" s="1"/>
  <c r="N726" i="19" s="1"/>
  <c r="N727" i="19" s="1"/>
  <c r="N728" i="19" s="1"/>
  <c r="N729" i="19" s="1"/>
  <c r="N730" i="19" s="1"/>
  <c r="N731" i="19" s="1"/>
  <c r="N732" i="19" s="1"/>
  <c r="N733" i="19" s="1"/>
  <c r="N734" i="19" s="1"/>
  <c r="N735" i="19" s="1"/>
  <c r="N736" i="19" s="1"/>
  <c r="N737" i="19" s="1"/>
  <c r="N738" i="19" s="1"/>
  <c r="N739" i="19" s="1"/>
  <c r="N740" i="19" s="1"/>
  <c r="N741" i="19" s="1"/>
  <c r="N742" i="19" s="1"/>
  <c r="N743" i="19" s="1"/>
  <c r="N744" i="19" s="1"/>
  <c r="N745" i="19" s="1"/>
  <c r="N746" i="19" s="1"/>
  <c r="N747" i="19" s="1"/>
  <c r="N748" i="19" s="1"/>
  <c r="N749" i="19" s="1"/>
  <c r="N750" i="19" s="1"/>
  <c r="N751" i="19" s="1"/>
  <c r="N752" i="19" s="1"/>
  <c r="N753" i="19" s="1"/>
  <c r="N754" i="19" s="1"/>
  <c r="N755" i="19" s="1"/>
  <c r="AC25" i="19"/>
  <c r="AF25" i="19"/>
  <c r="AF26" i="19" s="1"/>
  <c r="AF27" i="19" s="1"/>
  <c r="AF28" i="19" s="1"/>
  <c r="AF29" i="19" s="1"/>
  <c r="AF30" i="19" s="1"/>
  <c r="AF31" i="19" s="1"/>
  <c r="AF32" i="19" s="1"/>
  <c r="AF33" i="19" s="1"/>
  <c r="AF34" i="19" s="1"/>
  <c r="AF35" i="19" s="1"/>
  <c r="AF36" i="19" s="1"/>
  <c r="AF37" i="19" s="1"/>
  <c r="AG26" i="19"/>
  <c r="AG27" i="19" s="1"/>
  <c r="AG28" i="19" s="1"/>
  <c r="AG29" i="19" s="1"/>
  <c r="AG30" i="19" s="1"/>
  <c r="AG31" i="19" s="1"/>
  <c r="AG32" i="19" s="1"/>
  <c r="AG33" i="19" s="1"/>
  <c r="AG34" i="19" s="1"/>
  <c r="AG35" i="19" s="1"/>
  <c r="AG36" i="19" s="1"/>
  <c r="AG37" i="19" s="1"/>
  <c r="AG38" i="19" s="1"/>
  <c r="AG39" i="19" s="1"/>
  <c r="AG40" i="19" s="1"/>
  <c r="AG41" i="19" s="1"/>
  <c r="AG42" i="19" s="1"/>
  <c r="AG43" i="19" s="1"/>
  <c r="AG44" i="19" s="1"/>
  <c r="AG45" i="19" s="1"/>
  <c r="AG46" i="19" s="1"/>
  <c r="AG47" i="19" s="1"/>
  <c r="AG48" i="19" s="1"/>
  <c r="AG49" i="19" s="1"/>
  <c r="AG50" i="19" s="1"/>
  <c r="AG51" i="19" s="1"/>
  <c r="AG52" i="19" s="1"/>
  <c r="AG53" i="19" s="1"/>
  <c r="AG54" i="19" s="1"/>
  <c r="AG55" i="19" s="1"/>
  <c r="AG56" i="19" s="1"/>
  <c r="AG57" i="19" s="1"/>
  <c r="AG58" i="19" s="1"/>
  <c r="AG59" i="19" s="1"/>
  <c r="AG60" i="19" s="1"/>
  <c r="AG61" i="19" s="1"/>
  <c r="AG62" i="19" s="1"/>
  <c r="AG63" i="19" s="1"/>
  <c r="AG64" i="19" s="1"/>
  <c r="AG65" i="19" s="1"/>
  <c r="AG66" i="19" s="1"/>
  <c r="AG67" i="19" s="1"/>
  <c r="AG68" i="19" s="1"/>
  <c r="AG69" i="19" s="1"/>
  <c r="AG70" i="19" s="1"/>
  <c r="AG71" i="19" s="1"/>
  <c r="AG72" i="19" s="1"/>
  <c r="AG73" i="19" s="1"/>
  <c r="AG74" i="19" s="1"/>
  <c r="AG75" i="19" s="1"/>
  <c r="AG76" i="19" s="1"/>
  <c r="AG77" i="19" s="1"/>
  <c r="AG78" i="19" s="1"/>
  <c r="AG79" i="19" s="1"/>
  <c r="AG80" i="19" s="1"/>
  <c r="AG81" i="19" s="1"/>
  <c r="AG82" i="19" s="1"/>
  <c r="AG83" i="19" s="1"/>
  <c r="AG84" i="19" s="1"/>
  <c r="AG85" i="19" s="1"/>
  <c r="AG86" i="19" s="1"/>
  <c r="AG87" i="19" s="1"/>
  <c r="AG88" i="19" s="1"/>
  <c r="AG89" i="19" s="1"/>
  <c r="AG90" i="19" s="1"/>
  <c r="AG91" i="19" s="1"/>
  <c r="AG92" i="19" s="1"/>
  <c r="AG93" i="19" s="1"/>
  <c r="AG94" i="19" s="1"/>
  <c r="AG95" i="19" s="1"/>
  <c r="AG96" i="19" s="1"/>
  <c r="AG97" i="19" s="1"/>
  <c r="AG98" i="19" s="1"/>
  <c r="AG99" i="19" s="1"/>
  <c r="AG100" i="19" s="1"/>
  <c r="AG101" i="19" s="1"/>
  <c r="AG102" i="19" s="1"/>
  <c r="AG103" i="19" s="1"/>
  <c r="AG104" i="19" s="1"/>
  <c r="AR27" i="19"/>
  <c r="C36" i="19"/>
  <c r="C48" i="19"/>
  <c r="D36" i="19"/>
  <c r="D48" i="19" s="1"/>
  <c r="D60" i="19" s="1"/>
  <c r="O36" i="19"/>
  <c r="O48" i="19" s="1"/>
  <c r="O60" i="19" s="1"/>
  <c r="O72" i="19"/>
  <c r="O84" i="19" s="1"/>
  <c r="O96" i="19" s="1"/>
  <c r="O108" i="19" s="1"/>
  <c r="O120" i="19" s="1"/>
  <c r="O132" i="19" s="1"/>
  <c r="O144" i="19" s="1"/>
  <c r="O156" i="19" s="1"/>
  <c r="O168" i="19" s="1"/>
  <c r="O180" i="19" s="1"/>
  <c r="O192" i="19" s="1"/>
  <c r="O204" i="19" s="1"/>
  <c r="O216" i="19" s="1"/>
  <c r="O228" i="19" s="1"/>
  <c r="O240" i="19" s="1"/>
  <c r="O252" i="19" s="1"/>
  <c r="O264" i="19" s="1"/>
  <c r="O276" i="19" s="1"/>
  <c r="O288" i="19" s="1"/>
  <c r="O300" i="19" s="1"/>
  <c r="O312" i="19" s="1"/>
  <c r="O324" i="19" s="1"/>
  <c r="O336" i="19" s="1"/>
  <c r="O348" i="19" s="1"/>
  <c r="O360" i="19" s="1"/>
  <c r="O372" i="19" s="1"/>
  <c r="O384" i="19" s="1"/>
  <c r="O396" i="19" s="1"/>
  <c r="O408" i="19" s="1"/>
  <c r="O420" i="19" s="1"/>
  <c r="O432" i="19" s="1"/>
  <c r="O444" i="19" s="1"/>
  <c r="O456" i="19" s="1"/>
  <c r="O468" i="19" s="1"/>
  <c r="O480" i="19" s="1"/>
  <c r="O492" i="19" s="1"/>
  <c r="O504" i="19" s="1"/>
  <c r="O516" i="19" s="1"/>
  <c r="O528" i="19" s="1"/>
  <c r="O540" i="19" s="1"/>
  <c r="O552" i="19" s="1"/>
  <c r="O564" i="19" s="1"/>
  <c r="O576" i="19" s="1"/>
  <c r="O588" i="19" s="1"/>
  <c r="O600" i="19" s="1"/>
  <c r="O612" i="19" s="1"/>
  <c r="O624" i="19" s="1"/>
  <c r="O636" i="19" s="1"/>
  <c r="O648" i="19" s="1"/>
  <c r="O660" i="19" s="1"/>
  <c r="O672" i="19" s="1"/>
  <c r="O684" i="19" s="1"/>
  <c r="O696" i="19" s="1"/>
  <c r="P36" i="19"/>
  <c r="P48" i="19" s="1"/>
  <c r="P60" i="19" s="1"/>
  <c r="P72" i="19" s="1"/>
  <c r="P84" i="19" s="1"/>
  <c r="P96" i="19" s="1"/>
  <c r="P108" i="19" s="1"/>
  <c r="P120" i="19" s="1"/>
  <c r="P132" i="19" s="1"/>
  <c r="P144" i="19" s="1"/>
  <c r="P156" i="19" s="1"/>
  <c r="P168" i="19" s="1"/>
  <c r="P180" i="19" s="1"/>
  <c r="P192" i="19" s="1"/>
  <c r="P204" i="19" s="1"/>
  <c r="P216" i="19" s="1"/>
  <c r="P228" i="19" s="1"/>
  <c r="P240" i="19" s="1"/>
  <c r="P252" i="19" s="1"/>
  <c r="P264" i="19" s="1"/>
  <c r="P276" i="19" s="1"/>
  <c r="P288" i="19" s="1"/>
  <c r="P300" i="19" s="1"/>
  <c r="P312" i="19" s="1"/>
  <c r="P324" i="19" s="1"/>
  <c r="P336" i="19" s="1"/>
  <c r="P348" i="19" s="1"/>
  <c r="P360" i="19" s="1"/>
  <c r="P372" i="19" s="1"/>
  <c r="P384" i="19" s="1"/>
  <c r="P396" i="19" s="1"/>
  <c r="P408" i="19" s="1"/>
  <c r="P420" i="19" s="1"/>
  <c r="P432" i="19" s="1"/>
  <c r="P444" i="19" s="1"/>
  <c r="P456" i="19" s="1"/>
  <c r="P468" i="19" s="1"/>
  <c r="P480" i="19" s="1"/>
  <c r="P492" i="19" s="1"/>
  <c r="P504" i="19" s="1"/>
  <c r="P516" i="19" s="1"/>
  <c r="P528" i="19" s="1"/>
  <c r="P540" i="19" s="1"/>
  <c r="P552" i="19" s="1"/>
  <c r="P564" i="19" s="1"/>
  <c r="P576" i="19" s="1"/>
  <c r="P588" i="19" s="1"/>
  <c r="P600" i="19" s="1"/>
  <c r="P612" i="19" s="1"/>
  <c r="P624" i="19" s="1"/>
  <c r="P636" i="19" s="1"/>
  <c r="P648" i="19" s="1"/>
  <c r="P660" i="19" s="1"/>
  <c r="P672" i="19" s="1"/>
  <c r="P684" i="19" s="1"/>
  <c r="P696" i="19" s="1"/>
  <c r="P708" i="19" s="1"/>
  <c r="P720" i="19" s="1"/>
  <c r="P732" i="19" s="1"/>
  <c r="P744" i="19" s="1"/>
  <c r="C37" i="19"/>
  <c r="C49" i="19" s="1"/>
  <c r="D37" i="19"/>
  <c r="D49" i="19"/>
  <c r="D61" i="19" s="1"/>
  <c r="O37" i="19"/>
  <c r="O49" i="19"/>
  <c r="O61" i="19" s="1"/>
  <c r="O73" i="19" s="1"/>
  <c r="O85" i="19" s="1"/>
  <c r="O97" i="19" s="1"/>
  <c r="O109" i="19" s="1"/>
  <c r="O121" i="19"/>
  <c r="O133" i="19" s="1"/>
  <c r="O145" i="19" s="1"/>
  <c r="O157" i="19" s="1"/>
  <c r="O169" i="19" s="1"/>
  <c r="O181" i="19" s="1"/>
  <c r="O193" i="19" s="1"/>
  <c r="O205" i="19" s="1"/>
  <c r="O217" i="19" s="1"/>
  <c r="O229" i="19" s="1"/>
  <c r="O241" i="19" s="1"/>
  <c r="O253" i="19" s="1"/>
  <c r="O265" i="19" s="1"/>
  <c r="O277" i="19" s="1"/>
  <c r="O289" i="19" s="1"/>
  <c r="O301" i="19" s="1"/>
  <c r="O313" i="19" s="1"/>
  <c r="O325" i="19" s="1"/>
  <c r="O337" i="19" s="1"/>
  <c r="O349" i="19" s="1"/>
  <c r="O361" i="19" s="1"/>
  <c r="O373" i="19" s="1"/>
  <c r="O385" i="19" s="1"/>
  <c r="O397" i="19" s="1"/>
  <c r="O409" i="19" s="1"/>
  <c r="O421" i="19" s="1"/>
  <c r="O433" i="19" s="1"/>
  <c r="O445" i="19" s="1"/>
  <c r="O457" i="19" s="1"/>
  <c r="O469" i="19" s="1"/>
  <c r="O481" i="19" s="1"/>
  <c r="O493" i="19" s="1"/>
  <c r="O505" i="19" s="1"/>
  <c r="O517" i="19" s="1"/>
  <c r="O529" i="19" s="1"/>
  <c r="O541" i="19" s="1"/>
  <c r="O553" i="19" s="1"/>
  <c r="O565" i="19" s="1"/>
  <c r="O577" i="19" s="1"/>
  <c r="O589" i="19" s="1"/>
  <c r="O601" i="19" s="1"/>
  <c r="O613" i="19" s="1"/>
  <c r="O625" i="19" s="1"/>
  <c r="O637" i="19" s="1"/>
  <c r="O649" i="19" s="1"/>
  <c r="O661" i="19" s="1"/>
  <c r="O673" i="19" s="1"/>
  <c r="O685" i="19" s="1"/>
  <c r="O697" i="19" s="1"/>
  <c r="O709" i="19" s="1"/>
  <c r="O721" i="19" s="1"/>
  <c r="O733" i="19" s="1"/>
  <c r="O745" i="19" s="1"/>
  <c r="P37" i="19"/>
  <c r="P49" i="19"/>
  <c r="P61" i="19" s="1"/>
  <c r="P73" i="19" s="1"/>
  <c r="C38" i="19"/>
  <c r="C50" i="19" s="1"/>
  <c r="D38" i="19"/>
  <c r="D50" i="19"/>
  <c r="D62" i="19"/>
  <c r="O38" i="19"/>
  <c r="O50" i="19"/>
  <c r="O62" i="19" s="1"/>
  <c r="O74" i="19" s="1"/>
  <c r="O86" i="19" s="1"/>
  <c r="O98" i="19" s="1"/>
  <c r="O110" i="19" s="1"/>
  <c r="O122" i="19" s="1"/>
  <c r="O134" i="19" s="1"/>
  <c r="O146" i="19" s="1"/>
  <c r="O158" i="19" s="1"/>
  <c r="P38" i="19"/>
  <c r="C39" i="19"/>
  <c r="D39" i="19"/>
  <c r="D51" i="19"/>
  <c r="D63" i="19" s="1"/>
  <c r="D75" i="19" s="1"/>
  <c r="D87" i="19" s="1"/>
  <c r="D99" i="19" s="1"/>
  <c r="D111" i="19" s="1"/>
  <c r="D123" i="19" s="1"/>
  <c r="D135" i="19" s="1"/>
  <c r="D147" i="19" s="1"/>
  <c r="D159" i="19" s="1"/>
  <c r="D171" i="19" s="1"/>
  <c r="O39" i="19"/>
  <c r="O51" i="19" s="1"/>
  <c r="O63" i="19" s="1"/>
  <c r="O75" i="19" s="1"/>
  <c r="O87" i="19" s="1"/>
  <c r="O99" i="19"/>
  <c r="O111" i="19" s="1"/>
  <c r="O123" i="19" s="1"/>
  <c r="O135" i="19" s="1"/>
  <c r="O147" i="19" s="1"/>
  <c r="O159" i="19" s="1"/>
  <c r="O171" i="19" s="1"/>
  <c r="O183" i="19" s="1"/>
  <c r="O195" i="19" s="1"/>
  <c r="O207" i="19" s="1"/>
  <c r="O219" i="19" s="1"/>
  <c r="O231" i="19" s="1"/>
  <c r="O243" i="19" s="1"/>
  <c r="O255" i="19" s="1"/>
  <c r="O267" i="19" s="1"/>
  <c r="O279" i="19" s="1"/>
  <c r="O291" i="19" s="1"/>
  <c r="O303" i="19" s="1"/>
  <c r="O315" i="19" s="1"/>
  <c r="O327" i="19" s="1"/>
  <c r="O339" i="19" s="1"/>
  <c r="O351" i="19" s="1"/>
  <c r="O363" i="19" s="1"/>
  <c r="O375" i="19" s="1"/>
  <c r="O387" i="19" s="1"/>
  <c r="O399" i="19" s="1"/>
  <c r="O411" i="19" s="1"/>
  <c r="O423" i="19" s="1"/>
  <c r="O435" i="19" s="1"/>
  <c r="O447" i="19" s="1"/>
  <c r="O459" i="19" s="1"/>
  <c r="O471" i="19" s="1"/>
  <c r="O483" i="19" s="1"/>
  <c r="O495" i="19" s="1"/>
  <c r="O507" i="19" s="1"/>
  <c r="O519" i="19" s="1"/>
  <c r="O531" i="19" s="1"/>
  <c r="O543" i="19" s="1"/>
  <c r="O555" i="19" s="1"/>
  <c r="O567" i="19" s="1"/>
  <c r="O579" i="19" s="1"/>
  <c r="O591" i="19" s="1"/>
  <c r="O603" i="19" s="1"/>
  <c r="O615" i="19" s="1"/>
  <c r="O627" i="19" s="1"/>
  <c r="O639" i="19" s="1"/>
  <c r="O651" i="19" s="1"/>
  <c r="O663" i="19" s="1"/>
  <c r="O675" i="19" s="1"/>
  <c r="O687" i="19" s="1"/>
  <c r="O699" i="19" s="1"/>
  <c r="O711" i="19" s="1"/>
  <c r="O723" i="19" s="1"/>
  <c r="O735" i="19" s="1"/>
  <c r="O747" i="19" s="1"/>
  <c r="P39" i="19"/>
  <c r="C40" i="19"/>
  <c r="D40" i="19"/>
  <c r="D52" i="19" s="1"/>
  <c r="O40" i="19"/>
  <c r="O52" i="19"/>
  <c r="O64" i="19"/>
  <c r="O76" i="19" s="1"/>
  <c r="O88" i="19" s="1"/>
  <c r="O100" i="19" s="1"/>
  <c r="O112" i="19" s="1"/>
  <c r="O124" i="19" s="1"/>
  <c r="O136" i="19" s="1"/>
  <c r="O148" i="19" s="1"/>
  <c r="O160" i="19" s="1"/>
  <c r="O172" i="19" s="1"/>
  <c r="O184" i="19" s="1"/>
  <c r="O196" i="19" s="1"/>
  <c r="O208" i="19" s="1"/>
  <c r="O220" i="19" s="1"/>
  <c r="O232" i="19" s="1"/>
  <c r="O244" i="19" s="1"/>
  <c r="O256" i="19" s="1"/>
  <c r="O268" i="19" s="1"/>
  <c r="O280" i="19" s="1"/>
  <c r="O292" i="19" s="1"/>
  <c r="O304" i="19" s="1"/>
  <c r="O316" i="19" s="1"/>
  <c r="O328" i="19" s="1"/>
  <c r="O340" i="19" s="1"/>
  <c r="O352" i="19" s="1"/>
  <c r="O364" i="19" s="1"/>
  <c r="O376" i="19" s="1"/>
  <c r="O388" i="19" s="1"/>
  <c r="O400" i="19" s="1"/>
  <c r="O412" i="19" s="1"/>
  <c r="O424" i="19" s="1"/>
  <c r="O436" i="19" s="1"/>
  <c r="O448" i="19" s="1"/>
  <c r="O460" i="19" s="1"/>
  <c r="O472" i="19" s="1"/>
  <c r="O484" i="19" s="1"/>
  <c r="O496" i="19" s="1"/>
  <c r="O508" i="19" s="1"/>
  <c r="O520" i="19" s="1"/>
  <c r="O532" i="19" s="1"/>
  <c r="O544" i="19" s="1"/>
  <c r="O556" i="19" s="1"/>
  <c r="O568" i="19" s="1"/>
  <c r="O580" i="19" s="1"/>
  <c r="O592" i="19" s="1"/>
  <c r="O604" i="19" s="1"/>
  <c r="O616" i="19" s="1"/>
  <c r="O628" i="19" s="1"/>
  <c r="O640" i="19" s="1"/>
  <c r="O652" i="19" s="1"/>
  <c r="O664" i="19" s="1"/>
  <c r="O676" i="19" s="1"/>
  <c r="O688" i="19" s="1"/>
  <c r="O700" i="19" s="1"/>
  <c r="O712" i="19" s="1"/>
  <c r="O724" i="19" s="1"/>
  <c r="O736" i="19" s="1"/>
  <c r="O748" i="19" s="1"/>
  <c r="P40" i="19"/>
  <c r="C41" i="19"/>
  <c r="C53" i="19" s="1"/>
  <c r="C65" i="19" s="1"/>
  <c r="C77" i="19" s="1"/>
  <c r="C89" i="19" s="1"/>
  <c r="C101" i="19" s="1"/>
  <c r="C113" i="19" s="1"/>
  <c r="C125" i="19" s="1"/>
  <c r="C137" i="19" s="1"/>
  <c r="C149" i="19" s="1"/>
  <c r="C161" i="19" s="1"/>
  <c r="C173" i="19" s="1"/>
  <c r="C185" i="19" s="1"/>
  <c r="C197" i="19" s="1"/>
  <c r="C209" i="19" s="1"/>
  <c r="C221" i="19" s="1"/>
  <c r="C233" i="19" s="1"/>
  <c r="C245" i="19" s="1"/>
  <c r="C257" i="19" s="1"/>
  <c r="C269" i="19" s="1"/>
  <c r="C281" i="19" s="1"/>
  <c r="C293" i="19" s="1"/>
  <c r="C305" i="19" s="1"/>
  <c r="C317" i="19" s="1"/>
  <c r="C329" i="19" s="1"/>
  <c r="C341" i="19" s="1"/>
  <c r="C353" i="19" s="1"/>
  <c r="C365" i="19" s="1"/>
  <c r="C377" i="19" s="1"/>
  <c r="C389" i="19" s="1"/>
  <c r="C401" i="19"/>
  <c r="C413" i="19" s="1"/>
  <c r="C425" i="19" s="1"/>
  <c r="C437" i="19" s="1"/>
  <c r="C449" i="19" s="1"/>
  <c r="C461" i="19" s="1"/>
  <c r="C473" i="19" s="1"/>
  <c r="C485" i="19" s="1"/>
  <c r="C497" i="19" s="1"/>
  <c r="C509" i="19" s="1"/>
  <c r="C521" i="19" s="1"/>
  <c r="C533" i="19" s="1"/>
  <c r="C545" i="19" s="1"/>
  <c r="C557" i="19" s="1"/>
  <c r="C569" i="19" s="1"/>
  <c r="C581" i="19" s="1"/>
  <c r="C593" i="19" s="1"/>
  <c r="C605" i="19" s="1"/>
  <c r="C617" i="19" s="1"/>
  <c r="C629" i="19" s="1"/>
  <c r="C641" i="19" s="1"/>
  <c r="C653" i="19" s="1"/>
  <c r="C665" i="19" s="1"/>
  <c r="C677" i="19" s="1"/>
  <c r="C689" i="19" s="1"/>
  <c r="C701" i="19" s="1"/>
  <c r="C713" i="19" s="1"/>
  <c r="C725" i="19" s="1"/>
  <c r="C737" i="19" s="1"/>
  <c r="C749" i="19" s="1"/>
  <c r="D41" i="19"/>
  <c r="D53" i="19" s="1"/>
  <c r="D65" i="19" s="1"/>
  <c r="D77" i="19" s="1"/>
  <c r="D89" i="19" s="1"/>
  <c r="D101" i="19" s="1"/>
  <c r="D113" i="19" s="1"/>
  <c r="O41" i="19"/>
  <c r="O53" i="19"/>
  <c r="O65" i="19"/>
  <c r="O77" i="19" s="1"/>
  <c r="O89" i="19" s="1"/>
  <c r="O101" i="19" s="1"/>
  <c r="O113" i="19" s="1"/>
  <c r="O125" i="19" s="1"/>
  <c r="O137" i="19" s="1"/>
  <c r="O149" i="19" s="1"/>
  <c r="O161" i="19" s="1"/>
  <c r="O173" i="19" s="1"/>
  <c r="O185" i="19" s="1"/>
  <c r="O197" i="19" s="1"/>
  <c r="O209" i="19" s="1"/>
  <c r="O221" i="19" s="1"/>
  <c r="O233" i="19" s="1"/>
  <c r="O245" i="19" s="1"/>
  <c r="O257" i="19" s="1"/>
  <c r="O269" i="19" s="1"/>
  <c r="O281" i="19" s="1"/>
  <c r="O293" i="19" s="1"/>
  <c r="O305" i="19" s="1"/>
  <c r="O317" i="19" s="1"/>
  <c r="O329" i="19" s="1"/>
  <c r="O341" i="19" s="1"/>
  <c r="O353" i="19" s="1"/>
  <c r="O365" i="19" s="1"/>
  <c r="O377" i="19" s="1"/>
  <c r="O389" i="19" s="1"/>
  <c r="O401" i="19" s="1"/>
  <c r="O413" i="19" s="1"/>
  <c r="O425" i="19" s="1"/>
  <c r="O437" i="19" s="1"/>
  <c r="O449" i="19" s="1"/>
  <c r="O461" i="19" s="1"/>
  <c r="O473" i="19" s="1"/>
  <c r="O485" i="19" s="1"/>
  <c r="O497" i="19" s="1"/>
  <c r="O509" i="19" s="1"/>
  <c r="O521" i="19" s="1"/>
  <c r="O533" i="19" s="1"/>
  <c r="O545" i="19" s="1"/>
  <c r="O557" i="19" s="1"/>
  <c r="O569" i="19" s="1"/>
  <c r="O581" i="19" s="1"/>
  <c r="O593" i="19" s="1"/>
  <c r="O605" i="19" s="1"/>
  <c r="O617" i="19" s="1"/>
  <c r="O629" i="19" s="1"/>
  <c r="O641" i="19" s="1"/>
  <c r="O653" i="19" s="1"/>
  <c r="O665" i="19" s="1"/>
  <c r="O677" i="19" s="1"/>
  <c r="O689" i="19" s="1"/>
  <c r="O701" i="19" s="1"/>
  <c r="O713" i="19" s="1"/>
  <c r="O725" i="19" s="1"/>
  <c r="O737" i="19" s="1"/>
  <c r="O749" i="19" s="1"/>
  <c r="P41" i="19"/>
  <c r="P53" i="19" s="1"/>
  <c r="P65" i="19" s="1"/>
  <c r="P77" i="19"/>
  <c r="P89" i="19" s="1"/>
  <c r="P101" i="19" s="1"/>
  <c r="P113" i="19" s="1"/>
  <c r="P125" i="19" s="1"/>
  <c r="P137" i="19" s="1"/>
  <c r="P149" i="19" s="1"/>
  <c r="P161" i="19" s="1"/>
  <c r="P173" i="19" s="1"/>
  <c r="P185" i="19" s="1"/>
  <c r="P197" i="19" s="1"/>
  <c r="P209" i="19" s="1"/>
  <c r="P221" i="19" s="1"/>
  <c r="P233" i="19" s="1"/>
  <c r="P245" i="19" s="1"/>
  <c r="P257" i="19" s="1"/>
  <c r="P269" i="19" s="1"/>
  <c r="P281" i="19" s="1"/>
  <c r="P293" i="19" s="1"/>
  <c r="P305" i="19" s="1"/>
  <c r="P317" i="19" s="1"/>
  <c r="P329" i="19" s="1"/>
  <c r="P341" i="19" s="1"/>
  <c r="P353" i="19" s="1"/>
  <c r="P365" i="19" s="1"/>
  <c r="P377" i="19" s="1"/>
  <c r="P389" i="19" s="1"/>
  <c r="P401" i="19" s="1"/>
  <c r="P413" i="19" s="1"/>
  <c r="P425" i="19" s="1"/>
  <c r="P437" i="19" s="1"/>
  <c r="P449" i="19" s="1"/>
  <c r="P461" i="19" s="1"/>
  <c r="P473" i="19" s="1"/>
  <c r="P485" i="19" s="1"/>
  <c r="P497" i="19" s="1"/>
  <c r="P509" i="19" s="1"/>
  <c r="P521" i="19" s="1"/>
  <c r="P533" i="19" s="1"/>
  <c r="P545" i="19" s="1"/>
  <c r="P557" i="19" s="1"/>
  <c r="P569" i="19" s="1"/>
  <c r="P581" i="19" s="1"/>
  <c r="P593" i="19" s="1"/>
  <c r="P605" i="19" s="1"/>
  <c r="P617" i="19" s="1"/>
  <c r="P629" i="19" s="1"/>
  <c r="P641" i="19" s="1"/>
  <c r="P653" i="19" s="1"/>
  <c r="P665" i="19" s="1"/>
  <c r="P677" i="19" s="1"/>
  <c r="P689" i="19" s="1"/>
  <c r="P701" i="19" s="1"/>
  <c r="P713" i="19" s="1"/>
  <c r="P725" i="19" s="1"/>
  <c r="P737" i="19" s="1"/>
  <c r="P749" i="19" s="1"/>
  <c r="C42" i="19"/>
  <c r="D42" i="19"/>
  <c r="O42" i="19"/>
  <c r="O54" i="19"/>
  <c r="O66" i="19"/>
  <c r="O78" i="19"/>
  <c r="O90" i="19" s="1"/>
  <c r="O102" i="19" s="1"/>
  <c r="O114" i="19" s="1"/>
  <c r="O126" i="19" s="1"/>
  <c r="O138" i="19" s="1"/>
  <c r="O150" i="19" s="1"/>
  <c r="O162" i="19" s="1"/>
  <c r="O174" i="19" s="1"/>
  <c r="O186" i="19" s="1"/>
  <c r="O198" i="19" s="1"/>
  <c r="O210" i="19" s="1"/>
  <c r="O222" i="19" s="1"/>
  <c r="O234" i="19" s="1"/>
  <c r="O246" i="19" s="1"/>
  <c r="O258" i="19" s="1"/>
  <c r="O270" i="19" s="1"/>
  <c r="O282" i="19" s="1"/>
  <c r="O294" i="19" s="1"/>
  <c r="O306" i="19" s="1"/>
  <c r="O318" i="19" s="1"/>
  <c r="O330" i="19" s="1"/>
  <c r="O342" i="19" s="1"/>
  <c r="O354" i="19" s="1"/>
  <c r="O366" i="19" s="1"/>
  <c r="O378" i="19" s="1"/>
  <c r="O390" i="19" s="1"/>
  <c r="O402" i="19" s="1"/>
  <c r="O414" i="19" s="1"/>
  <c r="O426" i="19" s="1"/>
  <c r="O438" i="19" s="1"/>
  <c r="O450" i="19" s="1"/>
  <c r="O462" i="19" s="1"/>
  <c r="O474" i="19" s="1"/>
  <c r="O486" i="19" s="1"/>
  <c r="O498" i="19" s="1"/>
  <c r="O510" i="19" s="1"/>
  <c r="O522" i="19" s="1"/>
  <c r="O534" i="19" s="1"/>
  <c r="O546" i="19" s="1"/>
  <c r="O558" i="19" s="1"/>
  <c r="O570" i="19" s="1"/>
  <c r="O582" i="19" s="1"/>
  <c r="O594" i="19" s="1"/>
  <c r="O606" i="19" s="1"/>
  <c r="O618" i="19" s="1"/>
  <c r="O630" i="19" s="1"/>
  <c r="O642" i="19" s="1"/>
  <c r="O654" i="19" s="1"/>
  <c r="O666" i="19" s="1"/>
  <c r="O678" i="19" s="1"/>
  <c r="O690" i="19" s="1"/>
  <c r="O702" i="19" s="1"/>
  <c r="O714" i="19" s="1"/>
  <c r="O726" i="19" s="1"/>
  <c r="O738" i="19" s="1"/>
  <c r="O750" i="19" s="1"/>
  <c r="P42" i="19"/>
  <c r="P54" i="19"/>
  <c r="P66" i="19"/>
  <c r="P78" i="19" s="1"/>
  <c r="P90" i="19" s="1"/>
  <c r="C43" i="19"/>
  <c r="C55" i="19"/>
  <c r="C67" i="19"/>
  <c r="C79" i="19"/>
  <c r="C91" i="19" s="1"/>
  <c r="C103" i="19" s="1"/>
  <c r="C115" i="19" s="1"/>
  <c r="C127" i="19" s="1"/>
  <c r="C139" i="19" s="1"/>
  <c r="C151" i="19" s="1"/>
  <c r="C163" i="19" s="1"/>
  <c r="C175" i="19" s="1"/>
  <c r="C187" i="19" s="1"/>
  <c r="C199" i="19" s="1"/>
  <c r="C211" i="19" s="1"/>
  <c r="C223" i="19"/>
  <c r="C235" i="19" s="1"/>
  <c r="C247" i="19" s="1"/>
  <c r="C259" i="19" s="1"/>
  <c r="C271" i="19" s="1"/>
  <c r="C283" i="19" s="1"/>
  <c r="C295" i="19" s="1"/>
  <c r="C307" i="19" s="1"/>
  <c r="C319" i="19" s="1"/>
  <c r="C331" i="19" s="1"/>
  <c r="C343" i="19" s="1"/>
  <c r="C355" i="19" s="1"/>
  <c r="C367" i="19" s="1"/>
  <c r="C379" i="19" s="1"/>
  <c r="C391" i="19" s="1"/>
  <c r="C403" i="19" s="1"/>
  <c r="C415" i="19" s="1"/>
  <c r="C427" i="19" s="1"/>
  <c r="C439" i="19" s="1"/>
  <c r="C451" i="19"/>
  <c r="C463" i="19" s="1"/>
  <c r="C475" i="19" s="1"/>
  <c r="C487" i="19" s="1"/>
  <c r="C499" i="19" s="1"/>
  <c r="C511" i="19" s="1"/>
  <c r="C523" i="19" s="1"/>
  <c r="C535" i="19" s="1"/>
  <c r="C547" i="19" s="1"/>
  <c r="C559" i="19" s="1"/>
  <c r="C571" i="19" s="1"/>
  <c r="C583" i="19" s="1"/>
  <c r="C595" i="19" s="1"/>
  <c r="C607" i="19" s="1"/>
  <c r="C619" i="19" s="1"/>
  <c r="C631" i="19" s="1"/>
  <c r="C643" i="19" s="1"/>
  <c r="C655" i="19" s="1"/>
  <c r="C667" i="19" s="1"/>
  <c r="C679" i="19" s="1"/>
  <c r="C691" i="19" s="1"/>
  <c r="C703" i="19" s="1"/>
  <c r="C715" i="19" s="1"/>
  <c r="C727" i="19" s="1"/>
  <c r="C739" i="19" s="1"/>
  <c r="C751" i="19" s="1"/>
  <c r="D43" i="19"/>
  <c r="D55" i="19" s="1"/>
  <c r="D67" i="19" s="1"/>
  <c r="O43" i="19"/>
  <c r="O55" i="19"/>
  <c r="O67" i="19" s="1"/>
  <c r="O79" i="19" s="1"/>
  <c r="O91" i="19" s="1"/>
  <c r="O103" i="19" s="1"/>
  <c r="O115" i="19"/>
  <c r="O127" i="19" s="1"/>
  <c r="O139" i="19" s="1"/>
  <c r="O151" i="19" s="1"/>
  <c r="O163" i="19" s="1"/>
  <c r="O175" i="19" s="1"/>
  <c r="O187" i="19" s="1"/>
  <c r="O199" i="19" s="1"/>
  <c r="O211" i="19" s="1"/>
  <c r="O223" i="19" s="1"/>
  <c r="O235" i="19" s="1"/>
  <c r="O247" i="19" s="1"/>
  <c r="O259" i="19" s="1"/>
  <c r="O271" i="19" s="1"/>
  <c r="O283" i="19" s="1"/>
  <c r="O295" i="19" s="1"/>
  <c r="O307" i="19" s="1"/>
  <c r="O319" i="19" s="1"/>
  <c r="O331" i="19" s="1"/>
  <c r="O343" i="19" s="1"/>
  <c r="O355" i="19" s="1"/>
  <c r="O367" i="19" s="1"/>
  <c r="O379" i="19" s="1"/>
  <c r="O391" i="19" s="1"/>
  <c r="O403" i="19" s="1"/>
  <c r="O415" i="19" s="1"/>
  <c r="O427" i="19" s="1"/>
  <c r="O439" i="19" s="1"/>
  <c r="O451" i="19" s="1"/>
  <c r="O463" i="19" s="1"/>
  <c r="O475" i="19" s="1"/>
  <c r="O487" i="19" s="1"/>
  <c r="O499" i="19" s="1"/>
  <c r="O511" i="19" s="1"/>
  <c r="O523" i="19" s="1"/>
  <c r="O535" i="19" s="1"/>
  <c r="O547" i="19" s="1"/>
  <c r="O559" i="19" s="1"/>
  <c r="O571" i="19" s="1"/>
  <c r="O583" i="19" s="1"/>
  <c r="O595" i="19" s="1"/>
  <c r="O607" i="19" s="1"/>
  <c r="O619" i="19" s="1"/>
  <c r="O631" i="19" s="1"/>
  <c r="O643" i="19" s="1"/>
  <c r="O655" i="19" s="1"/>
  <c r="O667" i="19" s="1"/>
  <c r="O679" i="19" s="1"/>
  <c r="O691" i="19" s="1"/>
  <c r="O703" i="19" s="1"/>
  <c r="O715" i="19" s="1"/>
  <c r="O727" i="19" s="1"/>
  <c r="O739" i="19" s="1"/>
  <c r="O751" i="19" s="1"/>
  <c r="P43" i="19"/>
  <c r="P55" i="19" s="1"/>
  <c r="P67" i="19" s="1"/>
  <c r="P79" i="19" s="1"/>
  <c r="P91" i="19" s="1"/>
  <c r="P103" i="19" s="1"/>
  <c r="P115" i="19" s="1"/>
  <c r="P127" i="19" s="1"/>
  <c r="P139" i="19" s="1"/>
  <c r="P151" i="19" s="1"/>
  <c r="P163" i="19" s="1"/>
  <c r="P175" i="19" s="1"/>
  <c r="P187" i="19" s="1"/>
  <c r="P199" i="19" s="1"/>
  <c r="P211" i="19" s="1"/>
  <c r="P223" i="19" s="1"/>
  <c r="P235" i="19" s="1"/>
  <c r="P247" i="19" s="1"/>
  <c r="C44" i="19"/>
  <c r="C56" i="19" s="1"/>
  <c r="C68" i="19" s="1"/>
  <c r="C80" i="19" s="1"/>
  <c r="C92" i="19" s="1"/>
  <c r="C104" i="19" s="1"/>
  <c r="C116" i="19" s="1"/>
  <c r="C128" i="19" s="1"/>
  <c r="C140" i="19" s="1"/>
  <c r="C152" i="19" s="1"/>
  <c r="C164" i="19" s="1"/>
  <c r="C176" i="19" s="1"/>
  <c r="C188" i="19" s="1"/>
  <c r="C200" i="19" s="1"/>
  <c r="C212" i="19" s="1"/>
  <c r="C224" i="19" s="1"/>
  <c r="C236" i="19" s="1"/>
  <c r="C248" i="19" s="1"/>
  <c r="C260" i="19" s="1"/>
  <c r="C272" i="19" s="1"/>
  <c r="C284" i="19" s="1"/>
  <c r="C296" i="19" s="1"/>
  <c r="C308" i="19" s="1"/>
  <c r="C320" i="19" s="1"/>
  <c r="C332" i="19" s="1"/>
  <c r="C344" i="19" s="1"/>
  <c r="C356" i="19" s="1"/>
  <c r="C368" i="19" s="1"/>
  <c r="C380" i="19" s="1"/>
  <c r="C392" i="19" s="1"/>
  <c r="C404" i="19" s="1"/>
  <c r="C416" i="19" s="1"/>
  <c r="C428" i="19" s="1"/>
  <c r="C440" i="19" s="1"/>
  <c r="C452" i="19" s="1"/>
  <c r="C464" i="19" s="1"/>
  <c r="C476" i="19" s="1"/>
  <c r="C488" i="19" s="1"/>
  <c r="C500" i="19" s="1"/>
  <c r="C512" i="19" s="1"/>
  <c r="C524" i="19" s="1"/>
  <c r="C536" i="19" s="1"/>
  <c r="C548" i="19" s="1"/>
  <c r="C560" i="19" s="1"/>
  <c r="C572" i="19" s="1"/>
  <c r="C584" i="19" s="1"/>
  <c r="C596" i="19" s="1"/>
  <c r="C608" i="19" s="1"/>
  <c r="C620" i="19"/>
  <c r="C632" i="19" s="1"/>
  <c r="C644" i="19" s="1"/>
  <c r="C656" i="19" s="1"/>
  <c r="C668" i="19" s="1"/>
  <c r="C680" i="19" s="1"/>
  <c r="C692" i="19" s="1"/>
  <c r="C704" i="19" s="1"/>
  <c r="C716" i="19" s="1"/>
  <c r="C728" i="19" s="1"/>
  <c r="C740" i="19" s="1"/>
  <c r="C752" i="19" s="1"/>
  <c r="D44" i="19"/>
  <c r="D56" i="19" s="1"/>
  <c r="D68" i="19" s="1"/>
  <c r="O44" i="19"/>
  <c r="O56" i="19" s="1"/>
  <c r="O68" i="19"/>
  <c r="O80" i="19" s="1"/>
  <c r="O92" i="19" s="1"/>
  <c r="O104" i="19" s="1"/>
  <c r="O116" i="19" s="1"/>
  <c r="O128" i="19" s="1"/>
  <c r="O140" i="19" s="1"/>
  <c r="O152" i="19" s="1"/>
  <c r="O164" i="19" s="1"/>
  <c r="O176" i="19" s="1"/>
  <c r="O188" i="19" s="1"/>
  <c r="O200" i="19" s="1"/>
  <c r="O212" i="19" s="1"/>
  <c r="O224" i="19" s="1"/>
  <c r="O236" i="19" s="1"/>
  <c r="O248" i="19" s="1"/>
  <c r="O260" i="19" s="1"/>
  <c r="O272" i="19" s="1"/>
  <c r="O284" i="19" s="1"/>
  <c r="O296" i="19" s="1"/>
  <c r="O308" i="19" s="1"/>
  <c r="O320" i="19" s="1"/>
  <c r="O332" i="19" s="1"/>
  <c r="O344" i="19" s="1"/>
  <c r="O356" i="19" s="1"/>
  <c r="O368" i="19" s="1"/>
  <c r="O380" i="19" s="1"/>
  <c r="O392" i="19" s="1"/>
  <c r="O404" i="19" s="1"/>
  <c r="O416" i="19" s="1"/>
  <c r="O428" i="19" s="1"/>
  <c r="O440" i="19" s="1"/>
  <c r="O452" i="19" s="1"/>
  <c r="O464" i="19" s="1"/>
  <c r="O476" i="19" s="1"/>
  <c r="O488" i="19" s="1"/>
  <c r="O500" i="19" s="1"/>
  <c r="O512" i="19" s="1"/>
  <c r="O524" i="19" s="1"/>
  <c r="O536" i="19" s="1"/>
  <c r="O548" i="19" s="1"/>
  <c r="O560" i="19" s="1"/>
  <c r="O572" i="19" s="1"/>
  <c r="O584" i="19" s="1"/>
  <c r="O596" i="19" s="1"/>
  <c r="O608" i="19" s="1"/>
  <c r="O620" i="19" s="1"/>
  <c r="O632" i="19" s="1"/>
  <c r="O644" i="19" s="1"/>
  <c r="O656" i="19" s="1"/>
  <c r="O668" i="19" s="1"/>
  <c r="O680" i="19" s="1"/>
  <c r="O692" i="19" s="1"/>
  <c r="O704" i="19" s="1"/>
  <c r="O716" i="19" s="1"/>
  <c r="O728" i="19" s="1"/>
  <c r="O740" i="19" s="1"/>
  <c r="O752" i="19" s="1"/>
  <c r="P44" i="19"/>
  <c r="P56" i="19" s="1"/>
  <c r="P68" i="19" s="1"/>
  <c r="P80" i="19" s="1"/>
  <c r="P92" i="19" s="1"/>
  <c r="P104" i="19" s="1"/>
  <c r="P116" i="19" s="1"/>
  <c r="P128" i="19" s="1"/>
  <c r="P140" i="19" s="1"/>
  <c r="P152" i="19" s="1"/>
  <c r="P164" i="19" s="1"/>
  <c r="P176" i="19" s="1"/>
  <c r="P188" i="19" s="1"/>
  <c r="P200" i="19" s="1"/>
  <c r="P212" i="19" s="1"/>
  <c r="P224" i="19" s="1"/>
  <c r="P236" i="19" s="1"/>
  <c r="P248" i="19" s="1"/>
  <c r="P260" i="19" s="1"/>
  <c r="P272" i="19" s="1"/>
  <c r="P284" i="19" s="1"/>
  <c r="P296" i="19" s="1"/>
  <c r="P308" i="19" s="1"/>
  <c r="P320" i="19" s="1"/>
  <c r="P332" i="19" s="1"/>
  <c r="P344" i="19" s="1"/>
  <c r="P356" i="19" s="1"/>
  <c r="P368" i="19" s="1"/>
  <c r="P380" i="19" s="1"/>
  <c r="P392" i="19" s="1"/>
  <c r="P404" i="19" s="1"/>
  <c r="P416" i="19" s="1"/>
  <c r="P428" i="19" s="1"/>
  <c r="P440" i="19" s="1"/>
  <c r="P452" i="19" s="1"/>
  <c r="P464" i="19" s="1"/>
  <c r="P476" i="19" s="1"/>
  <c r="P488" i="19" s="1"/>
  <c r="P500" i="19" s="1"/>
  <c r="P512" i="19" s="1"/>
  <c r="P524" i="19" s="1"/>
  <c r="P536" i="19" s="1"/>
  <c r="P548" i="19" s="1"/>
  <c r="P560" i="19" s="1"/>
  <c r="P572" i="19" s="1"/>
  <c r="P584" i="19" s="1"/>
  <c r="P596" i="19" s="1"/>
  <c r="P608" i="19" s="1"/>
  <c r="P620" i="19" s="1"/>
  <c r="P632" i="19" s="1"/>
  <c r="P644" i="19"/>
  <c r="P656" i="19" s="1"/>
  <c r="P668" i="19" s="1"/>
  <c r="P680" i="19" s="1"/>
  <c r="P692" i="19" s="1"/>
  <c r="P704" i="19" s="1"/>
  <c r="P716" i="19" s="1"/>
  <c r="P728" i="19" s="1"/>
  <c r="P740" i="19" s="1"/>
  <c r="P752" i="19" s="1"/>
  <c r="C45" i="19"/>
  <c r="C57" i="19"/>
  <c r="C69" i="19"/>
  <c r="C81" i="19" s="1"/>
  <c r="C93" i="19" s="1"/>
  <c r="C105" i="19" s="1"/>
  <c r="C117" i="19" s="1"/>
  <c r="D45" i="19"/>
  <c r="D57" i="19"/>
  <c r="O45" i="19"/>
  <c r="O57" i="19" s="1"/>
  <c r="O69" i="19" s="1"/>
  <c r="O81" i="19" s="1"/>
  <c r="O93" i="19" s="1"/>
  <c r="O105" i="19"/>
  <c r="O117" i="19" s="1"/>
  <c r="O129" i="19" s="1"/>
  <c r="O141" i="19" s="1"/>
  <c r="O153" i="19" s="1"/>
  <c r="O165" i="19" s="1"/>
  <c r="O177" i="19" s="1"/>
  <c r="O189" i="19" s="1"/>
  <c r="O201" i="19" s="1"/>
  <c r="O213" i="19" s="1"/>
  <c r="O225" i="19" s="1"/>
  <c r="O237" i="19" s="1"/>
  <c r="O249" i="19" s="1"/>
  <c r="O261" i="19" s="1"/>
  <c r="O273" i="19" s="1"/>
  <c r="O285" i="19" s="1"/>
  <c r="O297" i="19" s="1"/>
  <c r="O309" i="19" s="1"/>
  <c r="O321" i="19" s="1"/>
  <c r="O333" i="19" s="1"/>
  <c r="O345" i="19" s="1"/>
  <c r="O357" i="19" s="1"/>
  <c r="O369" i="19" s="1"/>
  <c r="O381" i="19" s="1"/>
  <c r="O393" i="19" s="1"/>
  <c r="O405" i="19" s="1"/>
  <c r="O417" i="19" s="1"/>
  <c r="O429" i="19" s="1"/>
  <c r="O441" i="19" s="1"/>
  <c r="O453" i="19" s="1"/>
  <c r="O465" i="19" s="1"/>
  <c r="O477" i="19" s="1"/>
  <c r="O489" i="19" s="1"/>
  <c r="O501" i="19" s="1"/>
  <c r="O513" i="19" s="1"/>
  <c r="O525" i="19" s="1"/>
  <c r="O537" i="19" s="1"/>
  <c r="O549" i="19" s="1"/>
  <c r="O561" i="19" s="1"/>
  <c r="O573" i="19" s="1"/>
  <c r="O585" i="19" s="1"/>
  <c r="O597" i="19" s="1"/>
  <c r="O609" i="19" s="1"/>
  <c r="O621" i="19"/>
  <c r="O633" i="19" s="1"/>
  <c r="O645" i="19" s="1"/>
  <c r="O657" i="19" s="1"/>
  <c r="O669" i="19" s="1"/>
  <c r="O681" i="19" s="1"/>
  <c r="O693" i="19" s="1"/>
  <c r="O705" i="19" s="1"/>
  <c r="O717" i="19" s="1"/>
  <c r="O729" i="19" s="1"/>
  <c r="O741" i="19" s="1"/>
  <c r="O753" i="19" s="1"/>
  <c r="P45" i="19"/>
  <c r="P57" i="19" s="1"/>
  <c r="P69" i="19" s="1"/>
  <c r="P81" i="19" s="1"/>
  <c r="P93" i="19" s="1"/>
  <c r="P105" i="19" s="1"/>
  <c r="P117" i="19" s="1"/>
  <c r="P129" i="19" s="1"/>
  <c r="P141" i="19" s="1"/>
  <c r="P153" i="19" s="1"/>
  <c r="P165" i="19" s="1"/>
  <c r="P177" i="19" s="1"/>
  <c r="P189" i="19" s="1"/>
  <c r="P201" i="19" s="1"/>
  <c r="P213" i="19" s="1"/>
  <c r="P225" i="19" s="1"/>
  <c r="P237" i="19" s="1"/>
  <c r="P249" i="19" s="1"/>
  <c r="P261" i="19" s="1"/>
  <c r="P273" i="19" s="1"/>
  <c r="P285" i="19" s="1"/>
  <c r="P297" i="19" s="1"/>
  <c r="P309" i="19" s="1"/>
  <c r="P321" i="19" s="1"/>
  <c r="P333" i="19" s="1"/>
  <c r="P345" i="19" s="1"/>
  <c r="P357" i="19" s="1"/>
  <c r="P369" i="19" s="1"/>
  <c r="P381" i="19" s="1"/>
  <c r="P393" i="19" s="1"/>
  <c r="P405" i="19" s="1"/>
  <c r="P417" i="19" s="1"/>
  <c r="P429" i="19" s="1"/>
  <c r="P441" i="19" s="1"/>
  <c r="P453" i="19" s="1"/>
  <c r="P465" i="19" s="1"/>
  <c r="P477" i="19" s="1"/>
  <c r="P489" i="19" s="1"/>
  <c r="P501" i="19" s="1"/>
  <c r="P513" i="19" s="1"/>
  <c r="P525" i="19" s="1"/>
  <c r="P537" i="19" s="1"/>
  <c r="P549" i="19" s="1"/>
  <c r="P561" i="19" s="1"/>
  <c r="P573" i="19" s="1"/>
  <c r="P585" i="19" s="1"/>
  <c r="P597" i="19" s="1"/>
  <c r="P609" i="19" s="1"/>
  <c r="P621" i="19" s="1"/>
  <c r="P633" i="19" s="1"/>
  <c r="P645" i="19" s="1"/>
  <c r="P657" i="19" s="1"/>
  <c r="P669" i="19" s="1"/>
  <c r="P681" i="19" s="1"/>
  <c r="P693" i="19" s="1"/>
  <c r="P705" i="19" s="1"/>
  <c r="P717" i="19" s="1"/>
  <c r="P729" i="19" s="1"/>
  <c r="P741" i="19" s="1"/>
  <c r="P753" i="19" s="1"/>
  <c r="C46" i="19"/>
  <c r="C58" i="19" s="1"/>
  <c r="C70" i="19" s="1"/>
  <c r="C82" i="19" s="1"/>
  <c r="C94" i="19"/>
  <c r="D46" i="19"/>
  <c r="D58" i="19" s="1"/>
  <c r="D70" i="19" s="1"/>
  <c r="D82" i="19" s="1"/>
  <c r="D94" i="19" s="1"/>
  <c r="D106" i="19" s="1"/>
  <c r="D118" i="19" s="1"/>
  <c r="D130" i="19" s="1"/>
  <c r="D142" i="19" s="1"/>
  <c r="D154" i="19" s="1"/>
  <c r="D166" i="19" s="1"/>
  <c r="D178" i="19" s="1"/>
  <c r="D190" i="19" s="1"/>
  <c r="D202" i="19" s="1"/>
  <c r="D214" i="19" s="1"/>
  <c r="D226" i="19" s="1"/>
  <c r="D238" i="19" s="1"/>
  <c r="D250" i="19" s="1"/>
  <c r="D262" i="19" s="1"/>
  <c r="D274" i="19" s="1"/>
  <c r="D286" i="19" s="1"/>
  <c r="D298" i="19" s="1"/>
  <c r="D310" i="19" s="1"/>
  <c r="D322" i="19" s="1"/>
  <c r="D334" i="19" s="1"/>
  <c r="D346" i="19" s="1"/>
  <c r="D358" i="19" s="1"/>
  <c r="D370" i="19" s="1"/>
  <c r="D382" i="19" s="1"/>
  <c r="D394" i="19" s="1"/>
  <c r="D406" i="19" s="1"/>
  <c r="D418" i="19" s="1"/>
  <c r="D430" i="19" s="1"/>
  <c r="D442" i="19" s="1"/>
  <c r="D454" i="19" s="1"/>
  <c r="D466" i="19"/>
  <c r="D478" i="19" s="1"/>
  <c r="D490" i="19" s="1"/>
  <c r="D502" i="19" s="1"/>
  <c r="D514" i="19" s="1"/>
  <c r="D526" i="19" s="1"/>
  <c r="D538" i="19" s="1"/>
  <c r="D550" i="19" s="1"/>
  <c r="D562" i="19" s="1"/>
  <c r="D574" i="19" s="1"/>
  <c r="D586" i="19" s="1"/>
  <c r="D598" i="19" s="1"/>
  <c r="D610" i="19" s="1"/>
  <c r="D622" i="19" s="1"/>
  <c r="D634" i="19" s="1"/>
  <c r="D646" i="19" s="1"/>
  <c r="D658" i="19" s="1"/>
  <c r="D670" i="19" s="1"/>
  <c r="D682" i="19" s="1"/>
  <c r="D694" i="19" s="1"/>
  <c r="D706" i="19" s="1"/>
  <c r="D718" i="19" s="1"/>
  <c r="D730" i="19" s="1"/>
  <c r="D742" i="19" s="1"/>
  <c r="D754" i="19" s="1"/>
  <c r="O46" i="19"/>
  <c r="O58" i="19" s="1"/>
  <c r="O70" i="19" s="1"/>
  <c r="O82" i="19" s="1"/>
  <c r="O94" i="19" s="1"/>
  <c r="O106" i="19" s="1"/>
  <c r="O118" i="19" s="1"/>
  <c r="O130" i="19" s="1"/>
  <c r="O142" i="19" s="1"/>
  <c r="O154" i="19" s="1"/>
  <c r="O166" i="19" s="1"/>
  <c r="O178" i="19"/>
  <c r="O190" i="19" s="1"/>
  <c r="O202" i="19" s="1"/>
  <c r="O214" i="19" s="1"/>
  <c r="O226" i="19" s="1"/>
  <c r="O238" i="19" s="1"/>
  <c r="O250" i="19" s="1"/>
  <c r="O262" i="19" s="1"/>
  <c r="O274" i="19" s="1"/>
  <c r="O286" i="19" s="1"/>
  <c r="O298" i="19" s="1"/>
  <c r="O310" i="19" s="1"/>
  <c r="O322" i="19" s="1"/>
  <c r="O334" i="19" s="1"/>
  <c r="O346" i="19" s="1"/>
  <c r="O358" i="19" s="1"/>
  <c r="O370" i="19" s="1"/>
  <c r="O382" i="19" s="1"/>
  <c r="O394" i="19" s="1"/>
  <c r="O406" i="19" s="1"/>
  <c r="O418" i="19" s="1"/>
  <c r="O430" i="19" s="1"/>
  <c r="O442" i="19" s="1"/>
  <c r="O454" i="19" s="1"/>
  <c r="O466" i="19" s="1"/>
  <c r="O478" i="19" s="1"/>
  <c r="O490" i="19" s="1"/>
  <c r="O502" i="19" s="1"/>
  <c r="O514" i="19" s="1"/>
  <c r="O526" i="19" s="1"/>
  <c r="O538" i="19" s="1"/>
  <c r="O550" i="19" s="1"/>
  <c r="O562" i="19" s="1"/>
  <c r="O574" i="19" s="1"/>
  <c r="O586" i="19" s="1"/>
  <c r="O598" i="19" s="1"/>
  <c r="O610" i="19" s="1"/>
  <c r="O622" i="19" s="1"/>
  <c r="O634" i="19" s="1"/>
  <c r="O646" i="19" s="1"/>
  <c r="O658" i="19" s="1"/>
  <c r="O670" i="19" s="1"/>
  <c r="O682" i="19" s="1"/>
  <c r="O694" i="19" s="1"/>
  <c r="O706" i="19" s="1"/>
  <c r="O718" i="19" s="1"/>
  <c r="O730" i="19" s="1"/>
  <c r="O742" i="19" s="1"/>
  <c r="O754" i="19" s="1"/>
  <c r="P46" i="19"/>
  <c r="P58" i="19" s="1"/>
  <c r="P70" i="19" s="1"/>
  <c r="P82" i="19" s="1"/>
  <c r="P94" i="19" s="1"/>
  <c r="C47" i="19"/>
  <c r="C59" i="19" s="1"/>
  <c r="C71" i="19" s="1"/>
  <c r="C83" i="19" s="1"/>
  <c r="C95" i="19" s="1"/>
  <c r="C107" i="19" s="1"/>
  <c r="D47" i="19"/>
  <c r="O47" i="19"/>
  <c r="O59" i="19" s="1"/>
  <c r="O71" i="19"/>
  <c r="O83" i="19" s="1"/>
  <c r="O95" i="19" s="1"/>
  <c r="O107" i="19" s="1"/>
  <c r="O119" i="19" s="1"/>
  <c r="O131" i="19" s="1"/>
  <c r="O143" i="19" s="1"/>
  <c r="O155" i="19" s="1"/>
  <c r="O167" i="19" s="1"/>
  <c r="O179" i="19" s="1"/>
  <c r="O191" i="19" s="1"/>
  <c r="O203" i="19" s="1"/>
  <c r="O215" i="19" s="1"/>
  <c r="O227" i="19" s="1"/>
  <c r="O239" i="19" s="1"/>
  <c r="O251" i="19" s="1"/>
  <c r="O263" i="19" s="1"/>
  <c r="O275" i="19" s="1"/>
  <c r="O287" i="19" s="1"/>
  <c r="O299" i="19" s="1"/>
  <c r="O311" i="19" s="1"/>
  <c r="O323" i="19" s="1"/>
  <c r="O335" i="19" s="1"/>
  <c r="O347" i="19" s="1"/>
  <c r="O359" i="19" s="1"/>
  <c r="O371" i="19"/>
  <c r="O383" i="19" s="1"/>
  <c r="O395" i="19" s="1"/>
  <c r="O407" i="19" s="1"/>
  <c r="O419" i="19" s="1"/>
  <c r="O431" i="19" s="1"/>
  <c r="O443" i="19" s="1"/>
  <c r="O455" i="19" s="1"/>
  <c r="O467" i="19" s="1"/>
  <c r="O479" i="19" s="1"/>
  <c r="O491" i="19" s="1"/>
  <c r="O503" i="19" s="1"/>
  <c r="O515" i="19" s="1"/>
  <c r="O527" i="19" s="1"/>
  <c r="O539" i="19" s="1"/>
  <c r="O551" i="19" s="1"/>
  <c r="O563" i="19" s="1"/>
  <c r="O575" i="19" s="1"/>
  <c r="O587" i="19" s="1"/>
  <c r="O599" i="19" s="1"/>
  <c r="O611" i="19" s="1"/>
  <c r="O623" i="19" s="1"/>
  <c r="O635" i="19" s="1"/>
  <c r="O647" i="19" s="1"/>
  <c r="O659" i="19" s="1"/>
  <c r="O671" i="19" s="1"/>
  <c r="O683" i="19" s="1"/>
  <c r="O695" i="19" s="1"/>
  <c r="O707" i="19" s="1"/>
  <c r="O719" i="19" s="1"/>
  <c r="O731" i="19" s="1"/>
  <c r="O743" i="19" s="1"/>
  <c r="O755" i="19" s="1"/>
  <c r="P47" i="19"/>
  <c r="P59" i="19" s="1"/>
  <c r="P71" i="19"/>
  <c r="P83" i="19" s="1"/>
  <c r="P95" i="19" s="1"/>
  <c r="P107" i="19" s="1"/>
  <c r="P119" i="19" s="1"/>
  <c r="P131" i="19" s="1"/>
  <c r="P143" i="19" s="1"/>
  <c r="P155" i="19" s="1"/>
  <c r="P167" i="19" s="1"/>
  <c r="P179" i="19" s="1"/>
  <c r="P191" i="19" s="1"/>
  <c r="P203" i="19" s="1"/>
  <c r="P215" i="19" s="1"/>
  <c r="P227" i="19" s="1"/>
  <c r="P239" i="19" s="1"/>
  <c r="P251" i="19" s="1"/>
  <c r="P263" i="19" s="1"/>
  <c r="P275" i="19" s="1"/>
  <c r="P287" i="19" s="1"/>
  <c r="P299" i="19" s="1"/>
  <c r="P311" i="19" s="1"/>
  <c r="P323" i="19" s="1"/>
  <c r="P335" i="19" s="1"/>
  <c r="P347" i="19" s="1"/>
  <c r="P359" i="19" s="1"/>
  <c r="P371" i="19" s="1"/>
  <c r="P383" i="19" s="1"/>
  <c r="P395" i="19" s="1"/>
  <c r="P407" i="19" s="1"/>
  <c r="P419" i="19" s="1"/>
  <c r="P431" i="19" s="1"/>
  <c r="P443" i="19" s="1"/>
  <c r="P455" i="19" s="1"/>
  <c r="P467" i="19" s="1"/>
  <c r="P479" i="19" s="1"/>
  <c r="P491" i="19" s="1"/>
  <c r="P503" i="19" s="1"/>
  <c r="P515" i="19" s="1"/>
  <c r="P527" i="19" s="1"/>
  <c r="P539" i="19" s="1"/>
  <c r="P551" i="19" s="1"/>
  <c r="P563" i="19" s="1"/>
  <c r="P575" i="19" s="1"/>
  <c r="P587" i="19" s="1"/>
  <c r="P599" i="19" s="1"/>
  <c r="P611" i="19" s="1"/>
  <c r="P623" i="19" s="1"/>
  <c r="P635" i="19" s="1"/>
  <c r="P647" i="19" s="1"/>
  <c r="P659" i="19" s="1"/>
  <c r="P671" i="19" s="1"/>
  <c r="P683" i="19" s="1"/>
  <c r="P695" i="19" s="1"/>
  <c r="P707" i="19" s="1"/>
  <c r="P719" i="19"/>
  <c r="P731" i="19" s="1"/>
  <c r="P743" i="19" s="1"/>
  <c r="P755" i="19" s="1"/>
  <c r="C60" i="19"/>
  <c r="C72" i="19" s="1"/>
  <c r="C84" i="19"/>
  <c r="C96" i="19" s="1"/>
  <c r="C108" i="19" s="1"/>
  <c r="C120" i="19" s="1"/>
  <c r="C132" i="19" s="1"/>
  <c r="C144" i="19" s="1"/>
  <c r="C156" i="19" s="1"/>
  <c r="C168" i="19"/>
  <c r="C180" i="19" s="1"/>
  <c r="C192" i="19" s="1"/>
  <c r="C204" i="19" s="1"/>
  <c r="C216" i="19" s="1"/>
  <c r="C228" i="19" s="1"/>
  <c r="C240" i="19" s="1"/>
  <c r="C252" i="19" s="1"/>
  <c r="C264" i="19" s="1"/>
  <c r="C276" i="19" s="1"/>
  <c r="C288" i="19" s="1"/>
  <c r="C300" i="19" s="1"/>
  <c r="C312" i="19" s="1"/>
  <c r="C324" i="19" s="1"/>
  <c r="C336" i="19" s="1"/>
  <c r="C348" i="19" s="1"/>
  <c r="C360" i="19" s="1"/>
  <c r="C372" i="19" s="1"/>
  <c r="C384" i="19" s="1"/>
  <c r="C396" i="19" s="1"/>
  <c r="C408" i="19" s="1"/>
  <c r="C420" i="19" s="1"/>
  <c r="C432" i="19" s="1"/>
  <c r="C444" i="19" s="1"/>
  <c r="C456" i="19" s="1"/>
  <c r="C468" i="19" s="1"/>
  <c r="C480" i="19" s="1"/>
  <c r="C492" i="19" s="1"/>
  <c r="C504" i="19" s="1"/>
  <c r="C516" i="19" s="1"/>
  <c r="C528" i="19" s="1"/>
  <c r="C540" i="19" s="1"/>
  <c r="C552" i="19" s="1"/>
  <c r="C564" i="19" s="1"/>
  <c r="C576" i="19" s="1"/>
  <c r="C588" i="19" s="1"/>
  <c r="C600" i="19" s="1"/>
  <c r="C612" i="19" s="1"/>
  <c r="C624" i="19" s="1"/>
  <c r="C636" i="19" s="1"/>
  <c r="C648" i="19" s="1"/>
  <c r="C660" i="19" s="1"/>
  <c r="C672" i="19" s="1"/>
  <c r="C684" i="19" s="1"/>
  <c r="C696" i="19" s="1"/>
  <c r="C708" i="19" s="1"/>
  <c r="C720" i="19" s="1"/>
  <c r="C732" i="19" s="1"/>
  <c r="C744" i="19" s="1"/>
  <c r="D73" i="19"/>
  <c r="D85" i="19"/>
  <c r="D97" i="19" s="1"/>
  <c r="D109" i="19" s="1"/>
  <c r="D121" i="19" s="1"/>
  <c r="D133" i="19" s="1"/>
  <c r="D145" i="19" s="1"/>
  <c r="D157" i="19" s="1"/>
  <c r="D169" i="19" s="1"/>
  <c r="D181" i="19" s="1"/>
  <c r="D193" i="19" s="1"/>
  <c r="D205" i="19" s="1"/>
  <c r="D217" i="19" s="1"/>
  <c r="D229" i="19" s="1"/>
  <c r="D241" i="19" s="1"/>
  <c r="D253" i="19" s="1"/>
  <c r="D265" i="19"/>
  <c r="D277" i="19" s="1"/>
  <c r="D289" i="19" s="1"/>
  <c r="D301" i="19" s="1"/>
  <c r="D313" i="19" s="1"/>
  <c r="D325" i="19" s="1"/>
  <c r="D337" i="19" s="1"/>
  <c r="D349" i="19" s="1"/>
  <c r="D361" i="19" s="1"/>
  <c r="D373" i="19" s="1"/>
  <c r="D385" i="19" s="1"/>
  <c r="D397" i="19" s="1"/>
  <c r="D409" i="19" s="1"/>
  <c r="D421" i="19" s="1"/>
  <c r="D433" i="19" s="1"/>
  <c r="D445" i="19" s="1"/>
  <c r="D457" i="19" s="1"/>
  <c r="D469" i="19" s="1"/>
  <c r="D481" i="19"/>
  <c r="D493" i="19" s="1"/>
  <c r="D505" i="19" s="1"/>
  <c r="D517" i="19" s="1"/>
  <c r="D529" i="19" s="1"/>
  <c r="D541" i="19" s="1"/>
  <c r="D553" i="19" s="1"/>
  <c r="D565" i="19" s="1"/>
  <c r="D577" i="19" s="1"/>
  <c r="D589" i="19" s="1"/>
  <c r="D601" i="19" s="1"/>
  <c r="D613" i="19" s="1"/>
  <c r="D625" i="19" s="1"/>
  <c r="D637" i="19" s="1"/>
  <c r="D649" i="19" s="1"/>
  <c r="D661" i="19" s="1"/>
  <c r="D673" i="19" s="1"/>
  <c r="D685" i="19" s="1"/>
  <c r="D697" i="19" s="1"/>
  <c r="D709" i="19" s="1"/>
  <c r="D721" i="19" s="1"/>
  <c r="D733" i="19" s="1"/>
  <c r="D745" i="19" s="1"/>
  <c r="P85" i="19"/>
  <c r="P97" i="19" s="1"/>
  <c r="P109" i="19" s="1"/>
  <c r="P121" i="19" s="1"/>
  <c r="P133" i="19" s="1"/>
  <c r="P145" i="19" s="1"/>
  <c r="P157" i="19" s="1"/>
  <c r="P169" i="19" s="1"/>
  <c r="P181" i="19" s="1"/>
  <c r="P193" i="19" s="1"/>
  <c r="P205" i="19" s="1"/>
  <c r="P217" i="19" s="1"/>
  <c r="P229" i="19" s="1"/>
  <c r="P241" i="19"/>
  <c r="P253" i="19" s="1"/>
  <c r="P265" i="19" s="1"/>
  <c r="P277" i="19" s="1"/>
  <c r="P289" i="19" s="1"/>
  <c r="P301" i="19" s="1"/>
  <c r="P313" i="19" s="1"/>
  <c r="P325" i="19" s="1"/>
  <c r="P337" i="19" s="1"/>
  <c r="P349" i="19" s="1"/>
  <c r="P361" i="19" s="1"/>
  <c r="P373" i="19" s="1"/>
  <c r="P385" i="19" s="1"/>
  <c r="P397" i="19" s="1"/>
  <c r="P409" i="19" s="1"/>
  <c r="P421" i="19" s="1"/>
  <c r="P433" i="19" s="1"/>
  <c r="P445" i="19" s="1"/>
  <c r="P457" i="19" s="1"/>
  <c r="P469" i="19" s="1"/>
  <c r="P481" i="19" s="1"/>
  <c r="P493" i="19" s="1"/>
  <c r="P505" i="19" s="1"/>
  <c r="P517" i="19" s="1"/>
  <c r="P529" i="19" s="1"/>
  <c r="P541" i="19" s="1"/>
  <c r="P553" i="19" s="1"/>
  <c r="P565" i="19" s="1"/>
  <c r="P577" i="19" s="1"/>
  <c r="P589" i="19" s="1"/>
  <c r="P601" i="19" s="1"/>
  <c r="P613" i="19" s="1"/>
  <c r="P625" i="19" s="1"/>
  <c r="P637" i="19" s="1"/>
  <c r="P649" i="19" s="1"/>
  <c r="P661" i="19" s="1"/>
  <c r="P673" i="19" s="1"/>
  <c r="P685" i="19" s="1"/>
  <c r="P697" i="19" s="1"/>
  <c r="P709" i="19" s="1"/>
  <c r="P721" i="19" s="1"/>
  <c r="P733" i="19" s="1"/>
  <c r="P745" i="19" s="1"/>
  <c r="O170" i="19"/>
  <c r="O182" i="19" s="1"/>
  <c r="O194" i="19" s="1"/>
  <c r="O206" i="19" s="1"/>
  <c r="O218" i="19" s="1"/>
  <c r="O230" i="19" s="1"/>
  <c r="O242" i="19" s="1"/>
  <c r="O254" i="19" s="1"/>
  <c r="O266" i="19" s="1"/>
  <c r="O278" i="19" s="1"/>
  <c r="O290" i="19" s="1"/>
  <c r="O302" i="19" s="1"/>
  <c r="O314" i="19" s="1"/>
  <c r="O326" i="19" s="1"/>
  <c r="O338" i="19" s="1"/>
  <c r="O350" i="19" s="1"/>
  <c r="O362" i="19" s="1"/>
  <c r="O374" i="19" s="1"/>
  <c r="O386" i="19" s="1"/>
  <c r="O398" i="19" s="1"/>
  <c r="O410" i="19" s="1"/>
  <c r="O422" i="19" s="1"/>
  <c r="O434" i="19" s="1"/>
  <c r="O446" i="19" s="1"/>
  <c r="O458" i="19" s="1"/>
  <c r="O470" i="19" s="1"/>
  <c r="O482" i="19" s="1"/>
  <c r="O494" i="19" s="1"/>
  <c r="O506" i="19" s="1"/>
  <c r="O518" i="19" s="1"/>
  <c r="O530" i="19" s="1"/>
  <c r="O542" i="19" s="1"/>
  <c r="O554" i="19" s="1"/>
  <c r="O566" i="19" s="1"/>
  <c r="O578" i="19" s="1"/>
  <c r="O590" i="19" s="1"/>
  <c r="O602" i="19" s="1"/>
  <c r="O614" i="19" s="1"/>
  <c r="O626" i="19" s="1"/>
  <c r="O638" i="19" s="1"/>
  <c r="O650" i="19" s="1"/>
  <c r="O662" i="19" s="1"/>
  <c r="O674" i="19" s="1"/>
  <c r="O686" i="19" s="1"/>
  <c r="O698" i="19" s="1"/>
  <c r="O710" i="19" s="1"/>
  <c r="O722" i="19" s="1"/>
  <c r="O734" i="19" s="1"/>
  <c r="O746" i="19" s="1"/>
  <c r="P50" i="19"/>
  <c r="P62" i="19" s="1"/>
  <c r="P74" i="19" s="1"/>
  <c r="P86" i="19" s="1"/>
  <c r="P98" i="19" s="1"/>
  <c r="P110" i="19"/>
  <c r="P122" i="19" s="1"/>
  <c r="P134" i="19" s="1"/>
  <c r="P146" i="19" s="1"/>
  <c r="P158" i="19" s="1"/>
  <c r="P170" i="19" s="1"/>
  <c r="P182" i="19" s="1"/>
  <c r="P194" i="19"/>
  <c r="P206" i="19" s="1"/>
  <c r="P218" i="19" s="1"/>
  <c r="P230" i="19" s="1"/>
  <c r="P242" i="19" s="1"/>
  <c r="P254" i="19" s="1"/>
  <c r="P266" i="19" s="1"/>
  <c r="P278" i="19" s="1"/>
  <c r="P290" i="19" s="1"/>
  <c r="P302" i="19" s="1"/>
  <c r="P314" i="19" s="1"/>
  <c r="P326" i="19" s="1"/>
  <c r="P338" i="19" s="1"/>
  <c r="P350" i="19" s="1"/>
  <c r="P362" i="19" s="1"/>
  <c r="P374" i="19" s="1"/>
  <c r="P386" i="19" s="1"/>
  <c r="P398" i="19" s="1"/>
  <c r="P410" i="19" s="1"/>
  <c r="P422" i="19" s="1"/>
  <c r="P434" i="19" s="1"/>
  <c r="P446" i="19" s="1"/>
  <c r="P458" i="19" s="1"/>
  <c r="P470" i="19" s="1"/>
  <c r="P482" i="19" s="1"/>
  <c r="P494" i="19" s="1"/>
  <c r="P506" i="19" s="1"/>
  <c r="P518" i="19" s="1"/>
  <c r="P530" i="19" s="1"/>
  <c r="P542" i="19" s="1"/>
  <c r="P554" i="19" s="1"/>
  <c r="P566" i="19" s="1"/>
  <c r="P578" i="19" s="1"/>
  <c r="P590" i="19" s="1"/>
  <c r="P602" i="19" s="1"/>
  <c r="P614" i="19" s="1"/>
  <c r="P626" i="19" s="1"/>
  <c r="P638" i="19" s="1"/>
  <c r="P650" i="19" s="1"/>
  <c r="P662" i="19" s="1"/>
  <c r="P674" i="19" s="1"/>
  <c r="P686" i="19" s="1"/>
  <c r="P698" i="19" s="1"/>
  <c r="P710" i="19" s="1"/>
  <c r="P722" i="19" s="1"/>
  <c r="P734" i="19" s="1"/>
  <c r="P746" i="19" s="1"/>
  <c r="C51" i="19"/>
  <c r="C63" i="19" s="1"/>
  <c r="C75" i="19" s="1"/>
  <c r="C87" i="19" s="1"/>
  <c r="C99" i="19" s="1"/>
  <c r="C111" i="19" s="1"/>
  <c r="C123" i="19" s="1"/>
  <c r="C135" i="19" s="1"/>
  <c r="C147" i="19" s="1"/>
  <c r="C159" i="19" s="1"/>
  <c r="C171" i="19" s="1"/>
  <c r="C183" i="19" s="1"/>
  <c r="C195" i="19" s="1"/>
  <c r="C207" i="19" s="1"/>
  <c r="C219" i="19" s="1"/>
  <c r="C231" i="19" s="1"/>
  <c r="C243" i="19" s="1"/>
  <c r="C255" i="19" s="1"/>
  <c r="C267" i="19" s="1"/>
  <c r="C279" i="19" s="1"/>
  <c r="C291" i="19" s="1"/>
  <c r="C303" i="19" s="1"/>
  <c r="C315" i="19" s="1"/>
  <c r="C327" i="19" s="1"/>
  <c r="C339" i="19" s="1"/>
  <c r="C351" i="19" s="1"/>
  <c r="C363" i="19" s="1"/>
  <c r="C375" i="19" s="1"/>
  <c r="C387" i="19" s="1"/>
  <c r="C399" i="19" s="1"/>
  <c r="C411" i="19" s="1"/>
  <c r="C423" i="19" s="1"/>
  <c r="C435" i="19" s="1"/>
  <c r="C447" i="19" s="1"/>
  <c r="C459" i="19" s="1"/>
  <c r="C471" i="19" s="1"/>
  <c r="C483" i="19" s="1"/>
  <c r="D183" i="19"/>
  <c r="D195" i="19"/>
  <c r="D207" i="19" s="1"/>
  <c r="D219" i="19" s="1"/>
  <c r="D231" i="19" s="1"/>
  <c r="D243" i="19" s="1"/>
  <c r="D255" i="19" s="1"/>
  <c r="D267" i="19" s="1"/>
  <c r="D279" i="19" s="1"/>
  <c r="D291" i="19" s="1"/>
  <c r="D303" i="19" s="1"/>
  <c r="D315" i="19" s="1"/>
  <c r="D327" i="19" s="1"/>
  <c r="D339" i="19" s="1"/>
  <c r="D351" i="19" s="1"/>
  <c r="D363" i="19" s="1"/>
  <c r="D375" i="19" s="1"/>
  <c r="D387" i="19" s="1"/>
  <c r="D399" i="19" s="1"/>
  <c r="D411" i="19"/>
  <c r="D423" i="19" s="1"/>
  <c r="D435" i="19" s="1"/>
  <c r="D447" i="19" s="1"/>
  <c r="D459" i="19" s="1"/>
  <c r="D471" i="19" s="1"/>
  <c r="D483" i="19" s="1"/>
  <c r="D495" i="19" s="1"/>
  <c r="D507" i="19" s="1"/>
  <c r="D519" i="19" s="1"/>
  <c r="D531" i="19" s="1"/>
  <c r="D543" i="19" s="1"/>
  <c r="D555" i="19" s="1"/>
  <c r="D567" i="19" s="1"/>
  <c r="D579" i="19" s="1"/>
  <c r="D591" i="19" s="1"/>
  <c r="D603" i="19" s="1"/>
  <c r="D615" i="19" s="1"/>
  <c r="D627" i="19" s="1"/>
  <c r="D639" i="19" s="1"/>
  <c r="D651" i="19" s="1"/>
  <c r="D663" i="19" s="1"/>
  <c r="D675" i="19" s="1"/>
  <c r="D687" i="19" s="1"/>
  <c r="D699" i="19" s="1"/>
  <c r="D711" i="19" s="1"/>
  <c r="D723" i="19" s="1"/>
  <c r="D735" i="19" s="1"/>
  <c r="D747" i="19" s="1"/>
  <c r="P51" i="19"/>
  <c r="P63" i="19" s="1"/>
  <c r="P75" i="19" s="1"/>
  <c r="C52" i="19"/>
  <c r="C64" i="19" s="1"/>
  <c r="C76" i="19" s="1"/>
  <c r="C88" i="19" s="1"/>
  <c r="C100" i="19" s="1"/>
  <c r="C112" i="19" s="1"/>
  <c r="C124" i="19" s="1"/>
  <c r="C136" i="19" s="1"/>
  <c r="C148" i="19" s="1"/>
  <c r="C160" i="19" s="1"/>
  <c r="C172" i="19" s="1"/>
  <c r="C184" i="19" s="1"/>
  <c r="C196" i="19" s="1"/>
  <c r="C208" i="19" s="1"/>
  <c r="C220" i="19" s="1"/>
  <c r="C232" i="19" s="1"/>
  <c r="C244" i="19" s="1"/>
  <c r="C256" i="19" s="1"/>
  <c r="C268" i="19" s="1"/>
  <c r="C280" i="19" s="1"/>
  <c r="C292" i="19" s="1"/>
  <c r="C304" i="19" s="1"/>
  <c r="C316" i="19" s="1"/>
  <c r="C328" i="19" s="1"/>
  <c r="C340" i="19" s="1"/>
  <c r="C352" i="19" s="1"/>
  <c r="C364" i="19" s="1"/>
  <c r="C376" i="19" s="1"/>
  <c r="C388" i="19" s="1"/>
  <c r="C400" i="19" s="1"/>
  <c r="C412" i="19" s="1"/>
  <c r="C424" i="19" s="1"/>
  <c r="C436" i="19" s="1"/>
  <c r="C448" i="19" s="1"/>
  <c r="C460" i="19" s="1"/>
  <c r="C472" i="19" s="1"/>
  <c r="C484" i="19" s="1"/>
  <c r="C496" i="19" s="1"/>
  <c r="C508" i="19" s="1"/>
  <c r="C520" i="19" s="1"/>
  <c r="C532" i="19" s="1"/>
  <c r="C544" i="19" s="1"/>
  <c r="C556" i="19"/>
  <c r="C568" i="19" s="1"/>
  <c r="C580" i="19" s="1"/>
  <c r="C592" i="19" s="1"/>
  <c r="C604" i="19" s="1"/>
  <c r="C616" i="19" s="1"/>
  <c r="C628" i="19" s="1"/>
  <c r="C640" i="19" s="1"/>
  <c r="C652" i="19" s="1"/>
  <c r="C664" i="19" s="1"/>
  <c r="C676" i="19" s="1"/>
  <c r="C688" i="19" s="1"/>
  <c r="C700" i="19" s="1"/>
  <c r="C712" i="19" s="1"/>
  <c r="C724" i="19" s="1"/>
  <c r="C736" i="19" s="1"/>
  <c r="C748" i="19" s="1"/>
  <c r="D64" i="19"/>
  <c r="D76" i="19"/>
  <c r="D88" i="19" s="1"/>
  <c r="D100" i="19" s="1"/>
  <c r="D112" i="19" s="1"/>
  <c r="D124" i="19" s="1"/>
  <c r="D136" i="19" s="1"/>
  <c r="D148" i="19" s="1"/>
  <c r="D160" i="19" s="1"/>
  <c r="D172" i="19" s="1"/>
  <c r="D184" i="19" s="1"/>
  <c r="D196" i="19" s="1"/>
  <c r="P52" i="19"/>
  <c r="P64" i="19" s="1"/>
  <c r="P76" i="19" s="1"/>
  <c r="P88" i="19" s="1"/>
  <c r="P100" i="19" s="1"/>
  <c r="P112" i="19" s="1"/>
  <c r="P124" i="19" s="1"/>
  <c r="P136" i="19" s="1"/>
  <c r="P148" i="19" s="1"/>
  <c r="P160" i="19" s="1"/>
  <c r="P172" i="19" s="1"/>
  <c r="P184" i="19" s="1"/>
  <c r="P196" i="19" s="1"/>
  <c r="P208" i="19" s="1"/>
  <c r="P220" i="19" s="1"/>
  <c r="P232" i="19" s="1"/>
  <c r="P244" i="19" s="1"/>
  <c r="P256" i="19" s="1"/>
  <c r="P268" i="19" s="1"/>
  <c r="P280" i="19" s="1"/>
  <c r="P292" i="19" s="1"/>
  <c r="P304" i="19" s="1"/>
  <c r="P316" i="19" s="1"/>
  <c r="P328" i="19" s="1"/>
  <c r="P340" i="19" s="1"/>
  <c r="P352" i="19" s="1"/>
  <c r="P364" i="19" s="1"/>
  <c r="P376" i="19" s="1"/>
  <c r="P388" i="19" s="1"/>
  <c r="P400" i="19" s="1"/>
  <c r="P412" i="19" s="1"/>
  <c r="P424" i="19" s="1"/>
  <c r="P436" i="19" s="1"/>
  <c r="P448" i="19" s="1"/>
  <c r="P460" i="19" s="1"/>
  <c r="P472" i="19" s="1"/>
  <c r="P484" i="19" s="1"/>
  <c r="P496" i="19" s="1"/>
  <c r="P508" i="19" s="1"/>
  <c r="P520" i="19" s="1"/>
  <c r="P532" i="19" s="1"/>
  <c r="P544" i="19" s="1"/>
  <c r="P556" i="19" s="1"/>
  <c r="P568" i="19" s="1"/>
  <c r="P580" i="19"/>
  <c r="P592" i="19" s="1"/>
  <c r="P604" i="19" s="1"/>
  <c r="P616" i="19" s="1"/>
  <c r="P628" i="19" s="1"/>
  <c r="P640" i="19" s="1"/>
  <c r="P652" i="19" s="1"/>
  <c r="P664" i="19" s="1"/>
  <c r="P676" i="19" s="1"/>
  <c r="P688" i="19" s="1"/>
  <c r="P700" i="19" s="1"/>
  <c r="P712" i="19" s="1"/>
  <c r="P724" i="19" s="1"/>
  <c r="P736" i="19" s="1"/>
  <c r="P748" i="19" s="1"/>
  <c r="D125" i="19"/>
  <c r="D137" i="19" s="1"/>
  <c r="D149" i="19" s="1"/>
  <c r="D161" i="19" s="1"/>
  <c r="D173" i="19" s="1"/>
  <c r="D185" i="19" s="1"/>
  <c r="D197" i="19" s="1"/>
  <c r="D209" i="19" s="1"/>
  <c r="D221" i="19" s="1"/>
  <c r="D233" i="19" s="1"/>
  <c r="D245" i="19" s="1"/>
  <c r="D257" i="19" s="1"/>
  <c r="D269" i="19" s="1"/>
  <c r="D281" i="19" s="1"/>
  <c r="D293" i="19" s="1"/>
  <c r="D305" i="19" s="1"/>
  <c r="D317" i="19" s="1"/>
  <c r="D329" i="19" s="1"/>
  <c r="D341" i="19" s="1"/>
  <c r="D353" i="19" s="1"/>
  <c r="D365" i="19" s="1"/>
  <c r="D377" i="19" s="1"/>
  <c r="D389" i="19" s="1"/>
  <c r="D401" i="19" s="1"/>
  <c r="D413" i="19" s="1"/>
  <c r="D425" i="19" s="1"/>
  <c r="D437" i="19" s="1"/>
  <c r="D449" i="19" s="1"/>
  <c r="D461" i="19" s="1"/>
  <c r="D473" i="19" s="1"/>
  <c r="D485" i="19" s="1"/>
  <c r="D497" i="19" s="1"/>
  <c r="D509" i="19" s="1"/>
  <c r="D521" i="19" s="1"/>
  <c r="D533" i="19" s="1"/>
  <c r="D545" i="19" s="1"/>
  <c r="D557" i="19"/>
  <c r="D569" i="19" s="1"/>
  <c r="D581" i="19" s="1"/>
  <c r="D593" i="19" s="1"/>
  <c r="D605" i="19" s="1"/>
  <c r="D617" i="19" s="1"/>
  <c r="D629" i="19" s="1"/>
  <c r="D641" i="19" s="1"/>
  <c r="D653" i="19" s="1"/>
  <c r="D665" i="19" s="1"/>
  <c r="D677" i="19" s="1"/>
  <c r="D689" i="19" s="1"/>
  <c r="D701" i="19" s="1"/>
  <c r="D713" i="19" s="1"/>
  <c r="D725" i="19" s="1"/>
  <c r="D737" i="19" s="1"/>
  <c r="D749" i="19" s="1"/>
  <c r="C54" i="19"/>
  <c r="C66" i="19"/>
  <c r="C78" i="19" s="1"/>
  <c r="C90" i="19" s="1"/>
  <c r="C102" i="19" s="1"/>
  <c r="C114" i="19" s="1"/>
  <c r="C126" i="19" s="1"/>
  <c r="C138" i="19" s="1"/>
  <c r="C150" i="19" s="1"/>
  <c r="C162" i="19" s="1"/>
  <c r="C174" i="19" s="1"/>
  <c r="C186" i="19" s="1"/>
  <c r="C198" i="19" s="1"/>
  <c r="C210" i="19" s="1"/>
  <c r="C222" i="19"/>
  <c r="C234" i="19" s="1"/>
  <c r="C246" i="19" s="1"/>
  <c r="C258" i="19" s="1"/>
  <c r="C270" i="19" s="1"/>
  <c r="C282" i="19" s="1"/>
  <c r="C294" i="19" s="1"/>
  <c r="C306" i="19" s="1"/>
  <c r="C318" i="19" s="1"/>
  <c r="C330" i="19" s="1"/>
  <c r="C342" i="19" s="1"/>
  <c r="C354" i="19" s="1"/>
  <c r="C366" i="19" s="1"/>
  <c r="C378" i="19" s="1"/>
  <c r="C390" i="19" s="1"/>
  <c r="C402" i="19" s="1"/>
  <c r="C414" i="19" s="1"/>
  <c r="C426" i="19" s="1"/>
  <c r="C438" i="19" s="1"/>
  <c r="C450" i="19" s="1"/>
  <c r="C462" i="19" s="1"/>
  <c r="C474" i="19" s="1"/>
  <c r="C486" i="19" s="1"/>
  <c r="C498" i="19" s="1"/>
  <c r="C510" i="19" s="1"/>
  <c r="C522" i="19" s="1"/>
  <c r="C534" i="19" s="1"/>
  <c r="C546" i="19" s="1"/>
  <c r="C558" i="19" s="1"/>
  <c r="C570" i="19" s="1"/>
  <c r="C582" i="19" s="1"/>
  <c r="C594" i="19" s="1"/>
  <c r="C606" i="19" s="1"/>
  <c r="C618" i="19" s="1"/>
  <c r="C630" i="19" s="1"/>
  <c r="C642" i="19" s="1"/>
  <c r="C654" i="19" s="1"/>
  <c r="C666" i="19" s="1"/>
  <c r="C678" i="19" s="1"/>
  <c r="C690" i="19" s="1"/>
  <c r="C702" i="19" s="1"/>
  <c r="C714" i="19" s="1"/>
  <c r="C726" i="19" s="1"/>
  <c r="C738" i="19" s="1"/>
  <c r="C750" i="19" s="1"/>
  <c r="D54" i="19"/>
  <c r="D79" i="19"/>
  <c r="D91" i="19"/>
  <c r="D103" i="19"/>
  <c r="D115" i="19" s="1"/>
  <c r="D127" i="19" s="1"/>
  <c r="D139" i="19" s="1"/>
  <c r="D151" i="19" s="1"/>
  <c r="D163" i="19" s="1"/>
  <c r="D175" i="19" s="1"/>
  <c r="D187" i="19" s="1"/>
  <c r="D199" i="19" s="1"/>
  <c r="D211" i="19" s="1"/>
  <c r="D223" i="19" s="1"/>
  <c r="D235" i="19" s="1"/>
  <c r="D247" i="19" s="1"/>
  <c r="D259" i="19" s="1"/>
  <c r="D271" i="19" s="1"/>
  <c r="D283" i="19" s="1"/>
  <c r="D295" i="19" s="1"/>
  <c r="D307" i="19" s="1"/>
  <c r="D319" i="19" s="1"/>
  <c r="D331" i="19" s="1"/>
  <c r="D343" i="19" s="1"/>
  <c r="D355" i="19" s="1"/>
  <c r="D367" i="19" s="1"/>
  <c r="D379" i="19" s="1"/>
  <c r="D391" i="19" s="1"/>
  <c r="D403" i="19" s="1"/>
  <c r="D415" i="19" s="1"/>
  <c r="D427" i="19" s="1"/>
  <c r="D439" i="19" s="1"/>
  <c r="D451" i="19" s="1"/>
  <c r="D463" i="19" s="1"/>
  <c r="D475" i="19" s="1"/>
  <c r="D487" i="19" s="1"/>
  <c r="D499" i="19" s="1"/>
  <c r="D511" i="19" s="1"/>
  <c r="D523" i="19" s="1"/>
  <c r="D535" i="19" s="1"/>
  <c r="D547" i="19" s="1"/>
  <c r="D559" i="19" s="1"/>
  <c r="D571" i="19" s="1"/>
  <c r="D583" i="19" s="1"/>
  <c r="D595" i="19" s="1"/>
  <c r="D607" i="19" s="1"/>
  <c r="D619" i="19" s="1"/>
  <c r="D631" i="19" s="1"/>
  <c r="D643" i="19" s="1"/>
  <c r="D655" i="19" s="1"/>
  <c r="D667" i="19" s="1"/>
  <c r="D679" i="19" s="1"/>
  <c r="D691" i="19" s="1"/>
  <c r="D703" i="19" s="1"/>
  <c r="D715" i="19" s="1"/>
  <c r="D727" i="19" s="1"/>
  <c r="D739" i="19" s="1"/>
  <c r="D751" i="19" s="1"/>
  <c r="P259" i="19"/>
  <c r="P271" i="19" s="1"/>
  <c r="P283" i="19" s="1"/>
  <c r="D80" i="19"/>
  <c r="D92" i="19"/>
  <c r="D104" i="19" s="1"/>
  <c r="D116" i="19"/>
  <c r="D128" i="19" s="1"/>
  <c r="D140" i="19" s="1"/>
  <c r="D152" i="19" s="1"/>
  <c r="D164" i="19" s="1"/>
  <c r="D59" i="19"/>
  <c r="D71" i="19" s="1"/>
  <c r="D83" i="19" s="1"/>
  <c r="D95" i="19" s="1"/>
  <c r="D107" i="19" s="1"/>
  <c r="D119" i="19" s="1"/>
  <c r="D131" i="19" s="1"/>
  <c r="D143" i="19" s="1"/>
  <c r="D155" i="19" s="1"/>
  <c r="D167" i="19" s="1"/>
  <c r="D179" i="19" s="1"/>
  <c r="D191" i="19" s="1"/>
  <c r="D203" i="19" s="1"/>
  <c r="D215" i="19" s="1"/>
  <c r="D227" i="19" s="1"/>
  <c r="D239" i="19" s="1"/>
  <c r="D251" i="19" s="1"/>
  <c r="D263" i="19" s="1"/>
  <c r="D275" i="19" s="1"/>
  <c r="D287" i="19" s="1"/>
  <c r="D299" i="19" s="1"/>
  <c r="D311" i="19" s="1"/>
  <c r="D323" i="19" s="1"/>
  <c r="D335" i="19" s="1"/>
  <c r="D347" i="19" s="1"/>
  <c r="D359" i="19" s="1"/>
  <c r="D371" i="19" s="1"/>
  <c r="D383" i="19" s="1"/>
  <c r="D395" i="19" s="1"/>
  <c r="D407" i="19" s="1"/>
  <c r="D419" i="19" s="1"/>
  <c r="D431" i="19" s="1"/>
  <c r="D443" i="19" s="1"/>
  <c r="D455" i="19" s="1"/>
  <c r="D467" i="19" s="1"/>
  <c r="D479" i="19" s="1"/>
  <c r="D491" i="19" s="1"/>
  <c r="D503" i="19" s="1"/>
  <c r="D515" i="19" s="1"/>
  <c r="D527" i="19" s="1"/>
  <c r="D539" i="19" s="1"/>
  <c r="D551" i="19" s="1"/>
  <c r="D563" i="19" s="1"/>
  <c r="D575" i="19" s="1"/>
  <c r="D587" i="19" s="1"/>
  <c r="D599" i="19" s="1"/>
  <c r="D611" i="19" s="1"/>
  <c r="D623" i="19" s="1"/>
  <c r="D635" i="19" s="1"/>
  <c r="D647" i="19" s="1"/>
  <c r="D659" i="19" s="1"/>
  <c r="D671" i="19" s="1"/>
  <c r="D683" i="19" s="1"/>
  <c r="D695" i="19" s="1"/>
  <c r="D707" i="19" s="1"/>
  <c r="D719" i="19" s="1"/>
  <c r="D731" i="19" s="1"/>
  <c r="D743" i="19" s="1"/>
  <c r="D755" i="19" s="1"/>
  <c r="D72" i="19"/>
  <c r="D84" i="19"/>
  <c r="D96" i="19" s="1"/>
  <c r="D108" i="19" s="1"/>
  <c r="D120" i="19" s="1"/>
  <c r="D132" i="19" s="1"/>
  <c r="D144" i="19" s="1"/>
  <c r="D156" i="19" s="1"/>
  <c r="C61" i="19"/>
  <c r="C73" i="19" s="1"/>
  <c r="C85" i="19" s="1"/>
  <c r="C97" i="19" s="1"/>
  <c r="C109" i="19" s="1"/>
  <c r="C121" i="19"/>
  <c r="C133" i="19" s="1"/>
  <c r="C145" i="19" s="1"/>
  <c r="C157" i="19" s="1"/>
  <c r="C169" i="19" s="1"/>
  <c r="C181" i="19" s="1"/>
  <c r="C193" i="19" s="1"/>
  <c r="C205" i="19"/>
  <c r="C217" i="19" s="1"/>
  <c r="C229" i="19" s="1"/>
  <c r="C241" i="19" s="1"/>
  <c r="C253" i="19" s="1"/>
  <c r="C265" i="19" s="1"/>
  <c r="C277" i="19" s="1"/>
  <c r="C289" i="19" s="1"/>
  <c r="C301" i="19" s="1"/>
  <c r="C313" i="19" s="1"/>
  <c r="C325" i="19" s="1"/>
  <c r="C337" i="19" s="1"/>
  <c r="C349" i="19" s="1"/>
  <c r="C361" i="19" s="1"/>
  <c r="C373" i="19" s="1"/>
  <c r="C385" i="19" s="1"/>
  <c r="C397" i="19" s="1"/>
  <c r="C409" i="19" s="1"/>
  <c r="C421" i="19"/>
  <c r="C433" i="19" s="1"/>
  <c r="C445" i="19" s="1"/>
  <c r="C457" i="19" s="1"/>
  <c r="C469" i="19" s="1"/>
  <c r="C481" i="19" s="1"/>
  <c r="C493" i="19" s="1"/>
  <c r="C505" i="19" s="1"/>
  <c r="C517" i="19" s="1"/>
  <c r="C529" i="19" s="1"/>
  <c r="C541" i="19" s="1"/>
  <c r="C553" i="19" s="1"/>
  <c r="C565" i="19" s="1"/>
  <c r="C577" i="19" s="1"/>
  <c r="C589" i="19" s="1"/>
  <c r="C601" i="19" s="1"/>
  <c r="C613" i="19" s="1"/>
  <c r="C625" i="19" s="1"/>
  <c r="C637" i="19" s="1"/>
  <c r="C649" i="19" s="1"/>
  <c r="C661" i="19" s="1"/>
  <c r="C673" i="19" s="1"/>
  <c r="C685" i="19" s="1"/>
  <c r="C697" i="19" s="1"/>
  <c r="C709" i="19" s="1"/>
  <c r="C721" i="19" s="1"/>
  <c r="C733" i="19" s="1"/>
  <c r="C745" i="19" s="1"/>
  <c r="C62" i="19"/>
  <c r="C74" i="19"/>
  <c r="C86" i="19" s="1"/>
  <c r="C98" i="19" s="1"/>
  <c r="C110" i="19" s="1"/>
  <c r="C122" i="19" s="1"/>
  <c r="C134" i="19" s="1"/>
  <c r="C146" i="19" s="1"/>
  <c r="C158" i="19" s="1"/>
  <c r="C170" i="19" s="1"/>
  <c r="C182" i="19" s="1"/>
  <c r="C194" i="19" s="1"/>
  <c r="C206" i="19" s="1"/>
  <c r="C218" i="19" s="1"/>
  <c r="C230" i="19" s="1"/>
  <c r="C242" i="19" s="1"/>
  <c r="C254" i="19" s="1"/>
  <c r="C266" i="19" s="1"/>
  <c r="C278" i="19" s="1"/>
  <c r="C290" i="19" s="1"/>
  <c r="C302" i="19" s="1"/>
  <c r="C314" i="19" s="1"/>
  <c r="C326" i="19" s="1"/>
  <c r="C338" i="19" s="1"/>
  <c r="C350" i="19" s="1"/>
  <c r="C362" i="19" s="1"/>
  <c r="C374" i="19" s="1"/>
  <c r="C386" i="19" s="1"/>
  <c r="C398" i="19" s="1"/>
  <c r="C410" i="19" s="1"/>
  <c r="C422" i="19" s="1"/>
  <c r="C434" i="19" s="1"/>
  <c r="C446" i="19" s="1"/>
  <c r="C458" i="19" s="1"/>
  <c r="C470" i="19" s="1"/>
  <c r="C482" i="19" s="1"/>
  <c r="C494" i="19" s="1"/>
  <c r="C506" i="19" s="1"/>
  <c r="C518" i="19" s="1"/>
  <c r="C530" i="19" s="1"/>
  <c r="C542" i="19" s="1"/>
  <c r="C554" i="19" s="1"/>
  <c r="C566" i="19" s="1"/>
  <c r="C578" i="19" s="1"/>
  <c r="C590" i="19" s="1"/>
  <c r="C602" i="19" s="1"/>
  <c r="C614" i="19" s="1"/>
  <c r="C626" i="19" s="1"/>
  <c r="C638" i="19" s="1"/>
  <c r="C650" i="19" s="1"/>
  <c r="C662" i="19" s="1"/>
  <c r="C674" i="19" s="1"/>
  <c r="C686" i="19" s="1"/>
  <c r="C698" i="19" s="1"/>
  <c r="C710" i="19" s="1"/>
  <c r="C722" i="19" s="1"/>
  <c r="C734" i="19" s="1"/>
  <c r="C746" i="19" s="1"/>
  <c r="C495" i="19"/>
  <c r="C507" i="19" s="1"/>
  <c r="C519" i="19" s="1"/>
  <c r="C531" i="19" s="1"/>
  <c r="C543" i="19" s="1"/>
  <c r="C555" i="19" s="1"/>
  <c r="C567" i="19" s="1"/>
  <c r="C579" i="19" s="1"/>
  <c r="C591" i="19" s="1"/>
  <c r="C603" i="19" s="1"/>
  <c r="C615" i="19" s="1"/>
  <c r="C627" i="19" s="1"/>
  <c r="C639" i="19" s="1"/>
  <c r="C651" i="19" s="1"/>
  <c r="C663" i="19" s="1"/>
  <c r="C675" i="19" s="1"/>
  <c r="C687" i="19" s="1"/>
  <c r="C699" i="19" s="1"/>
  <c r="C711" i="19" s="1"/>
  <c r="C723" i="19" s="1"/>
  <c r="C735" i="19" s="1"/>
  <c r="C747" i="19" s="1"/>
  <c r="P87" i="19"/>
  <c r="P99" i="19" s="1"/>
  <c r="P111" i="19" s="1"/>
  <c r="P123" i="19" s="1"/>
  <c r="P135" i="19" s="1"/>
  <c r="P147" i="19" s="1"/>
  <c r="D66" i="19"/>
  <c r="D78" i="19" s="1"/>
  <c r="D90" i="19" s="1"/>
  <c r="D102" i="19" s="1"/>
  <c r="D114" i="19" s="1"/>
  <c r="D126" i="19" s="1"/>
  <c r="D138" i="19" s="1"/>
  <c r="D150" i="19" s="1"/>
  <c r="D162" i="19" s="1"/>
  <c r="D174" i="19" s="1"/>
  <c r="D186" i="19" s="1"/>
  <c r="D198" i="19" s="1"/>
  <c r="C129" i="19"/>
  <c r="C141" i="19" s="1"/>
  <c r="C153" i="19" s="1"/>
  <c r="C165" i="19" s="1"/>
  <c r="C177" i="19" s="1"/>
  <c r="C189" i="19" s="1"/>
  <c r="C201" i="19"/>
  <c r="C213" i="19" s="1"/>
  <c r="C225" i="19" s="1"/>
  <c r="C237" i="19" s="1"/>
  <c r="C249" i="19" s="1"/>
  <c r="C261" i="19" s="1"/>
  <c r="C273" i="19" s="1"/>
  <c r="C285" i="19" s="1"/>
  <c r="C297" i="19" s="1"/>
  <c r="C309" i="19" s="1"/>
  <c r="C321" i="19" s="1"/>
  <c r="C333" i="19" s="1"/>
  <c r="C345" i="19" s="1"/>
  <c r="C357" i="19" s="1"/>
  <c r="C369" i="19" s="1"/>
  <c r="C381" i="19" s="1"/>
  <c r="C393" i="19" s="1"/>
  <c r="C405" i="19" s="1"/>
  <c r="C417" i="19" s="1"/>
  <c r="C429" i="19" s="1"/>
  <c r="C441" i="19" s="1"/>
  <c r="C453" i="19" s="1"/>
  <c r="C465" i="19" s="1"/>
  <c r="C477" i="19" s="1"/>
  <c r="C489" i="19" s="1"/>
  <c r="C501" i="19" s="1"/>
  <c r="C513" i="19" s="1"/>
  <c r="C525" i="19" s="1"/>
  <c r="C537" i="19" s="1"/>
  <c r="C549" i="19" s="1"/>
  <c r="C561" i="19" s="1"/>
  <c r="C573" i="19" s="1"/>
  <c r="C585" i="19" s="1"/>
  <c r="C597" i="19" s="1"/>
  <c r="C609" i="19" s="1"/>
  <c r="C621" i="19" s="1"/>
  <c r="C633" i="19"/>
  <c r="C645" i="19" s="1"/>
  <c r="C657" i="19" s="1"/>
  <c r="C669" i="19" s="1"/>
  <c r="C681" i="19" s="1"/>
  <c r="C693" i="19" s="1"/>
  <c r="C705" i="19" s="1"/>
  <c r="C717" i="19" s="1"/>
  <c r="C729" i="19" s="1"/>
  <c r="C741" i="19" s="1"/>
  <c r="C753" i="19" s="1"/>
  <c r="D69" i="19"/>
  <c r="D81" i="19"/>
  <c r="D93" i="19" s="1"/>
  <c r="D105" i="19" s="1"/>
  <c r="D117" i="19" s="1"/>
  <c r="D129" i="19" s="1"/>
  <c r="D141" i="19" s="1"/>
  <c r="D153" i="19" s="1"/>
  <c r="D165" i="19" s="1"/>
  <c r="D177" i="19" s="1"/>
  <c r="D189" i="19" s="1"/>
  <c r="D201" i="19" s="1"/>
  <c r="D213" i="19" s="1"/>
  <c r="D225" i="19"/>
  <c r="D237" i="19" s="1"/>
  <c r="D249" i="19" s="1"/>
  <c r="D261" i="19" s="1"/>
  <c r="D273" i="19" s="1"/>
  <c r="D285" i="19" s="1"/>
  <c r="D297" i="19" s="1"/>
  <c r="D309" i="19" s="1"/>
  <c r="D321" i="19" s="1"/>
  <c r="D333" i="19" s="1"/>
  <c r="D345" i="19" s="1"/>
  <c r="D357" i="19" s="1"/>
  <c r="D369" i="19" s="1"/>
  <c r="D381" i="19" s="1"/>
  <c r="D393" i="19" s="1"/>
  <c r="D405" i="19" s="1"/>
  <c r="D417" i="19" s="1"/>
  <c r="D429" i="19" s="1"/>
  <c r="D441" i="19" s="1"/>
  <c r="D453" i="19" s="1"/>
  <c r="D465" i="19" s="1"/>
  <c r="D477" i="19" s="1"/>
  <c r="D489" i="19" s="1"/>
  <c r="D501" i="19" s="1"/>
  <c r="D513" i="19" s="1"/>
  <c r="D525" i="19" s="1"/>
  <c r="D537" i="19" s="1"/>
  <c r="D549" i="19" s="1"/>
  <c r="D561" i="19" s="1"/>
  <c r="D573" i="19" s="1"/>
  <c r="D585" i="19" s="1"/>
  <c r="D597" i="19" s="1"/>
  <c r="D609" i="19" s="1"/>
  <c r="D621" i="19" s="1"/>
  <c r="D633" i="19" s="1"/>
  <c r="D645" i="19" s="1"/>
  <c r="D657" i="19"/>
  <c r="D669" i="19" s="1"/>
  <c r="D681" i="19" s="1"/>
  <c r="D693" i="19" s="1"/>
  <c r="D705" i="19" s="1"/>
  <c r="D717" i="19" s="1"/>
  <c r="D729" i="19" s="1"/>
  <c r="D741" i="19" s="1"/>
  <c r="D753" i="19" s="1"/>
  <c r="P106" i="19"/>
  <c r="P118" i="19" s="1"/>
  <c r="P130" i="19"/>
  <c r="P142" i="19" s="1"/>
  <c r="P154" i="19" s="1"/>
  <c r="P166" i="19" s="1"/>
  <c r="P178" i="19" s="1"/>
  <c r="P190" i="19" s="1"/>
  <c r="P202" i="19" s="1"/>
  <c r="P214" i="19" s="1"/>
  <c r="P226" i="19" s="1"/>
  <c r="P238" i="19" s="1"/>
  <c r="P250" i="19" s="1"/>
  <c r="P262" i="19" s="1"/>
  <c r="P274" i="19"/>
  <c r="P286" i="19" s="1"/>
  <c r="P298" i="19" s="1"/>
  <c r="P310" i="19" s="1"/>
  <c r="P322" i="19" s="1"/>
  <c r="P334" i="19" s="1"/>
  <c r="P346" i="19" s="1"/>
  <c r="P358" i="19" s="1"/>
  <c r="P370" i="19" s="1"/>
  <c r="P382" i="19" s="1"/>
  <c r="P394" i="19" s="1"/>
  <c r="P406" i="19" s="1"/>
  <c r="P418" i="19" s="1"/>
  <c r="P430" i="19" s="1"/>
  <c r="P442" i="19" s="1"/>
  <c r="P454" i="19" s="1"/>
  <c r="P466" i="19" s="1"/>
  <c r="P478" i="19" s="1"/>
  <c r="P490" i="19" s="1"/>
  <c r="P502" i="19" s="1"/>
  <c r="P514" i="19" s="1"/>
  <c r="P526" i="19" s="1"/>
  <c r="P538" i="19" s="1"/>
  <c r="P550" i="19" s="1"/>
  <c r="P562" i="19" s="1"/>
  <c r="P574" i="19" s="1"/>
  <c r="P586" i="19" s="1"/>
  <c r="P598" i="19" s="1"/>
  <c r="P610" i="19" s="1"/>
  <c r="P622" i="19" s="1"/>
  <c r="P634" i="19" s="1"/>
  <c r="P646" i="19" s="1"/>
  <c r="P658" i="19" s="1"/>
  <c r="P670" i="19" s="1"/>
  <c r="P682" i="19" s="1"/>
  <c r="P694" i="19" s="1"/>
  <c r="P706" i="19" s="1"/>
  <c r="P718" i="19" s="1"/>
  <c r="P730" i="19" s="1"/>
  <c r="P742" i="19" s="1"/>
  <c r="P754" i="19" s="1"/>
  <c r="D74" i="19"/>
  <c r="D86" i="19"/>
  <c r="D98" i="19" s="1"/>
  <c r="D110" i="19" s="1"/>
  <c r="D122" i="19"/>
  <c r="D134" i="19" s="1"/>
  <c r="D146" i="19" s="1"/>
  <c r="D158" i="19" s="1"/>
  <c r="D170" i="19" s="1"/>
  <c r="D182" i="19" s="1"/>
  <c r="D194" i="19" s="1"/>
  <c r="D206" i="19" s="1"/>
  <c r="D218" i="19" s="1"/>
  <c r="D230" i="19" s="1"/>
  <c r="D242" i="19" s="1"/>
  <c r="D254" i="19" s="1"/>
  <c r="D266" i="19" s="1"/>
  <c r="D278" i="19" s="1"/>
  <c r="D290" i="19" s="1"/>
  <c r="D302" i="19" s="1"/>
  <c r="D314" i="19" s="1"/>
  <c r="D326" i="19" s="1"/>
  <c r="D338" i="19" s="1"/>
  <c r="D350" i="19" s="1"/>
  <c r="D362" i="19" s="1"/>
  <c r="D374" i="19" s="1"/>
  <c r="D386" i="19" s="1"/>
  <c r="D398" i="19" s="1"/>
  <c r="D410" i="19" s="1"/>
  <c r="D422" i="19" s="1"/>
  <c r="D434" i="19" s="1"/>
  <c r="D446" i="19" s="1"/>
  <c r="D458" i="19" s="1"/>
  <c r="D470" i="19" s="1"/>
  <c r="D482" i="19" s="1"/>
  <c r="D494" i="19" s="1"/>
  <c r="D506" i="19" s="1"/>
  <c r="D518" i="19" s="1"/>
  <c r="D530" i="19" s="1"/>
  <c r="D542" i="19" s="1"/>
  <c r="D554" i="19" s="1"/>
  <c r="D566" i="19" s="1"/>
  <c r="D578" i="19" s="1"/>
  <c r="D590" i="19" s="1"/>
  <c r="D602" i="19" s="1"/>
  <c r="D614" i="19" s="1"/>
  <c r="D626" i="19" s="1"/>
  <c r="D638" i="19" s="1"/>
  <c r="D650" i="19" s="1"/>
  <c r="D662" i="19" s="1"/>
  <c r="D674" i="19" s="1"/>
  <c r="D686" i="19" s="1"/>
  <c r="D698" i="19" s="1"/>
  <c r="D710" i="19" s="1"/>
  <c r="D722" i="19" s="1"/>
  <c r="D734" i="19" s="1"/>
  <c r="D746" i="19" s="1"/>
  <c r="D210" i="19"/>
  <c r="D222" i="19" s="1"/>
  <c r="D234" i="19" s="1"/>
  <c r="D246" i="19" s="1"/>
  <c r="D258" i="19" s="1"/>
  <c r="D270" i="19" s="1"/>
  <c r="D282" i="19" s="1"/>
  <c r="D294" i="19" s="1"/>
  <c r="D306" i="19" s="1"/>
  <c r="D318" i="19" s="1"/>
  <c r="D330" i="19" s="1"/>
  <c r="D342" i="19" s="1"/>
  <c r="D354" i="19" s="1"/>
  <c r="D366" i="19" s="1"/>
  <c r="D378" i="19" s="1"/>
  <c r="D390" i="19" s="1"/>
  <c r="D402" i="19" s="1"/>
  <c r="D414" i="19" s="1"/>
  <c r="D426" i="19" s="1"/>
  <c r="D438" i="19" s="1"/>
  <c r="D450" i="19" s="1"/>
  <c r="D462" i="19" s="1"/>
  <c r="D474" i="19" s="1"/>
  <c r="D486" i="19" s="1"/>
  <c r="D498" i="19" s="1"/>
  <c r="D510" i="19" s="1"/>
  <c r="D522" i="19" s="1"/>
  <c r="D534" i="19" s="1"/>
  <c r="D546" i="19" s="1"/>
  <c r="D558" i="19" s="1"/>
  <c r="D570" i="19" s="1"/>
  <c r="D582" i="19" s="1"/>
  <c r="D594" i="19" s="1"/>
  <c r="D606" i="19" s="1"/>
  <c r="D618" i="19" s="1"/>
  <c r="D630" i="19" s="1"/>
  <c r="D642" i="19" s="1"/>
  <c r="D654" i="19" s="1"/>
  <c r="D666" i="19" s="1"/>
  <c r="D678" i="19" s="1"/>
  <c r="D690" i="19" s="1"/>
  <c r="D702" i="19" s="1"/>
  <c r="D714" i="19" s="1"/>
  <c r="D726" i="19" s="1"/>
  <c r="D738" i="19" s="1"/>
  <c r="D750" i="19" s="1"/>
  <c r="P102" i="19"/>
  <c r="P114" i="19" s="1"/>
  <c r="P126" i="19"/>
  <c r="P138" i="19" s="1"/>
  <c r="P150" i="19" s="1"/>
  <c r="P162" i="19" s="1"/>
  <c r="P174" i="19" s="1"/>
  <c r="P186" i="19" s="1"/>
  <c r="P198" i="19" s="1"/>
  <c r="P210" i="19" s="1"/>
  <c r="P222" i="19" s="1"/>
  <c r="P234" i="19" s="1"/>
  <c r="P246" i="19" s="1"/>
  <c r="P258" i="19" s="1"/>
  <c r="P270" i="19" s="1"/>
  <c r="P282" i="19" s="1"/>
  <c r="P294" i="19" s="1"/>
  <c r="P306" i="19" s="1"/>
  <c r="P318" i="19" s="1"/>
  <c r="P330" i="19" s="1"/>
  <c r="P342" i="19"/>
  <c r="P354" i="19" s="1"/>
  <c r="P366" i="19" s="1"/>
  <c r="P378" i="19" s="1"/>
  <c r="P390" i="19" s="1"/>
  <c r="P402" i="19" s="1"/>
  <c r="P414" i="19" s="1"/>
  <c r="P426" i="19" s="1"/>
  <c r="P438" i="19" s="1"/>
  <c r="P450" i="19" s="1"/>
  <c r="P462" i="19" s="1"/>
  <c r="P474" i="19" s="1"/>
  <c r="P486" i="19" s="1"/>
  <c r="P498" i="19" s="1"/>
  <c r="P510" i="19" s="1"/>
  <c r="P522" i="19" s="1"/>
  <c r="P534" i="19" s="1"/>
  <c r="P546" i="19" s="1"/>
  <c r="P558" i="19" s="1"/>
  <c r="P570" i="19" s="1"/>
  <c r="P582" i="19" s="1"/>
  <c r="P594" i="19" s="1"/>
  <c r="P606" i="19" s="1"/>
  <c r="P618" i="19" s="1"/>
  <c r="P630" i="19" s="1"/>
  <c r="P642" i="19" s="1"/>
  <c r="P654" i="19" s="1"/>
  <c r="P666" i="19" s="1"/>
  <c r="P678" i="19" s="1"/>
  <c r="P690" i="19" s="1"/>
  <c r="P702" i="19" s="1"/>
  <c r="P714" i="19" s="1"/>
  <c r="P726" i="19" s="1"/>
  <c r="P738" i="19" s="1"/>
  <c r="P750" i="19" s="1"/>
  <c r="P295" i="19"/>
  <c r="P307" i="19" s="1"/>
  <c r="P319" i="19" s="1"/>
  <c r="P331" i="19" s="1"/>
  <c r="P343" i="19" s="1"/>
  <c r="P355" i="19" s="1"/>
  <c r="P367" i="19" s="1"/>
  <c r="P379" i="19" s="1"/>
  <c r="P391" i="19" s="1"/>
  <c r="P403" i="19" s="1"/>
  <c r="P415" i="19" s="1"/>
  <c r="P427" i="19" s="1"/>
  <c r="P439" i="19" s="1"/>
  <c r="P451" i="19" s="1"/>
  <c r="P463" i="19" s="1"/>
  <c r="P475" i="19" s="1"/>
  <c r="P487" i="19" s="1"/>
  <c r="P499" i="19" s="1"/>
  <c r="P511" i="19"/>
  <c r="P523" i="19" s="1"/>
  <c r="P535" i="19" s="1"/>
  <c r="P547" i="19" s="1"/>
  <c r="P559" i="19" s="1"/>
  <c r="P571" i="19" s="1"/>
  <c r="P583" i="19" s="1"/>
  <c r="P595" i="19" s="1"/>
  <c r="P607" i="19" s="1"/>
  <c r="P619" i="19" s="1"/>
  <c r="P631" i="19" s="1"/>
  <c r="P643" i="19" s="1"/>
  <c r="P655" i="19" s="1"/>
  <c r="P667" i="19" s="1"/>
  <c r="P679" i="19" s="1"/>
  <c r="P691" i="19" s="1"/>
  <c r="P703" i="19" s="1"/>
  <c r="P715" i="19" s="1"/>
  <c r="P727" i="19"/>
  <c r="P739" i="19" s="1"/>
  <c r="P751" i="19" s="1"/>
  <c r="C119" i="19"/>
  <c r="C131" i="19" s="1"/>
  <c r="C143" i="19" s="1"/>
  <c r="C155" i="19" s="1"/>
  <c r="C167" i="19" s="1"/>
  <c r="C179" i="19" s="1"/>
  <c r="C191" i="19" s="1"/>
  <c r="C203" i="19" s="1"/>
  <c r="C215" i="19" s="1"/>
  <c r="C227" i="19" s="1"/>
  <c r="C239" i="19" s="1"/>
  <c r="C251" i="19" s="1"/>
  <c r="C263" i="19" s="1"/>
  <c r="C275" i="19" s="1"/>
  <c r="C287" i="19" s="1"/>
  <c r="C299" i="19" s="1"/>
  <c r="C311" i="19" s="1"/>
  <c r="C323" i="19" s="1"/>
  <c r="C335" i="19" s="1"/>
  <c r="C347" i="19" s="1"/>
  <c r="C359" i="19" s="1"/>
  <c r="C371" i="19" s="1"/>
  <c r="C383" i="19" s="1"/>
  <c r="C395" i="19" s="1"/>
  <c r="C407" i="19" s="1"/>
  <c r="C419" i="19" s="1"/>
  <c r="C431" i="19" s="1"/>
  <c r="C443" i="19" s="1"/>
  <c r="C455" i="19" s="1"/>
  <c r="C467" i="19" s="1"/>
  <c r="C479" i="19" s="1"/>
  <c r="C491" i="19" s="1"/>
  <c r="C503" i="19" s="1"/>
  <c r="C515" i="19" s="1"/>
  <c r="C527" i="19" s="1"/>
  <c r="C539" i="19" s="1"/>
  <c r="C551" i="19" s="1"/>
  <c r="C563" i="19" s="1"/>
  <c r="C575" i="19" s="1"/>
  <c r="C587" i="19" s="1"/>
  <c r="C599" i="19" s="1"/>
  <c r="C611" i="19" s="1"/>
  <c r="C623" i="19" s="1"/>
  <c r="C635" i="19" s="1"/>
  <c r="C647" i="19" s="1"/>
  <c r="C659" i="19" s="1"/>
  <c r="C671" i="19" s="1"/>
  <c r="C683" i="19" s="1"/>
  <c r="C695" i="19" s="1"/>
  <c r="C707" i="19" s="1"/>
  <c r="C719" i="19" s="1"/>
  <c r="C731" i="19" s="1"/>
  <c r="C743" i="19" s="1"/>
  <c r="C755" i="19" s="1"/>
  <c r="C106" i="19"/>
  <c r="C118" i="19" s="1"/>
  <c r="C130" i="19" s="1"/>
  <c r="C142" i="19" s="1"/>
  <c r="C154" i="19" s="1"/>
  <c r="C166" i="19" s="1"/>
  <c r="C178" i="19" s="1"/>
  <c r="C190" i="19" s="1"/>
  <c r="C202" i="19" s="1"/>
  <c r="C214" i="19" s="1"/>
  <c r="C226" i="19" s="1"/>
  <c r="C238" i="19" s="1"/>
  <c r="C250" i="19" s="1"/>
  <c r="C262" i="19" s="1"/>
  <c r="C274" i="19" s="1"/>
  <c r="C286" i="19" s="1"/>
  <c r="C298" i="19" s="1"/>
  <c r="C310" i="19" s="1"/>
  <c r="C322" i="19"/>
  <c r="C334" i="19" s="1"/>
  <c r="C346" i="19" s="1"/>
  <c r="C358" i="19" s="1"/>
  <c r="C370" i="19" s="1"/>
  <c r="C382" i="19" s="1"/>
  <c r="C394" i="19" s="1"/>
  <c r="C406" i="19" s="1"/>
  <c r="C418" i="19" s="1"/>
  <c r="C430" i="19" s="1"/>
  <c r="C442" i="19" s="1"/>
  <c r="C454" i="19" s="1"/>
  <c r="C466" i="19" s="1"/>
  <c r="C478" i="19" s="1"/>
  <c r="C490" i="19" s="1"/>
  <c r="C502" i="19" s="1"/>
  <c r="C514" i="19" s="1"/>
  <c r="C526" i="19" s="1"/>
  <c r="C538" i="19"/>
  <c r="C550" i="19" s="1"/>
  <c r="C562" i="19" s="1"/>
  <c r="C574" i="19" s="1"/>
  <c r="C586" i="19" s="1"/>
  <c r="C598" i="19" s="1"/>
  <c r="C610" i="19" s="1"/>
  <c r="C622" i="19" s="1"/>
  <c r="C634" i="19" s="1"/>
  <c r="C646" i="19" s="1"/>
  <c r="C658" i="19" s="1"/>
  <c r="C670" i="19" s="1"/>
  <c r="C682" i="19" s="1"/>
  <c r="C694" i="19" s="1"/>
  <c r="C706" i="19" s="1"/>
  <c r="C718" i="19" s="1"/>
  <c r="C730" i="19" s="1"/>
  <c r="C742" i="19" s="1"/>
  <c r="C754" i="19" s="1"/>
  <c r="P159" i="19"/>
  <c r="P171" i="19" s="1"/>
  <c r="P183" i="19" s="1"/>
  <c r="P195" i="19" s="1"/>
  <c r="P207" i="19" s="1"/>
  <c r="P219" i="19" s="1"/>
  <c r="P231" i="19"/>
  <c r="P243" i="19" s="1"/>
  <c r="P255" i="19" s="1"/>
  <c r="P267" i="19" s="1"/>
  <c r="P279" i="19" s="1"/>
  <c r="P291" i="19" s="1"/>
  <c r="P303" i="19" s="1"/>
  <c r="P315" i="19" s="1"/>
  <c r="P327" i="19" s="1"/>
  <c r="P339" i="19" s="1"/>
  <c r="P351" i="19" s="1"/>
  <c r="P363" i="19" s="1"/>
  <c r="P375" i="19" s="1"/>
  <c r="P387" i="19" s="1"/>
  <c r="P399" i="19" s="1"/>
  <c r="P411" i="19" s="1"/>
  <c r="P423" i="19" s="1"/>
  <c r="P435" i="19" s="1"/>
  <c r="P447" i="19" s="1"/>
  <c r="P459" i="19" s="1"/>
  <c r="P471" i="19" s="1"/>
  <c r="P483" i="19" s="1"/>
  <c r="D168" i="19"/>
  <c r="D180" i="19" s="1"/>
  <c r="D192" i="19" s="1"/>
  <c r="D204" i="19" s="1"/>
  <c r="D216" i="19" s="1"/>
  <c r="D228" i="19" s="1"/>
  <c r="D240" i="19"/>
  <c r="D252" i="19" s="1"/>
  <c r="D264" i="19" s="1"/>
  <c r="D276" i="19" s="1"/>
  <c r="D288" i="19" s="1"/>
  <c r="D300" i="19" s="1"/>
  <c r="D312" i="19"/>
  <c r="D324" i="19" s="1"/>
  <c r="D336" i="19" s="1"/>
  <c r="D348" i="19" s="1"/>
  <c r="D360" i="19" s="1"/>
  <c r="D372" i="19" s="1"/>
  <c r="D384" i="19" s="1"/>
  <c r="D396" i="19" s="1"/>
  <c r="D408" i="19" s="1"/>
  <c r="D420" i="19" s="1"/>
  <c r="D432" i="19" s="1"/>
  <c r="D444" i="19" s="1"/>
  <c r="D456" i="19" s="1"/>
  <c r="D468" i="19" s="1"/>
  <c r="D480" i="19" s="1"/>
  <c r="D492" i="19" s="1"/>
  <c r="D504" i="19" s="1"/>
  <c r="D516" i="19" s="1"/>
  <c r="D528" i="19"/>
  <c r="D540" i="19" s="1"/>
  <c r="D552" i="19" s="1"/>
  <c r="D564" i="19" s="1"/>
  <c r="D576" i="19" s="1"/>
  <c r="D588" i="19" s="1"/>
  <c r="D600" i="19" s="1"/>
  <c r="D612" i="19" s="1"/>
  <c r="D624" i="19" s="1"/>
  <c r="D636" i="19" s="1"/>
  <c r="D648" i="19" s="1"/>
  <c r="D660" i="19" s="1"/>
  <c r="D672" i="19" s="1"/>
  <c r="D684" i="19" s="1"/>
  <c r="D696" i="19" s="1"/>
  <c r="D708" i="19" s="1"/>
  <c r="D720" i="19" s="1"/>
  <c r="D732" i="19" s="1"/>
  <c r="D744" i="19"/>
  <c r="P495" i="19"/>
  <c r="P507" i="19" s="1"/>
  <c r="P519" i="19" s="1"/>
  <c r="P531" i="19" s="1"/>
  <c r="P543" i="19" s="1"/>
  <c r="P555" i="19" s="1"/>
  <c r="P567" i="19" s="1"/>
  <c r="P579" i="19" s="1"/>
  <c r="P591" i="19" s="1"/>
  <c r="P603" i="19" s="1"/>
  <c r="P615" i="19" s="1"/>
  <c r="P627" i="19" s="1"/>
  <c r="P639" i="19" s="1"/>
  <c r="P651" i="19" s="1"/>
  <c r="P663" i="19" s="1"/>
  <c r="P675" i="19" s="1"/>
  <c r="P687" i="19" s="1"/>
  <c r="P699" i="19" s="1"/>
  <c r="P711" i="19"/>
  <c r="P723" i="19" s="1"/>
  <c r="P735" i="19" s="1"/>
  <c r="P747" i="19" s="1"/>
  <c r="D208" i="19"/>
  <c r="D220" i="19" s="1"/>
  <c r="D232" i="19" s="1"/>
  <c r="D244" i="19" s="1"/>
  <c r="D256" i="19" s="1"/>
  <c r="D268" i="19" s="1"/>
  <c r="D280" i="19" s="1"/>
  <c r="D292" i="19" s="1"/>
  <c r="D304" i="19" s="1"/>
  <c r="D316" i="19" s="1"/>
  <c r="D328" i="19" s="1"/>
  <c r="D340" i="19" s="1"/>
  <c r="D352" i="19" s="1"/>
  <c r="D364" i="19" s="1"/>
  <c r="D376" i="19" s="1"/>
  <c r="D388" i="19" s="1"/>
  <c r="D400" i="19" s="1"/>
  <c r="D412" i="19" s="1"/>
  <c r="D424" i="19" s="1"/>
  <c r="D436" i="19" s="1"/>
  <c r="D448" i="19" s="1"/>
  <c r="D460" i="19" s="1"/>
  <c r="D472" i="19" s="1"/>
  <c r="D484" i="19" s="1"/>
  <c r="D496" i="19" s="1"/>
  <c r="D508" i="19" s="1"/>
  <c r="D520" i="19" s="1"/>
  <c r="D532" i="19" s="1"/>
  <c r="D544" i="19" s="1"/>
  <c r="D556" i="19" s="1"/>
  <c r="D568" i="19" s="1"/>
  <c r="D580" i="19" s="1"/>
  <c r="D592" i="19" s="1"/>
  <c r="D604" i="19" s="1"/>
  <c r="D616" i="19" s="1"/>
  <c r="D628" i="19" s="1"/>
  <c r="D640" i="19" s="1"/>
  <c r="D652" i="19" s="1"/>
  <c r="D664" i="19" s="1"/>
  <c r="D676" i="19" s="1"/>
  <c r="D688" i="19" s="1"/>
  <c r="D700" i="19" s="1"/>
  <c r="D712" i="19" s="1"/>
  <c r="D724" i="19" s="1"/>
  <c r="D736" i="19" s="1"/>
  <c r="D748" i="19" s="1"/>
  <c r="D176" i="19"/>
  <c r="D188" i="19" s="1"/>
  <c r="D200" i="19" s="1"/>
  <c r="D212" i="19" s="1"/>
  <c r="D224" i="19" s="1"/>
  <c r="D236" i="19" s="1"/>
  <c r="D248" i="19" s="1"/>
  <c r="D260" i="19" s="1"/>
  <c r="D272" i="19" s="1"/>
  <c r="D284" i="19" s="1"/>
  <c r="D296" i="19" s="1"/>
  <c r="D308" i="19" s="1"/>
  <c r="D320" i="19" s="1"/>
  <c r="D332" i="19" s="1"/>
  <c r="D344" i="19" s="1"/>
  <c r="D356" i="19" s="1"/>
  <c r="D368" i="19" s="1"/>
  <c r="D380" i="19" s="1"/>
  <c r="D392" i="19"/>
  <c r="D404" i="19" s="1"/>
  <c r="D416" i="19" s="1"/>
  <c r="D428" i="19" s="1"/>
  <c r="D440" i="19" s="1"/>
  <c r="D452" i="19" s="1"/>
  <c r="D464" i="19" s="1"/>
  <c r="D476" i="19" s="1"/>
  <c r="D488" i="19" s="1"/>
  <c r="D500" i="19" s="1"/>
  <c r="D512" i="19" s="1"/>
  <c r="D524" i="19" s="1"/>
  <c r="D536" i="19" s="1"/>
  <c r="D548" i="19" s="1"/>
  <c r="D560" i="19" s="1"/>
  <c r="D572" i="19" s="1"/>
  <c r="D584" i="19" s="1"/>
  <c r="D596" i="19" s="1"/>
  <c r="D608" i="19" s="1"/>
  <c r="D620" i="19" s="1"/>
  <c r="D632" i="19" s="1"/>
  <c r="D644" i="19" s="1"/>
  <c r="D656" i="19" s="1"/>
  <c r="D668" i="19" s="1"/>
  <c r="D680" i="19" s="1"/>
  <c r="D692" i="19" s="1"/>
  <c r="D704" i="19" s="1"/>
  <c r="D716" i="19" s="1"/>
  <c r="D728" i="19" s="1"/>
  <c r="D740" i="19" s="1"/>
  <c r="D752" i="19" s="1"/>
  <c r="O708" i="19"/>
  <c r="O720" i="19" s="1"/>
  <c r="O732" i="19" s="1"/>
  <c r="O744" i="19" s="1"/>
  <c r="G2" i="17"/>
  <c r="E24" i="17" s="1"/>
  <c r="E36" i="17" s="1"/>
  <c r="E48" i="17" s="1"/>
  <c r="E60" i="17" s="1"/>
  <c r="E72" i="17" s="1"/>
  <c r="E84" i="17" s="1"/>
  <c r="E96" i="17" s="1"/>
  <c r="E108" i="17"/>
  <c r="E120" i="17" s="1"/>
  <c r="E132" i="17" s="1"/>
  <c r="E144" i="17" s="1"/>
  <c r="E156" i="17" s="1"/>
  <c r="E168" i="17" s="1"/>
  <c r="E180" i="17" s="1"/>
  <c r="E192" i="17" s="1"/>
  <c r="E204" i="17" s="1"/>
  <c r="E216" i="17" s="1"/>
  <c r="E228" i="17" s="1"/>
  <c r="E240" i="17" s="1"/>
  <c r="E252" i="17" s="1"/>
  <c r="E264" i="17" s="1"/>
  <c r="E276" i="17" s="1"/>
  <c r="E288" i="17" s="1"/>
  <c r="E300" i="17" s="1"/>
  <c r="E312" i="17" s="1"/>
  <c r="E324" i="17"/>
  <c r="E336" i="17" s="1"/>
  <c r="E348" i="17" s="1"/>
  <c r="E360" i="17" s="1"/>
  <c r="E372" i="17" s="1"/>
  <c r="E384" i="17" s="1"/>
  <c r="E396" i="17" s="1"/>
  <c r="E408" i="17" s="1"/>
  <c r="E420" i="17" s="1"/>
  <c r="E432" i="17" s="1"/>
  <c r="E444" i="17" s="1"/>
  <c r="E456" i="17" s="1"/>
  <c r="E468" i="17" s="1"/>
  <c r="E480" i="17" s="1"/>
  <c r="E492" i="17" s="1"/>
  <c r="E504" i="17" s="1"/>
  <c r="E516" i="17" s="1"/>
  <c r="E528" i="17" s="1"/>
  <c r="E540" i="17"/>
  <c r="E552" i="17" s="1"/>
  <c r="E564" i="17" s="1"/>
  <c r="E576" i="17" s="1"/>
  <c r="E588" i="17" s="1"/>
  <c r="E600" i="17" s="1"/>
  <c r="E612" i="17" s="1"/>
  <c r="E624" i="17" s="1"/>
  <c r="E636" i="17" s="1"/>
  <c r="E648" i="17" s="1"/>
  <c r="E660" i="17" s="1"/>
  <c r="E672" i="17" s="1"/>
  <c r="E684" i="17" s="1"/>
  <c r="E696" i="17" s="1"/>
  <c r="E708" i="17" s="1"/>
  <c r="E720" i="17" s="1"/>
  <c r="E732" i="17" s="1"/>
  <c r="E744" i="17" s="1"/>
  <c r="L3" i="17"/>
  <c r="G4" i="17"/>
  <c r="L4" i="17"/>
  <c r="G5" i="17"/>
  <c r="K5" i="17"/>
  <c r="L5" i="17"/>
  <c r="L6" i="17"/>
  <c r="L7" i="17"/>
  <c r="L8" i="17"/>
  <c r="L9" i="17"/>
  <c r="L10" i="17"/>
  <c r="L11" i="17"/>
  <c r="L12" i="17"/>
  <c r="L13" i="17"/>
  <c r="L14" i="17"/>
  <c r="L15" i="17"/>
  <c r="L16" i="17"/>
  <c r="L17" i="17"/>
  <c r="K8" i="17"/>
  <c r="K11" i="17"/>
  <c r="K13" i="17"/>
  <c r="K14" i="17"/>
  <c r="K15" i="17"/>
  <c r="K16" i="17"/>
  <c r="K17" i="17"/>
  <c r="G17" i="17"/>
  <c r="AG38" i="21"/>
  <c r="Q24" i="17"/>
  <c r="Q36" i="17" s="1"/>
  <c r="Q48" i="17" s="1"/>
  <c r="Q60" i="17" s="1"/>
  <c r="Q72" i="17" s="1"/>
  <c r="Q84" i="17" s="1"/>
  <c r="Q96" i="17" s="1"/>
  <c r="Q108" i="17" s="1"/>
  <c r="Q120" i="17"/>
  <c r="Q132" i="17" s="1"/>
  <c r="Q144" i="17" s="1"/>
  <c r="Q156" i="17" s="1"/>
  <c r="Q168" i="17" s="1"/>
  <c r="Q180" i="17" s="1"/>
  <c r="Q192" i="17" s="1"/>
  <c r="Q204" i="17"/>
  <c r="Q216" i="17" s="1"/>
  <c r="Q228" i="17" s="1"/>
  <c r="Q240" i="17" s="1"/>
  <c r="Q252" i="17" s="1"/>
  <c r="Q264" i="17" s="1"/>
  <c r="Q276" i="17" s="1"/>
  <c r="Q288" i="17" s="1"/>
  <c r="Q300" i="17" s="1"/>
  <c r="Q312" i="17" s="1"/>
  <c r="Q324" i="17" s="1"/>
  <c r="Q336" i="17" s="1"/>
  <c r="Q348" i="17" s="1"/>
  <c r="Q360" i="17" s="1"/>
  <c r="Q372" i="17" s="1"/>
  <c r="Q384" i="17" s="1"/>
  <c r="Q396" i="17" s="1"/>
  <c r="Q408" i="17" s="1"/>
  <c r="Q420" i="17" s="1"/>
  <c r="Q432" i="17" s="1"/>
  <c r="Q444" i="17" s="1"/>
  <c r="Q456" i="17" s="1"/>
  <c r="Q468" i="17" s="1"/>
  <c r="Q480" i="17" s="1"/>
  <c r="Q492" i="17" s="1"/>
  <c r="Q504" i="17" s="1"/>
  <c r="Q516" i="17" s="1"/>
  <c r="Q528" i="17" s="1"/>
  <c r="Q540" i="17" s="1"/>
  <c r="Q552" i="17" s="1"/>
  <c r="Q564" i="17" s="1"/>
  <c r="Q576" i="17" s="1"/>
  <c r="Q588" i="17" s="1"/>
  <c r="Q600" i="17" s="1"/>
  <c r="Q612" i="17" s="1"/>
  <c r="Q624" i="17" s="1"/>
  <c r="Q636" i="17" s="1"/>
  <c r="Q648" i="17" s="1"/>
  <c r="Q660" i="17" s="1"/>
  <c r="Q672" i="17" s="1"/>
  <c r="Q684" i="17" s="1"/>
  <c r="Q696" i="17" s="1"/>
  <c r="Q708" i="17" s="1"/>
  <c r="Q720" i="17" s="1"/>
  <c r="Q732" i="17" s="1"/>
  <c r="Q744" i="17" s="1"/>
  <c r="AC24" i="17"/>
  <c r="B25" i="17"/>
  <c r="AC25" i="17" s="1"/>
  <c r="N25" i="17"/>
  <c r="N26" i="17"/>
  <c r="N27" i="17" s="1"/>
  <c r="N28" i="17" s="1"/>
  <c r="N29" i="17"/>
  <c r="N30" i="17"/>
  <c r="N31" i="17" s="1"/>
  <c r="N32" i="17" s="1"/>
  <c r="N33" i="17" s="1"/>
  <c r="N34" i="17" s="1"/>
  <c r="N35" i="17"/>
  <c r="N36" i="17" s="1"/>
  <c r="N37" i="17" s="1"/>
  <c r="N38" i="17" s="1"/>
  <c r="N39" i="17" s="1"/>
  <c r="N40" i="17" s="1"/>
  <c r="N41" i="17"/>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N201" i="17" s="1"/>
  <c r="N202" i="17" s="1"/>
  <c r="N203" i="17" s="1"/>
  <c r="N204" i="17" s="1"/>
  <c r="N205" i="17" s="1"/>
  <c r="N206" i="17" s="1"/>
  <c r="N207" i="17" s="1"/>
  <c r="N208" i="17" s="1"/>
  <c r="N209" i="17" s="1"/>
  <c r="N210" i="17" s="1"/>
  <c r="N211" i="17" s="1"/>
  <c r="N212" i="17" s="1"/>
  <c r="N213" i="17" s="1"/>
  <c r="N214" i="17" s="1"/>
  <c r="N215" i="17" s="1"/>
  <c r="N216" i="17" s="1"/>
  <c r="N217" i="17" s="1"/>
  <c r="N218" i="17" s="1"/>
  <c r="N219" i="17" s="1"/>
  <c r="N220" i="17" s="1"/>
  <c r="N221" i="17" s="1"/>
  <c r="N222" i="17" s="1"/>
  <c r="N223" i="17" s="1"/>
  <c r="N224" i="17" s="1"/>
  <c r="N225" i="17" s="1"/>
  <c r="N226" i="17" s="1"/>
  <c r="N227" i="17" s="1"/>
  <c r="N228" i="17" s="1"/>
  <c r="N229" i="17" s="1"/>
  <c r="N230" i="17" s="1"/>
  <c r="N231" i="17" s="1"/>
  <c r="N232" i="17" s="1"/>
  <c r="N233" i="17" s="1"/>
  <c r="N234" i="17" s="1"/>
  <c r="N235" i="17" s="1"/>
  <c r="N236" i="17" s="1"/>
  <c r="N237" i="17" s="1"/>
  <c r="N238" i="17" s="1"/>
  <c r="N239" i="17" s="1"/>
  <c r="N240" i="17" s="1"/>
  <c r="N241" i="17" s="1"/>
  <c r="N242" i="17" s="1"/>
  <c r="N243" i="17" s="1"/>
  <c r="N244" i="17" s="1"/>
  <c r="N245" i="17" s="1"/>
  <c r="N246" i="17" s="1"/>
  <c r="N247" i="17" s="1"/>
  <c r="N248" i="17" s="1"/>
  <c r="N249" i="17" s="1"/>
  <c r="N250" i="17" s="1"/>
  <c r="N251" i="17" s="1"/>
  <c r="N252" i="17" s="1"/>
  <c r="N253" i="17" s="1"/>
  <c r="N254" i="17" s="1"/>
  <c r="N255" i="17" s="1"/>
  <c r="N256" i="17" s="1"/>
  <c r="N257" i="17" s="1"/>
  <c r="N258" i="17" s="1"/>
  <c r="N259" i="17" s="1"/>
  <c r="N260" i="17" s="1"/>
  <c r="N261" i="17" s="1"/>
  <c r="N262" i="17" s="1"/>
  <c r="N263" i="17" s="1"/>
  <c r="N264" i="17" s="1"/>
  <c r="N265" i="17" s="1"/>
  <c r="N266" i="17" s="1"/>
  <c r="N267" i="17" s="1"/>
  <c r="N268" i="17" s="1"/>
  <c r="N269" i="17" s="1"/>
  <c r="N270" i="17" s="1"/>
  <c r="N271" i="17" s="1"/>
  <c r="N272" i="17" s="1"/>
  <c r="N273" i="17" s="1"/>
  <c r="N274" i="17" s="1"/>
  <c r="N275" i="17" s="1"/>
  <c r="N276" i="17" s="1"/>
  <c r="N277" i="17" s="1"/>
  <c r="N278" i="17" s="1"/>
  <c r="N279" i="17" s="1"/>
  <c r="N280" i="17" s="1"/>
  <c r="N281" i="17" s="1"/>
  <c r="N282" i="17" s="1"/>
  <c r="N283" i="17" s="1"/>
  <c r="N284" i="17" s="1"/>
  <c r="N285" i="17" s="1"/>
  <c r="N286" i="17" s="1"/>
  <c r="N287" i="17" s="1"/>
  <c r="N288" i="17" s="1"/>
  <c r="N289" i="17" s="1"/>
  <c r="N290" i="17" s="1"/>
  <c r="N291" i="17" s="1"/>
  <c r="N292" i="17" s="1"/>
  <c r="N293" i="17" s="1"/>
  <c r="N294" i="17" s="1"/>
  <c r="N295" i="17" s="1"/>
  <c r="N296" i="17" s="1"/>
  <c r="N297" i="17" s="1"/>
  <c r="N298" i="17" s="1"/>
  <c r="N299" i="17" s="1"/>
  <c r="N300" i="17" s="1"/>
  <c r="N301" i="17" s="1"/>
  <c r="N302" i="17" s="1"/>
  <c r="N303" i="17" s="1"/>
  <c r="N304" i="17" s="1"/>
  <c r="N305" i="17" s="1"/>
  <c r="N306" i="17" s="1"/>
  <c r="N307" i="17" s="1"/>
  <c r="N308" i="17" s="1"/>
  <c r="N309" i="17" s="1"/>
  <c r="N310" i="17" s="1"/>
  <c r="N311" i="17" s="1"/>
  <c r="N312" i="17" s="1"/>
  <c r="N313" i="17" s="1"/>
  <c r="N314" i="17" s="1"/>
  <c r="N315" i="17" s="1"/>
  <c r="N316" i="17" s="1"/>
  <c r="N317" i="17" s="1"/>
  <c r="N318" i="17" s="1"/>
  <c r="N319" i="17" s="1"/>
  <c r="N320" i="17" s="1"/>
  <c r="N321" i="17" s="1"/>
  <c r="N322" i="17" s="1"/>
  <c r="N323" i="17" s="1"/>
  <c r="N324" i="17" s="1"/>
  <c r="N325" i="17" s="1"/>
  <c r="N326" i="17" s="1"/>
  <c r="N327" i="17" s="1"/>
  <c r="N328" i="17" s="1"/>
  <c r="N329" i="17" s="1"/>
  <c r="N330" i="17" s="1"/>
  <c r="N331" i="17" s="1"/>
  <c r="N332" i="17" s="1"/>
  <c r="N333" i="17" s="1"/>
  <c r="N334" i="17" s="1"/>
  <c r="N335" i="17" s="1"/>
  <c r="N336" i="17" s="1"/>
  <c r="N337" i="17" s="1"/>
  <c r="N338" i="17" s="1"/>
  <c r="N339" i="17" s="1"/>
  <c r="N340" i="17" s="1"/>
  <c r="N341" i="17" s="1"/>
  <c r="N342" i="17" s="1"/>
  <c r="N343" i="17" s="1"/>
  <c r="N344" i="17" s="1"/>
  <c r="N345" i="17" s="1"/>
  <c r="N346" i="17" s="1"/>
  <c r="N347" i="17" s="1"/>
  <c r="N348" i="17" s="1"/>
  <c r="N349" i="17" s="1"/>
  <c r="N350" i="17" s="1"/>
  <c r="N351" i="17" s="1"/>
  <c r="N352" i="17" s="1"/>
  <c r="N353" i="17" s="1"/>
  <c r="N354" i="17" s="1"/>
  <c r="N355" i="17" s="1"/>
  <c r="N356" i="17" s="1"/>
  <c r="N357" i="17" s="1"/>
  <c r="N358" i="17" s="1"/>
  <c r="N359" i="17" s="1"/>
  <c r="N360" i="17" s="1"/>
  <c r="N361" i="17" s="1"/>
  <c r="N362" i="17" s="1"/>
  <c r="N363" i="17" s="1"/>
  <c r="N364" i="17" s="1"/>
  <c r="N365" i="17" s="1"/>
  <c r="N366" i="17" s="1"/>
  <c r="N367" i="17" s="1"/>
  <c r="N368" i="17" s="1"/>
  <c r="N369" i="17" s="1"/>
  <c r="N370" i="17" s="1"/>
  <c r="N371" i="17" s="1"/>
  <c r="N372" i="17" s="1"/>
  <c r="N373" i="17" s="1"/>
  <c r="N374" i="17" s="1"/>
  <c r="N375" i="17" s="1"/>
  <c r="N376" i="17" s="1"/>
  <c r="N377" i="17" s="1"/>
  <c r="N378" i="17" s="1"/>
  <c r="N379" i="17" s="1"/>
  <c r="N380" i="17" s="1"/>
  <c r="N381" i="17" s="1"/>
  <c r="N382" i="17" s="1"/>
  <c r="N383" i="17" s="1"/>
  <c r="N384" i="17" s="1"/>
  <c r="N385" i="17" s="1"/>
  <c r="N386" i="17" s="1"/>
  <c r="N387" i="17" s="1"/>
  <c r="N388" i="17" s="1"/>
  <c r="N389" i="17" s="1"/>
  <c r="N390" i="17" s="1"/>
  <c r="N391" i="17" s="1"/>
  <c r="N392" i="17" s="1"/>
  <c r="N393" i="17" s="1"/>
  <c r="N394" i="17" s="1"/>
  <c r="N395" i="17" s="1"/>
  <c r="N396" i="17" s="1"/>
  <c r="N397" i="17" s="1"/>
  <c r="N398" i="17" s="1"/>
  <c r="N399" i="17" s="1"/>
  <c r="N400" i="17" s="1"/>
  <c r="N401" i="17" s="1"/>
  <c r="N402" i="17" s="1"/>
  <c r="N403" i="17" s="1"/>
  <c r="N404" i="17" s="1"/>
  <c r="N405" i="17" s="1"/>
  <c r="N406" i="17" s="1"/>
  <c r="N407" i="17" s="1"/>
  <c r="N408" i="17" s="1"/>
  <c r="N409" i="17" s="1"/>
  <c r="N410" i="17" s="1"/>
  <c r="N411" i="17" s="1"/>
  <c r="N412" i="17" s="1"/>
  <c r="N413" i="17" s="1"/>
  <c r="N414" i="17" s="1"/>
  <c r="N415" i="17" s="1"/>
  <c r="N416" i="17" s="1"/>
  <c r="N417" i="17" s="1"/>
  <c r="N418" i="17" s="1"/>
  <c r="N419" i="17" s="1"/>
  <c r="N420" i="17" s="1"/>
  <c r="N421" i="17" s="1"/>
  <c r="N422" i="17" s="1"/>
  <c r="N423" i="17" s="1"/>
  <c r="N424" i="17" s="1"/>
  <c r="N425" i="17" s="1"/>
  <c r="N426" i="17" s="1"/>
  <c r="N427" i="17" s="1"/>
  <c r="N428" i="17" s="1"/>
  <c r="N429" i="17" s="1"/>
  <c r="N430" i="17" s="1"/>
  <c r="N431" i="17" s="1"/>
  <c r="N432" i="17" s="1"/>
  <c r="N433" i="17" s="1"/>
  <c r="N434" i="17" s="1"/>
  <c r="N435" i="17" s="1"/>
  <c r="N436" i="17" s="1"/>
  <c r="N437" i="17" s="1"/>
  <c r="N438" i="17" s="1"/>
  <c r="N439" i="17" s="1"/>
  <c r="N440" i="17" s="1"/>
  <c r="N441" i="17" s="1"/>
  <c r="N442" i="17" s="1"/>
  <c r="N443" i="17" s="1"/>
  <c r="N444" i="17" s="1"/>
  <c r="N445" i="17" s="1"/>
  <c r="N446" i="17" s="1"/>
  <c r="N447" i="17" s="1"/>
  <c r="N448" i="17" s="1"/>
  <c r="N449" i="17" s="1"/>
  <c r="N450" i="17" s="1"/>
  <c r="N451" i="17" s="1"/>
  <c r="N452" i="17" s="1"/>
  <c r="N453" i="17" s="1"/>
  <c r="N454" i="17" s="1"/>
  <c r="N455" i="17" s="1"/>
  <c r="N456" i="17" s="1"/>
  <c r="N457" i="17" s="1"/>
  <c r="N458" i="17" s="1"/>
  <c r="N459" i="17" s="1"/>
  <c r="N460" i="17" s="1"/>
  <c r="N461" i="17" s="1"/>
  <c r="N462" i="17" s="1"/>
  <c r="N463" i="17" s="1"/>
  <c r="N464" i="17" s="1"/>
  <c r="N465" i="17" s="1"/>
  <c r="N466" i="17" s="1"/>
  <c r="N467" i="17" s="1"/>
  <c r="N468" i="17" s="1"/>
  <c r="N469" i="17" s="1"/>
  <c r="N470" i="17" s="1"/>
  <c r="N471" i="17" s="1"/>
  <c r="N472" i="17" s="1"/>
  <c r="N473" i="17" s="1"/>
  <c r="N474" i="17" s="1"/>
  <c r="N475" i="17" s="1"/>
  <c r="N476" i="17" s="1"/>
  <c r="N477" i="17" s="1"/>
  <c r="N478" i="17" s="1"/>
  <c r="N479" i="17" s="1"/>
  <c r="N480" i="17" s="1"/>
  <c r="N481" i="17" s="1"/>
  <c r="N482" i="17" s="1"/>
  <c r="N483" i="17" s="1"/>
  <c r="N484" i="17" s="1"/>
  <c r="N485" i="17" s="1"/>
  <c r="N486" i="17" s="1"/>
  <c r="N487" i="17" s="1"/>
  <c r="N488" i="17" s="1"/>
  <c r="N489" i="17" s="1"/>
  <c r="N490" i="17" s="1"/>
  <c r="N491" i="17" s="1"/>
  <c r="N492" i="17" s="1"/>
  <c r="N493" i="17" s="1"/>
  <c r="N494" i="17" s="1"/>
  <c r="N495" i="17" s="1"/>
  <c r="N496" i="17" s="1"/>
  <c r="N497" i="17" s="1"/>
  <c r="N498" i="17" s="1"/>
  <c r="N499" i="17" s="1"/>
  <c r="N500" i="17" s="1"/>
  <c r="N501" i="17" s="1"/>
  <c r="N502" i="17" s="1"/>
  <c r="N503" i="17" s="1"/>
  <c r="N504" i="17" s="1"/>
  <c r="N505" i="17" s="1"/>
  <c r="N506" i="17" s="1"/>
  <c r="N507" i="17" s="1"/>
  <c r="N508" i="17" s="1"/>
  <c r="N509" i="17" s="1"/>
  <c r="N510" i="17" s="1"/>
  <c r="N511" i="17" s="1"/>
  <c r="N512" i="17" s="1"/>
  <c r="N513" i="17" s="1"/>
  <c r="N514" i="17" s="1"/>
  <c r="N515" i="17" s="1"/>
  <c r="N516" i="17" s="1"/>
  <c r="N517" i="17" s="1"/>
  <c r="N518" i="17" s="1"/>
  <c r="N519" i="17" s="1"/>
  <c r="N520" i="17" s="1"/>
  <c r="N521" i="17" s="1"/>
  <c r="N522" i="17" s="1"/>
  <c r="N523" i="17" s="1"/>
  <c r="N524" i="17" s="1"/>
  <c r="N525" i="17" s="1"/>
  <c r="N526" i="17" s="1"/>
  <c r="N527" i="17" s="1"/>
  <c r="N528" i="17" s="1"/>
  <c r="N529" i="17" s="1"/>
  <c r="N530" i="17" s="1"/>
  <c r="N531" i="17" s="1"/>
  <c r="N532" i="17" s="1"/>
  <c r="N533" i="17" s="1"/>
  <c r="N534" i="17" s="1"/>
  <c r="N535" i="17" s="1"/>
  <c r="N536" i="17" s="1"/>
  <c r="N537" i="17" s="1"/>
  <c r="N538" i="17" s="1"/>
  <c r="N539" i="17" s="1"/>
  <c r="N540" i="17" s="1"/>
  <c r="N541" i="17" s="1"/>
  <c r="N542" i="17" s="1"/>
  <c r="N543" i="17" s="1"/>
  <c r="N544" i="17" s="1"/>
  <c r="N545" i="17" s="1"/>
  <c r="N546" i="17" s="1"/>
  <c r="N547" i="17" s="1"/>
  <c r="N548" i="17" s="1"/>
  <c r="N549" i="17" s="1"/>
  <c r="N550" i="17" s="1"/>
  <c r="N551" i="17" s="1"/>
  <c r="N552" i="17" s="1"/>
  <c r="N553" i="17" s="1"/>
  <c r="N554" i="17" s="1"/>
  <c r="N555" i="17" s="1"/>
  <c r="N556" i="17" s="1"/>
  <c r="N557" i="17" s="1"/>
  <c r="N558" i="17" s="1"/>
  <c r="N559" i="17" s="1"/>
  <c r="N560" i="17" s="1"/>
  <c r="N561" i="17" s="1"/>
  <c r="N562" i="17" s="1"/>
  <c r="N563" i="17" s="1"/>
  <c r="N564" i="17" s="1"/>
  <c r="N565" i="17" s="1"/>
  <c r="N566" i="17" s="1"/>
  <c r="N567" i="17" s="1"/>
  <c r="N568" i="17" s="1"/>
  <c r="N569" i="17" s="1"/>
  <c r="N570" i="17" s="1"/>
  <c r="N571" i="17" s="1"/>
  <c r="N572" i="17" s="1"/>
  <c r="N573" i="17" s="1"/>
  <c r="N574" i="17" s="1"/>
  <c r="N575" i="17" s="1"/>
  <c r="N576" i="17" s="1"/>
  <c r="N577" i="17" s="1"/>
  <c r="N578" i="17" s="1"/>
  <c r="N579" i="17" s="1"/>
  <c r="N580" i="17" s="1"/>
  <c r="N581" i="17" s="1"/>
  <c r="N582" i="17" s="1"/>
  <c r="N583" i="17" s="1"/>
  <c r="N584" i="17" s="1"/>
  <c r="N585" i="17" s="1"/>
  <c r="N586" i="17" s="1"/>
  <c r="N587" i="17" s="1"/>
  <c r="N588" i="17" s="1"/>
  <c r="N589" i="17" s="1"/>
  <c r="N590" i="17" s="1"/>
  <c r="N591" i="17" s="1"/>
  <c r="N592" i="17" s="1"/>
  <c r="N593" i="17" s="1"/>
  <c r="N594" i="17" s="1"/>
  <c r="N595" i="17" s="1"/>
  <c r="N596" i="17" s="1"/>
  <c r="N597" i="17" s="1"/>
  <c r="N598" i="17" s="1"/>
  <c r="N599" i="17" s="1"/>
  <c r="N600" i="17" s="1"/>
  <c r="N601" i="17" s="1"/>
  <c r="N602" i="17" s="1"/>
  <c r="N603" i="17" s="1"/>
  <c r="N604" i="17" s="1"/>
  <c r="N605" i="17" s="1"/>
  <c r="N606" i="17" s="1"/>
  <c r="N607" i="17" s="1"/>
  <c r="N608" i="17" s="1"/>
  <c r="N609" i="17" s="1"/>
  <c r="N610" i="17" s="1"/>
  <c r="N611" i="17" s="1"/>
  <c r="N612" i="17" s="1"/>
  <c r="N613" i="17" s="1"/>
  <c r="N614" i="17" s="1"/>
  <c r="N615" i="17" s="1"/>
  <c r="N616" i="17" s="1"/>
  <c r="N617" i="17" s="1"/>
  <c r="N618" i="17" s="1"/>
  <c r="N619" i="17" s="1"/>
  <c r="N620" i="17" s="1"/>
  <c r="N621" i="17" s="1"/>
  <c r="N622" i="17" s="1"/>
  <c r="N623" i="17" s="1"/>
  <c r="N624" i="17" s="1"/>
  <c r="N625" i="17" s="1"/>
  <c r="N626" i="17" s="1"/>
  <c r="N627" i="17" s="1"/>
  <c r="N628" i="17" s="1"/>
  <c r="N629" i="17" s="1"/>
  <c r="N630" i="17" s="1"/>
  <c r="N631" i="17" s="1"/>
  <c r="N632" i="17" s="1"/>
  <c r="N633" i="17" s="1"/>
  <c r="N634" i="17" s="1"/>
  <c r="N635" i="17" s="1"/>
  <c r="N636" i="17" s="1"/>
  <c r="N637" i="17" s="1"/>
  <c r="N638" i="17" s="1"/>
  <c r="N639" i="17" s="1"/>
  <c r="N640" i="17" s="1"/>
  <c r="N641" i="17" s="1"/>
  <c r="N642" i="17" s="1"/>
  <c r="N643" i="17" s="1"/>
  <c r="N644" i="17" s="1"/>
  <c r="N645" i="17" s="1"/>
  <c r="N646" i="17" s="1"/>
  <c r="N647" i="17" s="1"/>
  <c r="N648" i="17" s="1"/>
  <c r="N649" i="17" s="1"/>
  <c r="N650" i="17" s="1"/>
  <c r="N651" i="17" s="1"/>
  <c r="N652" i="17" s="1"/>
  <c r="N653" i="17" s="1"/>
  <c r="N654" i="17" s="1"/>
  <c r="N655" i="17" s="1"/>
  <c r="N656" i="17" s="1"/>
  <c r="N657" i="17" s="1"/>
  <c r="N658" i="17" s="1"/>
  <c r="N659" i="17" s="1"/>
  <c r="N660" i="17" s="1"/>
  <c r="N661" i="17" s="1"/>
  <c r="N662" i="17" s="1"/>
  <c r="N663" i="17" s="1"/>
  <c r="N664" i="17" s="1"/>
  <c r="N665" i="17" s="1"/>
  <c r="N666" i="17" s="1"/>
  <c r="N667" i="17" s="1"/>
  <c r="N668" i="17" s="1"/>
  <c r="N669" i="17" s="1"/>
  <c r="N670" i="17" s="1"/>
  <c r="N671" i="17" s="1"/>
  <c r="N672" i="17" s="1"/>
  <c r="N673" i="17" s="1"/>
  <c r="N674" i="17" s="1"/>
  <c r="N675" i="17" s="1"/>
  <c r="N676" i="17" s="1"/>
  <c r="N677" i="17" s="1"/>
  <c r="N678" i="17" s="1"/>
  <c r="N679" i="17" s="1"/>
  <c r="N680" i="17" s="1"/>
  <c r="N681" i="17" s="1"/>
  <c r="N682" i="17" s="1"/>
  <c r="N683" i="17" s="1"/>
  <c r="N684" i="17" s="1"/>
  <c r="N685" i="17" s="1"/>
  <c r="N686" i="17" s="1"/>
  <c r="N687" i="17" s="1"/>
  <c r="N688" i="17" s="1"/>
  <c r="N689" i="17" s="1"/>
  <c r="N690" i="17" s="1"/>
  <c r="N691" i="17" s="1"/>
  <c r="N692" i="17" s="1"/>
  <c r="N693" i="17" s="1"/>
  <c r="N694" i="17" s="1"/>
  <c r="N695" i="17" s="1"/>
  <c r="N696" i="17" s="1"/>
  <c r="N697" i="17" s="1"/>
  <c r="N698" i="17" s="1"/>
  <c r="N699" i="17" s="1"/>
  <c r="N700" i="17" s="1"/>
  <c r="N701" i="17" s="1"/>
  <c r="N702" i="17" s="1"/>
  <c r="N703" i="17" s="1"/>
  <c r="N704" i="17" s="1"/>
  <c r="N705" i="17" s="1"/>
  <c r="N706" i="17" s="1"/>
  <c r="N707" i="17" s="1"/>
  <c r="N708" i="17" s="1"/>
  <c r="N709" i="17" s="1"/>
  <c r="N710" i="17" s="1"/>
  <c r="N711" i="17" s="1"/>
  <c r="N712" i="17" s="1"/>
  <c r="N713" i="17" s="1"/>
  <c r="N714" i="17" s="1"/>
  <c r="N715" i="17" s="1"/>
  <c r="N716" i="17" s="1"/>
  <c r="N717" i="17" s="1"/>
  <c r="N718" i="17" s="1"/>
  <c r="N719" i="17" s="1"/>
  <c r="N720" i="17" s="1"/>
  <c r="N721" i="17" s="1"/>
  <c r="N722" i="17" s="1"/>
  <c r="N723" i="17" s="1"/>
  <c r="N724" i="17" s="1"/>
  <c r="N725" i="17" s="1"/>
  <c r="N726" i="17" s="1"/>
  <c r="N727" i="17" s="1"/>
  <c r="N728" i="17" s="1"/>
  <c r="N729" i="17" s="1"/>
  <c r="N730" i="17" s="1"/>
  <c r="N731" i="17" s="1"/>
  <c r="N732" i="17" s="1"/>
  <c r="N733" i="17" s="1"/>
  <c r="N734" i="17" s="1"/>
  <c r="N735" i="17" s="1"/>
  <c r="N736" i="17" s="1"/>
  <c r="N737" i="17" s="1"/>
  <c r="N738" i="17" s="1"/>
  <c r="N739" i="17" s="1"/>
  <c r="N740" i="17" s="1"/>
  <c r="N741" i="17" s="1"/>
  <c r="N742" i="17" s="1"/>
  <c r="N743" i="17" s="1"/>
  <c r="N744" i="17" s="1"/>
  <c r="N745" i="17" s="1"/>
  <c r="N746" i="17" s="1"/>
  <c r="N747" i="17" s="1"/>
  <c r="N748" i="17" s="1"/>
  <c r="N749" i="17" s="1"/>
  <c r="N750" i="17" s="1"/>
  <c r="N751" i="17" s="1"/>
  <c r="N752" i="17" s="1"/>
  <c r="N753" i="17" s="1"/>
  <c r="N754" i="17" s="1"/>
  <c r="N755" i="17" s="1"/>
  <c r="Q25" i="17"/>
  <c r="Q37" i="17" s="1"/>
  <c r="Q49" i="17" s="1"/>
  <c r="Q61" i="17"/>
  <c r="Q73" i="17" s="1"/>
  <c r="Q85" i="17" s="1"/>
  <c r="Q97" i="17" s="1"/>
  <c r="Q109" i="17" s="1"/>
  <c r="Q121" i="17" s="1"/>
  <c r="Q133" i="17" s="1"/>
  <c r="Q145" i="17" s="1"/>
  <c r="Q157" i="17" s="1"/>
  <c r="Q169" i="17" s="1"/>
  <c r="Q181" i="17" s="1"/>
  <c r="Q193" i="17" s="1"/>
  <c r="Q205" i="17"/>
  <c r="Q217" i="17" s="1"/>
  <c r="Q229" i="17" s="1"/>
  <c r="Q241" i="17" s="1"/>
  <c r="Q253" i="17" s="1"/>
  <c r="Q265" i="17" s="1"/>
  <c r="Q277" i="17" s="1"/>
  <c r="Q289" i="17" s="1"/>
  <c r="Q301" i="17" s="1"/>
  <c r="Q313" i="17" s="1"/>
  <c r="Q325" i="17" s="1"/>
  <c r="Q337" i="17" s="1"/>
  <c r="Q349" i="17"/>
  <c r="Q361" i="17" s="1"/>
  <c r="Q373" i="17" s="1"/>
  <c r="Q385" i="17" s="1"/>
  <c r="Q397" i="17" s="1"/>
  <c r="Q409" i="17" s="1"/>
  <c r="Q421" i="17" s="1"/>
  <c r="Q433" i="17" s="1"/>
  <c r="Q445" i="17" s="1"/>
  <c r="Q457" i="17" s="1"/>
  <c r="Q469" i="17" s="1"/>
  <c r="Q481" i="17" s="1"/>
  <c r="Q493" i="17" s="1"/>
  <c r="Q505" i="17" s="1"/>
  <c r="Q517" i="17" s="1"/>
  <c r="Q529" i="17" s="1"/>
  <c r="Q541" i="17" s="1"/>
  <c r="Q553" i="17" s="1"/>
  <c r="Q565" i="17" s="1"/>
  <c r="Q577" i="17" s="1"/>
  <c r="Q589" i="17" s="1"/>
  <c r="Q601" i="17" s="1"/>
  <c r="Q613" i="17" s="1"/>
  <c r="Q625" i="17" s="1"/>
  <c r="Q637" i="17" s="1"/>
  <c r="Q649" i="17" s="1"/>
  <c r="Q661" i="17" s="1"/>
  <c r="Q673" i="17" s="1"/>
  <c r="Q685" i="17" s="1"/>
  <c r="Q697" i="17" s="1"/>
  <c r="Q709" i="17" s="1"/>
  <c r="Q721" i="17" s="1"/>
  <c r="Q733" i="17" s="1"/>
  <c r="Q745" i="17" s="1"/>
  <c r="AG26" i="17"/>
  <c r="AG27" i="17"/>
  <c r="AG28" i="17"/>
  <c r="AG29" i="17"/>
  <c r="AG30" i="17" s="1"/>
  <c r="AG31" i="17"/>
  <c r="AG32" i="17" s="1"/>
  <c r="AG33" i="17" s="1"/>
  <c r="AG34" i="17"/>
  <c r="AG35" i="17"/>
  <c r="AG36" i="17" s="1"/>
  <c r="AG37" i="17" s="1"/>
  <c r="AG38" i="17" s="1"/>
  <c r="AG39" i="17" s="1"/>
  <c r="AG40" i="17" s="1"/>
  <c r="AG41" i="17" s="1"/>
  <c r="AG42" i="17" s="1"/>
  <c r="AG43" i="17" s="1"/>
  <c r="AG44" i="17" s="1"/>
  <c r="AG45" i="17" s="1"/>
  <c r="AG46" i="17" s="1"/>
  <c r="AG47" i="17" s="1"/>
  <c r="AG48" i="17" s="1"/>
  <c r="AG49" i="17" s="1"/>
  <c r="C36" i="17"/>
  <c r="D36" i="17"/>
  <c r="D48" i="17"/>
  <c r="D60" i="17" s="1"/>
  <c r="D72" i="17" s="1"/>
  <c r="D84" i="17" s="1"/>
  <c r="D96" i="17" s="1"/>
  <c r="D108" i="17" s="1"/>
  <c r="D120" i="17" s="1"/>
  <c r="D132" i="17" s="1"/>
  <c r="D144" i="17" s="1"/>
  <c r="D156" i="17" s="1"/>
  <c r="D168" i="17" s="1"/>
  <c r="D180" i="17" s="1"/>
  <c r="D192" i="17"/>
  <c r="D204" i="17" s="1"/>
  <c r="D216" i="17" s="1"/>
  <c r="D228" i="17" s="1"/>
  <c r="D240" i="17" s="1"/>
  <c r="D252" i="17" s="1"/>
  <c r="D264" i="17" s="1"/>
  <c r="D276" i="17" s="1"/>
  <c r="D288" i="17" s="1"/>
  <c r="D300" i="17" s="1"/>
  <c r="D312" i="17" s="1"/>
  <c r="D324" i="17" s="1"/>
  <c r="D336" i="17"/>
  <c r="D348" i="17" s="1"/>
  <c r="D360" i="17" s="1"/>
  <c r="D372" i="17" s="1"/>
  <c r="D384" i="17" s="1"/>
  <c r="D396" i="17" s="1"/>
  <c r="D408" i="17" s="1"/>
  <c r="D420" i="17" s="1"/>
  <c r="D432" i="17" s="1"/>
  <c r="D444" i="17" s="1"/>
  <c r="D456" i="17" s="1"/>
  <c r="D468" i="17" s="1"/>
  <c r="D480" i="17" s="1"/>
  <c r="D492" i="17" s="1"/>
  <c r="D504" i="17" s="1"/>
  <c r="D516" i="17" s="1"/>
  <c r="D528" i="17" s="1"/>
  <c r="D540" i="17" s="1"/>
  <c r="D552" i="17" s="1"/>
  <c r="D564" i="17" s="1"/>
  <c r="D576" i="17" s="1"/>
  <c r="D588" i="17" s="1"/>
  <c r="D600" i="17" s="1"/>
  <c r="D612" i="17" s="1"/>
  <c r="D624" i="17" s="1"/>
  <c r="D636" i="17" s="1"/>
  <c r="D648" i="17" s="1"/>
  <c r="D660" i="17" s="1"/>
  <c r="D672" i="17" s="1"/>
  <c r="D684" i="17" s="1"/>
  <c r="D696" i="17" s="1"/>
  <c r="D708" i="17" s="1"/>
  <c r="D720" i="17" s="1"/>
  <c r="D732" i="17" s="1"/>
  <c r="D744" i="17" s="1"/>
  <c r="O36" i="17"/>
  <c r="P36" i="17"/>
  <c r="P48" i="17"/>
  <c r="P60" i="17" s="1"/>
  <c r="P72" i="17" s="1"/>
  <c r="P84" i="17" s="1"/>
  <c r="P96" i="17" s="1"/>
  <c r="P108" i="17" s="1"/>
  <c r="P120" i="17" s="1"/>
  <c r="P132" i="17" s="1"/>
  <c r="P144" i="17"/>
  <c r="P156" i="17" s="1"/>
  <c r="P168" i="17" s="1"/>
  <c r="P180" i="17" s="1"/>
  <c r="P192" i="17" s="1"/>
  <c r="P204" i="17" s="1"/>
  <c r="P216" i="17" s="1"/>
  <c r="P228" i="17" s="1"/>
  <c r="P240" i="17" s="1"/>
  <c r="P252" i="17" s="1"/>
  <c r="P264" i="17" s="1"/>
  <c r="P276" i="17" s="1"/>
  <c r="P288" i="17" s="1"/>
  <c r="P300" i="17" s="1"/>
  <c r="P312" i="17" s="1"/>
  <c r="P324" i="17" s="1"/>
  <c r="P336" i="17" s="1"/>
  <c r="P348" i="17" s="1"/>
  <c r="P360" i="17" s="1"/>
  <c r="P372" i="17" s="1"/>
  <c r="P384" i="17" s="1"/>
  <c r="P396" i="17" s="1"/>
  <c r="P408" i="17" s="1"/>
  <c r="P420" i="17" s="1"/>
  <c r="P432" i="17" s="1"/>
  <c r="P444" i="17" s="1"/>
  <c r="P456" i="17" s="1"/>
  <c r="P468" i="17" s="1"/>
  <c r="P480" i="17" s="1"/>
  <c r="P492" i="17" s="1"/>
  <c r="P504" i="17" s="1"/>
  <c r="P516" i="17" s="1"/>
  <c r="P528" i="17" s="1"/>
  <c r="P540" i="17" s="1"/>
  <c r="P552" i="17" s="1"/>
  <c r="P564" i="17" s="1"/>
  <c r="P576" i="17"/>
  <c r="P588" i="17" s="1"/>
  <c r="P600" i="17" s="1"/>
  <c r="P612" i="17" s="1"/>
  <c r="P624" i="17" s="1"/>
  <c r="P636" i="17" s="1"/>
  <c r="P648" i="17" s="1"/>
  <c r="P660" i="17" s="1"/>
  <c r="P672" i="17" s="1"/>
  <c r="P684" i="17" s="1"/>
  <c r="P696" i="17" s="1"/>
  <c r="P708" i="17" s="1"/>
  <c r="P720" i="17" s="1"/>
  <c r="P732" i="17" s="1"/>
  <c r="P744" i="17" s="1"/>
  <c r="C37" i="17"/>
  <c r="C49" i="17"/>
  <c r="C61" i="17" s="1"/>
  <c r="C73" i="17" s="1"/>
  <c r="C85" i="17" s="1"/>
  <c r="C97" i="17" s="1"/>
  <c r="C109" i="17" s="1"/>
  <c r="C121" i="17" s="1"/>
  <c r="C133" i="17" s="1"/>
  <c r="C145" i="17"/>
  <c r="C157" i="17" s="1"/>
  <c r="C169" i="17" s="1"/>
  <c r="C181" i="17" s="1"/>
  <c r="C193" i="17" s="1"/>
  <c r="C205" i="17" s="1"/>
  <c r="C217" i="17" s="1"/>
  <c r="C229" i="17" s="1"/>
  <c r="C241" i="17" s="1"/>
  <c r="C253" i="17" s="1"/>
  <c r="C265" i="17" s="1"/>
  <c r="C277" i="17" s="1"/>
  <c r="C289" i="17"/>
  <c r="C301" i="17" s="1"/>
  <c r="C313" i="17" s="1"/>
  <c r="C325" i="17" s="1"/>
  <c r="C337" i="17" s="1"/>
  <c r="C349" i="17" s="1"/>
  <c r="C361" i="17" s="1"/>
  <c r="C373" i="17" s="1"/>
  <c r="C385" i="17" s="1"/>
  <c r="C397" i="17" s="1"/>
  <c r="C409" i="17" s="1"/>
  <c r="C421" i="17" s="1"/>
  <c r="C433" i="17"/>
  <c r="C445" i="17" s="1"/>
  <c r="C457" i="17" s="1"/>
  <c r="C469" i="17" s="1"/>
  <c r="C481" i="17" s="1"/>
  <c r="C493" i="17" s="1"/>
  <c r="C505" i="17" s="1"/>
  <c r="C517" i="17" s="1"/>
  <c r="C529" i="17" s="1"/>
  <c r="C541" i="17" s="1"/>
  <c r="C553" i="17" s="1"/>
  <c r="C565" i="17" s="1"/>
  <c r="C577" i="17" s="1"/>
  <c r="C589" i="17" s="1"/>
  <c r="C601" i="17" s="1"/>
  <c r="D37" i="17"/>
  <c r="O37" i="17"/>
  <c r="O49" i="17"/>
  <c r="O61" i="17" s="1"/>
  <c r="O73" i="17" s="1"/>
  <c r="O85" i="17"/>
  <c r="O97" i="17" s="1"/>
  <c r="O109" i="17" s="1"/>
  <c r="O121" i="17" s="1"/>
  <c r="O133" i="17" s="1"/>
  <c r="O145" i="17" s="1"/>
  <c r="O157" i="17" s="1"/>
  <c r="O169" i="17" s="1"/>
  <c r="O181" i="17" s="1"/>
  <c r="O193" i="17" s="1"/>
  <c r="O205" i="17" s="1"/>
  <c r="O217" i="17" s="1"/>
  <c r="O229" i="17"/>
  <c r="O241" i="17" s="1"/>
  <c r="O253" i="17" s="1"/>
  <c r="O265" i="17" s="1"/>
  <c r="O277" i="17" s="1"/>
  <c r="O289" i="17" s="1"/>
  <c r="O301" i="17" s="1"/>
  <c r="O313" i="17" s="1"/>
  <c r="O325" i="17" s="1"/>
  <c r="O337" i="17" s="1"/>
  <c r="O349" i="17" s="1"/>
  <c r="O361" i="17" s="1"/>
  <c r="O373" i="17"/>
  <c r="O385" i="17" s="1"/>
  <c r="O397" i="17" s="1"/>
  <c r="O409" i="17" s="1"/>
  <c r="O421" i="17" s="1"/>
  <c r="O433" i="17" s="1"/>
  <c r="O445" i="17" s="1"/>
  <c r="O457" i="17" s="1"/>
  <c r="O469" i="17" s="1"/>
  <c r="O481" i="17" s="1"/>
  <c r="O493" i="17" s="1"/>
  <c r="O505" i="17" s="1"/>
  <c r="O517" i="17" s="1"/>
  <c r="O529" i="17" s="1"/>
  <c r="O541" i="17" s="1"/>
  <c r="O553" i="17" s="1"/>
  <c r="O565" i="17" s="1"/>
  <c r="P37" i="17"/>
  <c r="P49" i="17"/>
  <c r="P61" i="17" s="1"/>
  <c r="P73" i="17" s="1"/>
  <c r="P85" i="17"/>
  <c r="P97" i="17" s="1"/>
  <c r="P109" i="17" s="1"/>
  <c r="P121" i="17" s="1"/>
  <c r="P133" i="17" s="1"/>
  <c r="P145" i="17" s="1"/>
  <c r="P157" i="17" s="1"/>
  <c r="P169" i="17" s="1"/>
  <c r="P181" i="17" s="1"/>
  <c r="P193" i="17" s="1"/>
  <c r="P205" i="17" s="1"/>
  <c r="P217" i="17" s="1"/>
  <c r="P229" i="17"/>
  <c r="P241" i="17" s="1"/>
  <c r="P253" i="17" s="1"/>
  <c r="P265" i="17" s="1"/>
  <c r="P277" i="17" s="1"/>
  <c r="P289" i="17" s="1"/>
  <c r="P301" i="17" s="1"/>
  <c r="P313" i="17" s="1"/>
  <c r="P325" i="17" s="1"/>
  <c r="P337" i="17" s="1"/>
  <c r="P349" i="17" s="1"/>
  <c r="P361" i="17" s="1"/>
  <c r="P373" i="17"/>
  <c r="P385" i="17" s="1"/>
  <c r="P397" i="17" s="1"/>
  <c r="P409" i="17" s="1"/>
  <c r="P421" i="17" s="1"/>
  <c r="P433" i="17" s="1"/>
  <c r="P445" i="17" s="1"/>
  <c r="P457" i="17" s="1"/>
  <c r="P469" i="17" s="1"/>
  <c r="P481" i="17" s="1"/>
  <c r="P493" i="17" s="1"/>
  <c r="P505" i="17" s="1"/>
  <c r="P517" i="17" s="1"/>
  <c r="P529" i="17" s="1"/>
  <c r="P541" i="17" s="1"/>
  <c r="P553" i="17" s="1"/>
  <c r="P565" i="17" s="1"/>
  <c r="P577" i="17" s="1"/>
  <c r="P589" i="17" s="1"/>
  <c r="P601" i="17" s="1"/>
  <c r="P613" i="17" s="1"/>
  <c r="P625" i="17" s="1"/>
  <c r="P637" i="17" s="1"/>
  <c r="P649" i="17" s="1"/>
  <c r="P661" i="17" s="1"/>
  <c r="P673" i="17" s="1"/>
  <c r="P685" i="17" s="1"/>
  <c r="P697" i="17" s="1"/>
  <c r="P709" i="17" s="1"/>
  <c r="P721" i="17" s="1"/>
  <c r="P733" i="17" s="1"/>
  <c r="P745" i="17" s="1"/>
  <c r="C38" i="17"/>
  <c r="C50" i="17"/>
  <c r="C62" i="17" s="1"/>
  <c r="C74" i="17" s="1"/>
  <c r="C86" i="17"/>
  <c r="C98" i="17"/>
  <c r="C110" i="17" s="1"/>
  <c r="C122" i="17" s="1"/>
  <c r="C134" i="17" s="1"/>
  <c r="C146" i="17" s="1"/>
  <c r="C158" i="17" s="1"/>
  <c r="C170" i="17" s="1"/>
  <c r="C182" i="17" s="1"/>
  <c r="C194" i="17" s="1"/>
  <c r="C206" i="17" s="1"/>
  <c r="C218" i="17" s="1"/>
  <c r="C230" i="17" s="1"/>
  <c r="C242" i="17" s="1"/>
  <c r="C254" i="17" s="1"/>
  <c r="C266" i="17" s="1"/>
  <c r="C278" i="17" s="1"/>
  <c r="C290" i="17" s="1"/>
  <c r="C302" i="17" s="1"/>
  <c r="C314" i="17" s="1"/>
  <c r="C326" i="17" s="1"/>
  <c r="C338" i="17" s="1"/>
  <c r="C350" i="17" s="1"/>
  <c r="C362" i="17" s="1"/>
  <c r="C374" i="17" s="1"/>
  <c r="C386" i="17" s="1"/>
  <c r="C398" i="17" s="1"/>
  <c r="C410" i="17" s="1"/>
  <c r="C422" i="17" s="1"/>
  <c r="C434" i="17" s="1"/>
  <c r="C446" i="17" s="1"/>
  <c r="D38" i="17"/>
  <c r="D50" i="17" s="1"/>
  <c r="D62" i="17" s="1"/>
  <c r="D74" i="17" s="1"/>
  <c r="D86" i="17" s="1"/>
  <c r="D98" i="17" s="1"/>
  <c r="D110" i="17" s="1"/>
  <c r="D122" i="17" s="1"/>
  <c r="D134" i="17" s="1"/>
  <c r="D146" i="17" s="1"/>
  <c r="D158" i="17" s="1"/>
  <c r="D170" i="17" s="1"/>
  <c r="D182" i="17"/>
  <c r="D194" i="17" s="1"/>
  <c r="D206" i="17" s="1"/>
  <c r="D218" i="17" s="1"/>
  <c r="D230" i="17" s="1"/>
  <c r="D242" i="17" s="1"/>
  <c r="D254" i="17" s="1"/>
  <c r="D266" i="17" s="1"/>
  <c r="D278" i="17" s="1"/>
  <c r="D290" i="17" s="1"/>
  <c r="D302" i="17" s="1"/>
  <c r="D314" i="17" s="1"/>
  <c r="D326" i="17" s="1"/>
  <c r="D338" i="17" s="1"/>
  <c r="D350" i="17" s="1"/>
  <c r="D362" i="17" s="1"/>
  <c r="D374" i="17" s="1"/>
  <c r="D386" i="17" s="1"/>
  <c r="D398" i="17" s="1"/>
  <c r="D410" i="17" s="1"/>
  <c r="D422" i="17" s="1"/>
  <c r="D434" i="17" s="1"/>
  <c r="D446" i="17" s="1"/>
  <c r="D458" i="17" s="1"/>
  <c r="D470" i="17" s="1"/>
  <c r="D482" i="17" s="1"/>
  <c r="D494" i="17" s="1"/>
  <c r="D506" i="17" s="1"/>
  <c r="D518" i="17" s="1"/>
  <c r="D530" i="17" s="1"/>
  <c r="D542" i="17" s="1"/>
  <c r="D554" i="17" s="1"/>
  <c r="D566" i="17" s="1"/>
  <c r="D578" i="17" s="1"/>
  <c r="D590" i="17" s="1"/>
  <c r="D602" i="17" s="1"/>
  <c r="D614" i="17" s="1"/>
  <c r="D626" i="17" s="1"/>
  <c r="D638" i="17" s="1"/>
  <c r="D650" i="17" s="1"/>
  <c r="D662" i="17" s="1"/>
  <c r="D674" i="17" s="1"/>
  <c r="D686" i="17" s="1"/>
  <c r="D698" i="17" s="1"/>
  <c r="D710" i="17" s="1"/>
  <c r="D722" i="17" s="1"/>
  <c r="D734" i="17" s="1"/>
  <c r="D746" i="17" s="1"/>
  <c r="O38" i="17"/>
  <c r="O50" i="17" s="1"/>
  <c r="O62" i="17" s="1"/>
  <c r="O74" i="17" s="1"/>
  <c r="O86" i="17" s="1"/>
  <c r="O98" i="17" s="1"/>
  <c r="O110" i="17" s="1"/>
  <c r="O122" i="17" s="1"/>
  <c r="O134" i="17" s="1"/>
  <c r="O146" i="17" s="1"/>
  <c r="O158" i="17" s="1"/>
  <c r="O170" i="17" s="1"/>
  <c r="O182" i="17"/>
  <c r="O194" i="17" s="1"/>
  <c r="O206" i="17" s="1"/>
  <c r="O218" i="17" s="1"/>
  <c r="O230" i="17" s="1"/>
  <c r="O242" i="17" s="1"/>
  <c r="O254" i="17" s="1"/>
  <c r="O266" i="17" s="1"/>
  <c r="O278" i="17" s="1"/>
  <c r="O290" i="17" s="1"/>
  <c r="O302" i="17" s="1"/>
  <c r="O314" i="17" s="1"/>
  <c r="O326" i="17"/>
  <c r="O338" i="17" s="1"/>
  <c r="O350" i="17" s="1"/>
  <c r="O362" i="17" s="1"/>
  <c r="O374" i="17" s="1"/>
  <c r="O386" i="17" s="1"/>
  <c r="O398" i="17" s="1"/>
  <c r="O410" i="17" s="1"/>
  <c r="O422" i="17" s="1"/>
  <c r="O434" i="17" s="1"/>
  <c r="O446" i="17" s="1"/>
  <c r="O458" i="17" s="1"/>
  <c r="O470" i="17" s="1"/>
  <c r="O482" i="17" s="1"/>
  <c r="O494" i="17" s="1"/>
  <c r="O506" i="17" s="1"/>
  <c r="O518" i="17" s="1"/>
  <c r="O530" i="17" s="1"/>
  <c r="O542" i="17" s="1"/>
  <c r="O554" i="17" s="1"/>
  <c r="O566" i="17" s="1"/>
  <c r="O578" i="17" s="1"/>
  <c r="O590" i="17" s="1"/>
  <c r="O602" i="17" s="1"/>
  <c r="O614" i="17" s="1"/>
  <c r="O626" i="17" s="1"/>
  <c r="O638" i="17" s="1"/>
  <c r="O650" i="17" s="1"/>
  <c r="O662" i="17" s="1"/>
  <c r="O674" i="17" s="1"/>
  <c r="P38" i="17"/>
  <c r="P50" i="17" s="1"/>
  <c r="C39" i="17"/>
  <c r="C51" i="17"/>
  <c r="C63" i="17" s="1"/>
  <c r="C75" i="17" s="1"/>
  <c r="C87" i="17"/>
  <c r="C99" i="17"/>
  <c r="C111" i="17" s="1"/>
  <c r="C123" i="17"/>
  <c r="C135" i="17" s="1"/>
  <c r="C147" i="17" s="1"/>
  <c r="C159" i="17"/>
  <c r="C171" i="17" s="1"/>
  <c r="C183" i="17" s="1"/>
  <c r="C195" i="17" s="1"/>
  <c r="C207" i="17" s="1"/>
  <c r="C219" i="17" s="1"/>
  <c r="C231" i="17" s="1"/>
  <c r="C243" i="17" s="1"/>
  <c r="C255" i="17" s="1"/>
  <c r="C267" i="17" s="1"/>
  <c r="C279" i="17" s="1"/>
  <c r="C291" i="17" s="1"/>
  <c r="C303" i="17"/>
  <c r="C315" i="17" s="1"/>
  <c r="C327" i="17" s="1"/>
  <c r="C339" i="17" s="1"/>
  <c r="C351" i="17" s="1"/>
  <c r="C363" i="17" s="1"/>
  <c r="C375" i="17" s="1"/>
  <c r="C387" i="17" s="1"/>
  <c r="C399" i="17" s="1"/>
  <c r="C411" i="17" s="1"/>
  <c r="C423" i="17" s="1"/>
  <c r="C435" i="17" s="1"/>
  <c r="C447" i="17" s="1"/>
  <c r="C459" i="17" s="1"/>
  <c r="C471" i="17" s="1"/>
  <c r="C483" i="17" s="1"/>
  <c r="C495" i="17" s="1"/>
  <c r="C507" i="17" s="1"/>
  <c r="C519" i="17" s="1"/>
  <c r="C531" i="17" s="1"/>
  <c r="C543" i="17" s="1"/>
  <c r="C555" i="17" s="1"/>
  <c r="C567" i="17" s="1"/>
  <c r="C579" i="17" s="1"/>
  <c r="C591" i="17" s="1"/>
  <c r="C603" i="17" s="1"/>
  <c r="C615" i="17" s="1"/>
  <c r="C627" i="17" s="1"/>
  <c r="C639" i="17" s="1"/>
  <c r="C651" i="17" s="1"/>
  <c r="C663" i="17" s="1"/>
  <c r="C675" i="17" s="1"/>
  <c r="C687" i="17" s="1"/>
  <c r="C699" i="17" s="1"/>
  <c r="C711" i="17" s="1"/>
  <c r="C723" i="17" s="1"/>
  <c r="C735" i="17" s="1"/>
  <c r="C747" i="17" s="1"/>
  <c r="D39" i="17"/>
  <c r="O39" i="17"/>
  <c r="O51" i="17" s="1"/>
  <c r="O63" i="17" s="1"/>
  <c r="O75" i="17"/>
  <c r="O87" i="17" s="1"/>
  <c r="O99" i="17" s="1"/>
  <c r="O111" i="17" s="1"/>
  <c r="O123" i="17" s="1"/>
  <c r="O135" i="17" s="1"/>
  <c r="O147" i="17" s="1"/>
  <c r="O159" i="17" s="1"/>
  <c r="O171" i="17" s="1"/>
  <c r="O183" i="17" s="1"/>
  <c r="O195" i="17" s="1"/>
  <c r="O207" i="17" s="1"/>
  <c r="O219" i="17" s="1"/>
  <c r="O231" i="17" s="1"/>
  <c r="O243" i="17" s="1"/>
  <c r="O255" i="17" s="1"/>
  <c r="O267" i="17" s="1"/>
  <c r="O279" i="17" s="1"/>
  <c r="O291" i="17" s="1"/>
  <c r="O303" i="17" s="1"/>
  <c r="O315" i="17" s="1"/>
  <c r="O327" i="17" s="1"/>
  <c r="O339" i="17" s="1"/>
  <c r="O351" i="17" s="1"/>
  <c r="O363" i="17" s="1"/>
  <c r="O375" i="17" s="1"/>
  <c r="O387" i="17" s="1"/>
  <c r="O399" i="17" s="1"/>
  <c r="O411" i="17" s="1"/>
  <c r="O423" i="17" s="1"/>
  <c r="O435" i="17" s="1"/>
  <c r="O447" i="17" s="1"/>
  <c r="O459" i="17" s="1"/>
  <c r="O471" i="17" s="1"/>
  <c r="O483" i="17" s="1"/>
  <c r="O495" i="17" s="1"/>
  <c r="O507" i="17" s="1"/>
  <c r="O519" i="17" s="1"/>
  <c r="O531" i="17" s="1"/>
  <c r="O543" i="17" s="1"/>
  <c r="O555" i="17" s="1"/>
  <c r="O567" i="17" s="1"/>
  <c r="O579" i="17" s="1"/>
  <c r="O591" i="17" s="1"/>
  <c r="O603" i="17" s="1"/>
  <c r="O615" i="17" s="1"/>
  <c r="O627" i="17" s="1"/>
  <c r="O639" i="17" s="1"/>
  <c r="O651" i="17" s="1"/>
  <c r="O663" i="17" s="1"/>
  <c r="O675" i="17" s="1"/>
  <c r="O687" i="17" s="1"/>
  <c r="O699" i="17" s="1"/>
  <c r="O711" i="17" s="1"/>
  <c r="O723" i="17" s="1"/>
  <c r="O735" i="17" s="1"/>
  <c r="O747" i="17" s="1"/>
  <c r="P39" i="17"/>
  <c r="P51" i="17" s="1"/>
  <c r="P63" i="17" s="1"/>
  <c r="C40" i="17"/>
  <c r="C52" i="17"/>
  <c r="C64" i="17"/>
  <c r="C76" i="17" s="1"/>
  <c r="C88" i="17" s="1"/>
  <c r="C100" i="17" s="1"/>
  <c r="C112" i="17" s="1"/>
  <c r="C124" i="17" s="1"/>
  <c r="C136" i="17" s="1"/>
  <c r="C148" i="17" s="1"/>
  <c r="C160" i="17" s="1"/>
  <c r="C172" i="17" s="1"/>
  <c r="C184" i="17" s="1"/>
  <c r="C196" i="17" s="1"/>
  <c r="C208" i="17"/>
  <c r="C220" i="17" s="1"/>
  <c r="C232" i="17" s="1"/>
  <c r="C244" i="17" s="1"/>
  <c r="C256" i="17" s="1"/>
  <c r="C268" i="17" s="1"/>
  <c r="C280" i="17" s="1"/>
  <c r="C292" i="17" s="1"/>
  <c r="C304" i="17" s="1"/>
  <c r="C316" i="17" s="1"/>
  <c r="C328" i="17" s="1"/>
  <c r="C340" i="17" s="1"/>
  <c r="C352" i="17" s="1"/>
  <c r="C364" i="17" s="1"/>
  <c r="C376" i="17" s="1"/>
  <c r="C388" i="17" s="1"/>
  <c r="C400" i="17" s="1"/>
  <c r="C412" i="17" s="1"/>
  <c r="C424" i="17" s="1"/>
  <c r="C436" i="17" s="1"/>
  <c r="C448" i="17" s="1"/>
  <c r="C460" i="17" s="1"/>
  <c r="C472" i="17" s="1"/>
  <c r="C484" i="17" s="1"/>
  <c r="C496" i="17" s="1"/>
  <c r="C508" i="17" s="1"/>
  <c r="C520" i="17" s="1"/>
  <c r="C532" i="17" s="1"/>
  <c r="C544" i="17" s="1"/>
  <c r="C556" i="17" s="1"/>
  <c r="C568" i="17" s="1"/>
  <c r="C580" i="17" s="1"/>
  <c r="C592" i="17" s="1"/>
  <c r="C604" i="17" s="1"/>
  <c r="C616" i="17" s="1"/>
  <c r="C628" i="17" s="1"/>
  <c r="C640" i="17" s="1"/>
  <c r="C652" i="17" s="1"/>
  <c r="C664" i="17" s="1"/>
  <c r="C676" i="17" s="1"/>
  <c r="C688" i="17" s="1"/>
  <c r="C700" i="17" s="1"/>
  <c r="C712" i="17" s="1"/>
  <c r="C724" i="17" s="1"/>
  <c r="C736" i="17" s="1"/>
  <c r="C748" i="17" s="1"/>
  <c r="D40" i="17"/>
  <c r="D52" i="17"/>
  <c r="O40" i="17"/>
  <c r="P40" i="17"/>
  <c r="P52" i="17" s="1"/>
  <c r="P64" i="17"/>
  <c r="P76" i="17" s="1"/>
  <c r="P88" i="17" s="1"/>
  <c r="P100" i="17"/>
  <c r="P112" i="17"/>
  <c r="P124" i="17" s="1"/>
  <c r="P136" i="17" s="1"/>
  <c r="P148" i="17" s="1"/>
  <c r="P160" i="17" s="1"/>
  <c r="P172" i="17" s="1"/>
  <c r="P184" i="17" s="1"/>
  <c r="P196" i="17" s="1"/>
  <c r="P208" i="17" s="1"/>
  <c r="P220" i="17" s="1"/>
  <c r="P232" i="17" s="1"/>
  <c r="P244" i="17" s="1"/>
  <c r="P256" i="17"/>
  <c r="P268" i="17" s="1"/>
  <c r="P280" i="17" s="1"/>
  <c r="P292" i="17" s="1"/>
  <c r="P304" i="17" s="1"/>
  <c r="P316" i="17" s="1"/>
  <c r="P328" i="17" s="1"/>
  <c r="P340" i="17" s="1"/>
  <c r="P352" i="17" s="1"/>
  <c r="P364" i="17" s="1"/>
  <c r="P376" i="17" s="1"/>
  <c r="P388" i="17" s="1"/>
  <c r="P400" i="17"/>
  <c r="P412" i="17" s="1"/>
  <c r="P424" i="17" s="1"/>
  <c r="P436" i="17" s="1"/>
  <c r="P448" i="17" s="1"/>
  <c r="P460" i="17" s="1"/>
  <c r="P472" i="17" s="1"/>
  <c r="P484" i="17" s="1"/>
  <c r="P496" i="17" s="1"/>
  <c r="P508" i="17" s="1"/>
  <c r="P520" i="17" s="1"/>
  <c r="P532" i="17" s="1"/>
  <c r="P544" i="17" s="1"/>
  <c r="P556" i="17" s="1"/>
  <c r="P568" i="17" s="1"/>
  <c r="P580" i="17" s="1"/>
  <c r="P592" i="17" s="1"/>
  <c r="P604" i="17" s="1"/>
  <c r="P616" i="17" s="1"/>
  <c r="P628" i="17" s="1"/>
  <c r="P640" i="17" s="1"/>
  <c r="P652" i="17" s="1"/>
  <c r="P664" i="17" s="1"/>
  <c r="P676" i="17" s="1"/>
  <c r="P688" i="17" s="1"/>
  <c r="P700" i="17" s="1"/>
  <c r="P712" i="17" s="1"/>
  <c r="P724" i="17" s="1"/>
  <c r="P736" i="17" s="1"/>
  <c r="P748" i="17" s="1"/>
  <c r="C41" i="17"/>
  <c r="C53" i="17" s="1"/>
  <c r="D41" i="17"/>
  <c r="D53" i="17"/>
  <c r="D65" i="17" s="1"/>
  <c r="D77" i="17" s="1"/>
  <c r="D89" i="17"/>
  <c r="D101" i="17" s="1"/>
  <c r="D113" i="17" s="1"/>
  <c r="D125" i="17" s="1"/>
  <c r="D137" i="17" s="1"/>
  <c r="D149" i="17" s="1"/>
  <c r="D161" i="17"/>
  <c r="D173" i="17" s="1"/>
  <c r="D185" i="17" s="1"/>
  <c r="D197" i="17" s="1"/>
  <c r="D209" i="17" s="1"/>
  <c r="D221" i="17" s="1"/>
  <c r="D233" i="17"/>
  <c r="D245" i="17" s="1"/>
  <c r="D257" i="17" s="1"/>
  <c r="D269" i="17" s="1"/>
  <c r="D281" i="17" s="1"/>
  <c r="D293" i="17" s="1"/>
  <c r="D305" i="17" s="1"/>
  <c r="D317" i="17" s="1"/>
  <c r="D329" i="17" s="1"/>
  <c r="D341" i="17"/>
  <c r="D353" i="17" s="1"/>
  <c r="D365" i="17" s="1"/>
  <c r="D377" i="17" s="1"/>
  <c r="D389" i="17" s="1"/>
  <c r="D401" i="17" s="1"/>
  <c r="D413" i="17" s="1"/>
  <c r="D425" i="17" s="1"/>
  <c r="D437" i="17" s="1"/>
  <c r="D449" i="17" s="1"/>
  <c r="D461" i="17" s="1"/>
  <c r="D473" i="17" s="1"/>
  <c r="D485" i="17" s="1"/>
  <c r="D497" i="17" s="1"/>
  <c r="D509" i="17" s="1"/>
  <c r="D521" i="17" s="1"/>
  <c r="D533" i="17" s="1"/>
  <c r="D545" i="17" s="1"/>
  <c r="D557" i="17" s="1"/>
  <c r="D569" i="17" s="1"/>
  <c r="D581" i="17" s="1"/>
  <c r="D593" i="17" s="1"/>
  <c r="D605" i="17" s="1"/>
  <c r="D617" i="17" s="1"/>
  <c r="D629" i="17" s="1"/>
  <c r="D641" i="17" s="1"/>
  <c r="D653" i="17" s="1"/>
  <c r="D665" i="17" s="1"/>
  <c r="D677" i="17" s="1"/>
  <c r="D689" i="17" s="1"/>
  <c r="D701" i="17" s="1"/>
  <c r="D713" i="17" s="1"/>
  <c r="D725" i="17" s="1"/>
  <c r="D737" i="17" s="1"/>
  <c r="D749" i="17" s="1"/>
  <c r="O41" i="17"/>
  <c r="O53" i="17"/>
  <c r="O65" i="17" s="1"/>
  <c r="O77" i="17" s="1"/>
  <c r="O89" i="17" s="1"/>
  <c r="O101" i="17" s="1"/>
  <c r="O113" i="17" s="1"/>
  <c r="O125" i="17"/>
  <c r="O137" i="17" s="1"/>
  <c r="O149" i="17" s="1"/>
  <c r="O161" i="17"/>
  <c r="O173" i="17" s="1"/>
  <c r="O185" i="17" s="1"/>
  <c r="O197" i="17" s="1"/>
  <c r="O209" i="17" s="1"/>
  <c r="O221" i="17" s="1"/>
  <c r="O233" i="17" s="1"/>
  <c r="O245" i="17" s="1"/>
  <c r="O257" i="17" s="1"/>
  <c r="O269" i="17"/>
  <c r="O281" i="17" s="1"/>
  <c r="O293" i="17" s="1"/>
  <c r="O305" i="17" s="1"/>
  <c r="O317" i="17" s="1"/>
  <c r="O329" i="17" s="1"/>
  <c r="O341" i="17"/>
  <c r="O353" i="17" s="1"/>
  <c r="O365" i="17" s="1"/>
  <c r="O377" i="17" s="1"/>
  <c r="O389" i="17" s="1"/>
  <c r="O401" i="17" s="1"/>
  <c r="O413" i="17" s="1"/>
  <c r="O425" i="17" s="1"/>
  <c r="O437" i="17" s="1"/>
  <c r="O449" i="17" s="1"/>
  <c r="O461" i="17" s="1"/>
  <c r="O473" i="17" s="1"/>
  <c r="O485" i="17" s="1"/>
  <c r="O497" i="17" s="1"/>
  <c r="O509" i="17" s="1"/>
  <c r="O521" i="17" s="1"/>
  <c r="O533" i="17" s="1"/>
  <c r="O545" i="17" s="1"/>
  <c r="O557" i="17" s="1"/>
  <c r="O569" i="17" s="1"/>
  <c r="O581" i="17" s="1"/>
  <c r="O593" i="17" s="1"/>
  <c r="O605" i="17" s="1"/>
  <c r="O617" i="17" s="1"/>
  <c r="O629" i="17" s="1"/>
  <c r="O641" i="17" s="1"/>
  <c r="O653" i="17" s="1"/>
  <c r="O665" i="17" s="1"/>
  <c r="O677" i="17" s="1"/>
  <c r="O689" i="17" s="1"/>
  <c r="O701" i="17" s="1"/>
  <c r="O713" i="17" s="1"/>
  <c r="O725" i="17" s="1"/>
  <c r="O737" i="17" s="1"/>
  <c r="O749" i="17" s="1"/>
  <c r="P41" i="17"/>
  <c r="P53" i="17"/>
  <c r="P65" i="17" s="1"/>
  <c r="P77" i="17" s="1"/>
  <c r="P89" i="17" s="1"/>
  <c r="P101" i="17"/>
  <c r="P113" i="17" s="1"/>
  <c r="P125" i="17"/>
  <c r="P137" i="17" s="1"/>
  <c r="P149" i="17" s="1"/>
  <c r="P161" i="17" s="1"/>
  <c r="P173" i="17" s="1"/>
  <c r="P185" i="17" s="1"/>
  <c r="P197" i="17" s="1"/>
  <c r="P209" i="17" s="1"/>
  <c r="P221" i="17" s="1"/>
  <c r="P233" i="17" s="1"/>
  <c r="P245" i="17"/>
  <c r="P257" i="17" s="1"/>
  <c r="P269" i="17" s="1"/>
  <c r="P281" i="17" s="1"/>
  <c r="P293" i="17" s="1"/>
  <c r="P305" i="17" s="1"/>
  <c r="P317" i="17"/>
  <c r="P329" i="17" s="1"/>
  <c r="P341" i="17" s="1"/>
  <c r="P353" i="17" s="1"/>
  <c r="P365" i="17" s="1"/>
  <c r="P377" i="17" s="1"/>
  <c r="P389" i="17" s="1"/>
  <c r="P401" i="17" s="1"/>
  <c r="P413" i="17" s="1"/>
  <c r="P425" i="17" s="1"/>
  <c r="P437" i="17" s="1"/>
  <c r="P449" i="17" s="1"/>
  <c r="P461" i="17" s="1"/>
  <c r="P473" i="17" s="1"/>
  <c r="P485" i="17" s="1"/>
  <c r="P497" i="17" s="1"/>
  <c r="P509" i="17" s="1"/>
  <c r="P521" i="17" s="1"/>
  <c r="P533" i="17" s="1"/>
  <c r="P545" i="17" s="1"/>
  <c r="P557" i="17" s="1"/>
  <c r="P569" i="17" s="1"/>
  <c r="P581" i="17" s="1"/>
  <c r="P593" i="17" s="1"/>
  <c r="P605" i="17" s="1"/>
  <c r="P617" i="17" s="1"/>
  <c r="P629" i="17" s="1"/>
  <c r="P641" i="17" s="1"/>
  <c r="P653" i="17" s="1"/>
  <c r="P665" i="17" s="1"/>
  <c r="P677" i="17"/>
  <c r="P689" i="17" s="1"/>
  <c r="P701" i="17" s="1"/>
  <c r="P713" i="17" s="1"/>
  <c r="P725" i="17" s="1"/>
  <c r="P737" i="17" s="1"/>
  <c r="P749" i="17" s="1"/>
  <c r="C42" i="17"/>
  <c r="D42" i="17"/>
  <c r="O42" i="17"/>
  <c r="O54" i="17"/>
  <c r="O66" i="17"/>
  <c r="O78" i="17"/>
  <c r="O90" i="17" s="1"/>
  <c r="O102" i="17" s="1"/>
  <c r="O114" i="17" s="1"/>
  <c r="O126" i="17" s="1"/>
  <c r="O138" i="17" s="1"/>
  <c r="O150" i="17" s="1"/>
  <c r="O162" i="17" s="1"/>
  <c r="O174" i="17" s="1"/>
  <c r="O186" i="17" s="1"/>
  <c r="O198" i="17" s="1"/>
  <c r="O210" i="17"/>
  <c r="O222" i="17" s="1"/>
  <c r="O234" i="17" s="1"/>
  <c r="O246" i="17" s="1"/>
  <c r="O258" i="17" s="1"/>
  <c r="O270" i="17" s="1"/>
  <c r="O282" i="17" s="1"/>
  <c r="O294" i="17" s="1"/>
  <c r="O306" i="17" s="1"/>
  <c r="O318" i="17"/>
  <c r="O330" i="17" s="1"/>
  <c r="O342" i="17" s="1"/>
  <c r="O354" i="17" s="1"/>
  <c r="O366" i="17" s="1"/>
  <c r="O378" i="17" s="1"/>
  <c r="O390" i="17" s="1"/>
  <c r="O402" i="17" s="1"/>
  <c r="O414" i="17" s="1"/>
  <c r="O426" i="17" s="1"/>
  <c r="O438" i="17" s="1"/>
  <c r="O450" i="17" s="1"/>
  <c r="O462" i="17" s="1"/>
  <c r="O474" i="17" s="1"/>
  <c r="O486" i="17" s="1"/>
  <c r="O498" i="17" s="1"/>
  <c r="O510" i="17" s="1"/>
  <c r="O522" i="17" s="1"/>
  <c r="O534" i="17" s="1"/>
  <c r="O546" i="17" s="1"/>
  <c r="O558" i="17" s="1"/>
  <c r="O570" i="17" s="1"/>
  <c r="O582" i="17" s="1"/>
  <c r="O594" i="17" s="1"/>
  <c r="O606" i="17" s="1"/>
  <c r="O618" i="17" s="1"/>
  <c r="O630" i="17" s="1"/>
  <c r="O642" i="17"/>
  <c r="O654" i="17" s="1"/>
  <c r="O666" i="17" s="1"/>
  <c r="O678" i="17" s="1"/>
  <c r="O690" i="17" s="1"/>
  <c r="O702" i="17" s="1"/>
  <c r="O714" i="17" s="1"/>
  <c r="O726" i="17" s="1"/>
  <c r="O738" i="17" s="1"/>
  <c r="O750" i="17" s="1"/>
  <c r="P42" i="17"/>
  <c r="P54" i="17"/>
  <c r="P66" i="17"/>
  <c r="P78" i="17" s="1"/>
  <c r="P90" i="17" s="1"/>
  <c r="P102" i="17" s="1"/>
  <c r="P114" i="17" s="1"/>
  <c r="P126" i="17" s="1"/>
  <c r="P138" i="17" s="1"/>
  <c r="P150" i="17" s="1"/>
  <c r="P162" i="17" s="1"/>
  <c r="C43" i="17"/>
  <c r="D43" i="17"/>
  <c r="D55" i="17" s="1"/>
  <c r="D67" i="17" s="1"/>
  <c r="D79" i="17" s="1"/>
  <c r="D91" i="17" s="1"/>
  <c r="D103" i="17" s="1"/>
  <c r="D115" i="17" s="1"/>
  <c r="O43" i="17"/>
  <c r="P43" i="17"/>
  <c r="P55" i="17"/>
  <c r="P67" i="17" s="1"/>
  <c r="P79" i="17" s="1"/>
  <c r="P91" i="17"/>
  <c r="P103" i="17" s="1"/>
  <c r="P115" i="17" s="1"/>
  <c r="P127" i="17" s="1"/>
  <c r="P139" i="17" s="1"/>
  <c r="P151" i="17" s="1"/>
  <c r="P163" i="17" s="1"/>
  <c r="P175" i="17" s="1"/>
  <c r="P187" i="17" s="1"/>
  <c r="V43" i="17"/>
  <c r="V44" i="17"/>
  <c r="V45" i="17" s="1"/>
  <c r="V46" i="17" s="1"/>
  <c r="V47" i="17" s="1"/>
  <c r="V48" i="17"/>
  <c r="V49" i="17" s="1"/>
  <c r="V50" i="17"/>
  <c r="V51" i="17" s="1"/>
  <c r="V52" i="17" s="1"/>
  <c r="V53" i="17" s="1"/>
  <c r="V54" i="17" s="1"/>
  <c r="V55" i="17" s="1"/>
  <c r="V56" i="17" s="1"/>
  <c r="V57" i="17" s="1"/>
  <c r="V58" i="17" s="1"/>
  <c r="V59" i="17" s="1"/>
  <c r="V60" i="17"/>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V201" i="17" s="1"/>
  <c r="V202" i="17" s="1"/>
  <c r="V203" i="17" s="1"/>
  <c r="V204" i="17" s="1"/>
  <c r="V205" i="17" s="1"/>
  <c r="V206" i="17" s="1"/>
  <c r="V207" i="17" s="1"/>
  <c r="V208" i="17" s="1"/>
  <c r="V209" i="17" s="1"/>
  <c r="V210" i="17" s="1"/>
  <c r="V211" i="17" s="1"/>
  <c r="V212" i="17" s="1"/>
  <c r="V213" i="17" s="1"/>
  <c r="V214" i="17" s="1"/>
  <c r="V215" i="17" s="1"/>
  <c r="V216" i="17" s="1"/>
  <c r="V217" i="17" s="1"/>
  <c r="V218" i="17" s="1"/>
  <c r="V219" i="17" s="1"/>
  <c r="V220" i="17" s="1"/>
  <c r="V221" i="17" s="1"/>
  <c r="V222" i="17" s="1"/>
  <c r="V223" i="17" s="1"/>
  <c r="V224" i="17" s="1"/>
  <c r="V225" i="17" s="1"/>
  <c r="V226" i="17" s="1"/>
  <c r="V227" i="17" s="1"/>
  <c r="V228" i="17" s="1"/>
  <c r="V229" i="17" s="1"/>
  <c r="V230" i="17" s="1"/>
  <c r="V231" i="17" s="1"/>
  <c r="V232" i="17" s="1"/>
  <c r="V233" i="17" s="1"/>
  <c r="V234" i="17" s="1"/>
  <c r="V235" i="17" s="1"/>
  <c r="V236" i="17" s="1"/>
  <c r="V237" i="17" s="1"/>
  <c r="V238" i="17" s="1"/>
  <c r="V239" i="17" s="1"/>
  <c r="V240" i="17" s="1"/>
  <c r="V241" i="17" s="1"/>
  <c r="V242" i="17" s="1"/>
  <c r="V243" i="17" s="1"/>
  <c r="V244" i="17" s="1"/>
  <c r="V245" i="17" s="1"/>
  <c r="V246" i="17" s="1"/>
  <c r="V247" i="17" s="1"/>
  <c r="V248" i="17" s="1"/>
  <c r="V249" i="17" s="1"/>
  <c r="V250" i="17" s="1"/>
  <c r="V251" i="17" s="1"/>
  <c r="V252" i="17" s="1"/>
  <c r="V253" i="17" s="1"/>
  <c r="V254" i="17" s="1"/>
  <c r="V255" i="17" s="1"/>
  <c r="V256" i="17" s="1"/>
  <c r="V257" i="17" s="1"/>
  <c r="V258" i="17" s="1"/>
  <c r="V259" i="17" s="1"/>
  <c r="V260" i="17" s="1"/>
  <c r="V261" i="17" s="1"/>
  <c r="V262" i="17" s="1"/>
  <c r="V263" i="17" s="1"/>
  <c r="V264" i="17" s="1"/>
  <c r="V265" i="17" s="1"/>
  <c r="V266" i="17" s="1"/>
  <c r="V267" i="17" s="1"/>
  <c r="V268" i="17" s="1"/>
  <c r="V269" i="17" s="1"/>
  <c r="V270" i="17" s="1"/>
  <c r="V271" i="17" s="1"/>
  <c r="V272" i="17" s="1"/>
  <c r="V273" i="17" s="1"/>
  <c r="V274" i="17" s="1"/>
  <c r="V275" i="17" s="1"/>
  <c r="V276" i="17" s="1"/>
  <c r="V277" i="17" s="1"/>
  <c r="V278" i="17" s="1"/>
  <c r="V279" i="17" s="1"/>
  <c r="V280" i="17" s="1"/>
  <c r="V281" i="17" s="1"/>
  <c r="V282" i="17" s="1"/>
  <c r="V283" i="17" s="1"/>
  <c r="V284" i="17" s="1"/>
  <c r="V285" i="17" s="1"/>
  <c r="V286" i="17" s="1"/>
  <c r="V287" i="17" s="1"/>
  <c r="V288" i="17" s="1"/>
  <c r="V289" i="17" s="1"/>
  <c r="V290" i="17" s="1"/>
  <c r="V291" i="17" s="1"/>
  <c r="V292" i="17" s="1"/>
  <c r="V293" i="17" s="1"/>
  <c r="V294" i="17" s="1"/>
  <c r="V295" i="17" s="1"/>
  <c r="V296" i="17" s="1"/>
  <c r="V297" i="17" s="1"/>
  <c r="V298" i="17" s="1"/>
  <c r="V299" i="17" s="1"/>
  <c r="V300" i="17" s="1"/>
  <c r="V301" i="17" s="1"/>
  <c r="V302" i="17" s="1"/>
  <c r="V303" i="17" s="1"/>
  <c r="V304" i="17" s="1"/>
  <c r="V305" i="17" s="1"/>
  <c r="V306" i="17" s="1"/>
  <c r="V307" i="17" s="1"/>
  <c r="V308" i="17" s="1"/>
  <c r="V309" i="17" s="1"/>
  <c r="V310" i="17" s="1"/>
  <c r="V311" i="17" s="1"/>
  <c r="V312" i="17" s="1"/>
  <c r="V313" i="17" s="1"/>
  <c r="V314" i="17" s="1"/>
  <c r="V315" i="17" s="1"/>
  <c r="V316" i="17" s="1"/>
  <c r="V317" i="17" s="1"/>
  <c r="V318" i="17" s="1"/>
  <c r="V319" i="17" s="1"/>
  <c r="V320" i="17" s="1"/>
  <c r="V321" i="17" s="1"/>
  <c r="V322" i="17" s="1"/>
  <c r="V323" i="17" s="1"/>
  <c r="V324" i="17" s="1"/>
  <c r="V325" i="17" s="1"/>
  <c r="V326" i="17" s="1"/>
  <c r="V327" i="17" s="1"/>
  <c r="V328" i="17" s="1"/>
  <c r="V329" i="17" s="1"/>
  <c r="V330" i="17" s="1"/>
  <c r="V331" i="17" s="1"/>
  <c r="V332" i="17" s="1"/>
  <c r="V333" i="17" s="1"/>
  <c r="V334" i="17" s="1"/>
  <c r="V335" i="17" s="1"/>
  <c r="V336" i="17" s="1"/>
  <c r="V337" i="17" s="1"/>
  <c r="V338" i="17" s="1"/>
  <c r="V339" i="17" s="1"/>
  <c r="V340" i="17" s="1"/>
  <c r="V341" i="17" s="1"/>
  <c r="V342" i="17" s="1"/>
  <c r="V343" i="17" s="1"/>
  <c r="V344" i="17" s="1"/>
  <c r="V345" i="17" s="1"/>
  <c r="V346" i="17" s="1"/>
  <c r="V347" i="17" s="1"/>
  <c r="V348" i="17" s="1"/>
  <c r="V349" i="17" s="1"/>
  <c r="V350" i="17" s="1"/>
  <c r="V351" i="17" s="1"/>
  <c r="V352" i="17" s="1"/>
  <c r="V353" i="17" s="1"/>
  <c r="V354" i="17" s="1"/>
  <c r="V355" i="17" s="1"/>
  <c r="V356" i="17" s="1"/>
  <c r="V357" i="17" s="1"/>
  <c r="V358" i="17" s="1"/>
  <c r="V359" i="17" s="1"/>
  <c r="V360" i="17" s="1"/>
  <c r="V361" i="17" s="1"/>
  <c r="V362" i="17" s="1"/>
  <c r="V363" i="17" s="1"/>
  <c r="V364" i="17" s="1"/>
  <c r="V365" i="17" s="1"/>
  <c r="V366" i="17" s="1"/>
  <c r="V367" i="17" s="1"/>
  <c r="V368" i="17" s="1"/>
  <c r="V369" i="17" s="1"/>
  <c r="V370" i="17" s="1"/>
  <c r="V371" i="17" s="1"/>
  <c r="V372" i="17" s="1"/>
  <c r="V373" i="17" s="1"/>
  <c r="V374" i="17" s="1"/>
  <c r="V375" i="17" s="1"/>
  <c r="V376" i="17" s="1"/>
  <c r="V377" i="17" s="1"/>
  <c r="V378" i="17" s="1"/>
  <c r="V379" i="17" s="1"/>
  <c r="V380" i="17" s="1"/>
  <c r="V381" i="17" s="1"/>
  <c r="V382" i="17" s="1"/>
  <c r="V383" i="17" s="1"/>
  <c r="V384" i="17" s="1"/>
  <c r="V385" i="17" s="1"/>
  <c r="V386" i="17" s="1"/>
  <c r="V387" i="17" s="1"/>
  <c r="V388" i="17" s="1"/>
  <c r="V389" i="17" s="1"/>
  <c r="V390" i="17" s="1"/>
  <c r="V391" i="17" s="1"/>
  <c r="V392" i="17" s="1"/>
  <c r="V393" i="17" s="1"/>
  <c r="V394" i="17" s="1"/>
  <c r="V395" i="17" s="1"/>
  <c r="V396" i="17" s="1"/>
  <c r="V397" i="17" s="1"/>
  <c r="V398" i="17" s="1"/>
  <c r="V399" i="17" s="1"/>
  <c r="V400" i="17" s="1"/>
  <c r="V401" i="17" s="1"/>
  <c r="V402" i="17" s="1"/>
  <c r="V403" i="17" s="1"/>
  <c r="V404" i="17" s="1"/>
  <c r="V405" i="17" s="1"/>
  <c r="V406" i="17" s="1"/>
  <c r="V407" i="17" s="1"/>
  <c r="V408" i="17" s="1"/>
  <c r="V409" i="17" s="1"/>
  <c r="V410" i="17" s="1"/>
  <c r="V411" i="17" s="1"/>
  <c r="V412" i="17" s="1"/>
  <c r="V413" i="17" s="1"/>
  <c r="V414" i="17" s="1"/>
  <c r="V415" i="17" s="1"/>
  <c r="V416" i="17" s="1"/>
  <c r="V417" i="17" s="1"/>
  <c r="V418" i="17" s="1"/>
  <c r="V419" i="17" s="1"/>
  <c r="V420" i="17" s="1"/>
  <c r="V421" i="17" s="1"/>
  <c r="V422" i="17" s="1"/>
  <c r="V423" i="17" s="1"/>
  <c r="V424" i="17" s="1"/>
  <c r="V425" i="17" s="1"/>
  <c r="V426" i="17" s="1"/>
  <c r="V427" i="17" s="1"/>
  <c r="V428" i="17" s="1"/>
  <c r="V429" i="17" s="1"/>
  <c r="V430" i="17" s="1"/>
  <c r="V431" i="17" s="1"/>
  <c r="V432" i="17" s="1"/>
  <c r="V433" i="17" s="1"/>
  <c r="V434" i="17" s="1"/>
  <c r="V435" i="17" s="1"/>
  <c r="V436" i="17" s="1"/>
  <c r="V437" i="17" s="1"/>
  <c r="V438" i="17" s="1"/>
  <c r="V439" i="17" s="1"/>
  <c r="V440" i="17" s="1"/>
  <c r="V441" i="17" s="1"/>
  <c r="V442" i="17" s="1"/>
  <c r="V443" i="17" s="1"/>
  <c r="V444" i="17" s="1"/>
  <c r="V445" i="17" s="1"/>
  <c r="V446" i="17" s="1"/>
  <c r="V447" i="17" s="1"/>
  <c r="V448" i="17" s="1"/>
  <c r="V449" i="17" s="1"/>
  <c r="V450" i="17" s="1"/>
  <c r="V451" i="17" s="1"/>
  <c r="V452" i="17" s="1"/>
  <c r="V453" i="17" s="1"/>
  <c r="V454" i="17" s="1"/>
  <c r="V455" i="17" s="1"/>
  <c r="V456" i="17" s="1"/>
  <c r="V457" i="17" s="1"/>
  <c r="V458" i="17" s="1"/>
  <c r="V459" i="17" s="1"/>
  <c r="V460" i="17" s="1"/>
  <c r="V461" i="17" s="1"/>
  <c r="V462" i="17" s="1"/>
  <c r="V463" i="17" s="1"/>
  <c r="V464" i="17" s="1"/>
  <c r="V465" i="17" s="1"/>
  <c r="V466" i="17" s="1"/>
  <c r="V467" i="17" s="1"/>
  <c r="V468" i="17" s="1"/>
  <c r="V469" i="17" s="1"/>
  <c r="V470" i="17" s="1"/>
  <c r="V471" i="17" s="1"/>
  <c r="V472" i="17" s="1"/>
  <c r="V473" i="17" s="1"/>
  <c r="V474" i="17" s="1"/>
  <c r="V475" i="17" s="1"/>
  <c r="V476" i="17" s="1"/>
  <c r="V477" i="17" s="1"/>
  <c r="V478" i="17" s="1"/>
  <c r="V479" i="17" s="1"/>
  <c r="V480" i="17" s="1"/>
  <c r="V481" i="17" s="1"/>
  <c r="V482" i="17" s="1"/>
  <c r="V483" i="17" s="1"/>
  <c r="V484" i="17" s="1"/>
  <c r="V485" i="17" s="1"/>
  <c r="V486" i="17" s="1"/>
  <c r="V487" i="17" s="1"/>
  <c r="V488" i="17" s="1"/>
  <c r="V489" i="17" s="1"/>
  <c r="V490" i="17" s="1"/>
  <c r="V491" i="17" s="1"/>
  <c r="V492" i="17" s="1"/>
  <c r="V493" i="17" s="1"/>
  <c r="V494" i="17" s="1"/>
  <c r="V495" i="17" s="1"/>
  <c r="V496" i="17" s="1"/>
  <c r="V497" i="17" s="1"/>
  <c r="V498" i="17" s="1"/>
  <c r="V499" i="17" s="1"/>
  <c r="V500" i="17" s="1"/>
  <c r="V501" i="17" s="1"/>
  <c r="V502" i="17" s="1"/>
  <c r="V503" i="17" s="1"/>
  <c r="V504" i="17" s="1"/>
  <c r="V505" i="17" s="1"/>
  <c r="V506" i="17" s="1"/>
  <c r="V507" i="17" s="1"/>
  <c r="V508" i="17" s="1"/>
  <c r="V509" i="17" s="1"/>
  <c r="V510" i="17" s="1"/>
  <c r="V511" i="17" s="1"/>
  <c r="V512" i="17" s="1"/>
  <c r="V513" i="17" s="1"/>
  <c r="V514" i="17" s="1"/>
  <c r="V515" i="17" s="1"/>
  <c r="V516" i="17" s="1"/>
  <c r="V517" i="17" s="1"/>
  <c r="V518" i="17" s="1"/>
  <c r="V519" i="17" s="1"/>
  <c r="V520" i="17" s="1"/>
  <c r="V521" i="17" s="1"/>
  <c r="V522" i="17" s="1"/>
  <c r="V523" i="17" s="1"/>
  <c r="V524" i="17" s="1"/>
  <c r="V525" i="17" s="1"/>
  <c r="V526" i="17" s="1"/>
  <c r="V527" i="17" s="1"/>
  <c r="V528" i="17" s="1"/>
  <c r="V529" i="17" s="1"/>
  <c r="V530" i="17" s="1"/>
  <c r="V531" i="17" s="1"/>
  <c r="V532" i="17" s="1"/>
  <c r="V533" i="17" s="1"/>
  <c r="V534" i="17" s="1"/>
  <c r="V535" i="17" s="1"/>
  <c r="V536" i="17" s="1"/>
  <c r="V537" i="17" s="1"/>
  <c r="V538" i="17" s="1"/>
  <c r="V539" i="17" s="1"/>
  <c r="V540" i="17" s="1"/>
  <c r="V541" i="17" s="1"/>
  <c r="V542" i="17" s="1"/>
  <c r="V543" i="17" s="1"/>
  <c r="V544" i="17" s="1"/>
  <c r="V545" i="17" s="1"/>
  <c r="V546" i="17" s="1"/>
  <c r="V547" i="17" s="1"/>
  <c r="V548" i="17" s="1"/>
  <c r="V549" i="17" s="1"/>
  <c r="V550" i="17" s="1"/>
  <c r="V551" i="17" s="1"/>
  <c r="V552" i="17" s="1"/>
  <c r="V553" i="17" s="1"/>
  <c r="V554" i="17" s="1"/>
  <c r="V555" i="17" s="1"/>
  <c r="V556" i="17" s="1"/>
  <c r="V557" i="17" s="1"/>
  <c r="V558" i="17" s="1"/>
  <c r="V559" i="17" s="1"/>
  <c r="V560" i="17" s="1"/>
  <c r="V561" i="17" s="1"/>
  <c r="V562" i="17" s="1"/>
  <c r="V563" i="17" s="1"/>
  <c r="V564" i="17" s="1"/>
  <c r="V565" i="17" s="1"/>
  <c r="V566" i="17" s="1"/>
  <c r="V567" i="17" s="1"/>
  <c r="V568" i="17" s="1"/>
  <c r="V569" i="17" s="1"/>
  <c r="V570" i="17" s="1"/>
  <c r="V571" i="17" s="1"/>
  <c r="V572" i="17" s="1"/>
  <c r="V573" i="17" s="1"/>
  <c r="V574" i="17" s="1"/>
  <c r="V575" i="17" s="1"/>
  <c r="V576" i="17" s="1"/>
  <c r="V577" i="17" s="1"/>
  <c r="V578" i="17" s="1"/>
  <c r="V579" i="17" s="1"/>
  <c r="V580" i="17" s="1"/>
  <c r="V581" i="17" s="1"/>
  <c r="V582" i="17" s="1"/>
  <c r="V583" i="17" s="1"/>
  <c r="V584" i="17" s="1"/>
  <c r="V585" i="17" s="1"/>
  <c r="V586" i="17" s="1"/>
  <c r="V587" i="17" s="1"/>
  <c r="V588" i="17" s="1"/>
  <c r="V589" i="17" s="1"/>
  <c r="V590" i="17" s="1"/>
  <c r="V591" i="17" s="1"/>
  <c r="V592" i="17" s="1"/>
  <c r="V593" i="17" s="1"/>
  <c r="V594" i="17" s="1"/>
  <c r="V595" i="17" s="1"/>
  <c r="V596" i="17" s="1"/>
  <c r="V597" i="17" s="1"/>
  <c r="V598" i="17" s="1"/>
  <c r="V599" i="17" s="1"/>
  <c r="V600" i="17" s="1"/>
  <c r="V601" i="17" s="1"/>
  <c r="V602" i="17" s="1"/>
  <c r="V603" i="17" s="1"/>
  <c r="V604" i="17" s="1"/>
  <c r="V605" i="17" s="1"/>
  <c r="V606" i="17" s="1"/>
  <c r="V607" i="17" s="1"/>
  <c r="V608" i="17" s="1"/>
  <c r="V609" i="17" s="1"/>
  <c r="V610" i="17" s="1"/>
  <c r="V611" i="17" s="1"/>
  <c r="V612" i="17" s="1"/>
  <c r="V613" i="17" s="1"/>
  <c r="V614" i="17" s="1"/>
  <c r="V615" i="17" s="1"/>
  <c r="V616" i="17" s="1"/>
  <c r="V617" i="17" s="1"/>
  <c r="V618" i="17" s="1"/>
  <c r="V619" i="17" s="1"/>
  <c r="V620" i="17" s="1"/>
  <c r="V621" i="17" s="1"/>
  <c r="V622" i="17" s="1"/>
  <c r="V623" i="17" s="1"/>
  <c r="V624" i="17" s="1"/>
  <c r="V625" i="17" s="1"/>
  <c r="V626" i="17" s="1"/>
  <c r="V627" i="17" s="1"/>
  <c r="V628" i="17" s="1"/>
  <c r="V629" i="17" s="1"/>
  <c r="V630" i="17" s="1"/>
  <c r="V631" i="17" s="1"/>
  <c r="V632" i="17" s="1"/>
  <c r="V633" i="17" s="1"/>
  <c r="V634" i="17" s="1"/>
  <c r="V635" i="17" s="1"/>
  <c r="V636" i="17" s="1"/>
  <c r="V637" i="17" s="1"/>
  <c r="V638" i="17" s="1"/>
  <c r="V639" i="17" s="1"/>
  <c r="V640" i="17" s="1"/>
  <c r="V641" i="17" s="1"/>
  <c r="V642" i="17" s="1"/>
  <c r="V643" i="17" s="1"/>
  <c r="V644" i="17" s="1"/>
  <c r="V645" i="17" s="1"/>
  <c r="V646" i="17" s="1"/>
  <c r="V647" i="17" s="1"/>
  <c r="V648" i="17" s="1"/>
  <c r="V649" i="17" s="1"/>
  <c r="V650" i="17" s="1"/>
  <c r="V651" i="17" s="1"/>
  <c r="V652" i="17" s="1"/>
  <c r="V653" i="17" s="1"/>
  <c r="V654" i="17" s="1"/>
  <c r="V655" i="17" s="1"/>
  <c r="V656" i="17" s="1"/>
  <c r="V657" i="17" s="1"/>
  <c r="V658" i="17" s="1"/>
  <c r="V659" i="17" s="1"/>
  <c r="V660" i="17" s="1"/>
  <c r="V661" i="17" s="1"/>
  <c r="V662" i="17" s="1"/>
  <c r="V663" i="17" s="1"/>
  <c r="V664" i="17" s="1"/>
  <c r="V665" i="17" s="1"/>
  <c r="V666" i="17" s="1"/>
  <c r="V667" i="17" s="1"/>
  <c r="V668" i="17" s="1"/>
  <c r="V669" i="17" s="1"/>
  <c r="V670" i="17" s="1"/>
  <c r="V671" i="17" s="1"/>
  <c r="V672" i="17" s="1"/>
  <c r="V673" i="17" s="1"/>
  <c r="V674" i="17" s="1"/>
  <c r="V675" i="17" s="1"/>
  <c r="V676" i="17" s="1"/>
  <c r="V677" i="17" s="1"/>
  <c r="V678" i="17" s="1"/>
  <c r="V679" i="17" s="1"/>
  <c r="V680" i="17" s="1"/>
  <c r="V681" i="17" s="1"/>
  <c r="V682" i="17" s="1"/>
  <c r="V683" i="17" s="1"/>
  <c r="V684" i="17" s="1"/>
  <c r="V685" i="17" s="1"/>
  <c r="V686" i="17" s="1"/>
  <c r="V687" i="17" s="1"/>
  <c r="V688" i="17" s="1"/>
  <c r="V689" i="17" s="1"/>
  <c r="V690" i="17" s="1"/>
  <c r="V691" i="17" s="1"/>
  <c r="V692" i="17" s="1"/>
  <c r="V693" i="17" s="1"/>
  <c r="V694" i="17" s="1"/>
  <c r="V695" i="17" s="1"/>
  <c r="V696" i="17" s="1"/>
  <c r="V697" i="17" s="1"/>
  <c r="V698" i="17" s="1"/>
  <c r="V699" i="17" s="1"/>
  <c r="V700" i="17" s="1"/>
  <c r="V701" i="17" s="1"/>
  <c r="V702" i="17" s="1"/>
  <c r="V703" i="17" s="1"/>
  <c r="V704" i="17" s="1"/>
  <c r="V705" i="17" s="1"/>
  <c r="V706" i="17" s="1"/>
  <c r="V707" i="17" s="1"/>
  <c r="V708" i="17" s="1"/>
  <c r="V709" i="17" s="1"/>
  <c r="V710" i="17" s="1"/>
  <c r="V711" i="17" s="1"/>
  <c r="V712" i="17" s="1"/>
  <c r="V713" i="17" s="1"/>
  <c r="V714" i="17" s="1"/>
  <c r="V715" i="17" s="1"/>
  <c r="V716" i="17" s="1"/>
  <c r="V717" i="17" s="1"/>
  <c r="V718" i="17" s="1"/>
  <c r="V719" i="17" s="1"/>
  <c r="V720" i="17" s="1"/>
  <c r="V721" i="17" s="1"/>
  <c r="V722" i="17" s="1"/>
  <c r="V723" i="17" s="1"/>
  <c r="V724" i="17" s="1"/>
  <c r="V725" i="17" s="1"/>
  <c r="V726" i="17" s="1"/>
  <c r="V727" i="17" s="1"/>
  <c r="V728" i="17" s="1"/>
  <c r="V729" i="17" s="1"/>
  <c r="V730" i="17" s="1"/>
  <c r="V731" i="17" s="1"/>
  <c r="V732" i="17" s="1"/>
  <c r="V733" i="17" s="1"/>
  <c r="V734" i="17" s="1"/>
  <c r="V735" i="17" s="1"/>
  <c r="V736" i="17" s="1"/>
  <c r="V737" i="17" s="1"/>
  <c r="V738" i="17" s="1"/>
  <c r="V739" i="17" s="1"/>
  <c r="V740" i="17" s="1"/>
  <c r="V741" i="17" s="1"/>
  <c r="V742" i="17" s="1"/>
  <c r="V743" i="17" s="1"/>
  <c r="V744" i="17" s="1"/>
  <c r="V745" i="17" s="1"/>
  <c r="V746" i="17" s="1"/>
  <c r="V747" i="17" s="1"/>
  <c r="V748" i="17" s="1"/>
  <c r="V749" i="17" s="1"/>
  <c r="V750" i="17" s="1"/>
  <c r="V751" i="17" s="1"/>
  <c r="V752" i="17" s="1"/>
  <c r="V753" i="17" s="1"/>
  <c r="V754" i="17" s="1"/>
  <c r="V755" i="17" s="1"/>
  <c r="C44" i="17"/>
  <c r="C56" i="17" s="1"/>
  <c r="C68" i="17"/>
  <c r="C80" i="17" s="1"/>
  <c r="C92" i="17" s="1"/>
  <c r="C104" i="17"/>
  <c r="C116" i="17" s="1"/>
  <c r="C128" i="17" s="1"/>
  <c r="C140" i="17" s="1"/>
  <c r="C152" i="17" s="1"/>
  <c r="C164" i="17" s="1"/>
  <c r="C176" i="17" s="1"/>
  <c r="C188" i="17" s="1"/>
  <c r="C200" i="17" s="1"/>
  <c r="C212" i="17"/>
  <c r="C224" i="17" s="1"/>
  <c r="C236" i="17" s="1"/>
  <c r="C248" i="17" s="1"/>
  <c r="C260" i="17" s="1"/>
  <c r="C272" i="17" s="1"/>
  <c r="C284" i="17" s="1"/>
  <c r="C296" i="17" s="1"/>
  <c r="C308" i="17" s="1"/>
  <c r="C320" i="17" s="1"/>
  <c r="C332" i="17" s="1"/>
  <c r="C344" i="17" s="1"/>
  <c r="C356" i="17" s="1"/>
  <c r="C368" i="17" s="1"/>
  <c r="C380" i="17" s="1"/>
  <c r="C392" i="17" s="1"/>
  <c r="C404" i="17" s="1"/>
  <c r="C416" i="17" s="1"/>
  <c r="C428" i="17" s="1"/>
  <c r="C440" i="17" s="1"/>
  <c r="C452" i="17" s="1"/>
  <c r="C464" i="17" s="1"/>
  <c r="C476" i="17" s="1"/>
  <c r="C488" i="17" s="1"/>
  <c r="C500" i="17" s="1"/>
  <c r="C512" i="17" s="1"/>
  <c r="C524" i="17" s="1"/>
  <c r="C536" i="17" s="1"/>
  <c r="C548" i="17" s="1"/>
  <c r="C560" i="17" s="1"/>
  <c r="C572" i="17" s="1"/>
  <c r="C584" i="17" s="1"/>
  <c r="C596" i="17" s="1"/>
  <c r="C608" i="17" s="1"/>
  <c r="C620" i="17" s="1"/>
  <c r="C632" i="17" s="1"/>
  <c r="C644" i="17" s="1"/>
  <c r="C656" i="17" s="1"/>
  <c r="C668" i="17" s="1"/>
  <c r="C680" i="17" s="1"/>
  <c r="C692" i="17" s="1"/>
  <c r="C704" i="17" s="1"/>
  <c r="C716" i="17" s="1"/>
  <c r="C728" i="17" s="1"/>
  <c r="C740" i="17" s="1"/>
  <c r="C752" i="17" s="1"/>
  <c r="D44" i="17"/>
  <c r="D56" i="17" s="1"/>
  <c r="D68" i="17" s="1"/>
  <c r="D80" i="17" s="1"/>
  <c r="D92" i="17" s="1"/>
  <c r="O44" i="17"/>
  <c r="O56" i="17"/>
  <c r="O68" i="17" s="1"/>
  <c r="O80" i="17" s="1"/>
  <c r="O92" i="17"/>
  <c r="O104" i="17" s="1"/>
  <c r="O116" i="17" s="1"/>
  <c r="O128" i="17" s="1"/>
  <c r="O140" i="17" s="1"/>
  <c r="O152" i="17" s="1"/>
  <c r="O164" i="17" s="1"/>
  <c r="O176" i="17" s="1"/>
  <c r="O188" i="17" s="1"/>
  <c r="O200" i="17"/>
  <c r="O212" i="17" s="1"/>
  <c r="O224" i="17" s="1"/>
  <c r="O236" i="17" s="1"/>
  <c r="O248" i="17" s="1"/>
  <c r="O260" i="17" s="1"/>
  <c r="O272" i="17" s="1"/>
  <c r="O284" i="17" s="1"/>
  <c r="O296" i="17" s="1"/>
  <c r="O308" i="17" s="1"/>
  <c r="O320" i="17" s="1"/>
  <c r="O332" i="17" s="1"/>
  <c r="O344" i="17" s="1"/>
  <c r="O356" i="17" s="1"/>
  <c r="O368" i="17" s="1"/>
  <c r="O380" i="17" s="1"/>
  <c r="O392" i="17" s="1"/>
  <c r="O404" i="17" s="1"/>
  <c r="O416" i="17" s="1"/>
  <c r="O428" i="17" s="1"/>
  <c r="O440" i="17" s="1"/>
  <c r="O452" i="17" s="1"/>
  <c r="O464" i="17" s="1"/>
  <c r="O476" i="17" s="1"/>
  <c r="O488" i="17" s="1"/>
  <c r="O500" i="17" s="1"/>
  <c r="O512" i="17" s="1"/>
  <c r="O524" i="17" s="1"/>
  <c r="O536" i="17" s="1"/>
  <c r="O548" i="17" s="1"/>
  <c r="O560" i="17" s="1"/>
  <c r="O572" i="17" s="1"/>
  <c r="O584" i="17" s="1"/>
  <c r="O596" i="17" s="1"/>
  <c r="O608" i="17" s="1"/>
  <c r="O620" i="17" s="1"/>
  <c r="O632" i="17" s="1"/>
  <c r="O644" i="17" s="1"/>
  <c r="O656" i="17" s="1"/>
  <c r="O668" i="17" s="1"/>
  <c r="O680" i="17" s="1"/>
  <c r="O692" i="17" s="1"/>
  <c r="O704" i="17" s="1"/>
  <c r="O716" i="17" s="1"/>
  <c r="O728" i="17" s="1"/>
  <c r="O740" i="17" s="1"/>
  <c r="O752" i="17" s="1"/>
  <c r="P44" i="17"/>
  <c r="C45" i="17"/>
  <c r="C57" i="17" s="1"/>
  <c r="C69" i="17" s="1"/>
  <c r="D45" i="17"/>
  <c r="D57" i="17" s="1"/>
  <c r="D69" i="17" s="1"/>
  <c r="D81" i="17" s="1"/>
  <c r="D93" i="17" s="1"/>
  <c r="D105" i="17" s="1"/>
  <c r="D117" i="17" s="1"/>
  <c r="D129" i="17"/>
  <c r="D141" i="17" s="1"/>
  <c r="D153" i="17" s="1"/>
  <c r="D165" i="17" s="1"/>
  <c r="D177" i="17" s="1"/>
  <c r="D189" i="17" s="1"/>
  <c r="D201" i="17" s="1"/>
  <c r="D213" i="17" s="1"/>
  <c r="D225" i="17" s="1"/>
  <c r="D237" i="17" s="1"/>
  <c r="D249" i="17" s="1"/>
  <c r="D261" i="17" s="1"/>
  <c r="D273" i="17" s="1"/>
  <c r="D285" i="17" s="1"/>
  <c r="D297" i="17" s="1"/>
  <c r="D309" i="17" s="1"/>
  <c r="D321" i="17" s="1"/>
  <c r="D333" i="17" s="1"/>
  <c r="D345" i="17" s="1"/>
  <c r="D357" i="17" s="1"/>
  <c r="D369" i="17" s="1"/>
  <c r="D381" i="17" s="1"/>
  <c r="D393" i="17" s="1"/>
  <c r="D405" i="17" s="1"/>
  <c r="D417" i="17" s="1"/>
  <c r="D429" i="17" s="1"/>
  <c r="D441" i="17" s="1"/>
  <c r="D453" i="17" s="1"/>
  <c r="D465" i="17" s="1"/>
  <c r="D477" i="17" s="1"/>
  <c r="D489" i="17" s="1"/>
  <c r="D501" i="17" s="1"/>
  <c r="D513" i="17" s="1"/>
  <c r="D525" i="17" s="1"/>
  <c r="D537" i="17" s="1"/>
  <c r="D549" i="17" s="1"/>
  <c r="D561" i="17" s="1"/>
  <c r="D573" i="17" s="1"/>
  <c r="D585" i="17" s="1"/>
  <c r="D597" i="17" s="1"/>
  <c r="D609" i="17" s="1"/>
  <c r="D621" i="17" s="1"/>
  <c r="D633" i="17" s="1"/>
  <c r="D645" i="17" s="1"/>
  <c r="D657" i="17" s="1"/>
  <c r="D669" i="17" s="1"/>
  <c r="D681" i="17" s="1"/>
  <c r="D693" i="17" s="1"/>
  <c r="D705" i="17" s="1"/>
  <c r="D717" i="17" s="1"/>
  <c r="D729" i="17" s="1"/>
  <c r="D741" i="17" s="1"/>
  <c r="D753" i="17" s="1"/>
  <c r="O45" i="17"/>
  <c r="O57" i="17" s="1"/>
  <c r="P45" i="17"/>
  <c r="C46" i="17"/>
  <c r="D46" i="17"/>
  <c r="D58" i="17" s="1"/>
  <c r="D70" i="17" s="1"/>
  <c r="D82" i="17" s="1"/>
  <c r="D94" i="17" s="1"/>
  <c r="D106" i="17" s="1"/>
  <c r="D118" i="17" s="1"/>
  <c r="D130" i="17" s="1"/>
  <c r="D142" i="17" s="1"/>
  <c r="D154" i="17" s="1"/>
  <c r="D166" i="17" s="1"/>
  <c r="D178" i="17" s="1"/>
  <c r="D190" i="17" s="1"/>
  <c r="D202" i="17" s="1"/>
  <c r="D214" i="17" s="1"/>
  <c r="D226" i="17" s="1"/>
  <c r="D238" i="17" s="1"/>
  <c r="D250" i="17" s="1"/>
  <c r="D262" i="17" s="1"/>
  <c r="D274" i="17" s="1"/>
  <c r="D286" i="17" s="1"/>
  <c r="D298" i="17" s="1"/>
  <c r="D310" i="17" s="1"/>
  <c r="D322" i="17" s="1"/>
  <c r="D334" i="17" s="1"/>
  <c r="D346" i="17" s="1"/>
  <c r="D358" i="17" s="1"/>
  <c r="D370" i="17"/>
  <c r="D382" i="17" s="1"/>
  <c r="D394" i="17" s="1"/>
  <c r="D406" i="17" s="1"/>
  <c r="D418" i="17" s="1"/>
  <c r="D430" i="17" s="1"/>
  <c r="D442" i="17" s="1"/>
  <c r="D454" i="17" s="1"/>
  <c r="D466" i="17" s="1"/>
  <c r="D478" i="17" s="1"/>
  <c r="D490" i="17" s="1"/>
  <c r="D502" i="17" s="1"/>
  <c r="D514" i="17" s="1"/>
  <c r="D526" i="17" s="1"/>
  <c r="D538" i="17" s="1"/>
  <c r="D550" i="17" s="1"/>
  <c r="D562" i="17" s="1"/>
  <c r="D574" i="17" s="1"/>
  <c r="D586" i="17" s="1"/>
  <c r="D598" i="17" s="1"/>
  <c r="D610" i="17" s="1"/>
  <c r="D622" i="17" s="1"/>
  <c r="D634" i="17" s="1"/>
  <c r="D646" i="17" s="1"/>
  <c r="D658" i="17" s="1"/>
  <c r="D670" i="17" s="1"/>
  <c r="D682" i="17" s="1"/>
  <c r="D694" i="17" s="1"/>
  <c r="D706" i="17" s="1"/>
  <c r="D718" i="17" s="1"/>
  <c r="D730" i="17" s="1"/>
  <c r="D742" i="17" s="1"/>
  <c r="D754" i="17" s="1"/>
  <c r="O46" i="17"/>
  <c r="O58" i="17" s="1"/>
  <c r="O70" i="17" s="1"/>
  <c r="O82" i="17"/>
  <c r="O94" i="17" s="1"/>
  <c r="O106" i="17" s="1"/>
  <c r="O118" i="17" s="1"/>
  <c r="O130" i="17" s="1"/>
  <c r="O142" i="17" s="1"/>
  <c r="O154" i="17" s="1"/>
  <c r="O166" i="17" s="1"/>
  <c r="O178" i="17" s="1"/>
  <c r="O190" i="17"/>
  <c r="O202" i="17" s="1"/>
  <c r="O214" i="17" s="1"/>
  <c r="O226" i="17" s="1"/>
  <c r="O238" i="17" s="1"/>
  <c r="O250" i="17" s="1"/>
  <c r="O262" i="17" s="1"/>
  <c r="O274" i="17" s="1"/>
  <c r="O286" i="17" s="1"/>
  <c r="O298" i="17" s="1"/>
  <c r="O310" i="17" s="1"/>
  <c r="O322" i="17" s="1"/>
  <c r="O334" i="17" s="1"/>
  <c r="O346" i="17" s="1"/>
  <c r="O358" i="17" s="1"/>
  <c r="O370" i="17" s="1"/>
  <c r="O382" i="17" s="1"/>
  <c r="O394" i="17" s="1"/>
  <c r="O406" i="17" s="1"/>
  <c r="O418" i="17" s="1"/>
  <c r="O430" i="17" s="1"/>
  <c r="O442" i="17" s="1"/>
  <c r="O454" i="17" s="1"/>
  <c r="O466" i="17" s="1"/>
  <c r="O478" i="17" s="1"/>
  <c r="O490" i="17" s="1"/>
  <c r="O502" i="17" s="1"/>
  <c r="O514" i="17"/>
  <c r="O526" i="17" s="1"/>
  <c r="O538" i="17" s="1"/>
  <c r="O550" i="17" s="1"/>
  <c r="O562" i="17" s="1"/>
  <c r="O574" i="17" s="1"/>
  <c r="O586" i="17" s="1"/>
  <c r="O598" i="17" s="1"/>
  <c r="O610" i="17" s="1"/>
  <c r="O622" i="17" s="1"/>
  <c r="O634" i="17" s="1"/>
  <c r="O646" i="17" s="1"/>
  <c r="O658" i="17" s="1"/>
  <c r="O670" i="17" s="1"/>
  <c r="O682" i="17" s="1"/>
  <c r="O694" i="17" s="1"/>
  <c r="O706" i="17" s="1"/>
  <c r="O718" i="17" s="1"/>
  <c r="O730" i="17" s="1"/>
  <c r="O742" i="17" s="1"/>
  <c r="O754" i="17" s="1"/>
  <c r="P46" i="17"/>
  <c r="P58" i="17" s="1"/>
  <c r="P70" i="17" s="1"/>
  <c r="P82" i="17"/>
  <c r="P94" i="17"/>
  <c r="P106" i="17" s="1"/>
  <c r="P118" i="17" s="1"/>
  <c r="P130" i="17" s="1"/>
  <c r="P142" i="17" s="1"/>
  <c r="P154" i="17" s="1"/>
  <c r="P166" i="17" s="1"/>
  <c r="P178" i="17" s="1"/>
  <c r="P190" i="17" s="1"/>
  <c r="P202" i="17" s="1"/>
  <c r="C47" i="17"/>
  <c r="D47" i="17"/>
  <c r="D59" i="17" s="1"/>
  <c r="D71" i="17" s="1"/>
  <c r="D83" i="17" s="1"/>
  <c r="D95" i="17" s="1"/>
  <c r="D107" i="17" s="1"/>
  <c r="O47" i="17"/>
  <c r="O59" i="17" s="1"/>
  <c r="O71" i="17" s="1"/>
  <c r="O83" i="17" s="1"/>
  <c r="O95" i="17" s="1"/>
  <c r="O107" i="17" s="1"/>
  <c r="O119" i="17" s="1"/>
  <c r="O131" i="17" s="1"/>
  <c r="O143" i="17" s="1"/>
  <c r="O155" i="17" s="1"/>
  <c r="O167" i="17" s="1"/>
  <c r="O179" i="17"/>
  <c r="O191" i="17" s="1"/>
  <c r="O203" i="17" s="1"/>
  <c r="O215" i="17" s="1"/>
  <c r="O227" i="17" s="1"/>
  <c r="O239" i="17" s="1"/>
  <c r="O251" i="17" s="1"/>
  <c r="O263" i="17" s="1"/>
  <c r="O275" i="17" s="1"/>
  <c r="O287" i="17" s="1"/>
  <c r="O299" i="17" s="1"/>
  <c r="O311" i="17" s="1"/>
  <c r="O323" i="17" s="1"/>
  <c r="O335" i="17" s="1"/>
  <c r="O347" i="17" s="1"/>
  <c r="O359" i="17" s="1"/>
  <c r="O371" i="17" s="1"/>
  <c r="O383" i="17" s="1"/>
  <c r="O395" i="17" s="1"/>
  <c r="O407" i="17" s="1"/>
  <c r="O419" i="17" s="1"/>
  <c r="O431" i="17" s="1"/>
  <c r="O443" i="17" s="1"/>
  <c r="O455" i="17" s="1"/>
  <c r="O467" i="17" s="1"/>
  <c r="O479" i="17" s="1"/>
  <c r="O491" i="17" s="1"/>
  <c r="O503" i="17" s="1"/>
  <c r="O515" i="17" s="1"/>
  <c r="O527" i="17" s="1"/>
  <c r="O539" i="17" s="1"/>
  <c r="O551" i="17" s="1"/>
  <c r="O563" i="17" s="1"/>
  <c r="O575" i="17" s="1"/>
  <c r="O587" i="17" s="1"/>
  <c r="O599" i="17" s="1"/>
  <c r="O611" i="17" s="1"/>
  <c r="O623" i="17" s="1"/>
  <c r="O635" i="17" s="1"/>
  <c r="O647" i="17" s="1"/>
  <c r="O659" i="17" s="1"/>
  <c r="O671" i="17" s="1"/>
  <c r="O683" i="17" s="1"/>
  <c r="O695" i="17" s="1"/>
  <c r="O707" i="17" s="1"/>
  <c r="O719" i="17" s="1"/>
  <c r="O731" i="17" s="1"/>
  <c r="O743" i="17" s="1"/>
  <c r="O755" i="17" s="1"/>
  <c r="P47" i="17"/>
  <c r="P59" i="17" s="1"/>
  <c r="P71" i="17" s="1"/>
  <c r="P83" i="17" s="1"/>
  <c r="C48" i="17"/>
  <c r="C60" i="17" s="1"/>
  <c r="C72" i="17" s="1"/>
  <c r="C84" i="17" s="1"/>
  <c r="C96" i="17" s="1"/>
  <c r="C108" i="17" s="1"/>
  <c r="C120" i="17" s="1"/>
  <c r="C132" i="17" s="1"/>
  <c r="C144" i="17" s="1"/>
  <c r="C156" i="17" s="1"/>
  <c r="C168" i="17"/>
  <c r="C180" i="17" s="1"/>
  <c r="C192" i="17" s="1"/>
  <c r="C204" i="17" s="1"/>
  <c r="C216" i="17" s="1"/>
  <c r="C228" i="17" s="1"/>
  <c r="C240" i="17" s="1"/>
  <c r="C252" i="17" s="1"/>
  <c r="C264" i="17" s="1"/>
  <c r="C276" i="17" s="1"/>
  <c r="C288" i="17" s="1"/>
  <c r="C300" i="17"/>
  <c r="C312" i="17" s="1"/>
  <c r="C324" i="17" s="1"/>
  <c r="C336" i="17" s="1"/>
  <c r="C348" i="17" s="1"/>
  <c r="C360" i="17" s="1"/>
  <c r="C372" i="17" s="1"/>
  <c r="C384" i="17" s="1"/>
  <c r="C396" i="17" s="1"/>
  <c r="C408" i="17" s="1"/>
  <c r="C420" i="17" s="1"/>
  <c r="C432" i="17" s="1"/>
  <c r="C444" i="17" s="1"/>
  <c r="C456" i="17" s="1"/>
  <c r="C468" i="17" s="1"/>
  <c r="C480" i="17" s="1"/>
  <c r="C492" i="17" s="1"/>
  <c r="C504" i="17" s="1"/>
  <c r="C516" i="17" s="1"/>
  <c r="C528" i="17" s="1"/>
  <c r="C540" i="17" s="1"/>
  <c r="C552" i="17" s="1"/>
  <c r="C564" i="17" s="1"/>
  <c r="C576" i="17" s="1"/>
  <c r="C588" i="17" s="1"/>
  <c r="C600" i="17"/>
  <c r="C612" i="17" s="1"/>
  <c r="C624" i="17" s="1"/>
  <c r="C636" i="17" s="1"/>
  <c r="C648" i="17" s="1"/>
  <c r="C660" i="17" s="1"/>
  <c r="C672" i="17" s="1"/>
  <c r="C684" i="17" s="1"/>
  <c r="C696" i="17" s="1"/>
  <c r="C708" i="17" s="1"/>
  <c r="C720" i="17" s="1"/>
  <c r="C732" i="17" s="1"/>
  <c r="C744" i="17" s="1"/>
  <c r="O48" i="17"/>
  <c r="O60" i="17"/>
  <c r="O72" i="17" s="1"/>
  <c r="O84" i="17" s="1"/>
  <c r="O96" i="17" s="1"/>
  <c r="O108" i="17" s="1"/>
  <c r="O120" i="17" s="1"/>
  <c r="O132" i="17" s="1"/>
  <c r="O144" i="17" s="1"/>
  <c r="O156" i="17" s="1"/>
  <c r="O168" i="17" s="1"/>
  <c r="O180" i="17" s="1"/>
  <c r="O192" i="17" s="1"/>
  <c r="O204" i="17" s="1"/>
  <c r="O216" i="17" s="1"/>
  <c r="O228" i="17" s="1"/>
  <c r="O240" i="17" s="1"/>
  <c r="O252" i="17" s="1"/>
  <c r="O264" i="17" s="1"/>
  <c r="O276" i="17" s="1"/>
  <c r="O288" i="17" s="1"/>
  <c r="O300" i="17" s="1"/>
  <c r="O312" i="17" s="1"/>
  <c r="O324" i="17" s="1"/>
  <c r="O336" i="17" s="1"/>
  <c r="O348" i="17" s="1"/>
  <c r="O360" i="17" s="1"/>
  <c r="O372" i="17" s="1"/>
  <c r="O384" i="17" s="1"/>
  <c r="O396" i="17" s="1"/>
  <c r="O408" i="17" s="1"/>
  <c r="O420" i="17"/>
  <c r="O432" i="17" s="1"/>
  <c r="O444" i="17" s="1"/>
  <c r="O456" i="17" s="1"/>
  <c r="O468" i="17" s="1"/>
  <c r="O480" i="17" s="1"/>
  <c r="O492" i="17" s="1"/>
  <c r="O504" i="17" s="1"/>
  <c r="O516" i="17" s="1"/>
  <c r="O528" i="17" s="1"/>
  <c r="O540" i="17" s="1"/>
  <c r="O552" i="17" s="1"/>
  <c r="O564" i="17" s="1"/>
  <c r="O576" i="17" s="1"/>
  <c r="O588" i="17" s="1"/>
  <c r="O600" i="17" s="1"/>
  <c r="O612" i="17" s="1"/>
  <c r="O624" i="17" s="1"/>
  <c r="O636" i="17" s="1"/>
  <c r="O648" i="17" s="1"/>
  <c r="O660" i="17" s="1"/>
  <c r="O672" i="17" s="1"/>
  <c r="O684" i="17" s="1"/>
  <c r="O696" i="17" s="1"/>
  <c r="O708" i="17" s="1"/>
  <c r="O720" i="17" s="1"/>
  <c r="O732" i="17" s="1"/>
  <c r="O744" i="17" s="1"/>
  <c r="D49" i="17"/>
  <c r="D61" i="17" s="1"/>
  <c r="D73" i="17"/>
  <c r="D85" i="17" s="1"/>
  <c r="D97" i="17" s="1"/>
  <c r="D109" i="17" s="1"/>
  <c r="D121" i="17" s="1"/>
  <c r="D133" i="17" s="1"/>
  <c r="D145" i="17"/>
  <c r="D157" i="17" s="1"/>
  <c r="D169" i="17" s="1"/>
  <c r="D181" i="17" s="1"/>
  <c r="D193" i="17" s="1"/>
  <c r="D205" i="17" s="1"/>
  <c r="D217" i="17" s="1"/>
  <c r="D229" i="17" s="1"/>
  <c r="D241" i="17" s="1"/>
  <c r="D253" i="17" s="1"/>
  <c r="D265" i="17" s="1"/>
  <c r="D277" i="17" s="1"/>
  <c r="D289" i="17" s="1"/>
  <c r="D301" i="17" s="1"/>
  <c r="D313" i="17" s="1"/>
  <c r="D325" i="17" s="1"/>
  <c r="D337" i="17" s="1"/>
  <c r="D349" i="17" s="1"/>
  <c r="D361" i="17" s="1"/>
  <c r="D373" i="17" s="1"/>
  <c r="D385" i="17" s="1"/>
  <c r="D397" i="17" s="1"/>
  <c r="D409" i="17" s="1"/>
  <c r="D421" i="17" s="1"/>
  <c r="D433" i="17" s="1"/>
  <c r="D445" i="17" s="1"/>
  <c r="D457" i="17" s="1"/>
  <c r="D469" i="17" s="1"/>
  <c r="D481" i="17" s="1"/>
  <c r="D493" i="17" s="1"/>
  <c r="D505" i="17" s="1"/>
  <c r="D517" i="17" s="1"/>
  <c r="D529" i="17" s="1"/>
  <c r="D541" i="17" s="1"/>
  <c r="D553" i="17" s="1"/>
  <c r="D565" i="17" s="1"/>
  <c r="D577" i="17" s="1"/>
  <c r="D589" i="17" s="1"/>
  <c r="D601" i="17" s="1"/>
  <c r="D613" i="17" s="1"/>
  <c r="D625" i="17" s="1"/>
  <c r="D637" i="17" s="1"/>
  <c r="D649" i="17" s="1"/>
  <c r="D661" i="17" s="1"/>
  <c r="D673" i="17" s="1"/>
  <c r="D685" i="17" s="1"/>
  <c r="D697" i="17" s="1"/>
  <c r="D709" i="17" s="1"/>
  <c r="D721" i="17" s="1"/>
  <c r="D733" i="17" s="1"/>
  <c r="D745" i="17" s="1"/>
  <c r="P62" i="17"/>
  <c r="P74" i="17" s="1"/>
  <c r="P86" i="17" s="1"/>
  <c r="P98" i="17" s="1"/>
  <c r="P110" i="17" s="1"/>
  <c r="P122" i="17" s="1"/>
  <c r="P134" i="17" s="1"/>
  <c r="P146" i="17" s="1"/>
  <c r="P158" i="17" s="1"/>
  <c r="P170" i="17" s="1"/>
  <c r="P182" i="17" s="1"/>
  <c r="P194" i="17" s="1"/>
  <c r="P206" i="17" s="1"/>
  <c r="P218" i="17" s="1"/>
  <c r="P230" i="17" s="1"/>
  <c r="P242" i="17" s="1"/>
  <c r="P254" i="17" s="1"/>
  <c r="P266" i="17" s="1"/>
  <c r="P278" i="17" s="1"/>
  <c r="P290" i="17" s="1"/>
  <c r="P302" i="17" s="1"/>
  <c r="P314" i="17" s="1"/>
  <c r="P326" i="17" s="1"/>
  <c r="P338" i="17" s="1"/>
  <c r="P350" i="17" s="1"/>
  <c r="P362" i="17" s="1"/>
  <c r="P374" i="17" s="1"/>
  <c r="P386" i="17" s="1"/>
  <c r="P398" i="17" s="1"/>
  <c r="P410" i="17" s="1"/>
  <c r="P422" i="17" s="1"/>
  <c r="P434" i="17" s="1"/>
  <c r="P446" i="17" s="1"/>
  <c r="P458" i="17" s="1"/>
  <c r="P470" i="17" s="1"/>
  <c r="P482" i="17" s="1"/>
  <c r="P494" i="17" s="1"/>
  <c r="P506" i="17" s="1"/>
  <c r="P518" i="17" s="1"/>
  <c r="P530" i="17" s="1"/>
  <c r="P542" i="17" s="1"/>
  <c r="P554" i="17" s="1"/>
  <c r="P566" i="17" s="1"/>
  <c r="P578" i="17" s="1"/>
  <c r="P590" i="17" s="1"/>
  <c r="P602" i="17" s="1"/>
  <c r="P614" i="17" s="1"/>
  <c r="P626" i="17" s="1"/>
  <c r="P638" i="17" s="1"/>
  <c r="P650" i="17" s="1"/>
  <c r="P662" i="17" s="1"/>
  <c r="P674" i="17" s="1"/>
  <c r="P686" i="17" s="1"/>
  <c r="P698" i="17" s="1"/>
  <c r="P710" i="17" s="1"/>
  <c r="P722" i="17" s="1"/>
  <c r="P734" i="17" s="1"/>
  <c r="P746" i="17" s="1"/>
  <c r="D51" i="17"/>
  <c r="D63" i="17"/>
  <c r="D75" i="17"/>
  <c r="D87" i="17" s="1"/>
  <c r="D99" i="17" s="1"/>
  <c r="D111" i="17" s="1"/>
  <c r="D123" i="17" s="1"/>
  <c r="D135" i="17" s="1"/>
  <c r="D147" i="17" s="1"/>
  <c r="D159" i="17" s="1"/>
  <c r="D171" i="17" s="1"/>
  <c r="D183" i="17" s="1"/>
  <c r="D195" i="17" s="1"/>
  <c r="D207" i="17" s="1"/>
  <c r="D219" i="17" s="1"/>
  <c r="D231" i="17" s="1"/>
  <c r="D243" i="17" s="1"/>
  <c r="D255" i="17" s="1"/>
  <c r="D267" i="17" s="1"/>
  <c r="D279" i="17" s="1"/>
  <c r="D291" i="17" s="1"/>
  <c r="D303" i="17" s="1"/>
  <c r="D315" i="17" s="1"/>
  <c r="D327" i="17" s="1"/>
  <c r="D339" i="17" s="1"/>
  <c r="D351" i="17" s="1"/>
  <c r="D363" i="17" s="1"/>
  <c r="D375" i="17" s="1"/>
  <c r="D387" i="17" s="1"/>
  <c r="D399" i="17" s="1"/>
  <c r="D411" i="17" s="1"/>
  <c r="D423" i="17" s="1"/>
  <c r="D435" i="17"/>
  <c r="D447" i="17" s="1"/>
  <c r="D459" i="17" s="1"/>
  <c r="D471" i="17" s="1"/>
  <c r="D483" i="17" s="1"/>
  <c r="D495" i="17" s="1"/>
  <c r="D507" i="17" s="1"/>
  <c r="D519" i="17" s="1"/>
  <c r="D531" i="17" s="1"/>
  <c r="D543" i="17" s="1"/>
  <c r="D555" i="17" s="1"/>
  <c r="D567" i="17" s="1"/>
  <c r="D579" i="17" s="1"/>
  <c r="D591" i="17" s="1"/>
  <c r="D603" i="17" s="1"/>
  <c r="D615" i="17" s="1"/>
  <c r="D627" i="17" s="1"/>
  <c r="D639" i="17" s="1"/>
  <c r="D651" i="17" s="1"/>
  <c r="D663" i="17" s="1"/>
  <c r="D675" i="17" s="1"/>
  <c r="D687" i="17" s="1"/>
  <c r="D699" i="17" s="1"/>
  <c r="D711" i="17" s="1"/>
  <c r="D723" i="17" s="1"/>
  <c r="D735" i="17" s="1"/>
  <c r="D747" i="17" s="1"/>
  <c r="D64" i="17"/>
  <c r="O52" i="17"/>
  <c r="O64" i="17" s="1"/>
  <c r="O76" i="17" s="1"/>
  <c r="O88" i="17" s="1"/>
  <c r="O100" i="17" s="1"/>
  <c r="O112" i="17" s="1"/>
  <c r="O124" i="17" s="1"/>
  <c r="O136" i="17" s="1"/>
  <c r="O148" i="17" s="1"/>
  <c r="O160" i="17" s="1"/>
  <c r="O172" i="17" s="1"/>
  <c r="O184" i="17" s="1"/>
  <c r="C54" i="17"/>
  <c r="C66" i="17" s="1"/>
  <c r="C78" i="17" s="1"/>
  <c r="C90" i="17" s="1"/>
  <c r="C102" i="17" s="1"/>
  <c r="C114" i="17" s="1"/>
  <c r="C126" i="17" s="1"/>
  <c r="C138" i="17" s="1"/>
  <c r="C150" i="17" s="1"/>
  <c r="C162" i="17" s="1"/>
  <c r="C174" i="17" s="1"/>
  <c r="C186" i="17" s="1"/>
  <c r="C198" i="17" s="1"/>
  <c r="C210" i="17" s="1"/>
  <c r="C222" i="17" s="1"/>
  <c r="C234" i="17" s="1"/>
  <c r="C246" i="17" s="1"/>
  <c r="C258" i="17" s="1"/>
  <c r="C270" i="17" s="1"/>
  <c r="C282" i="17" s="1"/>
  <c r="D54" i="17"/>
  <c r="D66" i="17" s="1"/>
  <c r="D78" i="17" s="1"/>
  <c r="D90" i="17"/>
  <c r="D102" i="17" s="1"/>
  <c r="D114" i="17" s="1"/>
  <c r="D126" i="17" s="1"/>
  <c r="D138" i="17" s="1"/>
  <c r="D150" i="17" s="1"/>
  <c r="D162" i="17" s="1"/>
  <c r="P174" i="17"/>
  <c r="P186" i="17" s="1"/>
  <c r="P198" i="17" s="1"/>
  <c r="P210" i="17" s="1"/>
  <c r="P222" i="17" s="1"/>
  <c r="P234" i="17" s="1"/>
  <c r="P246" i="17" s="1"/>
  <c r="P258" i="17" s="1"/>
  <c r="P270" i="17" s="1"/>
  <c r="P282" i="17" s="1"/>
  <c r="P294" i="17" s="1"/>
  <c r="P306" i="17" s="1"/>
  <c r="P318" i="17" s="1"/>
  <c r="P330" i="17" s="1"/>
  <c r="P342" i="17" s="1"/>
  <c r="P354" i="17" s="1"/>
  <c r="P366" i="17" s="1"/>
  <c r="P378" i="17" s="1"/>
  <c r="P390" i="17" s="1"/>
  <c r="P402" i="17" s="1"/>
  <c r="P414" i="17" s="1"/>
  <c r="P426" i="17" s="1"/>
  <c r="P438" i="17" s="1"/>
  <c r="P450" i="17" s="1"/>
  <c r="P462" i="17" s="1"/>
  <c r="P474" i="17" s="1"/>
  <c r="P486" i="17" s="1"/>
  <c r="P498" i="17"/>
  <c r="P510" i="17" s="1"/>
  <c r="P522" i="17" s="1"/>
  <c r="P534" i="17" s="1"/>
  <c r="P546" i="17" s="1"/>
  <c r="P558" i="17" s="1"/>
  <c r="P570" i="17" s="1"/>
  <c r="P582" i="17" s="1"/>
  <c r="P594" i="17" s="1"/>
  <c r="P606" i="17" s="1"/>
  <c r="P618" i="17" s="1"/>
  <c r="P630" i="17" s="1"/>
  <c r="P642" i="17" s="1"/>
  <c r="P654" i="17" s="1"/>
  <c r="P666" i="17" s="1"/>
  <c r="P678" i="17" s="1"/>
  <c r="P690" i="17" s="1"/>
  <c r="P702" i="17" s="1"/>
  <c r="P714" i="17" s="1"/>
  <c r="P726" i="17" s="1"/>
  <c r="P738" i="17" s="1"/>
  <c r="P750" i="17" s="1"/>
  <c r="C55" i="17"/>
  <c r="C67" i="17" s="1"/>
  <c r="C79" i="17" s="1"/>
  <c r="C91" i="17" s="1"/>
  <c r="C103" i="17" s="1"/>
  <c r="C115" i="17" s="1"/>
  <c r="C127" i="17" s="1"/>
  <c r="C139" i="17" s="1"/>
  <c r="C151" i="17" s="1"/>
  <c r="C163" i="17" s="1"/>
  <c r="C175" i="17" s="1"/>
  <c r="C187" i="17" s="1"/>
  <c r="O55" i="17"/>
  <c r="O67" i="17" s="1"/>
  <c r="O79" i="17" s="1"/>
  <c r="O91" i="17" s="1"/>
  <c r="O103" i="17" s="1"/>
  <c r="O115" i="17" s="1"/>
  <c r="O127" i="17"/>
  <c r="O139" i="17" s="1"/>
  <c r="O151" i="17" s="1"/>
  <c r="O163" i="17" s="1"/>
  <c r="O175" i="17" s="1"/>
  <c r="O187" i="17" s="1"/>
  <c r="O199" i="17" s="1"/>
  <c r="O211" i="17" s="1"/>
  <c r="O223" i="17" s="1"/>
  <c r="O235" i="17" s="1"/>
  <c r="O247" i="17"/>
  <c r="O259" i="17" s="1"/>
  <c r="O271" i="17" s="1"/>
  <c r="O283" i="17" s="1"/>
  <c r="O295" i="17" s="1"/>
  <c r="O307" i="17" s="1"/>
  <c r="O319" i="17" s="1"/>
  <c r="O331" i="17" s="1"/>
  <c r="O343" i="17" s="1"/>
  <c r="O355" i="17" s="1"/>
  <c r="O367" i="17" s="1"/>
  <c r="O379" i="17" s="1"/>
  <c r="O391" i="17" s="1"/>
  <c r="O403" i="17" s="1"/>
  <c r="O415" i="17" s="1"/>
  <c r="O427" i="17" s="1"/>
  <c r="O439" i="17" s="1"/>
  <c r="O451" i="17" s="1"/>
  <c r="O463" i="17" s="1"/>
  <c r="O475" i="17" s="1"/>
  <c r="O487" i="17" s="1"/>
  <c r="O499" i="17" s="1"/>
  <c r="O511" i="17" s="1"/>
  <c r="O523" i="17" s="1"/>
  <c r="O535" i="17" s="1"/>
  <c r="O547" i="17" s="1"/>
  <c r="O559" i="17" s="1"/>
  <c r="O571" i="17" s="1"/>
  <c r="O583" i="17" s="1"/>
  <c r="O595" i="17" s="1"/>
  <c r="O607" i="17" s="1"/>
  <c r="O619" i="17" s="1"/>
  <c r="O631" i="17" s="1"/>
  <c r="O643" i="17" s="1"/>
  <c r="O655" i="17" s="1"/>
  <c r="O667" i="17" s="1"/>
  <c r="O679" i="17" s="1"/>
  <c r="O691" i="17" s="1"/>
  <c r="O703" i="17" s="1"/>
  <c r="O715" i="17" s="1"/>
  <c r="O727" i="17" s="1"/>
  <c r="O739" i="17" s="1"/>
  <c r="O751" i="17" s="1"/>
  <c r="D104" i="17"/>
  <c r="D116" i="17" s="1"/>
  <c r="D128" i="17" s="1"/>
  <c r="D140" i="17" s="1"/>
  <c r="D152" i="17" s="1"/>
  <c r="D164" i="17" s="1"/>
  <c r="D176" i="17" s="1"/>
  <c r="D188" i="17" s="1"/>
  <c r="D200" i="17" s="1"/>
  <c r="D212" i="17"/>
  <c r="D224" i="17" s="1"/>
  <c r="D236" i="17" s="1"/>
  <c r="D248" i="17" s="1"/>
  <c r="D260" i="17" s="1"/>
  <c r="D272" i="17" s="1"/>
  <c r="D284" i="17" s="1"/>
  <c r="D296" i="17" s="1"/>
  <c r="D308" i="17" s="1"/>
  <c r="D320" i="17" s="1"/>
  <c r="D332" i="17" s="1"/>
  <c r="D344" i="17" s="1"/>
  <c r="D356" i="17" s="1"/>
  <c r="D368" i="17" s="1"/>
  <c r="D380" i="17" s="1"/>
  <c r="D392" i="17" s="1"/>
  <c r="D404" i="17" s="1"/>
  <c r="D416" i="17" s="1"/>
  <c r="D428" i="17" s="1"/>
  <c r="D440" i="17" s="1"/>
  <c r="D452" i="17" s="1"/>
  <c r="D464" i="17" s="1"/>
  <c r="D476" i="17" s="1"/>
  <c r="D488" i="17" s="1"/>
  <c r="D500" i="17" s="1"/>
  <c r="D512" i="17" s="1"/>
  <c r="D524" i="17" s="1"/>
  <c r="D536" i="17" s="1"/>
  <c r="D548" i="17" s="1"/>
  <c r="D560" i="17" s="1"/>
  <c r="D572" i="17" s="1"/>
  <c r="D584" i="17" s="1"/>
  <c r="D596" i="17" s="1"/>
  <c r="D608" i="17" s="1"/>
  <c r="D620" i="17" s="1"/>
  <c r="D632" i="17" s="1"/>
  <c r="D644" i="17" s="1"/>
  <c r="D656" i="17" s="1"/>
  <c r="D668" i="17" s="1"/>
  <c r="D680" i="17" s="1"/>
  <c r="D692" i="17" s="1"/>
  <c r="D704" i="17" s="1"/>
  <c r="D716" i="17" s="1"/>
  <c r="D728" i="17" s="1"/>
  <c r="D740" i="17" s="1"/>
  <c r="D752" i="17" s="1"/>
  <c r="P56" i="17"/>
  <c r="P68" i="17" s="1"/>
  <c r="O69" i="17"/>
  <c r="O81" i="17" s="1"/>
  <c r="O93" i="17" s="1"/>
  <c r="O105" i="17"/>
  <c r="O117" i="17" s="1"/>
  <c r="O129" i="17" s="1"/>
  <c r="O141" i="17" s="1"/>
  <c r="O153" i="17" s="1"/>
  <c r="O165" i="17" s="1"/>
  <c r="O177" i="17" s="1"/>
  <c r="O189" i="17" s="1"/>
  <c r="O201" i="17" s="1"/>
  <c r="O213" i="17"/>
  <c r="O225" i="17" s="1"/>
  <c r="O237" i="17" s="1"/>
  <c r="O249" i="17" s="1"/>
  <c r="O261" i="17" s="1"/>
  <c r="O273" i="17" s="1"/>
  <c r="O285" i="17" s="1"/>
  <c r="O297" i="17" s="1"/>
  <c r="O309" i="17" s="1"/>
  <c r="O321" i="17" s="1"/>
  <c r="O333" i="17" s="1"/>
  <c r="O345" i="17" s="1"/>
  <c r="O357" i="17" s="1"/>
  <c r="O369" i="17" s="1"/>
  <c r="O381" i="17" s="1"/>
  <c r="O393" i="17" s="1"/>
  <c r="O405" i="17" s="1"/>
  <c r="O417" i="17" s="1"/>
  <c r="O429" i="17" s="1"/>
  <c r="O441" i="17" s="1"/>
  <c r="O453" i="17" s="1"/>
  <c r="O465" i="17" s="1"/>
  <c r="O477" i="17" s="1"/>
  <c r="O489" i="17" s="1"/>
  <c r="O501" i="17" s="1"/>
  <c r="O513" i="17" s="1"/>
  <c r="O525" i="17" s="1"/>
  <c r="O537" i="17"/>
  <c r="O549" i="17" s="1"/>
  <c r="O561" i="17" s="1"/>
  <c r="O573" i="17" s="1"/>
  <c r="O585" i="17" s="1"/>
  <c r="O597" i="17" s="1"/>
  <c r="O609" i="17" s="1"/>
  <c r="O621" i="17" s="1"/>
  <c r="O633" i="17" s="1"/>
  <c r="O645" i="17" s="1"/>
  <c r="O657" i="17" s="1"/>
  <c r="O669" i="17" s="1"/>
  <c r="O681" i="17" s="1"/>
  <c r="O693" i="17" s="1"/>
  <c r="O705" i="17" s="1"/>
  <c r="O717" i="17" s="1"/>
  <c r="O729" i="17" s="1"/>
  <c r="O741" i="17" s="1"/>
  <c r="O753" i="17" s="1"/>
  <c r="P57" i="17"/>
  <c r="P69" i="17" s="1"/>
  <c r="P81" i="17" s="1"/>
  <c r="P93" i="17" s="1"/>
  <c r="C58" i="17"/>
  <c r="C70" i="17" s="1"/>
  <c r="C82" i="17" s="1"/>
  <c r="C94" i="17"/>
  <c r="C106" i="17" s="1"/>
  <c r="C118" i="17" s="1"/>
  <c r="C130" i="17" s="1"/>
  <c r="C142" i="17" s="1"/>
  <c r="P214" i="17"/>
  <c r="P226" i="17" s="1"/>
  <c r="P238" i="17" s="1"/>
  <c r="P250" i="17" s="1"/>
  <c r="P262" i="17" s="1"/>
  <c r="P274" i="17" s="1"/>
  <c r="P286" i="17" s="1"/>
  <c r="P298" i="17" s="1"/>
  <c r="P310" i="17" s="1"/>
  <c r="P322" i="17" s="1"/>
  <c r="P334" i="17" s="1"/>
  <c r="P346" i="17" s="1"/>
  <c r="P358" i="17" s="1"/>
  <c r="P370" i="17" s="1"/>
  <c r="P382" i="17" s="1"/>
  <c r="P394" i="17" s="1"/>
  <c r="P406" i="17" s="1"/>
  <c r="P418" i="17" s="1"/>
  <c r="P430" i="17" s="1"/>
  <c r="P442" i="17" s="1"/>
  <c r="P454" i="17" s="1"/>
  <c r="P466" i="17" s="1"/>
  <c r="P478" i="17" s="1"/>
  <c r="P490" i="17" s="1"/>
  <c r="P502" i="17" s="1"/>
  <c r="P514" i="17" s="1"/>
  <c r="P526" i="17" s="1"/>
  <c r="P538" i="17"/>
  <c r="P550" i="17" s="1"/>
  <c r="P562" i="17" s="1"/>
  <c r="P574" i="17" s="1"/>
  <c r="P586" i="17" s="1"/>
  <c r="P598" i="17" s="1"/>
  <c r="P610" i="17" s="1"/>
  <c r="P622" i="17" s="1"/>
  <c r="P634" i="17" s="1"/>
  <c r="P646" i="17" s="1"/>
  <c r="P658" i="17" s="1"/>
  <c r="P670" i="17" s="1"/>
  <c r="P682" i="17" s="1"/>
  <c r="P694" i="17" s="1"/>
  <c r="P706" i="17" s="1"/>
  <c r="P718" i="17" s="1"/>
  <c r="P730" i="17" s="1"/>
  <c r="P742" i="17" s="1"/>
  <c r="P754" i="17" s="1"/>
  <c r="C59" i="17"/>
  <c r="C71" i="17" s="1"/>
  <c r="C83" i="17"/>
  <c r="C95" i="17" s="1"/>
  <c r="C107" i="17" s="1"/>
  <c r="C119" i="17"/>
  <c r="C131" i="17" s="1"/>
  <c r="C143" i="17" s="1"/>
  <c r="C155" i="17" s="1"/>
  <c r="C167" i="17" s="1"/>
  <c r="C179" i="17" s="1"/>
  <c r="C191" i="17" s="1"/>
  <c r="C203" i="17" s="1"/>
  <c r="C215" i="17" s="1"/>
  <c r="C227" i="17"/>
  <c r="C239" i="17" s="1"/>
  <c r="C251" i="17" s="1"/>
  <c r="C263" i="17" s="1"/>
  <c r="C275" i="17" s="1"/>
  <c r="C287" i="17" s="1"/>
  <c r="C299" i="17" s="1"/>
  <c r="C311" i="17" s="1"/>
  <c r="C323" i="17" s="1"/>
  <c r="C335" i="17" s="1"/>
  <c r="C347" i="17" s="1"/>
  <c r="C359" i="17" s="1"/>
  <c r="C371" i="17" s="1"/>
  <c r="C383" i="17" s="1"/>
  <c r="C395" i="17" s="1"/>
  <c r="C407" i="17" s="1"/>
  <c r="C419" i="17" s="1"/>
  <c r="C431" i="17" s="1"/>
  <c r="C443" i="17" s="1"/>
  <c r="C455" i="17" s="1"/>
  <c r="C467" i="17" s="1"/>
  <c r="C479" i="17" s="1"/>
  <c r="C491" i="17" s="1"/>
  <c r="C503" i="17" s="1"/>
  <c r="C515" i="17" s="1"/>
  <c r="C527" i="17" s="1"/>
  <c r="C539" i="17" s="1"/>
  <c r="C551" i="17" s="1"/>
  <c r="C563" i="17" s="1"/>
  <c r="C575" i="17" s="1"/>
  <c r="C587" i="17" s="1"/>
  <c r="C599" i="17" s="1"/>
  <c r="C611" i="17" s="1"/>
  <c r="C623" i="17" s="1"/>
  <c r="C635" i="17" s="1"/>
  <c r="C647" i="17" s="1"/>
  <c r="C659" i="17" s="1"/>
  <c r="C671" i="17" s="1"/>
  <c r="C683" i="17" s="1"/>
  <c r="C695" i="17" s="1"/>
  <c r="C707" i="17" s="1"/>
  <c r="C719" i="17" s="1"/>
  <c r="C731" i="17" s="1"/>
  <c r="C743" i="17" s="1"/>
  <c r="C755" i="17" s="1"/>
  <c r="C458" i="17"/>
  <c r="C470" i="17" s="1"/>
  <c r="C482" i="17" s="1"/>
  <c r="C494" i="17" s="1"/>
  <c r="C506" i="17" s="1"/>
  <c r="C518" i="17" s="1"/>
  <c r="C530" i="17" s="1"/>
  <c r="C542" i="17" s="1"/>
  <c r="C554" i="17" s="1"/>
  <c r="C566" i="17" s="1"/>
  <c r="C578" i="17" s="1"/>
  <c r="C590" i="17" s="1"/>
  <c r="C602" i="17" s="1"/>
  <c r="C614" i="17" s="1"/>
  <c r="C626" i="17" s="1"/>
  <c r="C638" i="17" s="1"/>
  <c r="C650" i="17" s="1"/>
  <c r="C662" i="17" s="1"/>
  <c r="C674" i="17" s="1"/>
  <c r="C686" i="17" s="1"/>
  <c r="C698" i="17" s="1"/>
  <c r="C710" i="17" s="1"/>
  <c r="C722" i="17" s="1"/>
  <c r="C734" i="17" s="1"/>
  <c r="C746" i="17" s="1"/>
  <c r="P75" i="17"/>
  <c r="P87" i="17" s="1"/>
  <c r="P99" i="17" s="1"/>
  <c r="P111" i="17" s="1"/>
  <c r="P123" i="17" s="1"/>
  <c r="P135" i="17" s="1"/>
  <c r="P147" i="17" s="1"/>
  <c r="P159" i="17" s="1"/>
  <c r="P171" i="17" s="1"/>
  <c r="P183" i="17" s="1"/>
  <c r="P195" i="17" s="1"/>
  <c r="P207" i="17" s="1"/>
  <c r="P219" i="17" s="1"/>
  <c r="P231" i="17" s="1"/>
  <c r="P243" i="17" s="1"/>
  <c r="P255" i="17" s="1"/>
  <c r="P267" i="17" s="1"/>
  <c r="P279" i="17" s="1"/>
  <c r="P291" i="17" s="1"/>
  <c r="P303" i="17" s="1"/>
  <c r="P315" i="17" s="1"/>
  <c r="P327" i="17" s="1"/>
  <c r="P339" i="17" s="1"/>
  <c r="P351" i="17" s="1"/>
  <c r="P363" i="17" s="1"/>
  <c r="P375" i="17" s="1"/>
  <c r="P387" i="17" s="1"/>
  <c r="P399" i="17" s="1"/>
  <c r="P411" i="17" s="1"/>
  <c r="P423" i="17" s="1"/>
  <c r="P435" i="17" s="1"/>
  <c r="P447" i="17" s="1"/>
  <c r="P459" i="17" s="1"/>
  <c r="P471" i="17" s="1"/>
  <c r="P483" i="17" s="1"/>
  <c r="P495" i="17" s="1"/>
  <c r="P507" i="17" s="1"/>
  <c r="P519" i="17" s="1"/>
  <c r="P531" i="17" s="1"/>
  <c r="P543" i="17" s="1"/>
  <c r="P555" i="17" s="1"/>
  <c r="P567" i="17" s="1"/>
  <c r="P579" i="17" s="1"/>
  <c r="P591" i="17" s="1"/>
  <c r="P603" i="17" s="1"/>
  <c r="P615" i="17" s="1"/>
  <c r="P627" i="17" s="1"/>
  <c r="P639" i="17" s="1"/>
  <c r="P651" i="17" s="1"/>
  <c r="P663" i="17" s="1"/>
  <c r="P675" i="17" s="1"/>
  <c r="P687" i="17" s="1"/>
  <c r="P699" i="17" s="1"/>
  <c r="P711" i="17" s="1"/>
  <c r="P723" i="17" s="1"/>
  <c r="P735" i="17" s="1"/>
  <c r="P747" i="17" s="1"/>
  <c r="C65" i="17"/>
  <c r="C77" i="17" s="1"/>
  <c r="C89" i="17" s="1"/>
  <c r="C101" i="17" s="1"/>
  <c r="C113" i="17" s="1"/>
  <c r="C125" i="17" s="1"/>
  <c r="C137" i="17" s="1"/>
  <c r="C149" i="17" s="1"/>
  <c r="C161" i="17" s="1"/>
  <c r="C173" i="17" s="1"/>
  <c r="C185" i="17" s="1"/>
  <c r="C197" i="17" s="1"/>
  <c r="C209" i="17" s="1"/>
  <c r="C221" i="17" s="1"/>
  <c r="C233" i="17" s="1"/>
  <c r="C245" i="17" s="1"/>
  <c r="C257" i="17" s="1"/>
  <c r="C269" i="17" s="1"/>
  <c r="C281" i="17" s="1"/>
  <c r="C293" i="17" s="1"/>
  <c r="C305" i="17" s="1"/>
  <c r="C317" i="17" s="1"/>
  <c r="C329" i="17" s="1"/>
  <c r="C341" i="17" s="1"/>
  <c r="C353" i="17" s="1"/>
  <c r="C365" i="17"/>
  <c r="C377" i="17" s="1"/>
  <c r="C389" i="17" s="1"/>
  <c r="C401" i="17" s="1"/>
  <c r="C413" i="17" s="1"/>
  <c r="C425" i="17" s="1"/>
  <c r="C437" i="17" s="1"/>
  <c r="C449" i="17" s="1"/>
  <c r="C461" i="17" s="1"/>
  <c r="C473" i="17" s="1"/>
  <c r="C485" i="17" s="1"/>
  <c r="C497" i="17" s="1"/>
  <c r="C509" i="17" s="1"/>
  <c r="C521" i="17" s="1"/>
  <c r="C533" i="17" s="1"/>
  <c r="C545" i="17" s="1"/>
  <c r="C557" i="17" s="1"/>
  <c r="C569" i="17" s="1"/>
  <c r="C581" i="17" s="1"/>
  <c r="C593" i="17" s="1"/>
  <c r="C605" i="17" s="1"/>
  <c r="C617" i="17" s="1"/>
  <c r="C629" i="17" s="1"/>
  <c r="C641" i="17" s="1"/>
  <c r="C653" i="17" s="1"/>
  <c r="C665" i="17" s="1"/>
  <c r="C677" i="17" s="1"/>
  <c r="C689" i="17" s="1"/>
  <c r="C701" i="17" s="1"/>
  <c r="C713" i="17" s="1"/>
  <c r="C725" i="17" s="1"/>
  <c r="C737" i="17" s="1"/>
  <c r="C749" i="17" s="1"/>
  <c r="D127" i="17"/>
  <c r="D139" i="17" s="1"/>
  <c r="D151" i="17" s="1"/>
  <c r="D163" i="17"/>
  <c r="D175" i="17" s="1"/>
  <c r="D187" i="17" s="1"/>
  <c r="D199" i="17" s="1"/>
  <c r="D211" i="17" s="1"/>
  <c r="D223" i="17" s="1"/>
  <c r="D235" i="17" s="1"/>
  <c r="D247" i="17" s="1"/>
  <c r="D259" i="17" s="1"/>
  <c r="D271" i="17" s="1"/>
  <c r="D283" i="17" s="1"/>
  <c r="D295" i="17" s="1"/>
  <c r="D307" i="17" s="1"/>
  <c r="D319" i="17" s="1"/>
  <c r="D331" i="17" s="1"/>
  <c r="D343" i="17" s="1"/>
  <c r="D355" i="17" s="1"/>
  <c r="D367" i="17" s="1"/>
  <c r="D379" i="17" s="1"/>
  <c r="D391" i="17" s="1"/>
  <c r="D403" i="17" s="1"/>
  <c r="D415" i="17" s="1"/>
  <c r="D427" i="17" s="1"/>
  <c r="D439" i="17" s="1"/>
  <c r="D451" i="17" s="1"/>
  <c r="D463" i="17" s="1"/>
  <c r="D475" i="17" s="1"/>
  <c r="D487" i="17" s="1"/>
  <c r="D499" i="17" s="1"/>
  <c r="D511" i="17" s="1"/>
  <c r="D523" i="17" s="1"/>
  <c r="D535" i="17" s="1"/>
  <c r="D547" i="17" s="1"/>
  <c r="D559" i="17" s="1"/>
  <c r="D571" i="17" s="1"/>
  <c r="D583" i="17" s="1"/>
  <c r="D595" i="17" s="1"/>
  <c r="D607" i="17" s="1"/>
  <c r="D619" i="17" s="1"/>
  <c r="D631" i="17" s="1"/>
  <c r="D643" i="17" s="1"/>
  <c r="D655" i="17" s="1"/>
  <c r="D667" i="17" s="1"/>
  <c r="D679" i="17" s="1"/>
  <c r="D691" i="17" s="1"/>
  <c r="D703" i="17" s="1"/>
  <c r="D715" i="17" s="1"/>
  <c r="D727" i="17" s="1"/>
  <c r="D739" i="17" s="1"/>
  <c r="D751" i="17" s="1"/>
  <c r="P80" i="17"/>
  <c r="P92" i="17" s="1"/>
  <c r="P104" i="17" s="1"/>
  <c r="P116" i="17" s="1"/>
  <c r="P128" i="17" s="1"/>
  <c r="P140" i="17" s="1"/>
  <c r="P152" i="17" s="1"/>
  <c r="P164" i="17" s="1"/>
  <c r="P176" i="17" s="1"/>
  <c r="P188" i="17" s="1"/>
  <c r="P200" i="17" s="1"/>
  <c r="P212" i="17" s="1"/>
  <c r="P224" i="17" s="1"/>
  <c r="P236" i="17" s="1"/>
  <c r="P248" i="17" s="1"/>
  <c r="P260" i="17" s="1"/>
  <c r="P272" i="17" s="1"/>
  <c r="P284" i="17" s="1"/>
  <c r="P296" i="17" s="1"/>
  <c r="P308" i="17" s="1"/>
  <c r="P320" i="17" s="1"/>
  <c r="P332" i="17" s="1"/>
  <c r="P344" i="17" s="1"/>
  <c r="P356" i="17" s="1"/>
  <c r="P368" i="17" s="1"/>
  <c r="P380" i="17" s="1"/>
  <c r="P392" i="17" s="1"/>
  <c r="P404" i="17" s="1"/>
  <c r="P416" i="17" s="1"/>
  <c r="P428" i="17" s="1"/>
  <c r="P440" i="17"/>
  <c r="P452" i="17" s="1"/>
  <c r="P464" i="17" s="1"/>
  <c r="P476" i="17" s="1"/>
  <c r="P488" i="17" s="1"/>
  <c r="P500" i="17" s="1"/>
  <c r="P512" i="17" s="1"/>
  <c r="P524" i="17" s="1"/>
  <c r="P536" i="17" s="1"/>
  <c r="P548" i="17" s="1"/>
  <c r="P560" i="17" s="1"/>
  <c r="P572" i="17" s="1"/>
  <c r="P584" i="17" s="1"/>
  <c r="P596" i="17" s="1"/>
  <c r="P608" i="17" s="1"/>
  <c r="P620" i="17" s="1"/>
  <c r="P632" i="17" s="1"/>
  <c r="P644" i="17" s="1"/>
  <c r="P656" i="17" s="1"/>
  <c r="P668" i="17" s="1"/>
  <c r="P680" i="17" s="1"/>
  <c r="P692" i="17" s="1"/>
  <c r="P704" i="17" s="1"/>
  <c r="P716" i="17" s="1"/>
  <c r="P728" i="17" s="1"/>
  <c r="P740" i="17" s="1"/>
  <c r="P752" i="17" s="1"/>
  <c r="C81" i="17"/>
  <c r="C93" i="17" s="1"/>
  <c r="C105" i="17" s="1"/>
  <c r="C117" i="17" s="1"/>
  <c r="C129" i="17" s="1"/>
  <c r="C141" i="17" s="1"/>
  <c r="C153" i="17" s="1"/>
  <c r="C165" i="17" s="1"/>
  <c r="C177" i="17" s="1"/>
  <c r="C189" i="17" s="1"/>
  <c r="C201" i="17" s="1"/>
  <c r="C213" i="17" s="1"/>
  <c r="C225" i="17" s="1"/>
  <c r="C237" i="17" s="1"/>
  <c r="C249" i="17" s="1"/>
  <c r="C261" i="17" s="1"/>
  <c r="C273" i="17" s="1"/>
  <c r="C285" i="17" s="1"/>
  <c r="C297" i="17" s="1"/>
  <c r="C309" i="17" s="1"/>
  <c r="C321" i="17" s="1"/>
  <c r="C333" i="17" s="1"/>
  <c r="C345" i="17" s="1"/>
  <c r="C357" i="17" s="1"/>
  <c r="C369" i="17" s="1"/>
  <c r="C381" i="17"/>
  <c r="C393" i="17" s="1"/>
  <c r="C405" i="17" s="1"/>
  <c r="C417" i="17" s="1"/>
  <c r="C429" i="17" s="1"/>
  <c r="C441" i="17" s="1"/>
  <c r="C453" i="17" s="1"/>
  <c r="C465" i="17" s="1"/>
  <c r="C477" i="17" s="1"/>
  <c r="C489" i="17" s="1"/>
  <c r="C501" i="17" s="1"/>
  <c r="C513" i="17" s="1"/>
  <c r="C525" i="17" s="1"/>
  <c r="C537" i="17" s="1"/>
  <c r="C549" i="17" s="1"/>
  <c r="C561" i="17" s="1"/>
  <c r="C573" i="17" s="1"/>
  <c r="C585" i="17" s="1"/>
  <c r="C597" i="17" s="1"/>
  <c r="C609" i="17" s="1"/>
  <c r="C621" i="17" s="1"/>
  <c r="C633" i="17" s="1"/>
  <c r="C645" i="17" s="1"/>
  <c r="C657" i="17" s="1"/>
  <c r="C669" i="17" s="1"/>
  <c r="C681" i="17" s="1"/>
  <c r="C693" i="17"/>
  <c r="C705" i="17" s="1"/>
  <c r="C717" i="17" s="1"/>
  <c r="C729" i="17" s="1"/>
  <c r="C741" i="17" s="1"/>
  <c r="C753" i="17" s="1"/>
  <c r="D119" i="17"/>
  <c r="D131" i="17" s="1"/>
  <c r="D143" i="17" s="1"/>
  <c r="D155" i="17" s="1"/>
  <c r="D167" i="17" s="1"/>
  <c r="D179" i="17" s="1"/>
  <c r="D191" i="17" s="1"/>
  <c r="D203" i="17" s="1"/>
  <c r="D215" i="17"/>
  <c r="D227" i="17" s="1"/>
  <c r="D239" i="17" s="1"/>
  <c r="D251" i="17" s="1"/>
  <c r="D263" i="17" s="1"/>
  <c r="D275" i="17" s="1"/>
  <c r="D287" i="17"/>
  <c r="D299" i="17" s="1"/>
  <c r="D311" i="17" s="1"/>
  <c r="D323" i="17" s="1"/>
  <c r="D335" i="17" s="1"/>
  <c r="D347" i="17" s="1"/>
  <c r="D359" i="17" s="1"/>
  <c r="D371" i="17" s="1"/>
  <c r="D383" i="17" s="1"/>
  <c r="D395" i="17" s="1"/>
  <c r="D407" i="17" s="1"/>
  <c r="D419" i="17" s="1"/>
  <c r="D431" i="17" s="1"/>
  <c r="D443" i="17" s="1"/>
  <c r="D455" i="17" s="1"/>
  <c r="D467" i="17" s="1"/>
  <c r="D479" i="17" s="1"/>
  <c r="D491" i="17" s="1"/>
  <c r="D503" i="17" s="1"/>
  <c r="D515" i="17" s="1"/>
  <c r="D527" i="17" s="1"/>
  <c r="D539" i="17" s="1"/>
  <c r="D551" i="17" s="1"/>
  <c r="D563" i="17" s="1"/>
  <c r="D575" i="17" s="1"/>
  <c r="D587" i="17" s="1"/>
  <c r="D599" i="17" s="1"/>
  <c r="D611" i="17" s="1"/>
  <c r="D623" i="17" s="1"/>
  <c r="D635" i="17" s="1"/>
  <c r="D647" i="17" s="1"/>
  <c r="D659" i="17" s="1"/>
  <c r="D671" i="17" s="1"/>
  <c r="D683" i="17" s="1"/>
  <c r="D695" i="17" s="1"/>
  <c r="D707" i="17" s="1"/>
  <c r="D719" i="17" s="1"/>
  <c r="D731" i="17" s="1"/>
  <c r="D743" i="17" s="1"/>
  <c r="D755" i="17" s="1"/>
  <c r="P95" i="17"/>
  <c r="P107" i="17" s="1"/>
  <c r="P119" i="17" s="1"/>
  <c r="P131" i="17"/>
  <c r="P143" i="17" s="1"/>
  <c r="P155" i="17" s="1"/>
  <c r="P167" i="17" s="1"/>
  <c r="P179" i="17" s="1"/>
  <c r="P191" i="17" s="1"/>
  <c r="P203" i="17"/>
  <c r="P215" i="17" s="1"/>
  <c r="P227" i="17" s="1"/>
  <c r="P239" i="17" s="1"/>
  <c r="P251" i="17" s="1"/>
  <c r="P263" i="17" s="1"/>
  <c r="P275" i="17" s="1"/>
  <c r="P287" i="17"/>
  <c r="P299" i="17" s="1"/>
  <c r="P311" i="17" s="1"/>
  <c r="P323" i="17" s="1"/>
  <c r="P335" i="17" s="1"/>
  <c r="P347" i="17" s="1"/>
  <c r="P359" i="17" s="1"/>
  <c r="P371" i="17" s="1"/>
  <c r="P383" i="17" s="1"/>
  <c r="P395" i="17" s="1"/>
  <c r="P407" i="17" s="1"/>
  <c r="P419" i="17" s="1"/>
  <c r="P431" i="17" s="1"/>
  <c r="P443" i="17" s="1"/>
  <c r="P455" i="17" s="1"/>
  <c r="P467" i="17" s="1"/>
  <c r="P479" i="17" s="1"/>
  <c r="P491" i="17" s="1"/>
  <c r="P503" i="17" s="1"/>
  <c r="P515" i="17" s="1"/>
  <c r="P527" i="17" s="1"/>
  <c r="P539" i="17" s="1"/>
  <c r="P551" i="17" s="1"/>
  <c r="P563" i="17"/>
  <c r="P575" i="17" s="1"/>
  <c r="P587" i="17" s="1"/>
  <c r="P599" i="17" s="1"/>
  <c r="P611" i="17" s="1"/>
  <c r="P623" i="17" s="1"/>
  <c r="P635" i="17" s="1"/>
  <c r="P647" i="17" s="1"/>
  <c r="P659" i="17" s="1"/>
  <c r="P671" i="17" s="1"/>
  <c r="P683" i="17" s="1"/>
  <c r="P695" i="17" s="1"/>
  <c r="P707" i="17" s="1"/>
  <c r="P719" i="17" s="1"/>
  <c r="P731" i="17" s="1"/>
  <c r="P743" i="17" s="1"/>
  <c r="P755" i="17" s="1"/>
  <c r="D76" i="17"/>
  <c r="D88" i="17"/>
  <c r="D100" i="17"/>
  <c r="D112" i="17" s="1"/>
  <c r="D124" i="17"/>
  <c r="D136" i="17" s="1"/>
  <c r="D148" i="17" s="1"/>
  <c r="D160" i="17"/>
  <c r="D172" i="17" s="1"/>
  <c r="D184" i="17" s="1"/>
  <c r="D196" i="17" s="1"/>
  <c r="D208" i="17" s="1"/>
  <c r="D220" i="17" s="1"/>
  <c r="D232" i="17" s="1"/>
  <c r="D244" i="17"/>
  <c r="D256" i="17" s="1"/>
  <c r="D268" i="17" s="1"/>
  <c r="D280" i="17" s="1"/>
  <c r="D292" i="17" s="1"/>
  <c r="D304" i="17" s="1"/>
  <c r="D316" i="17"/>
  <c r="D328" i="17" s="1"/>
  <c r="D340" i="17" s="1"/>
  <c r="D352" i="17" s="1"/>
  <c r="D364" i="17" s="1"/>
  <c r="D376" i="17" s="1"/>
  <c r="D388" i="17" s="1"/>
  <c r="D400" i="17" s="1"/>
  <c r="D412" i="17" s="1"/>
  <c r="D424" i="17" s="1"/>
  <c r="D436" i="17" s="1"/>
  <c r="D448" i="17" s="1"/>
  <c r="D460" i="17" s="1"/>
  <c r="D472" i="17" s="1"/>
  <c r="D484" i="17" s="1"/>
  <c r="D496" i="17" s="1"/>
  <c r="D508" i="17" s="1"/>
  <c r="D520" i="17" s="1"/>
  <c r="D532" i="17" s="1"/>
  <c r="D544" i="17" s="1"/>
  <c r="D556" i="17" s="1"/>
  <c r="D568" i="17" s="1"/>
  <c r="D580" i="17" s="1"/>
  <c r="D592" i="17"/>
  <c r="D604" i="17" s="1"/>
  <c r="D616" i="17" s="1"/>
  <c r="D628" i="17" s="1"/>
  <c r="D640" i="17" s="1"/>
  <c r="D652" i="17" s="1"/>
  <c r="D664" i="17" s="1"/>
  <c r="D676" i="17" s="1"/>
  <c r="D688" i="17" s="1"/>
  <c r="D700" i="17" s="1"/>
  <c r="D712" i="17" s="1"/>
  <c r="D724" i="17" s="1"/>
  <c r="D736" i="17" s="1"/>
  <c r="D748" i="17" s="1"/>
  <c r="O196" i="17"/>
  <c r="O208" i="17" s="1"/>
  <c r="O220" i="17" s="1"/>
  <c r="O232" i="17" s="1"/>
  <c r="O244" i="17" s="1"/>
  <c r="O256" i="17" s="1"/>
  <c r="O268" i="17" s="1"/>
  <c r="O280" i="17" s="1"/>
  <c r="O292" i="17" s="1"/>
  <c r="O304" i="17" s="1"/>
  <c r="O316" i="17" s="1"/>
  <c r="O328" i="17" s="1"/>
  <c r="O340" i="17" s="1"/>
  <c r="O352" i="17" s="1"/>
  <c r="O364" i="17" s="1"/>
  <c r="O376" i="17" s="1"/>
  <c r="O388" i="17" s="1"/>
  <c r="O400" i="17" s="1"/>
  <c r="O412" i="17" s="1"/>
  <c r="O424" i="17" s="1"/>
  <c r="O436" i="17" s="1"/>
  <c r="O448" i="17" s="1"/>
  <c r="O460" i="17" s="1"/>
  <c r="O472" i="17" s="1"/>
  <c r="O484" i="17" s="1"/>
  <c r="O496" i="17" s="1"/>
  <c r="O508" i="17" s="1"/>
  <c r="O520" i="17" s="1"/>
  <c r="O532" i="17" s="1"/>
  <c r="O544" i="17" s="1"/>
  <c r="O556" i="17" s="1"/>
  <c r="O568" i="17" s="1"/>
  <c r="O580" i="17" s="1"/>
  <c r="O592" i="17" s="1"/>
  <c r="O604" i="17" s="1"/>
  <c r="O616" i="17" s="1"/>
  <c r="O628" i="17" s="1"/>
  <c r="O640" i="17" s="1"/>
  <c r="O652" i="17" s="1"/>
  <c r="O664" i="17" s="1"/>
  <c r="O676" i="17" s="1"/>
  <c r="O688" i="17" s="1"/>
  <c r="O700" i="17" s="1"/>
  <c r="O712" i="17" s="1"/>
  <c r="O724" i="17" s="1"/>
  <c r="O736" i="17" s="1"/>
  <c r="O748" i="17" s="1"/>
  <c r="C294" i="17"/>
  <c r="C306" i="17" s="1"/>
  <c r="C318" i="17" s="1"/>
  <c r="C330" i="17" s="1"/>
  <c r="C342" i="17" s="1"/>
  <c r="C354" i="17" s="1"/>
  <c r="C366" i="17" s="1"/>
  <c r="C378" i="17" s="1"/>
  <c r="C390" i="17" s="1"/>
  <c r="C402" i="17" s="1"/>
  <c r="C414" i="17" s="1"/>
  <c r="C426" i="17" s="1"/>
  <c r="C438" i="17" s="1"/>
  <c r="C450" i="17" s="1"/>
  <c r="C462" i="17" s="1"/>
  <c r="C474" i="17" s="1"/>
  <c r="C486" i="17" s="1"/>
  <c r="C498" i="17" s="1"/>
  <c r="C510" i="17" s="1"/>
  <c r="C522" i="17" s="1"/>
  <c r="C534" i="17" s="1"/>
  <c r="C546" i="17" s="1"/>
  <c r="C558" i="17" s="1"/>
  <c r="C570" i="17" s="1"/>
  <c r="C582" i="17" s="1"/>
  <c r="C594" i="17" s="1"/>
  <c r="C606" i="17" s="1"/>
  <c r="C618" i="17" s="1"/>
  <c r="C630" i="17" s="1"/>
  <c r="C642" i="17" s="1"/>
  <c r="C654" i="17" s="1"/>
  <c r="C666" i="17" s="1"/>
  <c r="C678" i="17" s="1"/>
  <c r="C690" i="17" s="1"/>
  <c r="C702" i="17" s="1"/>
  <c r="C714" i="17" s="1"/>
  <c r="C726" i="17" s="1"/>
  <c r="C738" i="17" s="1"/>
  <c r="C750" i="17" s="1"/>
  <c r="D174" i="17"/>
  <c r="D186" i="17" s="1"/>
  <c r="D198" i="17" s="1"/>
  <c r="D210" i="17" s="1"/>
  <c r="D222" i="17" s="1"/>
  <c r="D234" i="17" s="1"/>
  <c r="D246" i="17" s="1"/>
  <c r="D258" i="17" s="1"/>
  <c r="D270" i="17" s="1"/>
  <c r="D282" i="17" s="1"/>
  <c r="D294" i="17" s="1"/>
  <c r="D306" i="17" s="1"/>
  <c r="D318" i="17" s="1"/>
  <c r="D330" i="17" s="1"/>
  <c r="D342" i="17" s="1"/>
  <c r="D354" i="17" s="1"/>
  <c r="D366" i="17" s="1"/>
  <c r="D378" i="17" s="1"/>
  <c r="D390" i="17" s="1"/>
  <c r="D402" i="17" s="1"/>
  <c r="D414" i="17" s="1"/>
  <c r="D426" i="17" s="1"/>
  <c r="D438" i="17"/>
  <c r="D450" i="17" s="1"/>
  <c r="D462" i="17" s="1"/>
  <c r="D474" i="17" s="1"/>
  <c r="D486" i="17" s="1"/>
  <c r="D498" i="17" s="1"/>
  <c r="D510" i="17" s="1"/>
  <c r="D522" i="17" s="1"/>
  <c r="D534" i="17" s="1"/>
  <c r="D546" i="17" s="1"/>
  <c r="D558" i="17" s="1"/>
  <c r="D570" i="17" s="1"/>
  <c r="D582" i="17" s="1"/>
  <c r="D594" i="17" s="1"/>
  <c r="D606" i="17" s="1"/>
  <c r="D618" i="17" s="1"/>
  <c r="D630" i="17" s="1"/>
  <c r="D642" i="17" s="1"/>
  <c r="D654" i="17" s="1"/>
  <c r="D666" i="17" s="1"/>
  <c r="D678" i="17" s="1"/>
  <c r="D690" i="17" s="1"/>
  <c r="D702" i="17" s="1"/>
  <c r="D714" i="17" s="1"/>
  <c r="D726" i="17" s="1"/>
  <c r="D738" i="17" s="1"/>
  <c r="D750" i="17" s="1"/>
  <c r="P105" i="17"/>
  <c r="P117" i="17" s="1"/>
  <c r="P129" i="17" s="1"/>
  <c r="P141" i="17" s="1"/>
  <c r="P153" i="17" s="1"/>
  <c r="P165" i="17" s="1"/>
  <c r="P177" i="17" s="1"/>
  <c r="P189" i="17"/>
  <c r="P201" i="17" s="1"/>
  <c r="P213" i="17" s="1"/>
  <c r="P225" i="17" s="1"/>
  <c r="P237" i="17" s="1"/>
  <c r="P249" i="17" s="1"/>
  <c r="P261" i="17"/>
  <c r="P273" i="17" s="1"/>
  <c r="P285" i="17" s="1"/>
  <c r="P297" i="17" s="1"/>
  <c r="P309" i="17" s="1"/>
  <c r="P321" i="17" s="1"/>
  <c r="P333" i="17" s="1"/>
  <c r="P345" i="17" s="1"/>
  <c r="P357" i="17" s="1"/>
  <c r="P369" i="17" s="1"/>
  <c r="P381" i="17" s="1"/>
  <c r="P393" i="17" s="1"/>
  <c r="P405" i="17" s="1"/>
  <c r="P417" i="17" s="1"/>
  <c r="P429" i="17" s="1"/>
  <c r="P441" i="17" s="1"/>
  <c r="P453" i="17" s="1"/>
  <c r="P465" i="17" s="1"/>
  <c r="P477" i="17" s="1"/>
  <c r="P489" i="17" s="1"/>
  <c r="P501" i="17" s="1"/>
  <c r="P513" i="17" s="1"/>
  <c r="P525" i="17" s="1"/>
  <c r="P537" i="17"/>
  <c r="P549" i="17" s="1"/>
  <c r="P561" i="17" s="1"/>
  <c r="P573" i="17" s="1"/>
  <c r="P585" i="17" s="1"/>
  <c r="P597" i="17" s="1"/>
  <c r="P609" i="17" s="1"/>
  <c r="P621" i="17" s="1"/>
  <c r="P633" i="17" s="1"/>
  <c r="P645" i="17" s="1"/>
  <c r="P657" i="17" s="1"/>
  <c r="P669" i="17" s="1"/>
  <c r="P681" i="17" s="1"/>
  <c r="P693" i="17" s="1"/>
  <c r="P705" i="17" s="1"/>
  <c r="P717" i="17" s="1"/>
  <c r="P729" i="17" s="1"/>
  <c r="P741" i="17" s="1"/>
  <c r="P753" i="17" s="1"/>
  <c r="C199" i="17"/>
  <c r="C211" i="17" s="1"/>
  <c r="C223" i="17" s="1"/>
  <c r="C235" i="17" s="1"/>
  <c r="C247" i="17" s="1"/>
  <c r="C259" i="17" s="1"/>
  <c r="C271" i="17" s="1"/>
  <c r="C283" i="17" s="1"/>
  <c r="C295" i="17" s="1"/>
  <c r="C307" i="17" s="1"/>
  <c r="C319" i="17" s="1"/>
  <c r="C331" i="17" s="1"/>
  <c r="C343" i="17" s="1"/>
  <c r="C355" i="17" s="1"/>
  <c r="C367" i="17" s="1"/>
  <c r="C379" i="17" s="1"/>
  <c r="C391" i="17" s="1"/>
  <c r="C403" i="17" s="1"/>
  <c r="C415" i="17" s="1"/>
  <c r="C427" i="17" s="1"/>
  <c r="C439" i="17" s="1"/>
  <c r="C451" i="17" s="1"/>
  <c r="C463" i="17" s="1"/>
  <c r="C475" i="17" s="1"/>
  <c r="C487" i="17" s="1"/>
  <c r="C499" i="17" s="1"/>
  <c r="C511" i="17" s="1"/>
  <c r="C523" i="17" s="1"/>
  <c r="C535" i="17" s="1"/>
  <c r="C547" i="17" s="1"/>
  <c r="C559" i="17" s="1"/>
  <c r="C571" i="17" s="1"/>
  <c r="C583" i="17" s="1"/>
  <c r="C595" i="17" s="1"/>
  <c r="C607" i="17" s="1"/>
  <c r="C619" i="17" s="1"/>
  <c r="C631" i="17" s="1"/>
  <c r="C643" i="17" s="1"/>
  <c r="C655" i="17" s="1"/>
  <c r="C667" i="17" s="1"/>
  <c r="C679" i="17" s="1"/>
  <c r="C691" i="17" s="1"/>
  <c r="C703" i="17" s="1"/>
  <c r="C715" i="17" s="1"/>
  <c r="C727" i="17" s="1"/>
  <c r="C739" i="17" s="1"/>
  <c r="C751" i="17" s="1"/>
  <c r="P199" i="17"/>
  <c r="P211" i="17" s="1"/>
  <c r="P223" i="17" s="1"/>
  <c r="P235" i="17" s="1"/>
  <c r="P247" i="17" s="1"/>
  <c r="P259" i="17" s="1"/>
  <c r="P271" i="17" s="1"/>
  <c r="P283" i="17"/>
  <c r="P295" i="17" s="1"/>
  <c r="P307" i="17" s="1"/>
  <c r="P319" i="17" s="1"/>
  <c r="P331" i="17" s="1"/>
  <c r="P343" i="17" s="1"/>
  <c r="P355" i="17"/>
  <c r="P367" i="17" s="1"/>
  <c r="P379" i="17" s="1"/>
  <c r="P391" i="17" s="1"/>
  <c r="P403" i="17" s="1"/>
  <c r="P415" i="17" s="1"/>
  <c r="P427" i="17" s="1"/>
  <c r="P439" i="17" s="1"/>
  <c r="P451" i="17" s="1"/>
  <c r="P463" i="17" s="1"/>
  <c r="P475" i="17" s="1"/>
  <c r="P487" i="17" s="1"/>
  <c r="P499" i="17" s="1"/>
  <c r="P511" i="17" s="1"/>
  <c r="P523" i="17" s="1"/>
  <c r="P535" i="17" s="1"/>
  <c r="P547" i="17" s="1"/>
  <c r="P559" i="17" s="1"/>
  <c r="P571" i="17" s="1"/>
  <c r="P583" i="17" s="1"/>
  <c r="P595" i="17" s="1"/>
  <c r="P607" i="17" s="1"/>
  <c r="P619" i="17" s="1"/>
  <c r="P631" i="17"/>
  <c r="P643" i="17" s="1"/>
  <c r="P655" i="17" s="1"/>
  <c r="P667" i="17" s="1"/>
  <c r="P679" i="17" s="1"/>
  <c r="P691" i="17" s="1"/>
  <c r="P703" i="17" s="1"/>
  <c r="P715" i="17" s="1"/>
  <c r="P727" i="17" s="1"/>
  <c r="P739" i="17" s="1"/>
  <c r="P751" i="17" s="1"/>
  <c r="C154" i="17"/>
  <c r="C166" i="17" s="1"/>
  <c r="C178" i="17" s="1"/>
  <c r="C190" i="17" s="1"/>
  <c r="C202" i="17" s="1"/>
  <c r="C214" i="17" s="1"/>
  <c r="C226" i="17" s="1"/>
  <c r="C238" i="17" s="1"/>
  <c r="C250" i="17"/>
  <c r="C262" i="17" s="1"/>
  <c r="C274" i="17" s="1"/>
  <c r="C286" i="17" s="1"/>
  <c r="C298" i="17" s="1"/>
  <c r="C310" i="17" s="1"/>
  <c r="C322" i="17" s="1"/>
  <c r="C334" i="17" s="1"/>
  <c r="C346" i="17" s="1"/>
  <c r="C358" i="17" s="1"/>
  <c r="C370" i="17" s="1"/>
  <c r="C382" i="17" s="1"/>
  <c r="C394" i="17" s="1"/>
  <c r="C406" i="17" s="1"/>
  <c r="C418" i="17" s="1"/>
  <c r="C430" i="17" s="1"/>
  <c r="C442" i="17" s="1"/>
  <c r="C454" i="17" s="1"/>
  <c r="C466" i="17" s="1"/>
  <c r="C478" i="17" s="1"/>
  <c r="C490" i="17" s="1"/>
  <c r="C502" i="17"/>
  <c r="C514" i="17" s="1"/>
  <c r="C526" i="17" s="1"/>
  <c r="C538" i="17" s="1"/>
  <c r="C550" i="17" s="1"/>
  <c r="C562" i="17" s="1"/>
  <c r="C574" i="17" s="1"/>
  <c r="C586" i="17" s="1"/>
  <c r="C598" i="17" s="1"/>
  <c r="C610" i="17" s="1"/>
  <c r="C622" i="17" s="1"/>
  <c r="C634" i="17" s="1"/>
  <c r="C646" i="17" s="1"/>
  <c r="C658" i="17" s="1"/>
  <c r="C670" i="17" s="1"/>
  <c r="C682" i="17" s="1"/>
  <c r="C694" i="17" s="1"/>
  <c r="C706" i="17" s="1"/>
  <c r="C718" i="17" s="1"/>
  <c r="C730" i="17" s="1"/>
  <c r="C742" i="17" s="1"/>
  <c r="C754" i="17" s="1"/>
  <c r="C613" i="17"/>
  <c r="C625" i="17" s="1"/>
  <c r="C637" i="17" s="1"/>
  <c r="C649" i="17" s="1"/>
  <c r="C661" i="17" s="1"/>
  <c r="C673" i="17" s="1"/>
  <c r="C685" i="17" s="1"/>
  <c r="C697" i="17" s="1"/>
  <c r="C709" i="17" s="1"/>
  <c r="C721" i="17"/>
  <c r="C733" i="17" s="1"/>
  <c r="C745" i="17" s="1"/>
  <c r="O686" i="17"/>
  <c r="O698" i="17" s="1"/>
  <c r="O710" i="17" s="1"/>
  <c r="O722" i="17" s="1"/>
  <c r="O734" i="17" s="1"/>
  <c r="O746" i="17" s="1"/>
  <c r="O577" i="17"/>
  <c r="O589" i="17" s="1"/>
  <c r="O601" i="17" s="1"/>
  <c r="O613" i="17" s="1"/>
  <c r="O625" i="17" s="1"/>
  <c r="O637" i="17" s="1"/>
  <c r="O649" i="17" s="1"/>
  <c r="O661" i="17" s="1"/>
  <c r="O673" i="17" s="1"/>
  <c r="O685" i="17"/>
  <c r="O697" i="17" s="1"/>
  <c r="O709" i="17" s="1"/>
  <c r="O721" i="17" s="1"/>
  <c r="O733" i="17" s="1"/>
  <c r="O745" i="17" s="1"/>
  <c r="AJ4" i="2"/>
  <c r="AV4" i="2"/>
  <c r="AV5" i="2"/>
  <c r="AV6" i="2"/>
  <c r="AV7" i="2" s="1"/>
  <c r="AV8" i="2" s="1"/>
  <c r="AV9" i="2"/>
  <c r="AV10" i="2" s="1"/>
  <c r="AV11" i="2" s="1"/>
  <c r="AV12" i="2" s="1"/>
  <c r="AV13" i="2" s="1"/>
  <c r="AV14" i="2" s="1"/>
  <c r="AV15" i="2" s="1"/>
  <c r="AV16" i="2" s="1"/>
  <c r="AV17" i="2" s="1"/>
  <c r="AV18" i="2"/>
  <c r="AV19" i="2" s="1"/>
  <c r="AV20" i="2" s="1"/>
  <c r="AV21" i="2" s="1"/>
  <c r="AV22" i="2" s="1"/>
  <c r="AV23" i="2" s="1"/>
  <c r="AV24" i="2" s="1"/>
  <c r="AV25" i="2" s="1"/>
  <c r="AV26" i="2" s="1"/>
  <c r="AV27" i="2" s="1"/>
  <c r="AV28" i="2" s="1"/>
  <c r="AV29" i="2" s="1"/>
  <c r="AV30" i="2" s="1"/>
  <c r="AV31" i="2" s="1"/>
  <c r="AV32" i="2" s="1"/>
  <c r="AV33" i="2" s="1"/>
  <c r="AV34" i="2" s="1"/>
  <c r="AV35" i="2" s="1"/>
  <c r="AV36" i="2" s="1"/>
  <c r="AV37" i="2" s="1"/>
  <c r="AV38" i="2" s="1"/>
  <c r="AV39" i="2" s="1"/>
  <c r="AV40" i="2" s="1"/>
  <c r="AV41" i="2" s="1"/>
  <c r="AV42" i="2" s="1"/>
  <c r="AV43" i="2" s="1"/>
  <c r="AV44" i="2" s="1"/>
  <c r="AV45" i="2" s="1"/>
  <c r="AV46" i="2" s="1"/>
  <c r="AV47" i="2" s="1"/>
  <c r="AV48" i="2" s="1"/>
  <c r="AV49" i="2" s="1"/>
  <c r="AV50" i="2" s="1"/>
  <c r="AV51" i="2" s="1"/>
  <c r="AV52" i="2" s="1"/>
  <c r="AV53" i="2" s="1"/>
  <c r="AW4" i="2"/>
  <c r="AW5" i="2" s="1"/>
  <c r="AW6" i="2" s="1"/>
  <c r="AW7" i="2" s="1"/>
  <c r="AW8" i="2" s="1"/>
  <c r="AW9" i="2" s="1"/>
  <c r="AW11" i="2" s="1"/>
  <c r="AW12" i="2" s="1"/>
  <c r="AW13" i="2" s="1"/>
  <c r="AW14" i="2" s="1"/>
  <c r="AW15" i="2" s="1"/>
  <c r="AW16" i="2" s="1"/>
  <c r="AW17" i="2" s="1"/>
  <c r="AW18" i="2" s="1"/>
  <c r="AW19" i="2" s="1"/>
  <c r="AW20" i="2" s="1"/>
  <c r="AW21" i="2" s="1"/>
  <c r="AW22" i="2" s="1"/>
  <c r="AJ5" i="2"/>
  <c r="AR5" i="2"/>
  <c r="AR6" i="2"/>
  <c r="AR7" i="2"/>
  <c r="AR8" i="2" s="1"/>
  <c r="AR9" i="2" s="1"/>
  <c r="AR10" i="2" s="1"/>
  <c r="AR11" i="2" s="1"/>
  <c r="AR12" i="2" s="1"/>
  <c r="AR13" i="2" s="1"/>
  <c r="AR14" i="2" s="1"/>
  <c r="AR15" i="2" s="1"/>
  <c r="AR16" i="2" s="1"/>
  <c r="AJ22" i="2"/>
  <c r="AJ6" i="2"/>
  <c r="AV62" i="2"/>
  <c r="AV63" i="2"/>
  <c r="AV64" i="2"/>
  <c r="AV65" i="2" s="1"/>
  <c r="AV66" i="2" s="1"/>
  <c r="AV67" i="2"/>
  <c r="AV68" i="2" s="1"/>
  <c r="AV69" i="2" s="1"/>
  <c r="AV70" i="2" s="1"/>
  <c r="AV71" i="2" s="1"/>
  <c r="AV72" i="2" s="1"/>
  <c r="AV73" i="2" s="1"/>
  <c r="AV74" i="2" s="1"/>
  <c r="AV75" i="2" s="1"/>
  <c r="AV76" i="2" s="1"/>
  <c r="AV77" i="2" s="1"/>
  <c r="AV78" i="2" s="1"/>
  <c r="AV79" i="2" s="1"/>
  <c r="AV80" i="2" s="1"/>
  <c r="AJ7" i="2"/>
  <c r="AM29" i="2"/>
  <c r="D17" i="2" s="1"/>
  <c r="AU17" i="2"/>
  <c r="AU40" i="2"/>
  <c r="AU42" i="2" s="1"/>
  <c r="AU76" i="2" s="1"/>
  <c r="AU77" i="2"/>
  <c r="AU78" i="2" s="1"/>
  <c r="AU79" i="2" s="1"/>
  <c r="AU80" i="2" s="1"/>
  <c r="C32" i="2"/>
  <c r="C33" i="2"/>
  <c r="E31" i="2"/>
  <c r="C6" i="21"/>
  <c r="C7" i="21"/>
  <c r="AK22" i="2"/>
  <c r="D28" i="2"/>
  <c r="AN29" i="2"/>
  <c r="H6" i="21"/>
  <c r="H7" i="21"/>
  <c r="H8" i="21"/>
  <c r="H9" i="21" s="1"/>
  <c r="H10" i="21" s="1"/>
  <c r="H11" i="21"/>
  <c r="H12" i="21" s="1"/>
  <c r="H13" i="21" s="1"/>
  <c r="H14" i="21" s="1"/>
  <c r="H15" i="21" s="1"/>
  <c r="H16" i="21" s="1"/>
  <c r="H17" i="21" s="1"/>
  <c r="H18" i="21" s="1"/>
  <c r="H19" i="21" s="1"/>
  <c r="H20" i="21"/>
  <c r="H21" i="21" s="1"/>
  <c r="H22" i="21" s="1"/>
  <c r="H23" i="21" s="1"/>
  <c r="H24" i="21" s="1"/>
  <c r="H25" i="21" s="1"/>
  <c r="H26" i="21" s="1"/>
  <c r="H27" i="21" s="1"/>
  <c r="H28" i="21" s="1"/>
  <c r="H29" i="21"/>
  <c r="H30" i="21" s="1"/>
  <c r="H31" i="21" s="1"/>
  <c r="H32" i="21" s="1"/>
  <c r="H33" i="21" s="1"/>
  <c r="H34" i="21" s="1"/>
  <c r="H35" i="21" s="1"/>
  <c r="H36" i="21" s="1"/>
  <c r="H37" i="21" s="1"/>
  <c r="H38" i="21" s="1"/>
  <c r="H39" i="21" s="1"/>
  <c r="H40" i="21" s="1"/>
  <c r="H41" i="21" s="1"/>
  <c r="H42" i="21" s="1"/>
  <c r="H43" i="21" s="1"/>
  <c r="H44" i="21" s="1"/>
  <c r="H45" i="21" s="1"/>
  <c r="H46" i="21" s="1"/>
  <c r="H47" i="21" s="1"/>
  <c r="H48" i="21" s="1"/>
  <c r="H49" i="21" s="1"/>
  <c r="H50" i="21" s="1"/>
  <c r="H51" i="21" s="1"/>
  <c r="H52" i="21" s="1"/>
  <c r="H53" i="21" s="1"/>
  <c r="H54" i="21" s="1"/>
  <c r="H55" i="21" s="1"/>
  <c r="H56" i="21"/>
  <c r="H57" i="21" s="1"/>
  <c r="H58" i="21" s="1"/>
  <c r="H59" i="21" s="1"/>
  <c r="H60" i="21" s="1"/>
  <c r="H61" i="21" s="1"/>
  <c r="H62" i="21" s="1"/>
  <c r="H63" i="21" s="1"/>
  <c r="H64" i="21" s="1"/>
  <c r="H65" i="21" s="1"/>
  <c r="H66" i="21" s="1"/>
  <c r="H67" i="21" s="1"/>
  <c r="H68" i="21" s="1"/>
  <c r="H69" i="21" s="1"/>
  <c r="H70" i="21" s="1"/>
  <c r="H71" i="21" s="1"/>
  <c r="H72" i="21" s="1"/>
  <c r="H73" i="21" s="1"/>
  <c r="H74" i="21" s="1"/>
  <c r="H75" i="21" s="1"/>
  <c r="H76" i="21" s="1"/>
  <c r="H77" i="21" s="1"/>
  <c r="H78" i="21" s="1"/>
  <c r="H79" i="21" s="1"/>
  <c r="H80" i="21" s="1"/>
  <c r="H81" i="21" s="1"/>
  <c r="H82" i="21" s="1"/>
  <c r="H83" i="21" s="1"/>
  <c r="H84" i="21" s="1"/>
  <c r="H85" i="21" s="1"/>
  <c r="H86" i="21" s="1"/>
  <c r="H87" i="21" s="1"/>
  <c r="H88" i="21" s="1"/>
  <c r="H89" i="21" s="1"/>
  <c r="H90" i="21" s="1"/>
  <c r="H91" i="21" s="1"/>
  <c r="H92" i="21" s="1"/>
  <c r="H93" i="21" s="1"/>
  <c r="H94" i="21" s="1"/>
  <c r="H95" i="21" s="1"/>
  <c r="H96" i="21" s="1"/>
  <c r="H97" i="21" s="1"/>
  <c r="H98" i="21" s="1"/>
  <c r="H99" i="21" s="1"/>
  <c r="H100" i="21" s="1"/>
  <c r="H101" i="21" s="1"/>
  <c r="H102" i="21" s="1"/>
  <c r="H103" i="21" s="1"/>
  <c r="H104" i="21" s="1"/>
  <c r="H105" i="21" s="1"/>
  <c r="H106" i="21" s="1"/>
  <c r="H107" i="21" s="1"/>
  <c r="H108" i="21" s="1"/>
  <c r="H109" i="21" s="1"/>
  <c r="H110" i="21" s="1"/>
  <c r="H111" i="21" s="1"/>
  <c r="H112" i="21" s="1"/>
  <c r="H113" i="21" s="1"/>
  <c r="H114" i="21" s="1"/>
  <c r="H115" i="21" s="1"/>
  <c r="H116" i="21" s="1"/>
  <c r="H117" i="21" s="1"/>
  <c r="H118" i="21" s="1"/>
  <c r="H119" i="21" s="1"/>
  <c r="H120" i="21" s="1"/>
  <c r="H121" i="21" s="1"/>
  <c r="H122" i="21" s="1"/>
  <c r="H123" i="21" s="1"/>
  <c r="H124" i="21" s="1"/>
  <c r="H125" i="21" s="1"/>
  <c r="H126" i="21" s="1"/>
  <c r="H127" i="21" s="1"/>
  <c r="H128" i="21" s="1"/>
  <c r="H129" i="21" s="1"/>
  <c r="H130" i="21" s="1"/>
  <c r="H131" i="21" s="1"/>
  <c r="H132" i="21" s="1"/>
  <c r="H133" i="21" s="1"/>
  <c r="H134" i="21" s="1"/>
  <c r="H135" i="21" s="1"/>
  <c r="H136" i="21" s="1"/>
  <c r="H137" i="21"/>
  <c r="H138" i="21" s="1"/>
  <c r="H139" i="21" s="1"/>
  <c r="H140" i="21" s="1"/>
  <c r="H141" i="21" s="1"/>
  <c r="H142" i="21" s="1"/>
  <c r="H143" i="21" s="1"/>
  <c r="H144" i="21" s="1"/>
  <c r="H145" i="21" s="1"/>
  <c r="H146" i="21" s="1"/>
  <c r="H147" i="21" s="1"/>
  <c r="H148" i="21" s="1"/>
  <c r="H149" i="21" s="1"/>
  <c r="H150" i="21" s="1"/>
  <c r="H151" i="21" s="1"/>
  <c r="H152" i="21" s="1"/>
  <c r="H153" i="21" s="1"/>
  <c r="H154" i="21" s="1"/>
  <c r="H155" i="21" s="1"/>
  <c r="H156" i="21" s="1"/>
  <c r="H157" i="21" s="1"/>
  <c r="H158" i="21" s="1"/>
  <c r="H159" i="21" s="1"/>
  <c r="H160" i="21" s="1"/>
  <c r="H161" i="21" s="1"/>
  <c r="H162" i="21" s="1"/>
  <c r="H163" i="21" s="1"/>
  <c r="H164" i="21" s="1"/>
  <c r="H165" i="21" s="1"/>
  <c r="H166" i="21" s="1"/>
  <c r="H167" i="21" s="1"/>
  <c r="H168" i="21" s="1"/>
  <c r="H169" i="21" s="1"/>
  <c r="H170" i="21" s="1"/>
  <c r="H171" i="21" s="1"/>
  <c r="H172" i="21" s="1"/>
  <c r="H173" i="21" s="1"/>
  <c r="H174" i="21" s="1"/>
  <c r="H175" i="21" s="1"/>
  <c r="H176" i="21" s="1"/>
  <c r="H177" i="21" s="1"/>
  <c r="H178" i="21" s="1"/>
  <c r="H179" i="21" s="1"/>
  <c r="H180" i="21" s="1"/>
  <c r="H181" i="21" s="1"/>
  <c r="H182" i="21" s="1"/>
  <c r="H183" i="21" s="1"/>
  <c r="H184" i="21" s="1"/>
  <c r="H185" i="21" s="1"/>
  <c r="H186" i="21" s="1"/>
  <c r="H187" i="21" s="1"/>
  <c r="H188" i="21" s="1"/>
  <c r="H189" i="21" s="1"/>
  <c r="H190" i="21" s="1"/>
  <c r="H191" i="21" s="1"/>
  <c r="H192" i="21" s="1"/>
  <c r="H193" i="21" s="1"/>
  <c r="H194" i="21" s="1"/>
  <c r="H195" i="21" s="1"/>
  <c r="H196" i="21" s="1"/>
  <c r="H197" i="21" s="1"/>
  <c r="H198" i="21" s="1"/>
  <c r="H199" i="21" s="1"/>
  <c r="H200" i="21" s="1"/>
  <c r="H201" i="21" s="1"/>
  <c r="H202" i="21" s="1"/>
  <c r="H203" i="21" s="1"/>
  <c r="H204" i="21" s="1"/>
  <c r="H205" i="21" s="1"/>
  <c r="H206" i="21" s="1"/>
  <c r="H207" i="21" s="1"/>
  <c r="H208" i="21" s="1"/>
  <c r="H209" i="21" s="1"/>
  <c r="H210" i="21" s="1"/>
  <c r="H211" i="21" s="1"/>
  <c r="H212" i="21" s="1"/>
  <c r="H213" i="21" s="1"/>
  <c r="H214" i="21" s="1"/>
  <c r="H215" i="21" s="1"/>
  <c r="H216" i="21" s="1"/>
  <c r="H217" i="21" s="1"/>
  <c r="H218" i="21" s="1"/>
  <c r="H219" i="21" s="1"/>
  <c r="H220" i="21" s="1"/>
  <c r="H221" i="21" s="1"/>
  <c r="H222" i="21" s="1"/>
  <c r="H223" i="21" s="1"/>
  <c r="H224" i="21" s="1"/>
  <c r="H225" i="21" s="1"/>
  <c r="H226" i="21" s="1"/>
  <c r="H227" i="21" s="1"/>
  <c r="H228" i="21" s="1"/>
  <c r="H229" i="21" s="1"/>
  <c r="H230" i="21" s="1"/>
  <c r="H231" i="21" s="1"/>
  <c r="H232" i="21" s="1"/>
  <c r="H233" i="21" s="1"/>
  <c r="H234" i="21" s="1"/>
  <c r="H235" i="21" s="1"/>
  <c r="H236" i="21" s="1"/>
  <c r="H237" i="21" s="1"/>
  <c r="H238" i="21" s="1"/>
  <c r="H239" i="21" s="1"/>
  <c r="H240" i="21" s="1"/>
  <c r="H241" i="21" s="1"/>
  <c r="H242" i="21" s="1"/>
  <c r="H243" i="21" s="1"/>
  <c r="H244" i="21" s="1"/>
  <c r="H245" i="21" s="1"/>
  <c r="H246" i="21" s="1"/>
  <c r="H247" i="21" s="1"/>
  <c r="H248" i="21" s="1"/>
  <c r="H249" i="21" s="1"/>
  <c r="H250" i="21" s="1"/>
  <c r="H251" i="21" s="1"/>
  <c r="H252" i="21" s="1"/>
  <c r="H253" i="21" s="1"/>
  <c r="H254" i="21" s="1"/>
  <c r="H255" i="21" s="1"/>
  <c r="H256" i="21" s="1"/>
  <c r="H257" i="21" s="1"/>
  <c r="H258" i="21" s="1"/>
  <c r="H259" i="21" s="1"/>
  <c r="H260" i="21" s="1"/>
  <c r="H261" i="21" s="1"/>
  <c r="H262" i="21" s="1"/>
  <c r="H263" i="21" s="1"/>
  <c r="H264" i="21" s="1"/>
  <c r="H265" i="21" s="1"/>
  <c r="H266" i="21" s="1"/>
  <c r="H267" i="21" s="1"/>
  <c r="H268" i="21" s="1"/>
  <c r="H269" i="21" s="1"/>
  <c r="H270" i="21" s="1"/>
  <c r="H271" i="21" s="1"/>
  <c r="H272" i="21" s="1"/>
  <c r="H273" i="21" s="1"/>
  <c r="H274" i="21" s="1"/>
  <c r="H275" i="21" s="1"/>
  <c r="H276" i="21" s="1"/>
  <c r="H277" i="21" s="1"/>
  <c r="H278" i="21" s="1"/>
  <c r="H279" i="21" s="1"/>
  <c r="H280" i="21" s="1"/>
  <c r="H281" i="21" s="1"/>
  <c r="H282" i="21" s="1"/>
  <c r="H283" i="21" s="1"/>
  <c r="H284" i="21" s="1"/>
  <c r="H285" i="21" s="1"/>
  <c r="H286" i="21" s="1"/>
  <c r="H287" i="21" s="1"/>
  <c r="H288" i="21" s="1"/>
  <c r="H289" i="21" s="1"/>
  <c r="H290" i="21" s="1"/>
  <c r="H291" i="21" s="1"/>
  <c r="H292" i="21" s="1"/>
  <c r="H293" i="21" s="1"/>
  <c r="H294" i="21" s="1"/>
  <c r="H295" i="21" s="1"/>
  <c r="H296" i="21" s="1"/>
  <c r="H297" i="21" s="1"/>
  <c r="H298" i="21" s="1"/>
  <c r="H299" i="21"/>
  <c r="H300" i="21" s="1"/>
  <c r="H301" i="21" s="1"/>
  <c r="H302" i="21" s="1"/>
  <c r="H303" i="21" s="1"/>
  <c r="H304" i="21" s="1"/>
  <c r="H305" i="21" s="1"/>
  <c r="H306" i="21" s="1"/>
  <c r="H307" i="21" s="1"/>
  <c r="H308" i="21" s="1"/>
  <c r="H309" i="21" s="1"/>
  <c r="H310" i="21" s="1"/>
  <c r="H311" i="21" s="1"/>
  <c r="H312" i="21" s="1"/>
  <c r="H313" i="21" s="1"/>
  <c r="H314" i="21" s="1"/>
  <c r="H315" i="21" s="1"/>
  <c r="H316" i="21" s="1"/>
  <c r="H317" i="21" s="1"/>
  <c r="H318" i="21" s="1"/>
  <c r="H319" i="21" s="1"/>
  <c r="H320" i="21" s="1"/>
  <c r="H321" i="21" s="1"/>
  <c r="H322" i="21" s="1"/>
  <c r="H323" i="21" s="1"/>
  <c r="H324" i="21" s="1"/>
  <c r="H325" i="21" s="1"/>
  <c r="H326" i="21" s="1"/>
  <c r="H327" i="21" s="1"/>
  <c r="H328" i="21" s="1"/>
  <c r="H329" i="21" s="1"/>
  <c r="H330" i="21" s="1"/>
  <c r="H331" i="21" s="1"/>
  <c r="H332" i="21" s="1"/>
  <c r="H333" i="21" s="1"/>
  <c r="H334" i="21" s="1"/>
  <c r="H335" i="21" s="1"/>
  <c r="H336" i="21" s="1"/>
  <c r="H337" i="21" s="1"/>
  <c r="H338" i="21" s="1"/>
  <c r="H339" i="21" s="1"/>
  <c r="H340" i="21" s="1"/>
  <c r="H341" i="21" s="1"/>
  <c r="H342" i="21" s="1"/>
  <c r="H343" i="21" s="1"/>
  <c r="H344" i="21" s="1"/>
  <c r="H345" i="21" s="1"/>
  <c r="H346" i="21" s="1"/>
  <c r="H347" i="21" s="1"/>
  <c r="H348" i="21" s="1"/>
  <c r="H349" i="21" s="1"/>
  <c r="H350" i="21" s="1"/>
  <c r="H351" i="21" s="1"/>
  <c r="H352" i="21" s="1"/>
  <c r="H353" i="21" s="1"/>
  <c r="H354" i="21" s="1"/>
  <c r="H355" i="21" s="1"/>
  <c r="H356" i="21" s="1"/>
  <c r="H357" i="21" s="1"/>
  <c r="H358" i="21" s="1"/>
  <c r="H359" i="21" s="1"/>
  <c r="H360" i="21" s="1"/>
  <c r="H361" i="21" s="1"/>
  <c r="H362" i="21" s="1"/>
  <c r="H363" i="21" s="1"/>
  <c r="H364" i="21" s="1"/>
  <c r="H365" i="21" s="1"/>
  <c r="H366" i="21" s="1"/>
  <c r="H367" i="21" s="1"/>
  <c r="H368" i="21" s="1"/>
  <c r="H369" i="21" s="1"/>
  <c r="H370" i="21" s="1"/>
  <c r="H371" i="21" s="1"/>
  <c r="H372" i="21" s="1"/>
  <c r="H373" i="21" s="1"/>
  <c r="H374" i="21" s="1"/>
  <c r="H375" i="21" s="1"/>
  <c r="H376" i="21" s="1"/>
  <c r="H377" i="21" s="1"/>
  <c r="H378" i="21" s="1"/>
  <c r="H379" i="21" s="1"/>
  <c r="H380" i="21" s="1"/>
  <c r="H381" i="21" s="1"/>
  <c r="H382" i="21" s="1"/>
  <c r="H383" i="21" s="1"/>
  <c r="H384" i="21" s="1"/>
  <c r="H385" i="21" s="1"/>
  <c r="H386" i="21" s="1"/>
  <c r="H387" i="21" s="1"/>
  <c r="H388" i="21" s="1"/>
  <c r="H389" i="21" s="1"/>
  <c r="H390" i="21" s="1"/>
  <c r="H391" i="21" s="1"/>
  <c r="H392" i="21" s="1"/>
  <c r="H393" i="21" s="1"/>
  <c r="H394" i="21" s="1"/>
  <c r="H395" i="21" s="1"/>
  <c r="H396" i="21" s="1"/>
  <c r="H397" i="21" s="1"/>
  <c r="H398" i="21" s="1"/>
  <c r="H399" i="21" s="1"/>
  <c r="H400" i="21" s="1"/>
  <c r="H401" i="21" s="1"/>
  <c r="H402" i="21" s="1"/>
  <c r="H403" i="21" s="1"/>
  <c r="H404" i="21" s="1"/>
  <c r="H405" i="21" s="1"/>
  <c r="H406" i="21" s="1"/>
  <c r="H407" i="21" s="1"/>
  <c r="H408" i="21" s="1"/>
  <c r="M6" i="21"/>
  <c r="N6" i="21"/>
  <c r="N7" i="21" s="1"/>
  <c r="N8" i="21" s="1"/>
  <c r="N9" i="21"/>
  <c r="N10" i="21" s="1"/>
  <c r="N11" i="21" s="1"/>
  <c r="N12" i="21" s="1"/>
  <c r="N13" i="21" s="1"/>
  <c r="N14" i="21" s="1"/>
  <c r="N15" i="21" s="1"/>
  <c r="N16" i="21" s="1"/>
  <c r="N17" i="21" s="1"/>
  <c r="N18" i="21" s="1"/>
  <c r="N19" i="21" s="1"/>
  <c r="N20" i="21" s="1"/>
  <c r="N21" i="21" s="1"/>
  <c r="N22" i="21" s="1"/>
  <c r="N23" i="21" s="1"/>
  <c r="N24" i="21" s="1"/>
  <c r="N25" i="21" s="1"/>
  <c r="N26" i="21" s="1"/>
  <c r="N27" i="21" s="1"/>
  <c r="N28" i="21" s="1"/>
  <c r="N29" i="21" s="1"/>
  <c r="N30" i="21" s="1"/>
  <c r="N31" i="21" s="1"/>
  <c r="N32" i="21" s="1"/>
  <c r="N33" i="21" s="1"/>
  <c r="N34" i="21" s="1"/>
  <c r="N35" i="21" s="1"/>
  <c r="N36" i="21"/>
  <c r="N37" i="21" s="1"/>
  <c r="N38" i="21" s="1"/>
  <c r="N39" i="21" s="1"/>
  <c r="N40" i="21" s="1"/>
  <c r="N41" i="21" s="1"/>
  <c r="N42" i="21" s="1"/>
  <c r="N43" i="21" s="1"/>
  <c r="N44" i="21" s="1"/>
  <c r="N45" i="21" s="1"/>
  <c r="N46" i="21" s="1"/>
  <c r="N47" i="21" s="1"/>
  <c r="N48" i="21" s="1"/>
  <c r="N49" i="21" s="1"/>
  <c r="N50" i="21" s="1"/>
  <c r="N51" i="21" s="1"/>
  <c r="N52" i="21" s="1"/>
  <c r="N53" i="21" s="1"/>
  <c r="N54" i="21" s="1"/>
  <c r="N55" i="21" s="1"/>
  <c r="N56" i="21" s="1"/>
  <c r="N57" i="21" s="1"/>
  <c r="T6" i="21"/>
  <c r="T7" i="21"/>
  <c r="T8" i="21"/>
  <c r="T9" i="21" s="1"/>
  <c r="T10" i="21" s="1"/>
  <c r="T11" i="21"/>
  <c r="T12" i="21" s="1"/>
  <c r="T13" i="21" s="1"/>
  <c r="T14" i="21"/>
  <c r="T15" i="21" s="1"/>
  <c r="T16" i="21" s="1"/>
  <c r="T17" i="21" s="1"/>
  <c r="T18" i="21" s="1"/>
  <c r="T19" i="21" s="1"/>
  <c r="T20" i="21" s="1"/>
  <c r="T21" i="21" s="1"/>
  <c r="T22" i="21" s="1"/>
  <c r="T23" i="21" s="1"/>
  <c r="T24" i="21" s="1"/>
  <c r="T25" i="21" s="1"/>
  <c r="T26" i="21" s="1"/>
  <c r="T27" i="21" s="1"/>
  <c r="T28" i="21" s="1"/>
  <c r="T29" i="21" s="1"/>
  <c r="T30" i="21" s="1"/>
  <c r="T31" i="21" s="1"/>
  <c r="T32" i="21"/>
  <c r="T33" i="21" s="1"/>
  <c r="T34" i="21" s="1"/>
  <c r="T35" i="21" s="1"/>
  <c r="T36" i="21" s="1"/>
  <c r="T37" i="21" s="1"/>
  <c r="T38" i="21" s="1"/>
  <c r="T39" i="21" s="1"/>
  <c r="T40" i="21" s="1"/>
  <c r="T41" i="21" s="1"/>
  <c r="T42" i="21" s="1"/>
  <c r="T43" i="21" s="1"/>
  <c r="T44" i="21" s="1"/>
  <c r="T45" i="21" s="1"/>
  <c r="T46" i="21" s="1"/>
  <c r="T47" i="21" s="1"/>
  <c r="T48" i="21" s="1"/>
  <c r="T49" i="21" s="1"/>
  <c r="T50" i="21" s="1"/>
  <c r="T51" i="21" s="1"/>
  <c r="T52" i="21" s="1"/>
  <c r="T53" i="21" s="1"/>
  <c r="T54" i="21" s="1"/>
  <c r="T55" i="21" s="1"/>
  <c r="T56" i="21" s="1"/>
  <c r="T57" i="21" s="1"/>
  <c r="T58" i="21" s="1"/>
  <c r="T59" i="21"/>
  <c r="T60" i="21" s="1"/>
  <c r="T61" i="21" s="1"/>
  <c r="T62" i="21" s="1"/>
  <c r="T63" i="21" s="1"/>
  <c r="T64" i="21" s="1"/>
  <c r="T65" i="21" s="1"/>
  <c r="T66" i="21" s="1"/>
  <c r="T67" i="21" s="1"/>
  <c r="T68" i="21" s="1"/>
  <c r="T69" i="21" s="1"/>
  <c r="T70" i="21" s="1"/>
  <c r="M7" i="21"/>
  <c r="M8" i="21" s="1"/>
  <c r="M9" i="21" s="1"/>
  <c r="M10" i="21"/>
  <c r="M11" i="21" s="1"/>
  <c r="M12" i="21" s="1"/>
  <c r="M13" i="21"/>
  <c r="M14" i="21" s="1"/>
  <c r="M15" i="21" s="1"/>
  <c r="M16" i="21" s="1"/>
  <c r="M17" i="21" s="1"/>
  <c r="M18" i="21" s="1"/>
  <c r="M19" i="21" s="1"/>
  <c r="M20" i="21" s="1"/>
  <c r="M21" i="21" s="1"/>
  <c r="M22" i="21"/>
  <c r="M23" i="21" s="1"/>
  <c r="M24" i="21" s="1"/>
  <c r="M25" i="21" s="1"/>
  <c r="M26" i="21" s="1"/>
  <c r="M27" i="21" s="1"/>
  <c r="M28" i="21" s="1"/>
  <c r="M29" i="21" s="1"/>
  <c r="M30" i="21" s="1"/>
  <c r="M31" i="21"/>
  <c r="M32" i="21" s="1"/>
  <c r="M33" i="21" s="1"/>
  <c r="M34" i="21" s="1"/>
  <c r="M35" i="21" s="1"/>
  <c r="M36" i="21" s="1"/>
  <c r="M37" i="21" s="1"/>
  <c r="M38" i="21" s="1"/>
  <c r="M39" i="21" s="1"/>
  <c r="M40" i="21" s="1"/>
  <c r="M41" i="21" s="1"/>
  <c r="M42" i="21" s="1"/>
  <c r="M43" i="21" s="1"/>
  <c r="M44" i="21" s="1"/>
  <c r="M45" i="21" s="1"/>
  <c r="M46" i="21" s="1"/>
  <c r="M47" i="21" s="1"/>
  <c r="M48" i="21" s="1"/>
  <c r="M49" i="21" s="1"/>
  <c r="M50" i="21" s="1"/>
  <c r="M51" i="21" s="1"/>
  <c r="M52" i="21" s="1"/>
  <c r="M53" i="21" s="1"/>
  <c r="M54" i="21" s="1"/>
  <c r="M55" i="21" s="1"/>
  <c r="M56" i="21" s="1"/>
  <c r="M57" i="21" s="1"/>
  <c r="AR83" i="2"/>
  <c r="AR84" i="2" s="1"/>
  <c r="AR85" i="2" s="1"/>
  <c r="AR86" i="2" s="1"/>
  <c r="AU83" i="2"/>
  <c r="AU84" i="2"/>
  <c r="AV83" i="2"/>
  <c r="AV84" i="2" s="1"/>
  <c r="AV85" i="2" s="1"/>
  <c r="AV86" i="2"/>
  <c r="AV87" i="2" s="1"/>
  <c r="AV88" i="2" s="1"/>
  <c r="AV89" i="2"/>
  <c r="AV90" i="2" s="1"/>
  <c r="AV91" i="2" s="1"/>
  <c r="AV92" i="2" s="1"/>
  <c r="AV93" i="2" s="1"/>
  <c r="AV94" i="2" s="1"/>
  <c r="AV95" i="2" s="1"/>
  <c r="BE89" i="2"/>
  <c r="P133" i="2"/>
  <c r="A5" i="21"/>
  <c r="B5" i="21" s="1"/>
  <c r="Y5" i="21"/>
  <c r="Y6" i="21"/>
  <c r="Y7" i="21" s="1"/>
  <c r="Y8" i="21" s="1"/>
  <c r="A6" i="21"/>
  <c r="B6" i="21" s="1"/>
  <c r="S6" i="21"/>
  <c r="S7" i="21"/>
  <c r="S8" i="21" s="1"/>
  <c r="S9" i="21" s="1"/>
  <c r="S10" i="21"/>
  <c r="S11" i="21" s="1"/>
  <c r="S12" i="21" s="1"/>
  <c r="S13" i="21"/>
  <c r="S14" i="21" s="1"/>
  <c r="S15" i="21" s="1"/>
  <c r="S16" i="21" s="1"/>
  <c r="S17" i="21" s="1"/>
  <c r="S18" i="21" s="1"/>
  <c r="S19" i="21" s="1"/>
  <c r="S20" i="21" s="1"/>
  <c r="S21" i="21" s="1"/>
  <c r="S22" i="21" s="1"/>
  <c r="S23" i="21" s="1"/>
  <c r="S24" i="21" s="1"/>
  <c r="S25" i="21" s="1"/>
  <c r="S26" i="21" s="1"/>
  <c r="S27" i="21" s="1"/>
  <c r="S28" i="21" s="1"/>
  <c r="S29" i="21" s="1"/>
  <c r="Y1" i="21"/>
  <c r="X5" i="21"/>
  <c r="X6" i="21" s="1"/>
  <c r="X7" i="21" s="1"/>
  <c r="X8" i="21"/>
  <c r="X9" i="21" s="1"/>
  <c r="X10" i="21" s="1"/>
  <c r="X11" i="21"/>
  <c r="X12" i="21" s="1"/>
  <c r="X13" i="21" s="1"/>
  <c r="X14" i="21" s="1"/>
  <c r="X15" i="21" s="1"/>
  <c r="X16" i="21" s="1"/>
  <c r="X17" i="21" s="1"/>
  <c r="X18" i="21" s="1"/>
  <c r="X19" i="21" s="1"/>
  <c r="X20" i="21"/>
  <c r="X21" i="21" s="1"/>
  <c r="X22" i="21" s="1"/>
  <c r="X23" i="21" s="1"/>
  <c r="X24" i="21" s="1"/>
  <c r="X25" i="21" s="1"/>
  <c r="X26" i="21" s="1"/>
  <c r="X27" i="21" s="1"/>
  <c r="X28" i="21" s="1"/>
  <c r="X29" i="21" s="1"/>
  <c r="Q26" i="19"/>
  <c r="Q37" i="19"/>
  <c r="Q49" i="19"/>
  <c r="Q61" i="19" s="1"/>
  <c r="Q73" i="19" s="1"/>
  <c r="Q85" i="19" s="1"/>
  <c r="Q97" i="19" s="1"/>
  <c r="Q109" i="19" s="1"/>
  <c r="Q121" i="19" s="1"/>
  <c r="Q133" i="19" s="1"/>
  <c r="Q145" i="19" s="1"/>
  <c r="Q157" i="19"/>
  <c r="Q169" i="19" s="1"/>
  <c r="Q181" i="19" s="1"/>
  <c r="Q193" i="19" s="1"/>
  <c r="Q205" i="19" s="1"/>
  <c r="Q217" i="19" s="1"/>
  <c r="Q229" i="19" s="1"/>
  <c r="Q241" i="19" s="1"/>
  <c r="Q253" i="19" s="1"/>
  <c r="Q265" i="19"/>
  <c r="Q277" i="19" s="1"/>
  <c r="Q289" i="19" s="1"/>
  <c r="Q301" i="19" s="1"/>
  <c r="Q313" i="19" s="1"/>
  <c r="Q325" i="19" s="1"/>
  <c r="Q337" i="19" s="1"/>
  <c r="Q349" i="19" s="1"/>
  <c r="Q361" i="19" s="1"/>
  <c r="Q373" i="19" s="1"/>
  <c r="Q385" i="19" s="1"/>
  <c r="Q397" i="19" s="1"/>
  <c r="Q409" i="19" s="1"/>
  <c r="Q421" i="19" s="1"/>
  <c r="Q433" i="19" s="1"/>
  <c r="Q445" i="19" s="1"/>
  <c r="Q457" i="19" s="1"/>
  <c r="Q469" i="19" s="1"/>
  <c r="Q481" i="19" s="1"/>
  <c r="Q493" i="19" s="1"/>
  <c r="Q505" i="19" s="1"/>
  <c r="Q517" i="19" s="1"/>
  <c r="Q529" i="19" s="1"/>
  <c r="Q541" i="19" s="1"/>
  <c r="Q553" i="19" s="1"/>
  <c r="Q565" i="19" s="1"/>
  <c r="Q577" i="19" s="1"/>
  <c r="Q589" i="19"/>
  <c r="Q601" i="19" s="1"/>
  <c r="Q613" i="19" s="1"/>
  <c r="Q625" i="19" s="1"/>
  <c r="Q637" i="19" s="1"/>
  <c r="Q649" i="19" s="1"/>
  <c r="Q661" i="19" s="1"/>
  <c r="Q673" i="19" s="1"/>
  <c r="Q685" i="19" s="1"/>
  <c r="Q697" i="19" s="1"/>
  <c r="Q709" i="19" s="1"/>
  <c r="Q721" i="19" s="1"/>
  <c r="Q733" i="19" s="1"/>
  <c r="Q745" i="19" s="1"/>
  <c r="B26" i="19"/>
  <c r="AC26" i="19"/>
  <c r="A26" i="19"/>
  <c r="Q38" i="19"/>
  <c r="Q50" i="19"/>
  <c r="Q62" i="19" s="1"/>
  <c r="Q74" i="19" s="1"/>
  <c r="Q86" i="19" s="1"/>
  <c r="Q98" i="19" s="1"/>
  <c r="Q110" i="19" s="1"/>
  <c r="Q122" i="19" s="1"/>
  <c r="Q134" i="19" s="1"/>
  <c r="Q146" i="19" s="1"/>
  <c r="Q158" i="19" s="1"/>
  <c r="Q170" i="19" s="1"/>
  <c r="Q182" i="19" s="1"/>
  <c r="Q194" i="19" s="1"/>
  <c r="Q206" i="19" s="1"/>
  <c r="Q218" i="19" s="1"/>
  <c r="Q230" i="19" s="1"/>
  <c r="Q242" i="19" s="1"/>
  <c r="Q254" i="19" s="1"/>
  <c r="Q266" i="19" s="1"/>
  <c r="Q278" i="19" s="1"/>
  <c r="Q290" i="19" s="1"/>
  <c r="Q302" i="19" s="1"/>
  <c r="Q314" i="19" s="1"/>
  <c r="Q326" i="19" s="1"/>
  <c r="Q338" i="19" s="1"/>
  <c r="Q350" i="19" s="1"/>
  <c r="Q362" i="19" s="1"/>
  <c r="Q374" i="19"/>
  <c r="Q386" i="19" s="1"/>
  <c r="Q398" i="19" s="1"/>
  <c r="Q410" i="19" s="1"/>
  <c r="Q422" i="19" s="1"/>
  <c r="Q434" i="19" s="1"/>
  <c r="Q446" i="19" s="1"/>
  <c r="Q458" i="19" s="1"/>
  <c r="Q470" i="19" s="1"/>
  <c r="Q482" i="19" s="1"/>
  <c r="Q494" i="19" s="1"/>
  <c r="Q506" i="19" s="1"/>
  <c r="Q518" i="19" s="1"/>
  <c r="Q530" i="19" s="1"/>
  <c r="Q542" i="19" s="1"/>
  <c r="Q554" i="19" s="1"/>
  <c r="Q566" i="19" s="1"/>
  <c r="Q578" i="19" s="1"/>
  <c r="Q590" i="19" s="1"/>
  <c r="Q602" i="19" s="1"/>
  <c r="Q614" i="19" s="1"/>
  <c r="Q626" i="19" s="1"/>
  <c r="Q638" i="19" s="1"/>
  <c r="Q650" i="19" s="1"/>
  <c r="Q662" i="19" s="1"/>
  <c r="Q674" i="19" s="1"/>
  <c r="Q686" i="19" s="1"/>
  <c r="Q698" i="19"/>
  <c r="Q710" i="19" s="1"/>
  <c r="Q722" i="19" s="1"/>
  <c r="Q734" i="19" s="1"/>
  <c r="Q746" i="19" s="1"/>
  <c r="Q27" i="19"/>
  <c r="Q28" i="19"/>
  <c r="Q29" i="19" s="1"/>
  <c r="B27" i="19"/>
  <c r="B28" i="19"/>
  <c r="A27" i="19"/>
  <c r="Q36" i="19"/>
  <c r="Q48" i="19"/>
  <c r="Q60" i="19"/>
  <c r="Q72" i="19" s="1"/>
  <c r="Q84" i="19" s="1"/>
  <c r="Q96" i="19" s="1"/>
  <c r="Q108" i="19" s="1"/>
  <c r="Q120" i="19" s="1"/>
  <c r="Q132" i="19" s="1"/>
  <c r="Q144" i="19" s="1"/>
  <c r="Q156" i="19" s="1"/>
  <c r="Q168" i="19"/>
  <c r="Q180" i="19" s="1"/>
  <c r="Q192" i="19" s="1"/>
  <c r="Q204" i="19" s="1"/>
  <c r="Q216" i="19" s="1"/>
  <c r="Q228" i="19" s="1"/>
  <c r="Q240" i="19" s="1"/>
  <c r="Q252" i="19" s="1"/>
  <c r="Q264" i="19" s="1"/>
  <c r="Q276" i="19" s="1"/>
  <c r="Q288" i="19" s="1"/>
  <c r="Q300" i="19" s="1"/>
  <c r="Q312" i="19" s="1"/>
  <c r="Q324" i="19" s="1"/>
  <c r="Q336" i="19" s="1"/>
  <c r="Q348" i="19" s="1"/>
  <c r="Q360" i="19" s="1"/>
  <c r="Q372" i="19" s="1"/>
  <c r="Q384" i="19" s="1"/>
  <c r="Q396" i="19" s="1"/>
  <c r="Q408" i="19" s="1"/>
  <c r="Q420" i="19" s="1"/>
  <c r="Q432" i="19" s="1"/>
  <c r="Q444" i="19" s="1"/>
  <c r="Q456" i="19" s="1"/>
  <c r="Q468" i="19" s="1"/>
  <c r="Q480" i="19" s="1"/>
  <c r="Q492" i="19" s="1"/>
  <c r="Q504" i="19" s="1"/>
  <c r="Q516" i="19" s="1"/>
  <c r="Q528" i="19" s="1"/>
  <c r="Q540" i="19" s="1"/>
  <c r="Q552" i="19" s="1"/>
  <c r="Q564" i="19" s="1"/>
  <c r="Q576" i="19" s="1"/>
  <c r="Q588" i="19" s="1"/>
  <c r="Q600" i="19" s="1"/>
  <c r="Q612" i="19" s="1"/>
  <c r="Q624" i="19" s="1"/>
  <c r="Q636" i="19" s="1"/>
  <c r="Q648" i="19" s="1"/>
  <c r="Q660" i="19" s="1"/>
  <c r="Q672" i="19" s="1"/>
  <c r="Q684" i="19" s="1"/>
  <c r="Q696" i="19" s="1"/>
  <c r="Q708" i="19" s="1"/>
  <c r="Q720" i="19" s="1"/>
  <c r="Q732" i="19" s="1"/>
  <c r="Q744" i="19" s="1"/>
  <c r="B26" i="17"/>
  <c r="AC26" i="17"/>
  <c r="Q25" i="20"/>
  <c r="AC26" i="20"/>
  <c r="B27" i="20"/>
  <c r="B28" i="20"/>
  <c r="AC27" i="20"/>
  <c r="S36" i="19"/>
  <c r="B27" i="17"/>
  <c r="B28" i="17" s="1"/>
  <c r="Q26" i="17"/>
  <c r="Q38" i="17" s="1"/>
  <c r="Q50" i="17"/>
  <c r="Q62" i="17" s="1"/>
  <c r="Q74" i="17" s="1"/>
  <c r="Q86" i="17"/>
  <c r="Q98" i="17" s="1"/>
  <c r="Q110" i="17" s="1"/>
  <c r="Q122" i="17" s="1"/>
  <c r="Q134" i="17" s="1"/>
  <c r="Q146" i="17" s="1"/>
  <c r="Q158" i="17" s="1"/>
  <c r="Q170" i="17" s="1"/>
  <c r="Q182" i="17" s="1"/>
  <c r="Q194" i="17" s="1"/>
  <c r="Q206" i="17" s="1"/>
  <c r="Q218" i="17" s="1"/>
  <c r="Q230" i="17" s="1"/>
  <c r="Q242" i="17" s="1"/>
  <c r="Q254" i="17" s="1"/>
  <c r="Q266" i="17" s="1"/>
  <c r="Q278" i="17" s="1"/>
  <c r="Q290" i="17" s="1"/>
  <c r="Q302" i="17" s="1"/>
  <c r="Q314" i="17" s="1"/>
  <c r="Q326" i="17" s="1"/>
  <c r="Q338" i="17" s="1"/>
  <c r="Q350" i="17" s="1"/>
  <c r="Q362" i="17" s="1"/>
  <c r="Q374" i="17" s="1"/>
  <c r="Q386" i="17" s="1"/>
  <c r="Q398" i="17" s="1"/>
  <c r="Q410" i="17"/>
  <c r="Q422" i="17" s="1"/>
  <c r="Q434" i="17" s="1"/>
  <c r="Q446" i="17" s="1"/>
  <c r="Q458" i="17" s="1"/>
  <c r="Q470" i="17" s="1"/>
  <c r="Q482" i="17" s="1"/>
  <c r="Q494" i="17" s="1"/>
  <c r="Q506" i="17" s="1"/>
  <c r="Q518" i="17" s="1"/>
  <c r="Q530" i="17" s="1"/>
  <c r="Q542" i="17" s="1"/>
  <c r="Q554" i="17" s="1"/>
  <c r="Q566" i="17" s="1"/>
  <c r="Q578" i="17" s="1"/>
  <c r="Q590" i="17" s="1"/>
  <c r="Q602" i="17" s="1"/>
  <c r="Q614" i="17" s="1"/>
  <c r="Q626" i="17" s="1"/>
  <c r="Q638" i="17" s="1"/>
  <c r="Q650" i="17" s="1"/>
  <c r="Q662" i="17" s="1"/>
  <c r="Q674" i="17" s="1"/>
  <c r="Q686" i="17" s="1"/>
  <c r="Q698" i="17" s="1"/>
  <c r="Q710" i="17" s="1"/>
  <c r="Q722" i="17" s="1"/>
  <c r="Q734" i="17"/>
  <c r="Q746" i="17" s="1"/>
  <c r="Q27" i="17"/>
  <c r="Q28" i="17"/>
  <c r="AC27" i="17"/>
  <c r="C58" i="2"/>
  <c r="Y9" i="21"/>
  <c r="Y10" i="21" s="1"/>
  <c r="Y11" i="21" s="1"/>
  <c r="Y12" i="21"/>
  <c r="Y13" i="21" s="1"/>
  <c r="Y14" i="21" s="1"/>
  <c r="Y15" i="21" s="1"/>
  <c r="Y16" i="21" s="1"/>
  <c r="Y17" i="21" s="1"/>
  <c r="Y18" i="21" s="1"/>
  <c r="Y19" i="21" s="1"/>
  <c r="Y20" i="21" s="1"/>
  <c r="Y21" i="21" s="1"/>
  <c r="Y22" i="21" s="1"/>
  <c r="Y23" i="21" s="1"/>
  <c r="Y24" i="21" s="1"/>
  <c r="Y25" i="21" s="1"/>
  <c r="Y26" i="21" s="1"/>
  <c r="Y27" i="21" s="1"/>
  <c r="Y28" i="21" s="1"/>
  <c r="Y29" i="21" s="1"/>
  <c r="Z1" i="21"/>
  <c r="AB4" i="21" s="1"/>
  <c r="AC30" i="2"/>
  <c r="AC31" i="2"/>
  <c r="AC32" i="2" s="1"/>
  <c r="AC33" i="2" s="1"/>
  <c r="AC34" i="2"/>
  <c r="D61" i="2"/>
  <c r="AN46" i="2"/>
  <c r="P57" i="2"/>
  <c r="E25" i="20"/>
  <c r="E26" i="20"/>
  <c r="L20" i="20"/>
  <c r="L20" i="19"/>
  <c r="G7" i="19" s="1"/>
  <c r="G8" i="19" s="1"/>
  <c r="S36" i="20"/>
  <c r="G33" i="19"/>
  <c r="G32" i="19"/>
  <c r="G24" i="19"/>
  <c r="G36" i="19" s="1"/>
  <c r="G28" i="17"/>
  <c r="C56" i="2"/>
  <c r="C57" i="2"/>
  <c r="G30" i="20"/>
  <c r="G25" i="19"/>
  <c r="G29" i="19"/>
  <c r="AH25" i="19"/>
  <c r="AH26" i="19"/>
  <c r="AH27" i="19" s="1"/>
  <c r="AH28" i="19" s="1"/>
  <c r="AH29" i="19" s="1"/>
  <c r="AH30" i="19" s="1"/>
  <c r="G26" i="19"/>
  <c r="AH31" i="19"/>
  <c r="AH32" i="19" s="1"/>
  <c r="AH33" i="19" s="1"/>
  <c r="AH34" i="19" s="1"/>
  <c r="AH35" i="19" s="1"/>
  <c r="AH36" i="19" s="1"/>
  <c r="AH37" i="19" s="1"/>
  <c r="AH38" i="19" s="1"/>
  <c r="AH39" i="19" s="1"/>
  <c r="AH40" i="19"/>
  <c r="AH41" i="19" s="1"/>
  <c r="AH42" i="19" s="1"/>
  <c r="AH43" i="19" s="1"/>
  <c r="AH44" i="19" s="1"/>
  <c r="AH45" i="19" s="1"/>
  <c r="AH46" i="19" s="1"/>
  <c r="AH47" i="19" s="1"/>
  <c r="AH48" i="19" s="1"/>
  <c r="AH49" i="19" s="1"/>
  <c r="AH50" i="19" s="1"/>
  <c r="AH51" i="19" s="1"/>
  <c r="AH52" i="19" s="1"/>
  <c r="AH53" i="19" s="1"/>
  <c r="AH54" i="19" s="1"/>
  <c r="AH55" i="19" s="1"/>
  <c r="AH56" i="19" s="1"/>
  <c r="AH57" i="19" s="1"/>
  <c r="AH58" i="19" s="1"/>
  <c r="AH59" i="19" s="1"/>
  <c r="AH60" i="19" s="1"/>
  <c r="AH61" i="19" s="1"/>
  <c r="AH62" i="19" s="1"/>
  <c r="AH63" i="19" s="1"/>
  <c r="AH64" i="19" s="1"/>
  <c r="AH65" i="19" s="1"/>
  <c r="AH66" i="19" s="1"/>
  <c r="AH67" i="19" s="1"/>
  <c r="AH68" i="19" s="1"/>
  <c r="AH69" i="19" s="1"/>
  <c r="AH70" i="19" s="1"/>
  <c r="AH71" i="19" s="1"/>
  <c r="AH72" i="19" s="1"/>
  <c r="AH73" i="19" s="1"/>
  <c r="AH74" i="19" s="1"/>
  <c r="AH75" i="19" s="1"/>
  <c r="AH76" i="19" s="1"/>
  <c r="AH77" i="19" s="1"/>
  <c r="AH78" i="19" s="1"/>
  <c r="AH79" i="19" s="1"/>
  <c r="AH80" i="19" s="1"/>
  <c r="AH81" i="19" s="1"/>
  <c r="AH82" i="19" s="1"/>
  <c r="AH83" i="19" s="1"/>
  <c r="AH84" i="19" s="1"/>
  <c r="AH85" i="19" s="1"/>
  <c r="AH86" i="19" s="1"/>
  <c r="AH87" i="19" s="1"/>
  <c r="AH88" i="19" s="1"/>
  <c r="AH89" i="19" s="1"/>
  <c r="AH90" i="19" s="1"/>
  <c r="AH91" i="19" s="1"/>
  <c r="AH92" i="19" s="1"/>
  <c r="AH93" i="19" s="1"/>
  <c r="AH94" i="19" s="1"/>
  <c r="AH95" i="19" s="1"/>
  <c r="AH96" i="19" s="1"/>
  <c r="AH97" i="19" s="1"/>
  <c r="AH98" i="19" s="1"/>
  <c r="AH99" i="19" s="1"/>
  <c r="AH100" i="19" s="1"/>
  <c r="AH101" i="19" s="1"/>
  <c r="AH102" i="19" s="1"/>
  <c r="AH103" i="19" s="1"/>
  <c r="AH104" i="19" s="1"/>
  <c r="G28" i="20"/>
  <c r="G26" i="20"/>
  <c r="D25" i="18"/>
  <c r="D26" i="18" s="1"/>
  <c r="E25" i="17"/>
  <c r="Q39" i="19"/>
  <c r="Q51" i="19" s="1"/>
  <c r="Q63" i="19" s="1"/>
  <c r="Q75" i="19" s="1"/>
  <c r="Q87" i="19" s="1"/>
  <c r="Q99" i="19" s="1"/>
  <c r="Q111" i="19" s="1"/>
  <c r="Q123" i="19" s="1"/>
  <c r="Q135" i="19" s="1"/>
  <c r="Q147" i="19" s="1"/>
  <c r="Q159" i="19" s="1"/>
  <c r="Q171" i="19" s="1"/>
  <c r="Q183" i="19" s="1"/>
  <c r="Q195" i="19" s="1"/>
  <c r="Q207" i="19" s="1"/>
  <c r="Q219" i="19" s="1"/>
  <c r="Q231" i="19" s="1"/>
  <c r="Q243" i="19" s="1"/>
  <c r="Q255" i="19" s="1"/>
  <c r="Q267" i="19" s="1"/>
  <c r="Q279" i="19" s="1"/>
  <c r="Q291" i="19" s="1"/>
  <c r="Q303" i="19" s="1"/>
  <c r="Q315" i="19" s="1"/>
  <c r="Q327" i="19" s="1"/>
  <c r="Q339" i="19" s="1"/>
  <c r="Q351" i="19"/>
  <c r="Q363" i="19" s="1"/>
  <c r="Q375" i="19" s="1"/>
  <c r="Q387" i="19" s="1"/>
  <c r="Q399" i="19" s="1"/>
  <c r="Q411" i="19" s="1"/>
  <c r="Q423" i="19" s="1"/>
  <c r="Q435" i="19" s="1"/>
  <c r="Q447" i="19" s="1"/>
  <c r="Q459" i="19" s="1"/>
  <c r="Q471" i="19" s="1"/>
  <c r="Q483" i="19" s="1"/>
  <c r="Q495" i="19" s="1"/>
  <c r="Q507" i="19" s="1"/>
  <c r="Q519" i="19" s="1"/>
  <c r="Q531" i="19" s="1"/>
  <c r="Q543" i="19" s="1"/>
  <c r="Q555" i="19" s="1"/>
  <c r="Q567" i="19" s="1"/>
  <c r="Q579" i="19" s="1"/>
  <c r="Q591" i="19" s="1"/>
  <c r="Q603" i="19" s="1"/>
  <c r="Q615" i="19" s="1"/>
  <c r="Q627" i="19" s="1"/>
  <c r="Q639" i="19" s="1"/>
  <c r="Q651" i="19" s="1"/>
  <c r="Q663" i="19" s="1"/>
  <c r="Q675" i="19"/>
  <c r="Q687" i="19" s="1"/>
  <c r="Q699" i="19" s="1"/>
  <c r="Q711" i="19" s="1"/>
  <c r="Q723" i="19" s="1"/>
  <c r="Q735" i="19" s="1"/>
  <c r="Q747" i="19" s="1"/>
  <c r="D37" i="18"/>
  <c r="D49" i="18"/>
  <c r="D61" i="18" s="1"/>
  <c r="D73" i="18" s="1"/>
  <c r="D85" i="18"/>
  <c r="D97" i="18" s="1"/>
  <c r="D109" i="18" s="1"/>
  <c r="D121" i="18"/>
  <c r="D133" i="18" s="1"/>
  <c r="D145" i="18" s="1"/>
  <c r="D157" i="18" s="1"/>
  <c r="D169" i="18" s="1"/>
  <c r="D181" i="18" s="1"/>
  <c r="D193" i="18" s="1"/>
  <c r="D205" i="18" s="1"/>
  <c r="D217" i="18" s="1"/>
  <c r="D229" i="18"/>
  <c r="D241" i="18" s="1"/>
  <c r="D253" i="18" s="1"/>
  <c r="D265" i="18" s="1"/>
  <c r="D277" i="18" s="1"/>
  <c r="D289" i="18" s="1"/>
  <c r="D301" i="18" s="1"/>
  <c r="D313" i="18" s="1"/>
  <c r="D325" i="18" s="1"/>
  <c r="D337" i="18"/>
  <c r="D349" i="18" s="1"/>
  <c r="D361" i="18" s="1"/>
  <c r="D373" i="18" s="1"/>
  <c r="D385" i="18" s="1"/>
  <c r="D397" i="18" s="1"/>
  <c r="D409" i="18" s="1"/>
  <c r="D421" i="18" s="1"/>
  <c r="D433" i="18" s="1"/>
  <c r="D445" i="18" s="1"/>
  <c r="D457" i="18" s="1"/>
  <c r="D469" i="18" s="1"/>
  <c r="D481" i="18" s="1"/>
  <c r="D493" i="18" s="1"/>
  <c r="D505" i="18" s="1"/>
  <c r="D517" i="18" s="1"/>
  <c r="D529" i="18" s="1"/>
  <c r="D541" i="18" s="1"/>
  <c r="D553" i="18" s="1"/>
  <c r="D565" i="18" s="1"/>
  <c r="D577" i="18" s="1"/>
  <c r="D589" i="18" s="1"/>
  <c r="D601" i="18" s="1"/>
  <c r="D613" i="18" s="1"/>
  <c r="D625" i="18" s="1"/>
  <c r="D637" i="18" s="1"/>
  <c r="D649" i="18" s="1"/>
  <c r="D661" i="18" s="1"/>
  <c r="D673" i="18" s="1"/>
  <c r="D685" i="18" s="1"/>
  <c r="D697" i="18" s="1"/>
  <c r="D709" i="18" s="1"/>
  <c r="D721" i="18" s="1"/>
  <c r="D733" i="18" s="1"/>
  <c r="D745" i="18" s="1"/>
  <c r="E37" i="17"/>
  <c r="E49" i="17" s="1"/>
  <c r="E61" i="17" s="1"/>
  <c r="E73" i="17"/>
  <c r="E85" i="17" s="1"/>
  <c r="E97" i="17" s="1"/>
  <c r="E109" i="17"/>
  <c r="E121" i="17" s="1"/>
  <c r="E133" i="17" s="1"/>
  <c r="E145" i="17" s="1"/>
  <c r="E157" i="17" s="1"/>
  <c r="E169" i="17" s="1"/>
  <c r="E181" i="17" s="1"/>
  <c r="E193" i="17" s="1"/>
  <c r="E205" i="17" s="1"/>
  <c r="E217" i="17"/>
  <c r="E229" i="17" s="1"/>
  <c r="E241" i="17" s="1"/>
  <c r="E253" i="17" s="1"/>
  <c r="E265" i="17" s="1"/>
  <c r="E277" i="17" s="1"/>
  <c r="E289" i="17" s="1"/>
  <c r="E301" i="17" s="1"/>
  <c r="E313" i="17" s="1"/>
  <c r="E325" i="17" s="1"/>
  <c r="E337" i="17" s="1"/>
  <c r="E349" i="17" s="1"/>
  <c r="E361" i="17" s="1"/>
  <c r="E373" i="17" s="1"/>
  <c r="E385" i="17" s="1"/>
  <c r="E397" i="17" s="1"/>
  <c r="E409" i="17" s="1"/>
  <c r="E421" i="17" s="1"/>
  <c r="E433" i="17" s="1"/>
  <c r="E445" i="17" s="1"/>
  <c r="E457" i="17" s="1"/>
  <c r="E469" i="17" s="1"/>
  <c r="E481" i="17" s="1"/>
  <c r="E493" i="17" s="1"/>
  <c r="E505" i="17" s="1"/>
  <c r="E517" i="17" s="1"/>
  <c r="E529" i="17" s="1"/>
  <c r="E541" i="17"/>
  <c r="E553" i="17" s="1"/>
  <c r="E565" i="17" s="1"/>
  <c r="E577" i="17" s="1"/>
  <c r="E589" i="17" s="1"/>
  <c r="E601" i="17" s="1"/>
  <c r="E613" i="17" s="1"/>
  <c r="E625" i="17" s="1"/>
  <c r="E637" i="17" s="1"/>
  <c r="E649" i="17" s="1"/>
  <c r="E661" i="17" s="1"/>
  <c r="E673" i="17" s="1"/>
  <c r="E685" i="17" s="1"/>
  <c r="E697" i="17" s="1"/>
  <c r="E709" i="17" s="1"/>
  <c r="E721" i="17" s="1"/>
  <c r="E733" i="17" s="1"/>
  <c r="E745" i="17" s="1"/>
  <c r="E26" i="17"/>
  <c r="G35" i="20"/>
  <c r="G27" i="20"/>
  <c r="AG36" i="21"/>
  <c r="G24" i="20"/>
  <c r="G29" i="20"/>
  <c r="G34" i="20"/>
  <c r="G31" i="20"/>
  <c r="G30" i="19"/>
  <c r="G31" i="19"/>
  <c r="AH25" i="20"/>
  <c r="AH26" i="20"/>
  <c r="AH27" i="20" s="1"/>
  <c r="AH28" i="20" s="1"/>
  <c r="AH29" i="20" s="1"/>
  <c r="AH30" i="20" s="1"/>
  <c r="AH31" i="20" s="1"/>
  <c r="AH32" i="20" s="1"/>
  <c r="AH33" i="20" s="1"/>
  <c r="AH34" i="20" s="1"/>
  <c r="AH35" i="20"/>
  <c r="AH36" i="20" s="1"/>
  <c r="AH37" i="20" s="1"/>
  <c r="AH38" i="20" s="1"/>
  <c r="AH39" i="20" s="1"/>
  <c r="AH40" i="20" s="1"/>
  <c r="AH41" i="20" s="1"/>
  <c r="AH42" i="20" s="1"/>
  <c r="AH43" i="20" s="1"/>
  <c r="AH44" i="20" s="1"/>
  <c r="AH45" i="20" s="1"/>
  <c r="AH46" i="20" s="1"/>
  <c r="AH47" i="20" s="1"/>
  <c r="AH48" i="20" s="1"/>
  <c r="AH49" i="20" s="1"/>
  <c r="G27" i="19"/>
  <c r="G33" i="20"/>
  <c r="G35" i="19"/>
  <c r="G34" i="19"/>
  <c r="G25" i="20"/>
  <c r="E36" i="19"/>
  <c r="E48" i="19"/>
  <c r="E60" i="19" s="1"/>
  <c r="E72" i="19" s="1"/>
  <c r="E84" i="19"/>
  <c r="E96" i="19" s="1"/>
  <c r="E108" i="19" s="1"/>
  <c r="E120" i="19"/>
  <c r="E132" i="19" s="1"/>
  <c r="E144" i="19" s="1"/>
  <c r="E156" i="19" s="1"/>
  <c r="E168" i="19" s="1"/>
  <c r="E180" i="19" s="1"/>
  <c r="E192" i="19" s="1"/>
  <c r="E204" i="19" s="1"/>
  <c r="E216" i="19" s="1"/>
  <c r="E228" i="19" s="1"/>
  <c r="E240" i="19" s="1"/>
  <c r="E252" i="19" s="1"/>
  <c r="E264" i="19" s="1"/>
  <c r="E276" i="19" s="1"/>
  <c r="E288" i="19" s="1"/>
  <c r="E300" i="19" s="1"/>
  <c r="E312" i="19" s="1"/>
  <c r="E324" i="19" s="1"/>
  <c r="E336" i="19"/>
  <c r="E348" i="19" s="1"/>
  <c r="E360" i="19" s="1"/>
  <c r="E372" i="19" s="1"/>
  <c r="E384" i="19" s="1"/>
  <c r="E396" i="19" s="1"/>
  <c r="E408" i="19" s="1"/>
  <c r="E420" i="19" s="1"/>
  <c r="E432" i="19" s="1"/>
  <c r="E444" i="19" s="1"/>
  <c r="E456" i="19" s="1"/>
  <c r="E468" i="19" s="1"/>
  <c r="E480" i="19" s="1"/>
  <c r="E492" i="19" s="1"/>
  <c r="E504" i="19" s="1"/>
  <c r="E516" i="19" s="1"/>
  <c r="E528" i="19" s="1"/>
  <c r="E540" i="19" s="1"/>
  <c r="E552" i="19" s="1"/>
  <c r="E564" i="19" s="1"/>
  <c r="E576" i="19" s="1"/>
  <c r="E588" i="19" s="1"/>
  <c r="E600" i="19" s="1"/>
  <c r="E612" i="19" s="1"/>
  <c r="E624" i="19" s="1"/>
  <c r="E636" i="19" s="1"/>
  <c r="E648" i="19" s="1"/>
  <c r="E660" i="19"/>
  <c r="E672" i="19" s="1"/>
  <c r="E684" i="19" s="1"/>
  <c r="E696" i="19" s="1"/>
  <c r="E708" i="19" s="1"/>
  <c r="E720" i="19" s="1"/>
  <c r="E732" i="19" s="1"/>
  <c r="E744" i="19" s="1"/>
  <c r="E25" i="19"/>
  <c r="E38" i="20"/>
  <c r="E50" i="20" s="1"/>
  <c r="E62" i="20" s="1"/>
  <c r="E74" i="20"/>
  <c r="E86" i="20" s="1"/>
  <c r="E98" i="20" s="1"/>
  <c r="E110" i="20"/>
  <c r="E122" i="20" s="1"/>
  <c r="E134" i="20" s="1"/>
  <c r="E146" i="20" s="1"/>
  <c r="E158" i="20" s="1"/>
  <c r="E170" i="20" s="1"/>
  <c r="E182" i="20" s="1"/>
  <c r="E194" i="20" s="1"/>
  <c r="E206" i="20" s="1"/>
  <c r="E218" i="20"/>
  <c r="E230" i="20" s="1"/>
  <c r="E242" i="20" s="1"/>
  <c r="E254" i="20" s="1"/>
  <c r="E266" i="20" s="1"/>
  <c r="E278" i="20" s="1"/>
  <c r="E290" i="20" s="1"/>
  <c r="E302" i="20" s="1"/>
  <c r="E314" i="20" s="1"/>
  <c r="E326" i="20"/>
  <c r="E338" i="20" s="1"/>
  <c r="E350" i="20" s="1"/>
  <c r="E362" i="20" s="1"/>
  <c r="E374" i="20" s="1"/>
  <c r="E386" i="20" s="1"/>
  <c r="E398" i="20" s="1"/>
  <c r="E410" i="20" s="1"/>
  <c r="E422" i="20" s="1"/>
  <c r="E434" i="20" s="1"/>
  <c r="E446" i="20" s="1"/>
  <c r="E458" i="20" s="1"/>
  <c r="E470" i="20" s="1"/>
  <c r="E482" i="20" s="1"/>
  <c r="E494" i="20" s="1"/>
  <c r="E506" i="20" s="1"/>
  <c r="E518" i="20" s="1"/>
  <c r="E530" i="20" s="1"/>
  <c r="E542" i="20" s="1"/>
  <c r="E554" i="20" s="1"/>
  <c r="E566" i="20" s="1"/>
  <c r="E578" i="20" s="1"/>
  <c r="E590" i="20" s="1"/>
  <c r="E602" i="20" s="1"/>
  <c r="E614" i="20" s="1"/>
  <c r="E626" i="20" s="1"/>
  <c r="E638" i="20" s="1"/>
  <c r="E650" i="20" s="1"/>
  <c r="E662" i="20" s="1"/>
  <c r="E674" i="20" s="1"/>
  <c r="E686" i="20" s="1"/>
  <c r="E698" i="20" s="1"/>
  <c r="E710" i="20" s="1"/>
  <c r="E722" i="20" s="1"/>
  <c r="E734" i="20" s="1"/>
  <c r="E746" i="20" s="1"/>
  <c r="E27" i="20"/>
  <c r="E28" i="20" s="1"/>
  <c r="E37" i="20"/>
  <c r="E49" i="20"/>
  <c r="E61" i="20"/>
  <c r="E73" i="20" s="1"/>
  <c r="E85" i="20" s="1"/>
  <c r="E97" i="20"/>
  <c r="E109" i="20" s="1"/>
  <c r="E121" i="20" s="1"/>
  <c r="E133" i="20" s="1"/>
  <c r="E145" i="20" s="1"/>
  <c r="E157" i="20" s="1"/>
  <c r="E169" i="20" s="1"/>
  <c r="E181" i="20" s="1"/>
  <c r="E193" i="20" s="1"/>
  <c r="E205" i="20"/>
  <c r="E217" i="20" s="1"/>
  <c r="E229" i="20" s="1"/>
  <c r="E241" i="20" s="1"/>
  <c r="E253" i="20" s="1"/>
  <c r="E265" i="20" s="1"/>
  <c r="E277" i="20" s="1"/>
  <c r="E289" i="20" s="1"/>
  <c r="E301" i="20" s="1"/>
  <c r="E313" i="20" s="1"/>
  <c r="E325" i="20" s="1"/>
  <c r="E337" i="20" s="1"/>
  <c r="E349" i="20" s="1"/>
  <c r="E361" i="20" s="1"/>
  <c r="E373" i="20" s="1"/>
  <c r="E385" i="20" s="1"/>
  <c r="E397" i="20" s="1"/>
  <c r="E409" i="20" s="1"/>
  <c r="E421" i="20" s="1"/>
  <c r="E433" i="20" s="1"/>
  <c r="E445" i="20" s="1"/>
  <c r="E457" i="20" s="1"/>
  <c r="E469" i="20" s="1"/>
  <c r="E481" i="20" s="1"/>
  <c r="E493" i="20" s="1"/>
  <c r="E505" i="20" s="1"/>
  <c r="E517" i="20" s="1"/>
  <c r="E529" i="20" s="1"/>
  <c r="E541" i="20" s="1"/>
  <c r="E553" i="20" s="1"/>
  <c r="E565" i="20" s="1"/>
  <c r="E577" i="20" s="1"/>
  <c r="E589" i="20" s="1"/>
  <c r="E601" i="20" s="1"/>
  <c r="E613" i="20" s="1"/>
  <c r="E625" i="20" s="1"/>
  <c r="E637" i="20" s="1"/>
  <c r="E649" i="20" s="1"/>
  <c r="E661" i="20" s="1"/>
  <c r="E673" i="20" s="1"/>
  <c r="E685" i="20" s="1"/>
  <c r="E697" i="20" s="1"/>
  <c r="E709" i="20" s="1"/>
  <c r="E721" i="20" s="1"/>
  <c r="E733" i="20" s="1"/>
  <c r="E745" i="20" s="1"/>
  <c r="AH79" i="21"/>
  <c r="AP64" i="2"/>
  <c r="AQ64" i="2" s="1"/>
  <c r="G19" i="2" s="1"/>
  <c r="Q40" i="19"/>
  <c r="Q52" i="19" s="1"/>
  <c r="Q64" i="19" s="1"/>
  <c r="Q76" i="19" s="1"/>
  <c r="Q88" i="19" s="1"/>
  <c r="Q100" i="19" s="1"/>
  <c r="Q112" i="19" s="1"/>
  <c r="Q124" i="19" s="1"/>
  <c r="Q136" i="19" s="1"/>
  <c r="Q148" i="19" s="1"/>
  <c r="Q160" i="19" s="1"/>
  <c r="Q172" i="19" s="1"/>
  <c r="Q184" i="19" s="1"/>
  <c r="Q196" i="19" s="1"/>
  <c r="Q208" i="19" s="1"/>
  <c r="Q220" i="19" s="1"/>
  <c r="Q232" i="19" s="1"/>
  <c r="Q244" i="19" s="1"/>
  <c r="Q256" i="19" s="1"/>
  <c r="Q268" i="19" s="1"/>
  <c r="Q280" i="19" s="1"/>
  <c r="Q292" i="19" s="1"/>
  <c r="Q304" i="19" s="1"/>
  <c r="Q316" i="19" s="1"/>
  <c r="Q328" i="19" s="1"/>
  <c r="Q340" i="19" s="1"/>
  <c r="Q352" i="19" s="1"/>
  <c r="Q364" i="19" s="1"/>
  <c r="Q376" i="19" s="1"/>
  <c r="Q388" i="19" s="1"/>
  <c r="Q400" i="19" s="1"/>
  <c r="Q412" i="19" s="1"/>
  <c r="Q424" i="19" s="1"/>
  <c r="Q436" i="19" s="1"/>
  <c r="Q448" i="19" s="1"/>
  <c r="Q460" i="19" s="1"/>
  <c r="Q472" i="19" s="1"/>
  <c r="Q484" i="19" s="1"/>
  <c r="Q496" i="19" s="1"/>
  <c r="Q508" i="19" s="1"/>
  <c r="Q520" i="19" s="1"/>
  <c r="Q532" i="19" s="1"/>
  <c r="Q544" i="19" s="1"/>
  <c r="Q556" i="19" s="1"/>
  <c r="Q568" i="19" s="1"/>
  <c r="Q580" i="19" s="1"/>
  <c r="Q592" i="19" s="1"/>
  <c r="Q604" i="19" s="1"/>
  <c r="Q616" i="19" s="1"/>
  <c r="Q628" i="19" s="1"/>
  <c r="Q640" i="19" s="1"/>
  <c r="Q652" i="19" s="1"/>
  <c r="Q664" i="19" s="1"/>
  <c r="Q676" i="19" s="1"/>
  <c r="Q688" i="19" s="1"/>
  <c r="Q700" i="19" s="1"/>
  <c r="Q712" i="19" s="1"/>
  <c r="Q724" i="19" s="1"/>
  <c r="Q736" i="19" s="1"/>
  <c r="Q748" i="19" s="1"/>
  <c r="G39" i="19"/>
  <c r="G40" i="19" s="1"/>
  <c r="G41" i="19" s="1"/>
  <c r="S43" i="19"/>
  <c r="S46" i="19"/>
  <c r="G35" i="17"/>
  <c r="G31" i="17"/>
  <c r="G32" i="17"/>
  <c r="G27" i="17"/>
  <c r="AG37" i="21"/>
  <c r="AE42" i="21"/>
  <c r="G25" i="17"/>
  <c r="S36" i="17"/>
  <c r="G34" i="17"/>
  <c r="G26" i="17"/>
  <c r="G30" i="17"/>
  <c r="G33" i="17"/>
  <c r="AH25" i="17"/>
  <c r="AI25" i="19"/>
  <c r="AI26" i="19"/>
  <c r="AI27" i="19" s="1"/>
  <c r="AI28" i="19" s="1"/>
  <c r="AI29" i="19" s="1"/>
  <c r="AI30" i="19" s="1"/>
  <c r="G36" i="17"/>
  <c r="S44" i="17"/>
  <c r="G29" i="17"/>
  <c r="AC28" i="19"/>
  <c r="A28" i="19"/>
  <c r="B29" i="19"/>
  <c r="C34" i="2"/>
  <c r="Q39" i="17"/>
  <c r="Q51" i="17" s="1"/>
  <c r="Q63" i="17" s="1"/>
  <c r="Q75" i="17"/>
  <c r="Q87" i="17" s="1"/>
  <c r="Q99" i="17" s="1"/>
  <c r="Q111" i="17" s="1"/>
  <c r="Q123" i="17" s="1"/>
  <c r="Q135" i="17" s="1"/>
  <c r="Q147" i="17" s="1"/>
  <c r="Q159" i="17" s="1"/>
  <c r="Q171" i="17" s="1"/>
  <c r="Q183" i="17"/>
  <c r="Q195" i="17" s="1"/>
  <c r="Q207" i="17" s="1"/>
  <c r="Q219" i="17" s="1"/>
  <c r="Q231" i="17" s="1"/>
  <c r="Q243" i="17" s="1"/>
  <c r="Q255" i="17" s="1"/>
  <c r="Q267" i="17" s="1"/>
  <c r="Q279" i="17" s="1"/>
  <c r="Q291" i="17" s="1"/>
  <c r="Q303" i="17" s="1"/>
  <c r="Q315" i="17" s="1"/>
  <c r="Q327" i="17" s="1"/>
  <c r="Q339" i="17" s="1"/>
  <c r="Q351" i="17" s="1"/>
  <c r="Q363" i="17" s="1"/>
  <c r="Q375" i="17" s="1"/>
  <c r="Q387" i="17" s="1"/>
  <c r="Q399" i="17" s="1"/>
  <c r="Q411" i="17" s="1"/>
  <c r="Q423" i="17" s="1"/>
  <c r="Q435" i="17" s="1"/>
  <c r="Q447" i="17" s="1"/>
  <c r="Q459" i="17" s="1"/>
  <c r="Q471" i="17" s="1"/>
  <c r="Q483" i="17" s="1"/>
  <c r="Q495" i="17" s="1"/>
  <c r="Q507" i="17" s="1"/>
  <c r="Q519" i="17" s="1"/>
  <c r="Q531" i="17" s="1"/>
  <c r="Q543" i="17" s="1"/>
  <c r="Q555" i="17" s="1"/>
  <c r="Q567" i="17" s="1"/>
  <c r="Q579" i="17" s="1"/>
  <c r="Q591" i="17" s="1"/>
  <c r="Q603" i="17" s="1"/>
  <c r="Q615" i="17" s="1"/>
  <c r="Q627" i="17" s="1"/>
  <c r="Q639" i="17" s="1"/>
  <c r="Q651" i="17" s="1"/>
  <c r="Q663" i="17" s="1"/>
  <c r="Q675" i="17" s="1"/>
  <c r="Q687" i="17" s="1"/>
  <c r="Q699" i="17" s="1"/>
  <c r="Q711" i="17" s="1"/>
  <c r="Q723" i="17" s="1"/>
  <c r="Q735" i="17" s="1"/>
  <c r="Q747" i="17" s="1"/>
  <c r="AC27" i="19"/>
  <c r="T23" i="18"/>
  <c r="T26" i="18"/>
  <c r="F9" i="18" s="1"/>
  <c r="F27" i="18" s="1"/>
  <c r="S48" i="17"/>
  <c r="G36" i="20"/>
  <c r="G39" i="17"/>
  <c r="G40" i="17"/>
  <c r="G41" i="17" s="1"/>
  <c r="E37" i="19"/>
  <c r="E49" i="19"/>
  <c r="E61" i="19" s="1"/>
  <c r="E73" i="19" s="1"/>
  <c r="E85" i="19" s="1"/>
  <c r="E97" i="19" s="1"/>
  <c r="E109" i="19" s="1"/>
  <c r="E121" i="19" s="1"/>
  <c r="E133" i="19" s="1"/>
  <c r="E145" i="19" s="1"/>
  <c r="E157" i="19"/>
  <c r="E169" i="19" s="1"/>
  <c r="E181" i="19" s="1"/>
  <c r="E193" i="19" s="1"/>
  <c r="E205" i="19" s="1"/>
  <c r="E217" i="19" s="1"/>
  <c r="E229" i="19" s="1"/>
  <c r="E241" i="19" s="1"/>
  <c r="E253" i="19" s="1"/>
  <c r="E265" i="19" s="1"/>
  <c r="E277" i="19" s="1"/>
  <c r="E289" i="19" s="1"/>
  <c r="E301" i="19" s="1"/>
  <c r="E313" i="19" s="1"/>
  <c r="E325" i="19" s="1"/>
  <c r="E337" i="19" s="1"/>
  <c r="E349" i="19" s="1"/>
  <c r="E361" i="19" s="1"/>
  <c r="E373" i="19" s="1"/>
  <c r="E385" i="19" s="1"/>
  <c r="E397" i="19" s="1"/>
  <c r="E409" i="19" s="1"/>
  <c r="E421" i="19" s="1"/>
  <c r="E433" i="19" s="1"/>
  <c r="E445" i="19" s="1"/>
  <c r="E457" i="19" s="1"/>
  <c r="E469" i="19" s="1"/>
  <c r="E481" i="19"/>
  <c r="E493" i="19" s="1"/>
  <c r="E505" i="19" s="1"/>
  <c r="E517" i="19" s="1"/>
  <c r="E529" i="19" s="1"/>
  <c r="E541" i="19" s="1"/>
  <c r="E553" i="19" s="1"/>
  <c r="E565" i="19" s="1"/>
  <c r="E577" i="19" s="1"/>
  <c r="E589" i="19" s="1"/>
  <c r="E601" i="19" s="1"/>
  <c r="E613" i="19" s="1"/>
  <c r="E625" i="19" s="1"/>
  <c r="E637" i="19" s="1"/>
  <c r="E649" i="19" s="1"/>
  <c r="E661" i="19" s="1"/>
  <c r="E673" i="19" s="1"/>
  <c r="E685" i="19" s="1"/>
  <c r="E697" i="19" s="1"/>
  <c r="E709" i="19" s="1"/>
  <c r="E721" i="19" s="1"/>
  <c r="E733" i="19" s="1"/>
  <c r="E745" i="19" s="1"/>
  <c r="E26" i="19"/>
  <c r="E39" i="20"/>
  <c r="E51" i="20" s="1"/>
  <c r="E63" i="20" s="1"/>
  <c r="E75" i="20" s="1"/>
  <c r="E87" i="20" s="1"/>
  <c r="E99" i="20" s="1"/>
  <c r="E111" i="20" s="1"/>
  <c r="E123" i="20" s="1"/>
  <c r="E135" i="20" s="1"/>
  <c r="E147" i="20" s="1"/>
  <c r="E159" i="20" s="1"/>
  <c r="E171" i="20" s="1"/>
  <c r="E183" i="20" s="1"/>
  <c r="E195" i="20" s="1"/>
  <c r="E207" i="20" s="1"/>
  <c r="E219" i="20" s="1"/>
  <c r="E231" i="20" s="1"/>
  <c r="E243" i="20" s="1"/>
  <c r="E255" i="20"/>
  <c r="E267" i="20" s="1"/>
  <c r="E279" i="20" s="1"/>
  <c r="E291" i="20" s="1"/>
  <c r="E303" i="20" s="1"/>
  <c r="E315" i="20" s="1"/>
  <c r="E327" i="20" s="1"/>
  <c r="E339" i="20" s="1"/>
  <c r="E351" i="20" s="1"/>
  <c r="E363" i="20" s="1"/>
  <c r="E375" i="20" s="1"/>
  <c r="E387" i="20" s="1"/>
  <c r="E399" i="20" s="1"/>
  <c r="E411" i="20" s="1"/>
  <c r="E423" i="20" s="1"/>
  <c r="E435" i="20" s="1"/>
  <c r="E447" i="20" s="1"/>
  <c r="E459" i="20" s="1"/>
  <c r="E471" i="20" s="1"/>
  <c r="E483" i="20" s="1"/>
  <c r="E495" i="20" s="1"/>
  <c r="E507" i="20" s="1"/>
  <c r="E519" i="20" s="1"/>
  <c r="E531" i="20" s="1"/>
  <c r="E543" i="20" s="1"/>
  <c r="E555" i="20" s="1"/>
  <c r="E567" i="20" s="1"/>
  <c r="E579" i="20" s="1"/>
  <c r="E591" i="20" s="1"/>
  <c r="E603" i="20" s="1"/>
  <c r="E615" i="20" s="1"/>
  <c r="E627" i="20" s="1"/>
  <c r="E639" i="20" s="1"/>
  <c r="E651" i="20" s="1"/>
  <c r="E663" i="20" s="1"/>
  <c r="E675" i="20" s="1"/>
  <c r="E687" i="20" s="1"/>
  <c r="E699" i="20" s="1"/>
  <c r="E711" i="20" s="1"/>
  <c r="E723" i="20" s="1"/>
  <c r="E735" i="20" s="1"/>
  <c r="E747" i="20" s="1"/>
  <c r="S57" i="17"/>
  <c r="S58" i="17" s="1"/>
  <c r="T24" i="2"/>
  <c r="AA24" i="2" s="1"/>
  <c r="AD28" i="21" s="1"/>
  <c r="S47" i="17"/>
  <c r="AC29" i="19"/>
  <c r="A29" i="19"/>
  <c r="B30" i="19"/>
  <c r="AH42" i="21"/>
  <c r="AI42" i="21"/>
  <c r="AX42" i="21"/>
  <c r="S51" i="17"/>
  <c r="S52" i="17" s="1"/>
  <c r="S53" i="17" s="1"/>
  <c r="S43" i="17"/>
  <c r="AI79" i="21"/>
  <c r="C35" i="2"/>
  <c r="S45" i="17"/>
  <c r="S42" i="17"/>
  <c r="S46" i="17"/>
  <c r="G37" i="17"/>
  <c r="G38" i="17" s="1"/>
  <c r="S42" i="20"/>
  <c r="S46" i="20"/>
  <c r="S45" i="20"/>
  <c r="S43" i="20"/>
  <c r="S47" i="20"/>
  <c r="G39" i="20"/>
  <c r="G40" i="20" s="1"/>
  <c r="G41" i="20"/>
  <c r="S48" i="20"/>
  <c r="S44" i="20"/>
  <c r="G37" i="20"/>
  <c r="G38" i="20"/>
  <c r="E38" i="19"/>
  <c r="E50" i="19"/>
  <c r="E62" i="19" s="1"/>
  <c r="E74" i="19" s="1"/>
  <c r="E86" i="19"/>
  <c r="E98" i="19" s="1"/>
  <c r="E110" i="19" s="1"/>
  <c r="E122" i="19"/>
  <c r="E134" i="19" s="1"/>
  <c r="E146" i="19" s="1"/>
  <c r="E158" i="19" s="1"/>
  <c r="E170" i="19" s="1"/>
  <c r="E182" i="19" s="1"/>
  <c r="E194" i="19" s="1"/>
  <c r="E206" i="19" s="1"/>
  <c r="E218" i="19" s="1"/>
  <c r="E230" i="19"/>
  <c r="E242" i="19" s="1"/>
  <c r="E254" i="19" s="1"/>
  <c r="E266" i="19" s="1"/>
  <c r="E278" i="19" s="1"/>
  <c r="E290" i="19" s="1"/>
  <c r="E302" i="19" s="1"/>
  <c r="E314" i="19" s="1"/>
  <c r="E326" i="19" s="1"/>
  <c r="E338" i="19"/>
  <c r="E350" i="19" s="1"/>
  <c r="E362" i="19" s="1"/>
  <c r="E374" i="19" s="1"/>
  <c r="E386" i="19" s="1"/>
  <c r="E398" i="19" s="1"/>
  <c r="E410" i="19" s="1"/>
  <c r="E422" i="19" s="1"/>
  <c r="E434" i="19" s="1"/>
  <c r="E446" i="19" s="1"/>
  <c r="E458" i="19" s="1"/>
  <c r="E470" i="19" s="1"/>
  <c r="E482" i="19" s="1"/>
  <c r="E494" i="19" s="1"/>
  <c r="E506" i="19" s="1"/>
  <c r="E518" i="19" s="1"/>
  <c r="E530" i="19" s="1"/>
  <c r="E542" i="19" s="1"/>
  <c r="E554" i="19" s="1"/>
  <c r="E566" i="19" s="1"/>
  <c r="E578" i="19" s="1"/>
  <c r="E590" i="19" s="1"/>
  <c r="E602" i="19" s="1"/>
  <c r="E614" i="19" s="1"/>
  <c r="E626" i="19" s="1"/>
  <c r="E638" i="19" s="1"/>
  <c r="E650" i="19" s="1"/>
  <c r="E662" i="19"/>
  <c r="E674" i="19" s="1"/>
  <c r="E686" i="19" s="1"/>
  <c r="E698" i="19" s="1"/>
  <c r="E710" i="19" s="1"/>
  <c r="E722" i="19" s="1"/>
  <c r="E734" i="19" s="1"/>
  <c r="E746" i="19" s="1"/>
  <c r="E27" i="19"/>
  <c r="AJ79" i="21"/>
  <c r="AC30" i="19"/>
  <c r="A30" i="19"/>
  <c r="B31" i="19"/>
  <c r="A31" i="19" s="1"/>
  <c r="G9" i="20"/>
  <c r="G9" i="17"/>
  <c r="S70" i="17"/>
  <c r="S82" i="17" s="1"/>
  <c r="S59" i="17"/>
  <c r="AK79" i="21"/>
  <c r="AL79" i="21" s="1"/>
  <c r="AM79" i="21" s="1"/>
  <c r="AN79" i="21" s="1"/>
  <c r="AO79" i="21" s="1"/>
  <c r="AP79" i="21" s="1"/>
  <c r="AQ79" i="21" s="1"/>
  <c r="AR79" i="21" s="1"/>
  <c r="AS79" i="21" s="1"/>
  <c r="AT79" i="21" s="1"/>
  <c r="AU79" i="21" s="1"/>
  <c r="AV79" i="21" s="1"/>
  <c r="S71" i="17"/>
  <c r="AC31" i="19"/>
  <c r="T25" i="20"/>
  <c r="X56" i="2"/>
  <c r="H24" i="19"/>
  <c r="G6" i="19"/>
  <c r="AC5" i="21"/>
  <c r="AW79" i="21"/>
  <c r="E39" i="19"/>
  <c r="E51" i="19"/>
  <c r="E63" i="19" s="1"/>
  <c r="E75" i="19" s="1"/>
  <c r="E87" i="19" s="1"/>
  <c r="E99" i="19" s="1"/>
  <c r="E111" i="19" s="1"/>
  <c r="E123" i="19"/>
  <c r="E135" i="19" s="1"/>
  <c r="E147" i="19" s="1"/>
  <c r="E159" i="19" s="1"/>
  <c r="E171" i="19" s="1"/>
  <c r="E183" i="19" s="1"/>
  <c r="E195" i="19" s="1"/>
  <c r="E207" i="19" s="1"/>
  <c r="E219" i="19" s="1"/>
  <c r="E231" i="19" s="1"/>
  <c r="E243" i="19" s="1"/>
  <c r="E255" i="19" s="1"/>
  <c r="E267" i="19" s="1"/>
  <c r="E279" i="19" s="1"/>
  <c r="E291" i="19" s="1"/>
  <c r="E303" i="19" s="1"/>
  <c r="E315" i="19" s="1"/>
  <c r="E327" i="19" s="1"/>
  <c r="E339" i="19" s="1"/>
  <c r="E351" i="19" s="1"/>
  <c r="E363" i="19" s="1"/>
  <c r="E375" i="19" s="1"/>
  <c r="E387" i="19" s="1"/>
  <c r="E399" i="19" s="1"/>
  <c r="E411" i="19"/>
  <c r="E423" i="19" s="1"/>
  <c r="E435" i="19" s="1"/>
  <c r="E447" i="19" s="1"/>
  <c r="E459" i="19" s="1"/>
  <c r="E471" i="19" s="1"/>
  <c r="E483" i="19" s="1"/>
  <c r="E495" i="19" s="1"/>
  <c r="E507" i="19" s="1"/>
  <c r="E519" i="19" s="1"/>
  <c r="E531" i="19" s="1"/>
  <c r="E543" i="19" s="1"/>
  <c r="E555" i="19" s="1"/>
  <c r="E567" i="19" s="1"/>
  <c r="E579" i="19" s="1"/>
  <c r="E591" i="19" s="1"/>
  <c r="E603" i="19" s="1"/>
  <c r="E615" i="19" s="1"/>
  <c r="E627" i="19" s="1"/>
  <c r="E639" i="19" s="1"/>
  <c r="E651" i="19" s="1"/>
  <c r="E663" i="19" s="1"/>
  <c r="E675" i="19" s="1"/>
  <c r="E687" i="19" s="1"/>
  <c r="E699" i="19" s="1"/>
  <c r="E711" i="19" s="1"/>
  <c r="E723" i="19" s="1"/>
  <c r="E735" i="19" s="1"/>
  <c r="E747" i="19" s="1"/>
  <c r="E28" i="19"/>
  <c r="E29" i="19" s="1"/>
  <c r="AF38" i="19"/>
  <c r="K24" i="19"/>
  <c r="L24" i="19" s="1"/>
  <c r="F25" i="19" s="1"/>
  <c r="E40" i="19"/>
  <c r="E52" i="19"/>
  <c r="E64" i="19" s="1"/>
  <c r="E76" i="19" s="1"/>
  <c r="E88" i="19" s="1"/>
  <c r="E100" i="19" s="1"/>
  <c r="E112" i="19" s="1"/>
  <c r="E124" i="19"/>
  <c r="E136" i="19" s="1"/>
  <c r="E148" i="19" s="1"/>
  <c r="E160" i="19" s="1"/>
  <c r="E172" i="19" s="1"/>
  <c r="E184" i="19" s="1"/>
  <c r="E196" i="19" s="1"/>
  <c r="E208" i="19" s="1"/>
  <c r="E220" i="19" s="1"/>
  <c r="E232" i="19" s="1"/>
  <c r="E244" i="19" s="1"/>
  <c r="E256" i="19" s="1"/>
  <c r="E268" i="19" s="1"/>
  <c r="E280" i="19" s="1"/>
  <c r="E292" i="19" s="1"/>
  <c r="E304" i="19" s="1"/>
  <c r="E316" i="19" s="1"/>
  <c r="E328" i="19" s="1"/>
  <c r="E340" i="19" s="1"/>
  <c r="E352" i="19" s="1"/>
  <c r="E364" i="19" s="1"/>
  <c r="E376" i="19" s="1"/>
  <c r="E388" i="19" s="1"/>
  <c r="E400" i="19" s="1"/>
  <c r="E412" i="19" s="1"/>
  <c r="E424" i="19" s="1"/>
  <c r="E436" i="19" s="1"/>
  <c r="E448" i="19" s="1"/>
  <c r="E460" i="19" s="1"/>
  <c r="E472" i="19" s="1"/>
  <c r="E484" i="19" s="1"/>
  <c r="E496" i="19" s="1"/>
  <c r="E508" i="19" s="1"/>
  <c r="E520" i="19" s="1"/>
  <c r="E532" i="19" s="1"/>
  <c r="E544" i="19" s="1"/>
  <c r="E556" i="19" s="1"/>
  <c r="E568" i="19" s="1"/>
  <c r="E580" i="19" s="1"/>
  <c r="E592" i="19" s="1"/>
  <c r="E604" i="19" s="1"/>
  <c r="E616" i="19" s="1"/>
  <c r="E628" i="19" s="1"/>
  <c r="E640" i="19" s="1"/>
  <c r="E652" i="19" s="1"/>
  <c r="E664" i="19" s="1"/>
  <c r="E676" i="19" s="1"/>
  <c r="E688" i="19" s="1"/>
  <c r="E700" i="19"/>
  <c r="E712" i="19" s="1"/>
  <c r="E724" i="19" s="1"/>
  <c r="E736" i="19" s="1"/>
  <c r="E748" i="19" s="1"/>
  <c r="AX79" i="21"/>
  <c r="AY79" i="21" s="1"/>
  <c r="AZ79" i="21"/>
  <c r="BA79" i="21" s="1"/>
  <c r="BB79" i="21" s="1"/>
  <c r="BC79" i="21" s="1"/>
  <c r="BD79" i="21" s="1"/>
  <c r="H25" i="19" l="1"/>
  <c r="K25" i="19" s="1"/>
  <c r="AF39" i="19"/>
  <c r="AF40" i="19" s="1"/>
  <c r="AF41" i="19" s="1"/>
  <c r="AF42" i="19" s="1"/>
  <c r="AF43" i="19" s="1"/>
  <c r="AF44" i="19" s="1"/>
  <c r="AF45" i="19" s="1"/>
  <c r="AF46" i="19" s="1"/>
  <c r="AF47" i="19" s="1"/>
  <c r="AF48" i="19" s="1"/>
  <c r="AF49" i="19" s="1"/>
  <c r="AF50" i="19" s="1"/>
  <c r="AF51" i="19" s="1"/>
  <c r="AF52" i="19" s="1"/>
  <c r="AF53" i="19" s="1"/>
  <c r="AF54" i="19" s="1"/>
  <c r="AF55" i="19" s="1"/>
  <c r="AF56" i="19" s="1"/>
  <c r="AF57" i="19" s="1"/>
  <c r="AF58" i="19" s="1"/>
  <c r="AF59" i="19" s="1"/>
  <c r="AF60" i="19" s="1"/>
  <c r="AF61" i="19" s="1"/>
  <c r="AF62" i="19" s="1"/>
  <c r="AF63" i="19" s="1"/>
  <c r="AF64" i="19" s="1"/>
  <c r="AF65" i="19" s="1"/>
  <c r="AF66" i="19" s="1"/>
  <c r="AF67" i="19" s="1"/>
  <c r="AF68" i="19" s="1"/>
  <c r="AF69" i="19" s="1"/>
  <c r="AF70" i="19" s="1"/>
  <c r="AF71" i="19" s="1"/>
  <c r="AF72" i="19" s="1"/>
  <c r="AF73" i="19" s="1"/>
  <c r="AF74" i="19" s="1"/>
  <c r="AF75" i="19" s="1"/>
  <c r="AF76" i="19" s="1"/>
  <c r="AF77" i="19" s="1"/>
  <c r="AF78" i="19" s="1"/>
  <c r="AF79" i="19" s="1"/>
  <c r="AF80" i="19" s="1"/>
  <c r="AF81" i="19" s="1"/>
  <c r="AF82" i="19" s="1"/>
  <c r="AF83" i="19" s="1"/>
  <c r="AF84" i="19" s="1"/>
  <c r="AF85" i="19" s="1"/>
  <c r="AF86" i="19" s="1"/>
  <c r="AF87" i="19" s="1"/>
  <c r="AF88" i="19" s="1"/>
  <c r="AF89" i="19" s="1"/>
  <c r="AF90" i="19" s="1"/>
  <c r="AF91" i="19" s="1"/>
  <c r="AF92" i="19" s="1"/>
  <c r="AF93" i="19" s="1"/>
  <c r="AF94" i="19" s="1"/>
  <c r="AF95" i="19" s="1"/>
  <c r="AF96" i="19" s="1"/>
  <c r="AF97" i="19" s="1"/>
  <c r="AF98" i="19" s="1"/>
  <c r="AF99" i="19" s="1"/>
  <c r="AF100" i="19" s="1"/>
  <c r="AF101" i="19" s="1"/>
  <c r="AF102" i="19" s="1"/>
  <c r="AF103" i="19" s="1"/>
  <c r="AF104" i="19" s="1"/>
  <c r="AC6" i="21"/>
  <c r="AB1" i="21"/>
  <c r="AC8" i="21"/>
  <c r="E41" i="19"/>
  <c r="E53" i="19" s="1"/>
  <c r="E65" i="19" s="1"/>
  <c r="E77" i="19" s="1"/>
  <c r="E89" i="19" s="1"/>
  <c r="E101" i="19" s="1"/>
  <c r="E113" i="19" s="1"/>
  <c r="E125" i="19" s="1"/>
  <c r="E137" i="19" s="1"/>
  <c r="E149" i="19" s="1"/>
  <c r="E161" i="19" s="1"/>
  <c r="E173" i="19" s="1"/>
  <c r="E185" i="19" s="1"/>
  <c r="E197" i="19" s="1"/>
  <c r="E209" i="19" s="1"/>
  <c r="E221" i="19" s="1"/>
  <c r="E233" i="19" s="1"/>
  <c r="E245" i="19" s="1"/>
  <c r="E257" i="19" s="1"/>
  <c r="E269" i="19" s="1"/>
  <c r="E281" i="19" s="1"/>
  <c r="E293" i="19" s="1"/>
  <c r="E305" i="19" s="1"/>
  <c r="E317" i="19" s="1"/>
  <c r="E329" i="19" s="1"/>
  <c r="E341" i="19" s="1"/>
  <c r="E353" i="19" s="1"/>
  <c r="E365" i="19" s="1"/>
  <c r="E377" i="19" s="1"/>
  <c r="E389" i="19" s="1"/>
  <c r="E401" i="19" s="1"/>
  <c r="E413" i="19" s="1"/>
  <c r="E425" i="19" s="1"/>
  <c r="E437" i="19" s="1"/>
  <c r="E449" i="19" s="1"/>
  <c r="E461" i="19" s="1"/>
  <c r="E473" i="19" s="1"/>
  <c r="E485" i="19" s="1"/>
  <c r="E497" i="19" s="1"/>
  <c r="E509" i="19" s="1"/>
  <c r="E521" i="19" s="1"/>
  <c r="E533" i="19" s="1"/>
  <c r="E545" i="19" s="1"/>
  <c r="E557" i="19" s="1"/>
  <c r="E569" i="19" s="1"/>
  <c r="E581" i="19" s="1"/>
  <c r="E593" i="19" s="1"/>
  <c r="E605" i="19" s="1"/>
  <c r="E617" i="19" s="1"/>
  <c r="E629" i="19" s="1"/>
  <c r="E641" i="19" s="1"/>
  <c r="E653" i="19" s="1"/>
  <c r="E665" i="19" s="1"/>
  <c r="E677" i="19" s="1"/>
  <c r="E689" i="19" s="1"/>
  <c r="E701" i="19" s="1"/>
  <c r="E713" i="19" s="1"/>
  <c r="E725" i="19" s="1"/>
  <c r="E737" i="19" s="1"/>
  <c r="E749" i="19" s="1"/>
  <c r="E30" i="19"/>
  <c r="AC35" i="2"/>
  <c r="C36" i="2"/>
  <c r="AR17" i="2"/>
  <c r="AR18" i="2" s="1"/>
  <c r="AR19" i="2" s="1"/>
  <c r="AR20" i="2" s="1"/>
  <c r="AR21" i="2" s="1"/>
  <c r="AR22" i="2" s="1"/>
  <c r="AR23" i="2" s="1"/>
  <c r="AR24" i="2" s="1"/>
  <c r="AR40" i="2"/>
  <c r="AR42" i="2" s="1"/>
  <c r="AR76" i="2" s="1"/>
  <c r="AR77" i="2" s="1"/>
  <c r="AR78" i="2" s="1"/>
  <c r="AR79" i="2" s="1"/>
  <c r="AR80" i="2" s="1"/>
  <c r="T27" i="17"/>
  <c r="T34" i="17"/>
  <c r="T25" i="17"/>
  <c r="T26" i="17"/>
  <c r="T31" i="17"/>
  <c r="T28" i="17"/>
  <c r="T30" i="17"/>
  <c r="T24" i="17"/>
  <c r="T33" i="17"/>
  <c r="T29" i="17"/>
  <c r="T32" i="17"/>
  <c r="T35" i="17"/>
  <c r="T31" i="20"/>
  <c r="T34" i="20"/>
  <c r="T35" i="20"/>
  <c r="T27" i="20"/>
  <c r="T28" i="20"/>
  <c r="T30" i="20"/>
  <c r="T26" i="20"/>
  <c r="T33" i="20"/>
  <c r="T29" i="20"/>
  <c r="T24" i="20"/>
  <c r="T32" i="20"/>
  <c r="B29" i="17"/>
  <c r="AC28" i="17"/>
  <c r="AC28" i="20"/>
  <c r="B29" i="20"/>
  <c r="S94" i="17"/>
  <c r="S83" i="17"/>
  <c r="F30" i="18"/>
  <c r="AI31" i="19"/>
  <c r="AI32" i="19" s="1"/>
  <c r="AI33" i="19" s="1"/>
  <c r="AI34" i="19" s="1"/>
  <c r="AI35" i="19" s="1"/>
  <c r="AI36" i="19" s="1"/>
  <c r="AI37" i="19" s="1"/>
  <c r="AI38" i="19" s="1"/>
  <c r="AI39" i="19" s="1"/>
  <c r="AI40" i="19" s="1"/>
  <c r="AI41" i="19" s="1"/>
  <c r="AI42" i="19" s="1"/>
  <c r="AI43" i="19" s="1"/>
  <c r="AI44" i="19" s="1"/>
  <c r="AI45" i="19" s="1"/>
  <c r="AI46" i="19" s="1"/>
  <c r="AI47" i="19" s="1"/>
  <c r="AI48" i="19" s="1"/>
  <c r="AI49" i="19" s="1"/>
  <c r="AI50" i="19" s="1"/>
  <c r="AI51" i="19" s="1"/>
  <c r="AI52" i="19" s="1"/>
  <c r="AI53" i="19" s="1"/>
  <c r="AI54" i="19" s="1"/>
  <c r="AI55" i="19" s="1"/>
  <c r="AI56" i="19" s="1"/>
  <c r="AI57" i="19" s="1"/>
  <c r="AI58" i="19" s="1"/>
  <c r="AI59" i="19" s="1"/>
  <c r="AI60" i="19" s="1"/>
  <c r="AI61" i="19" s="1"/>
  <c r="AI62" i="19" s="1"/>
  <c r="AI63" i="19" s="1"/>
  <c r="AI64" i="19" s="1"/>
  <c r="AI65" i="19" s="1"/>
  <c r="AI66" i="19" s="1"/>
  <c r="AI67" i="19" s="1"/>
  <c r="AI68" i="19" s="1"/>
  <c r="AI69" i="19" s="1"/>
  <c r="AI70" i="19" s="1"/>
  <c r="AI71" i="19" s="1"/>
  <c r="AI72" i="19" s="1"/>
  <c r="AI73" i="19" s="1"/>
  <c r="AI74" i="19" s="1"/>
  <c r="AI75" i="19" s="1"/>
  <c r="AI76" i="19" s="1"/>
  <c r="AI77" i="19" s="1"/>
  <c r="AI78" i="19" s="1"/>
  <c r="AI79" i="19" s="1"/>
  <c r="AI80" i="19" s="1"/>
  <c r="AI81" i="19" s="1"/>
  <c r="AI82" i="19" s="1"/>
  <c r="AI83" i="19" s="1"/>
  <c r="AI84" i="19" s="1"/>
  <c r="AI85" i="19" s="1"/>
  <c r="AI86" i="19" s="1"/>
  <c r="AI87" i="19" s="1"/>
  <c r="AI88" i="19" s="1"/>
  <c r="AI89" i="19" s="1"/>
  <c r="AI90" i="19" s="1"/>
  <c r="AI91" i="19" s="1"/>
  <c r="AI92" i="19" s="1"/>
  <c r="AI93" i="19" s="1"/>
  <c r="AI94" i="19" s="1"/>
  <c r="AI95" i="19" s="1"/>
  <c r="AI96" i="19" s="1"/>
  <c r="AI97" i="19" s="1"/>
  <c r="AI98" i="19" s="1"/>
  <c r="AI99" i="19" s="1"/>
  <c r="AI100" i="19" s="1"/>
  <c r="AI101" i="19" s="1"/>
  <c r="AI102" i="19" s="1"/>
  <c r="AI103" i="19" s="1"/>
  <c r="AI104" i="19" s="1"/>
  <c r="E27" i="17"/>
  <c r="E38" i="17"/>
  <c r="E50" i="17" s="1"/>
  <c r="E62" i="17" s="1"/>
  <c r="E74" i="17" s="1"/>
  <c r="E86" i="17" s="1"/>
  <c r="E98" i="17" s="1"/>
  <c r="E110" i="17" s="1"/>
  <c r="E122" i="17" s="1"/>
  <c r="E134" i="17" s="1"/>
  <c r="E146" i="17" s="1"/>
  <c r="E158" i="17" s="1"/>
  <c r="E170" i="17" s="1"/>
  <c r="E182" i="17" s="1"/>
  <c r="E194" i="17" s="1"/>
  <c r="E206" i="17" s="1"/>
  <c r="E218" i="17" s="1"/>
  <c r="E230" i="17" s="1"/>
  <c r="E242" i="17" s="1"/>
  <c r="E254" i="17" s="1"/>
  <c r="E266" i="17" s="1"/>
  <c r="E278" i="17" s="1"/>
  <c r="E290" i="17" s="1"/>
  <c r="E302" i="17" s="1"/>
  <c r="E314" i="17" s="1"/>
  <c r="E326" i="17" s="1"/>
  <c r="E338" i="17" s="1"/>
  <c r="E350" i="17" s="1"/>
  <c r="E362" i="17" s="1"/>
  <c r="E374" i="17" s="1"/>
  <c r="E386" i="17" s="1"/>
  <c r="E398" i="17" s="1"/>
  <c r="E410" i="17" s="1"/>
  <c r="E422" i="17" s="1"/>
  <c r="E434" i="17" s="1"/>
  <c r="E446" i="17" s="1"/>
  <c r="E458" i="17" s="1"/>
  <c r="E470" i="17" s="1"/>
  <c r="E482" i="17" s="1"/>
  <c r="E494" i="17" s="1"/>
  <c r="E506" i="17" s="1"/>
  <c r="E518" i="17" s="1"/>
  <c r="E530" i="17" s="1"/>
  <c r="E542" i="17" s="1"/>
  <c r="E554" i="17" s="1"/>
  <c r="E566" i="17" s="1"/>
  <c r="E578" i="17" s="1"/>
  <c r="E590" i="17" s="1"/>
  <c r="E602" i="17" s="1"/>
  <c r="E614" i="17" s="1"/>
  <c r="E626" i="17" s="1"/>
  <c r="E638" i="17" s="1"/>
  <c r="E650" i="17" s="1"/>
  <c r="E662" i="17" s="1"/>
  <c r="E674" i="17" s="1"/>
  <c r="E686" i="17" s="1"/>
  <c r="E698" i="17" s="1"/>
  <c r="E710" i="17" s="1"/>
  <c r="E722" i="17" s="1"/>
  <c r="E734" i="17" s="1"/>
  <c r="E746" i="17" s="1"/>
  <c r="S60" i="20"/>
  <c r="S49" i="20"/>
  <c r="S50" i="20" s="1"/>
  <c r="S57" i="20"/>
  <c r="S58" i="20" s="1"/>
  <c r="S51" i="20"/>
  <c r="S52" i="20" s="1"/>
  <c r="S53" i="20" s="1"/>
  <c r="S54" i="20"/>
  <c r="S55" i="20" s="1"/>
  <c r="S56" i="20" s="1"/>
  <c r="F31" i="18"/>
  <c r="F35" i="18"/>
  <c r="F24" i="18"/>
  <c r="G9" i="19"/>
  <c r="F26" i="18"/>
  <c r="F33" i="18"/>
  <c r="F32" i="18"/>
  <c r="F34" i="18"/>
  <c r="F25" i="18"/>
  <c r="F29" i="18"/>
  <c r="Q41" i="19"/>
  <c r="Q53" i="19" s="1"/>
  <c r="Q65" i="19" s="1"/>
  <c r="Q77" i="19" s="1"/>
  <c r="Q89" i="19" s="1"/>
  <c r="Q101" i="19" s="1"/>
  <c r="Q113" i="19" s="1"/>
  <c r="Q125" i="19" s="1"/>
  <c r="Q137" i="19" s="1"/>
  <c r="Q149" i="19" s="1"/>
  <c r="Q161" i="19" s="1"/>
  <c r="Q173" i="19" s="1"/>
  <c r="Q185" i="19" s="1"/>
  <c r="Q197" i="19" s="1"/>
  <c r="Q209" i="19" s="1"/>
  <c r="Q221" i="19" s="1"/>
  <c r="Q233" i="19" s="1"/>
  <c r="Q245" i="19" s="1"/>
  <c r="Q257" i="19" s="1"/>
  <c r="Q269" i="19" s="1"/>
  <c r="Q281" i="19" s="1"/>
  <c r="Q293" i="19" s="1"/>
  <c r="Q305" i="19" s="1"/>
  <c r="Q317" i="19" s="1"/>
  <c r="Q329" i="19" s="1"/>
  <c r="Q341" i="19" s="1"/>
  <c r="Q353" i="19" s="1"/>
  <c r="Q365" i="19" s="1"/>
  <c r="Q377" i="19" s="1"/>
  <c r="Q389" i="19" s="1"/>
  <c r="Q401" i="19" s="1"/>
  <c r="Q413" i="19" s="1"/>
  <c r="Q425" i="19" s="1"/>
  <c r="Q437" i="19" s="1"/>
  <c r="Q449" i="19" s="1"/>
  <c r="Q461" i="19" s="1"/>
  <c r="Q473" i="19" s="1"/>
  <c r="Q485" i="19" s="1"/>
  <c r="Q497" i="19" s="1"/>
  <c r="Q509" i="19" s="1"/>
  <c r="Q521" i="19" s="1"/>
  <c r="Q533" i="19" s="1"/>
  <c r="Q545" i="19" s="1"/>
  <c r="Q557" i="19" s="1"/>
  <c r="Q569" i="19" s="1"/>
  <c r="Q581" i="19" s="1"/>
  <c r="Q593" i="19" s="1"/>
  <c r="Q605" i="19" s="1"/>
  <c r="Q617" i="19" s="1"/>
  <c r="Q629" i="19" s="1"/>
  <c r="Q641" i="19" s="1"/>
  <c r="Q653" i="19" s="1"/>
  <c r="Q665" i="19" s="1"/>
  <c r="Q677" i="19" s="1"/>
  <c r="Q689" i="19" s="1"/>
  <c r="Q701" i="19" s="1"/>
  <c r="Q713" i="19" s="1"/>
  <c r="Q725" i="19" s="1"/>
  <c r="Q737" i="19" s="1"/>
  <c r="Q749" i="19" s="1"/>
  <c r="Q30" i="19"/>
  <c r="F28" i="18"/>
  <c r="BD42" i="21"/>
  <c r="AV42" i="21"/>
  <c r="AT42" i="21"/>
  <c r="AR42" i="21"/>
  <c r="AU42" i="21"/>
  <c r="AS42" i="21"/>
  <c r="AO42" i="21"/>
  <c r="AY42" i="21"/>
  <c r="AQ42" i="21"/>
  <c r="BA42" i="21"/>
  <c r="AM42" i="21"/>
  <c r="AL42" i="21"/>
  <c r="AP42" i="21"/>
  <c r="BB42" i="21"/>
  <c r="AK42" i="21"/>
  <c r="AJ42" i="21"/>
  <c r="AF42" i="21"/>
  <c r="AF68" i="21" s="1"/>
  <c r="AE43" i="21"/>
  <c r="AW42" i="21"/>
  <c r="BC42" i="21"/>
  <c r="AN42" i="21"/>
  <c r="AG42" i="21"/>
  <c r="AZ42" i="21"/>
  <c r="E40" i="20"/>
  <c r="E52" i="20" s="1"/>
  <c r="E64" i="20" s="1"/>
  <c r="E76" i="20" s="1"/>
  <c r="E88" i="20" s="1"/>
  <c r="E100" i="20" s="1"/>
  <c r="E112" i="20" s="1"/>
  <c r="E124" i="20" s="1"/>
  <c r="E136" i="20" s="1"/>
  <c r="E148" i="20" s="1"/>
  <c r="E160" i="20" s="1"/>
  <c r="E172" i="20" s="1"/>
  <c r="E184" i="20" s="1"/>
  <c r="E196" i="20" s="1"/>
  <c r="E208" i="20" s="1"/>
  <c r="E220" i="20" s="1"/>
  <c r="E232" i="20" s="1"/>
  <c r="E244" i="20" s="1"/>
  <c r="E256" i="20" s="1"/>
  <c r="E268" i="20" s="1"/>
  <c r="E280" i="20" s="1"/>
  <c r="E292" i="20" s="1"/>
  <c r="E304" i="20" s="1"/>
  <c r="E316" i="20" s="1"/>
  <c r="E328" i="20" s="1"/>
  <c r="E340" i="20" s="1"/>
  <c r="E352" i="20" s="1"/>
  <c r="E364" i="20" s="1"/>
  <c r="E376" i="20" s="1"/>
  <c r="E388" i="20" s="1"/>
  <c r="E400" i="20" s="1"/>
  <c r="E412" i="20" s="1"/>
  <c r="E424" i="20" s="1"/>
  <c r="E436" i="20" s="1"/>
  <c r="E448" i="20" s="1"/>
  <c r="E460" i="20" s="1"/>
  <c r="E472" i="20" s="1"/>
  <c r="E484" i="20" s="1"/>
  <c r="E496" i="20" s="1"/>
  <c r="E508" i="20" s="1"/>
  <c r="E520" i="20" s="1"/>
  <c r="E532" i="20" s="1"/>
  <c r="E544" i="20" s="1"/>
  <c r="E556" i="20" s="1"/>
  <c r="E568" i="20" s="1"/>
  <c r="E580" i="20" s="1"/>
  <c r="E592" i="20" s="1"/>
  <c r="E604" i="20" s="1"/>
  <c r="E616" i="20" s="1"/>
  <c r="E628" i="20" s="1"/>
  <c r="E640" i="20" s="1"/>
  <c r="E652" i="20" s="1"/>
  <c r="E664" i="20" s="1"/>
  <c r="E676" i="20" s="1"/>
  <c r="E688" i="20" s="1"/>
  <c r="E700" i="20" s="1"/>
  <c r="E712" i="20" s="1"/>
  <c r="E724" i="20" s="1"/>
  <c r="E736" i="20" s="1"/>
  <c r="E748" i="20" s="1"/>
  <c r="E29" i="20"/>
  <c r="D38" i="18"/>
  <c r="D50" i="18" s="1"/>
  <c r="D62" i="18" s="1"/>
  <c r="D74" i="18" s="1"/>
  <c r="D86" i="18" s="1"/>
  <c r="D98" i="18" s="1"/>
  <c r="D110" i="18" s="1"/>
  <c r="D122" i="18" s="1"/>
  <c r="D134" i="18" s="1"/>
  <c r="D146" i="18" s="1"/>
  <c r="D158" i="18" s="1"/>
  <c r="D170" i="18" s="1"/>
  <c r="D182" i="18" s="1"/>
  <c r="D194" i="18" s="1"/>
  <c r="D206" i="18" s="1"/>
  <c r="D218" i="18" s="1"/>
  <c r="D230" i="18" s="1"/>
  <c r="D242" i="18" s="1"/>
  <c r="D254" i="18" s="1"/>
  <c r="D266" i="18" s="1"/>
  <c r="D278" i="18" s="1"/>
  <c r="D290" i="18" s="1"/>
  <c r="D302" i="18" s="1"/>
  <c r="D314" i="18" s="1"/>
  <c r="D326" i="18" s="1"/>
  <c r="D338" i="18" s="1"/>
  <c r="D350" i="18" s="1"/>
  <c r="D362" i="18" s="1"/>
  <c r="D374" i="18" s="1"/>
  <c r="D386" i="18" s="1"/>
  <c r="D398" i="18" s="1"/>
  <c r="D410" i="18" s="1"/>
  <c r="D422" i="18" s="1"/>
  <c r="D434" i="18" s="1"/>
  <c r="D446" i="18" s="1"/>
  <c r="D458" i="18" s="1"/>
  <c r="D470" i="18" s="1"/>
  <c r="D482" i="18" s="1"/>
  <c r="D494" i="18" s="1"/>
  <c r="D506" i="18" s="1"/>
  <c r="D518" i="18" s="1"/>
  <c r="D530" i="18" s="1"/>
  <c r="D542" i="18" s="1"/>
  <c r="D554" i="18" s="1"/>
  <c r="D566" i="18" s="1"/>
  <c r="D578" i="18" s="1"/>
  <c r="D590" i="18" s="1"/>
  <c r="D602" i="18" s="1"/>
  <c r="D614" i="18" s="1"/>
  <c r="D626" i="18" s="1"/>
  <c r="D638" i="18" s="1"/>
  <c r="D650" i="18" s="1"/>
  <c r="D662" i="18" s="1"/>
  <c r="D674" i="18" s="1"/>
  <c r="D686" i="18" s="1"/>
  <c r="D698" i="18" s="1"/>
  <c r="D710" i="18" s="1"/>
  <c r="D722" i="18" s="1"/>
  <c r="D734" i="18" s="1"/>
  <c r="D746" i="18" s="1"/>
  <c r="D27" i="18"/>
  <c r="B32" i="19"/>
  <c r="S42" i="19"/>
  <c r="S44" i="19"/>
  <c r="G37" i="19"/>
  <c r="G38" i="19" s="1"/>
  <c r="S48" i="19"/>
  <c r="S47" i="19"/>
  <c r="S45" i="19"/>
  <c r="C8" i="21"/>
  <c r="A7" i="21"/>
  <c r="B7" i="21" s="1"/>
  <c r="S60" i="17"/>
  <c r="S54" i="17"/>
  <c r="S55" i="17" s="1"/>
  <c r="S56" i="17" s="1"/>
  <c r="S49" i="17"/>
  <c r="S50" i="17" s="1"/>
  <c r="G31" i="2"/>
  <c r="AH26" i="17"/>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G6" i="20"/>
  <c r="G7" i="20"/>
  <c r="G8" i="20" s="1"/>
  <c r="Q40" i="17"/>
  <c r="Q52" i="17" s="1"/>
  <c r="Q64" i="17" s="1"/>
  <c r="Q76" i="17" s="1"/>
  <c r="Q88" i="17" s="1"/>
  <c r="Q100" i="17" s="1"/>
  <c r="Q112" i="17" s="1"/>
  <c r="Q124" i="17" s="1"/>
  <c r="Q136" i="17" s="1"/>
  <c r="Q148" i="17" s="1"/>
  <c r="Q160" i="17" s="1"/>
  <c r="Q172" i="17" s="1"/>
  <c r="Q184" i="17" s="1"/>
  <c r="Q196" i="17" s="1"/>
  <c r="Q208" i="17" s="1"/>
  <c r="Q220" i="17" s="1"/>
  <c r="Q232" i="17" s="1"/>
  <c r="Q244" i="17" s="1"/>
  <c r="Q256" i="17" s="1"/>
  <c r="Q268" i="17" s="1"/>
  <c r="Q280" i="17" s="1"/>
  <c r="Q292" i="17" s="1"/>
  <c r="Q304" i="17" s="1"/>
  <c r="Q316" i="17" s="1"/>
  <c r="Q328" i="17" s="1"/>
  <c r="Q340" i="17" s="1"/>
  <c r="Q352" i="17" s="1"/>
  <c r="Q364" i="17" s="1"/>
  <c r="Q376" i="17" s="1"/>
  <c r="Q388" i="17" s="1"/>
  <c r="Q400" i="17" s="1"/>
  <c r="Q412" i="17" s="1"/>
  <c r="Q424" i="17" s="1"/>
  <c r="Q436" i="17" s="1"/>
  <c r="Q448" i="17" s="1"/>
  <c r="Q460" i="17" s="1"/>
  <c r="Q472" i="17" s="1"/>
  <c r="Q484" i="17" s="1"/>
  <c r="Q496" i="17" s="1"/>
  <c r="Q508" i="17" s="1"/>
  <c r="Q520" i="17" s="1"/>
  <c r="Q532" i="17" s="1"/>
  <c r="Q544" i="17" s="1"/>
  <c r="Q556" i="17" s="1"/>
  <c r="Q568" i="17" s="1"/>
  <c r="Q580" i="17" s="1"/>
  <c r="Q592" i="17" s="1"/>
  <c r="Q604" i="17" s="1"/>
  <c r="Q616" i="17" s="1"/>
  <c r="Q628" i="17" s="1"/>
  <c r="Q640" i="17" s="1"/>
  <c r="Q652" i="17" s="1"/>
  <c r="Q664" i="17" s="1"/>
  <c r="Q676" i="17" s="1"/>
  <c r="Q688" i="17" s="1"/>
  <c r="Q700" i="17" s="1"/>
  <c r="Q712" i="17" s="1"/>
  <c r="Q724" i="17" s="1"/>
  <c r="Q736" i="17" s="1"/>
  <c r="Q748" i="17" s="1"/>
  <c r="Q29" i="17"/>
  <c r="Q37" i="20"/>
  <c r="Q49" i="20" s="1"/>
  <c r="Q61" i="20" s="1"/>
  <c r="Q73" i="20" s="1"/>
  <c r="Q85" i="20" s="1"/>
  <c r="Q97" i="20" s="1"/>
  <c r="Q109" i="20" s="1"/>
  <c r="Q121" i="20" s="1"/>
  <c r="Q133" i="20" s="1"/>
  <c r="Q145" i="20" s="1"/>
  <c r="Q157" i="20" s="1"/>
  <c r="Q169" i="20" s="1"/>
  <c r="Q181" i="20" s="1"/>
  <c r="Q193" i="20" s="1"/>
  <c r="Q205" i="20" s="1"/>
  <c r="Q217" i="20" s="1"/>
  <c r="Q229" i="20" s="1"/>
  <c r="Q241" i="20" s="1"/>
  <c r="Q253" i="20" s="1"/>
  <c r="Q265" i="20" s="1"/>
  <c r="Q277" i="20" s="1"/>
  <c r="Q289" i="20" s="1"/>
  <c r="Q301" i="20" s="1"/>
  <c r="Q313" i="20" s="1"/>
  <c r="Q325" i="20" s="1"/>
  <c r="Q337" i="20" s="1"/>
  <c r="Q349" i="20" s="1"/>
  <c r="Q361" i="20" s="1"/>
  <c r="Q373" i="20" s="1"/>
  <c r="Q385" i="20" s="1"/>
  <c r="Q397" i="20" s="1"/>
  <c r="Q409" i="20" s="1"/>
  <c r="Q421" i="20" s="1"/>
  <c r="Q433" i="20" s="1"/>
  <c r="Q445" i="20" s="1"/>
  <c r="Q457" i="20" s="1"/>
  <c r="Q469" i="20" s="1"/>
  <c r="Q481" i="20" s="1"/>
  <c r="Q493" i="20" s="1"/>
  <c r="Q505" i="20" s="1"/>
  <c r="Q517" i="20" s="1"/>
  <c r="Q529" i="20" s="1"/>
  <c r="Q541" i="20" s="1"/>
  <c r="Q553" i="20" s="1"/>
  <c r="Q565" i="20" s="1"/>
  <c r="Q577" i="20" s="1"/>
  <c r="Q589" i="20" s="1"/>
  <c r="Q601" i="20" s="1"/>
  <c r="Q613" i="20" s="1"/>
  <c r="Q625" i="20" s="1"/>
  <c r="Q637" i="20" s="1"/>
  <c r="Q649" i="20" s="1"/>
  <c r="Q661" i="20" s="1"/>
  <c r="Q673" i="20" s="1"/>
  <c r="Q685" i="20" s="1"/>
  <c r="Q697" i="20" s="1"/>
  <c r="Q709" i="20" s="1"/>
  <c r="Q721" i="20" s="1"/>
  <c r="Q733" i="20" s="1"/>
  <c r="Q745" i="20" s="1"/>
  <c r="Q26" i="20"/>
  <c r="AF78" i="21"/>
  <c r="AG78" i="21" s="1"/>
  <c r="E32" i="2"/>
  <c r="L20" i="17"/>
  <c r="AH78" i="21" l="1"/>
  <c r="G6" i="17"/>
  <c r="G7" i="17"/>
  <c r="G8" i="17" s="1"/>
  <c r="E33" i="2"/>
  <c r="G32" i="2"/>
  <c r="BC43" i="21"/>
  <c r="AO43" i="21"/>
  <c r="AH43" i="21"/>
  <c r="AK43" i="21"/>
  <c r="AU43" i="21"/>
  <c r="AW43" i="21"/>
  <c r="AM43" i="21"/>
  <c r="AN43" i="21"/>
  <c r="AJ43" i="21"/>
  <c r="AG43" i="21"/>
  <c r="AL43" i="21"/>
  <c r="AZ43" i="21"/>
  <c r="AQ43" i="21"/>
  <c r="AI43" i="21"/>
  <c r="AS43" i="21"/>
  <c r="AY43" i="21"/>
  <c r="BD43" i="21"/>
  <c r="AT43" i="21"/>
  <c r="AV43" i="21"/>
  <c r="BB43" i="21"/>
  <c r="BA43" i="21"/>
  <c r="AX43" i="21"/>
  <c r="AP43" i="21"/>
  <c r="AR43" i="21"/>
  <c r="AE44" i="21"/>
  <c r="S61" i="20"/>
  <c r="S62" i="20" s="1"/>
  <c r="S63" i="20"/>
  <c r="S64" i="20" s="1"/>
  <c r="S65" i="20" s="1"/>
  <c r="S72" i="20"/>
  <c r="S69" i="20"/>
  <c r="S66" i="20"/>
  <c r="S67" i="20" s="1"/>
  <c r="S68" i="20" s="1"/>
  <c r="AC29" i="17"/>
  <c r="B30" i="17"/>
  <c r="K56" i="2"/>
  <c r="Q38" i="20"/>
  <c r="Q50" i="20" s="1"/>
  <c r="Q62" i="20" s="1"/>
  <c r="Q74" i="20" s="1"/>
  <c r="Q86" i="20" s="1"/>
  <c r="Q98" i="20" s="1"/>
  <c r="Q110" i="20" s="1"/>
  <c r="Q122" i="20" s="1"/>
  <c r="Q134" i="20" s="1"/>
  <c r="Q146" i="20" s="1"/>
  <c r="Q158" i="20" s="1"/>
  <c r="Q170" i="20" s="1"/>
  <c r="Q182" i="20" s="1"/>
  <c r="Q194" i="20" s="1"/>
  <c r="Q206" i="20" s="1"/>
  <c r="Q218" i="20" s="1"/>
  <c r="Q230" i="20" s="1"/>
  <c r="Q242" i="20" s="1"/>
  <c r="Q254" i="20" s="1"/>
  <c r="Q266" i="20" s="1"/>
  <c r="Q278" i="20" s="1"/>
  <c r="Q290" i="20" s="1"/>
  <c r="Q302" i="20" s="1"/>
  <c r="Q314" i="20" s="1"/>
  <c r="Q326" i="20" s="1"/>
  <c r="Q338" i="20" s="1"/>
  <c r="Q350" i="20" s="1"/>
  <c r="Q362" i="20" s="1"/>
  <c r="Q374" i="20" s="1"/>
  <c r="Q386" i="20" s="1"/>
  <c r="Q398" i="20" s="1"/>
  <c r="Q410" i="20" s="1"/>
  <c r="Q422" i="20" s="1"/>
  <c r="Q434" i="20" s="1"/>
  <c r="Q446" i="20" s="1"/>
  <c r="Q458" i="20" s="1"/>
  <c r="Q470" i="20" s="1"/>
  <c r="Q482" i="20" s="1"/>
  <c r="Q494" i="20" s="1"/>
  <c r="Q506" i="20" s="1"/>
  <c r="Q518" i="20" s="1"/>
  <c r="Q530" i="20" s="1"/>
  <c r="Q542" i="20" s="1"/>
  <c r="Q554" i="20" s="1"/>
  <c r="Q566" i="20" s="1"/>
  <c r="Q578" i="20" s="1"/>
  <c r="Q590" i="20" s="1"/>
  <c r="Q602" i="20" s="1"/>
  <c r="Q614" i="20" s="1"/>
  <c r="Q626" i="20" s="1"/>
  <c r="Q638" i="20" s="1"/>
  <c r="Q650" i="20" s="1"/>
  <c r="Q662" i="20" s="1"/>
  <c r="Q674" i="20" s="1"/>
  <c r="Q686" i="20" s="1"/>
  <c r="Q698" i="20" s="1"/>
  <c r="Q710" i="20" s="1"/>
  <c r="Q722" i="20" s="1"/>
  <c r="Q734" i="20" s="1"/>
  <c r="Q746" i="20" s="1"/>
  <c r="Q27" i="20"/>
  <c r="C9" i="21"/>
  <c r="A8" i="21"/>
  <c r="B8" i="21" s="1"/>
  <c r="Q42" i="19"/>
  <c r="Q54" i="19" s="1"/>
  <c r="Q66" i="19" s="1"/>
  <c r="Q78" i="19" s="1"/>
  <c r="Q90" i="19" s="1"/>
  <c r="Q102" i="19" s="1"/>
  <c r="Q114" i="19" s="1"/>
  <c r="Q126" i="19" s="1"/>
  <c r="Q138" i="19" s="1"/>
  <c r="Q150" i="19" s="1"/>
  <c r="Q162" i="19" s="1"/>
  <c r="Q174" i="19" s="1"/>
  <c r="Q186" i="19" s="1"/>
  <c r="Q198" i="19" s="1"/>
  <c r="Q210" i="19" s="1"/>
  <c r="Q222" i="19" s="1"/>
  <c r="Q234" i="19" s="1"/>
  <c r="Q246" i="19" s="1"/>
  <c r="Q258" i="19" s="1"/>
  <c r="Q270" i="19" s="1"/>
  <c r="Q282" i="19" s="1"/>
  <c r="Q294" i="19" s="1"/>
  <c r="Q306" i="19" s="1"/>
  <c r="Q318" i="19" s="1"/>
  <c r="Q330" i="19" s="1"/>
  <c r="Q342" i="19" s="1"/>
  <c r="Q354" i="19" s="1"/>
  <c r="Q366" i="19" s="1"/>
  <c r="Q378" i="19" s="1"/>
  <c r="Q390" i="19" s="1"/>
  <c r="Q402" i="19" s="1"/>
  <c r="Q414" i="19" s="1"/>
  <c r="Q426" i="19" s="1"/>
  <c r="Q438" i="19" s="1"/>
  <c r="Q450" i="19" s="1"/>
  <c r="Q462" i="19" s="1"/>
  <c r="Q474" i="19" s="1"/>
  <c r="Q486" i="19" s="1"/>
  <c r="Q498" i="19" s="1"/>
  <c r="Q510" i="19" s="1"/>
  <c r="Q522" i="19" s="1"/>
  <c r="Q534" i="19" s="1"/>
  <c r="Q546" i="19" s="1"/>
  <c r="Q558" i="19" s="1"/>
  <c r="Q570" i="19" s="1"/>
  <c r="Q582" i="19" s="1"/>
  <c r="Q594" i="19" s="1"/>
  <c r="Q606" i="19" s="1"/>
  <c r="Q618" i="19" s="1"/>
  <c r="Q630" i="19" s="1"/>
  <c r="Q642" i="19" s="1"/>
  <c r="Q654" i="19" s="1"/>
  <c r="Q666" i="19" s="1"/>
  <c r="Q678" i="19" s="1"/>
  <c r="Q690" i="19" s="1"/>
  <c r="Q702" i="19" s="1"/>
  <c r="Q714" i="19" s="1"/>
  <c r="Q726" i="19" s="1"/>
  <c r="Q738" i="19" s="1"/>
  <c r="Q750" i="19" s="1"/>
  <c r="Q31" i="19"/>
  <c r="E31" i="19"/>
  <c r="E42" i="19"/>
  <c r="E54" i="19" s="1"/>
  <c r="E66" i="19" s="1"/>
  <c r="E78" i="19" s="1"/>
  <c r="E90" i="19" s="1"/>
  <c r="E102" i="19" s="1"/>
  <c r="E114" i="19" s="1"/>
  <c r="E126" i="19" s="1"/>
  <c r="E138" i="19" s="1"/>
  <c r="E150" i="19" s="1"/>
  <c r="E162" i="19" s="1"/>
  <c r="E174" i="19" s="1"/>
  <c r="E186" i="19" s="1"/>
  <c r="E198" i="19" s="1"/>
  <c r="E210" i="19" s="1"/>
  <c r="E222" i="19" s="1"/>
  <c r="E234" i="19" s="1"/>
  <c r="E246" i="19" s="1"/>
  <c r="E258" i="19" s="1"/>
  <c r="E270" i="19" s="1"/>
  <c r="E282" i="19" s="1"/>
  <c r="E294" i="19" s="1"/>
  <c r="E306" i="19" s="1"/>
  <c r="E318" i="19" s="1"/>
  <c r="E330" i="19" s="1"/>
  <c r="E342" i="19" s="1"/>
  <c r="E354" i="19" s="1"/>
  <c r="E366" i="19" s="1"/>
  <c r="E378" i="19" s="1"/>
  <c r="E390" i="19" s="1"/>
  <c r="E402" i="19" s="1"/>
  <c r="E414" i="19" s="1"/>
  <c r="E426" i="19" s="1"/>
  <c r="E438" i="19" s="1"/>
  <c r="E450" i="19" s="1"/>
  <c r="E462" i="19" s="1"/>
  <c r="E474" i="19" s="1"/>
  <c r="E486" i="19" s="1"/>
  <c r="E498" i="19" s="1"/>
  <c r="E510" i="19" s="1"/>
  <c r="E522" i="19" s="1"/>
  <c r="E534" i="19" s="1"/>
  <c r="E546" i="19" s="1"/>
  <c r="E558" i="19" s="1"/>
  <c r="E570" i="19" s="1"/>
  <c r="E582" i="19" s="1"/>
  <c r="E594" i="19" s="1"/>
  <c r="E606" i="19" s="1"/>
  <c r="E618" i="19" s="1"/>
  <c r="E630" i="19" s="1"/>
  <c r="E642" i="19" s="1"/>
  <c r="E654" i="19" s="1"/>
  <c r="E666" i="19" s="1"/>
  <c r="E678" i="19" s="1"/>
  <c r="E690" i="19" s="1"/>
  <c r="E702" i="19" s="1"/>
  <c r="E714" i="19" s="1"/>
  <c r="E726" i="19" s="1"/>
  <c r="E738" i="19" s="1"/>
  <c r="E750" i="19" s="1"/>
  <c r="L25" i="19"/>
  <c r="F26" i="19" s="1"/>
  <c r="H24" i="20"/>
  <c r="U24" i="20"/>
  <c r="S72" i="17"/>
  <c r="S66" i="17"/>
  <c r="S67" i="17" s="1"/>
  <c r="S68" i="17" s="1"/>
  <c r="S69" i="17"/>
  <c r="S63" i="17"/>
  <c r="S64" i="17" s="1"/>
  <c r="S65" i="17" s="1"/>
  <c r="S61" i="17"/>
  <c r="S62" i="17" s="1"/>
  <c r="E30" i="20"/>
  <c r="E41" i="20"/>
  <c r="E53" i="20" s="1"/>
  <c r="E65" i="20" s="1"/>
  <c r="E77" i="20" s="1"/>
  <c r="E89" i="20" s="1"/>
  <c r="E101" i="20" s="1"/>
  <c r="E113" i="20" s="1"/>
  <c r="E125" i="20" s="1"/>
  <c r="E137" i="20" s="1"/>
  <c r="E149" i="20" s="1"/>
  <c r="E161" i="20" s="1"/>
  <c r="E173" i="20" s="1"/>
  <c r="E185" i="20" s="1"/>
  <c r="E197" i="20" s="1"/>
  <c r="E209" i="20" s="1"/>
  <c r="E221" i="20" s="1"/>
  <c r="E233" i="20" s="1"/>
  <c r="E245" i="20" s="1"/>
  <c r="E257" i="20" s="1"/>
  <c r="E269" i="20" s="1"/>
  <c r="E281" i="20" s="1"/>
  <c r="E293" i="20" s="1"/>
  <c r="E305" i="20" s="1"/>
  <c r="E317" i="20" s="1"/>
  <c r="E329" i="20" s="1"/>
  <c r="E341" i="20" s="1"/>
  <c r="E353" i="20" s="1"/>
  <c r="E365" i="20" s="1"/>
  <c r="E377" i="20" s="1"/>
  <c r="E389" i="20" s="1"/>
  <c r="E401" i="20" s="1"/>
  <c r="E413" i="20" s="1"/>
  <c r="E425" i="20" s="1"/>
  <c r="E437" i="20" s="1"/>
  <c r="E449" i="20" s="1"/>
  <c r="E461" i="20" s="1"/>
  <c r="E473" i="20" s="1"/>
  <c r="E485" i="20" s="1"/>
  <c r="E497" i="20" s="1"/>
  <c r="E509" i="20" s="1"/>
  <c r="E521" i="20" s="1"/>
  <c r="E533" i="20" s="1"/>
  <c r="E545" i="20" s="1"/>
  <c r="E557" i="20" s="1"/>
  <c r="E569" i="20" s="1"/>
  <c r="E581" i="20" s="1"/>
  <c r="E593" i="20" s="1"/>
  <c r="E605" i="20" s="1"/>
  <c r="E617" i="20" s="1"/>
  <c r="E629" i="20" s="1"/>
  <c r="E641" i="20" s="1"/>
  <c r="E653" i="20" s="1"/>
  <c r="E665" i="20" s="1"/>
  <c r="E677" i="20" s="1"/>
  <c r="E689" i="20" s="1"/>
  <c r="E701" i="20" s="1"/>
  <c r="E713" i="20" s="1"/>
  <c r="E725" i="20" s="1"/>
  <c r="E737" i="20" s="1"/>
  <c r="E749" i="20" s="1"/>
  <c r="U5" i="21"/>
  <c r="K31" i="2"/>
  <c r="W5" i="21"/>
  <c r="AC32" i="19"/>
  <c r="A32" i="19"/>
  <c r="B33" i="19"/>
  <c r="AG68" i="21"/>
  <c r="S106" i="17"/>
  <c r="S95" i="17"/>
  <c r="Q41" i="17"/>
  <c r="Q53" i="17" s="1"/>
  <c r="Q65" i="17" s="1"/>
  <c r="Q77" i="17" s="1"/>
  <c r="Q89" i="17" s="1"/>
  <c r="Q101" i="17" s="1"/>
  <c r="Q113" i="17" s="1"/>
  <c r="Q125" i="17" s="1"/>
  <c r="Q137" i="17" s="1"/>
  <c r="Q149" i="17" s="1"/>
  <c r="Q161" i="17" s="1"/>
  <c r="Q173" i="17" s="1"/>
  <c r="Q185" i="17" s="1"/>
  <c r="Q197" i="17" s="1"/>
  <c r="Q209" i="17" s="1"/>
  <c r="Q221" i="17" s="1"/>
  <c r="Q233" i="17" s="1"/>
  <c r="Q245" i="17" s="1"/>
  <c r="Q257" i="17" s="1"/>
  <c r="Q269" i="17" s="1"/>
  <c r="Q281" i="17" s="1"/>
  <c r="Q293" i="17" s="1"/>
  <c r="Q305" i="17" s="1"/>
  <c r="Q317" i="17" s="1"/>
  <c r="Q329" i="17" s="1"/>
  <c r="Q341" i="17" s="1"/>
  <c r="Q353" i="17" s="1"/>
  <c r="Q365" i="17" s="1"/>
  <c r="Q377" i="17" s="1"/>
  <c r="Q389" i="17" s="1"/>
  <c r="Q401" i="17" s="1"/>
  <c r="Q413" i="17" s="1"/>
  <c r="Q425" i="17" s="1"/>
  <c r="Q437" i="17" s="1"/>
  <c r="Q449" i="17" s="1"/>
  <c r="Q461" i="17" s="1"/>
  <c r="Q473" i="17" s="1"/>
  <c r="Q485" i="17" s="1"/>
  <c r="Q497" i="17" s="1"/>
  <c r="Q509" i="17" s="1"/>
  <c r="Q521" i="17" s="1"/>
  <c r="Q533" i="17" s="1"/>
  <c r="Q545" i="17" s="1"/>
  <c r="Q557" i="17" s="1"/>
  <c r="Q569" i="17" s="1"/>
  <c r="Q581" i="17" s="1"/>
  <c r="Q593" i="17" s="1"/>
  <c r="Q605" i="17" s="1"/>
  <c r="Q617" i="17" s="1"/>
  <c r="Q629" i="17" s="1"/>
  <c r="Q641" i="17" s="1"/>
  <c r="Q653" i="17" s="1"/>
  <c r="Q665" i="17" s="1"/>
  <c r="Q677" i="17" s="1"/>
  <c r="Q689" i="17" s="1"/>
  <c r="Q701" i="17" s="1"/>
  <c r="Q713" i="17" s="1"/>
  <c r="Q725" i="17" s="1"/>
  <c r="Q737" i="17" s="1"/>
  <c r="Q749" i="17" s="1"/>
  <c r="Q30" i="17"/>
  <c r="D28" i="18"/>
  <c r="D39" i="18"/>
  <c r="D51" i="18" s="1"/>
  <c r="D63" i="18" s="1"/>
  <c r="D75" i="18" s="1"/>
  <c r="D87" i="18" s="1"/>
  <c r="D99" i="18" s="1"/>
  <c r="D111" i="18" s="1"/>
  <c r="D123" i="18" s="1"/>
  <c r="D135" i="18" s="1"/>
  <c r="D147" i="18" s="1"/>
  <c r="D159" i="18" s="1"/>
  <c r="D171" i="18" s="1"/>
  <c r="D183" i="18" s="1"/>
  <c r="D195" i="18" s="1"/>
  <c r="D207" i="18" s="1"/>
  <c r="D219" i="18" s="1"/>
  <c r="D231" i="18" s="1"/>
  <c r="D243" i="18" s="1"/>
  <c r="D255" i="18" s="1"/>
  <c r="D267" i="18" s="1"/>
  <c r="D279" i="18" s="1"/>
  <c r="D291" i="18" s="1"/>
  <c r="D303" i="18" s="1"/>
  <c r="D315" i="18" s="1"/>
  <c r="D327" i="18" s="1"/>
  <c r="D339" i="18" s="1"/>
  <c r="D351" i="18" s="1"/>
  <c r="D363" i="18" s="1"/>
  <c r="D375" i="18" s="1"/>
  <c r="D387" i="18" s="1"/>
  <c r="D399" i="18" s="1"/>
  <c r="D411" i="18" s="1"/>
  <c r="D423" i="18" s="1"/>
  <c r="D435" i="18" s="1"/>
  <c r="D447" i="18" s="1"/>
  <c r="D459" i="18" s="1"/>
  <c r="D471" i="18" s="1"/>
  <c r="D483" i="18" s="1"/>
  <c r="D495" i="18" s="1"/>
  <c r="D507" i="18" s="1"/>
  <c r="D519" i="18" s="1"/>
  <c r="D531" i="18" s="1"/>
  <c r="D543" i="18" s="1"/>
  <c r="D555" i="18" s="1"/>
  <c r="D567" i="18" s="1"/>
  <c r="D579" i="18" s="1"/>
  <c r="D591" i="18" s="1"/>
  <c r="D603" i="18" s="1"/>
  <c r="D615" i="18" s="1"/>
  <c r="D627" i="18" s="1"/>
  <c r="D639" i="18" s="1"/>
  <c r="D651" i="18" s="1"/>
  <c r="D663" i="18" s="1"/>
  <c r="D675" i="18" s="1"/>
  <c r="D687" i="18" s="1"/>
  <c r="D699" i="18" s="1"/>
  <c r="D711" i="18" s="1"/>
  <c r="D723" i="18" s="1"/>
  <c r="D735" i="18" s="1"/>
  <c r="D747" i="18" s="1"/>
  <c r="T27" i="19"/>
  <c r="T30" i="19"/>
  <c r="T29" i="19"/>
  <c r="T35" i="19"/>
  <c r="T32" i="19"/>
  <c r="T24" i="19"/>
  <c r="T34" i="19"/>
  <c r="T26" i="19"/>
  <c r="T31" i="19"/>
  <c r="T33" i="19"/>
  <c r="T25" i="19"/>
  <c r="T28" i="19"/>
  <c r="E28" i="17"/>
  <c r="E39" i="17"/>
  <c r="E51" i="17" s="1"/>
  <c r="E63" i="17" s="1"/>
  <c r="E75" i="17" s="1"/>
  <c r="E87" i="17" s="1"/>
  <c r="E99" i="17" s="1"/>
  <c r="E111" i="17" s="1"/>
  <c r="E123" i="17" s="1"/>
  <c r="E135" i="17" s="1"/>
  <c r="E147" i="17" s="1"/>
  <c r="E159" i="17" s="1"/>
  <c r="E171" i="17" s="1"/>
  <c r="E183" i="17" s="1"/>
  <c r="E195" i="17" s="1"/>
  <c r="E207" i="17" s="1"/>
  <c r="E219" i="17" s="1"/>
  <c r="E231" i="17" s="1"/>
  <c r="E243" i="17" s="1"/>
  <c r="E255" i="17" s="1"/>
  <c r="E267" i="17" s="1"/>
  <c r="E279" i="17" s="1"/>
  <c r="E291" i="17" s="1"/>
  <c r="E303" i="17" s="1"/>
  <c r="E315" i="17" s="1"/>
  <c r="E327" i="17" s="1"/>
  <c r="E339" i="17" s="1"/>
  <c r="E351" i="17" s="1"/>
  <c r="E363" i="17" s="1"/>
  <c r="E375" i="17" s="1"/>
  <c r="E387" i="17" s="1"/>
  <c r="E399" i="17" s="1"/>
  <c r="E411" i="17" s="1"/>
  <c r="E423" i="17" s="1"/>
  <c r="E435" i="17" s="1"/>
  <c r="E447" i="17" s="1"/>
  <c r="E459" i="17" s="1"/>
  <c r="E471" i="17" s="1"/>
  <c r="E483" i="17" s="1"/>
  <c r="E495" i="17" s="1"/>
  <c r="E507" i="17" s="1"/>
  <c r="E519" i="17" s="1"/>
  <c r="E531" i="17" s="1"/>
  <c r="E543" i="17" s="1"/>
  <c r="E555" i="17" s="1"/>
  <c r="E567" i="17" s="1"/>
  <c r="E579" i="17" s="1"/>
  <c r="E591" i="17" s="1"/>
  <c r="E603" i="17" s="1"/>
  <c r="E615" i="17" s="1"/>
  <c r="E627" i="17" s="1"/>
  <c r="E639" i="17" s="1"/>
  <c r="E651" i="17" s="1"/>
  <c r="E663" i="17" s="1"/>
  <c r="E675" i="17" s="1"/>
  <c r="E687" i="17" s="1"/>
  <c r="E699" i="17" s="1"/>
  <c r="E711" i="17" s="1"/>
  <c r="E723" i="17" s="1"/>
  <c r="E735" i="17" s="1"/>
  <c r="E747" i="17" s="1"/>
  <c r="AC29" i="20"/>
  <c r="B30" i="20"/>
  <c r="X24" i="20"/>
  <c r="Y24" i="20" s="1"/>
  <c r="S60" i="19"/>
  <c r="S51" i="19"/>
  <c r="S52" i="19" s="1"/>
  <c r="S53" i="19" s="1"/>
  <c r="S54" i="19"/>
  <c r="S55" i="19" s="1"/>
  <c r="S56" i="19" s="1"/>
  <c r="S49" i="19"/>
  <c r="S50" i="19" s="1"/>
  <c r="S57" i="19"/>
  <c r="S58" i="19" s="1"/>
  <c r="G24" i="18"/>
  <c r="I24" i="18" s="1"/>
  <c r="S70" i="20"/>
  <c r="S59" i="20"/>
  <c r="AC36" i="2"/>
  <c r="C37" i="2"/>
  <c r="R25" i="20" l="1"/>
  <c r="K5" i="21"/>
  <c r="Q28" i="20"/>
  <c r="Q39" i="20"/>
  <c r="Q51" i="20" s="1"/>
  <c r="Q63" i="20" s="1"/>
  <c r="Q75" i="20" s="1"/>
  <c r="Q87" i="20" s="1"/>
  <c r="Q99" i="20" s="1"/>
  <c r="Q111" i="20" s="1"/>
  <c r="Q123" i="20" s="1"/>
  <c r="Q135" i="20" s="1"/>
  <c r="Q147" i="20" s="1"/>
  <c r="Q159" i="20" s="1"/>
  <c r="Q171" i="20" s="1"/>
  <c r="Q183" i="20" s="1"/>
  <c r="Q195" i="20" s="1"/>
  <c r="Q207" i="20" s="1"/>
  <c r="Q219" i="20" s="1"/>
  <c r="Q231" i="20" s="1"/>
  <c r="Q243" i="20" s="1"/>
  <c r="Q255" i="20" s="1"/>
  <c r="Q267" i="20" s="1"/>
  <c r="Q279" i="20" s="1"/>
  <c r="Q291" i="20" s="1"/>
  <c r="Q303" i="20" s="1"/>
  <c r="Q315" i="20" s="1"/>
  <c r="Q327" i="20" s="1"/>
  <c r="Q339" i="20" s="1"/>
  <c r="Q351" i="20" s="1"/>
  <c r="Q363" i="20" s="1"/>
  <c r="Q375" i="20" s="1"/>
  <c r="Q387" i="20" s="1"/>
  <c r="Q399" i="20" s="1"/>
  <c r="Q411" i="20" s="1"/>
  <c r="Q423" i="20" s="1"/>
  <c r="Q435" i="20" s="1"/>
  <c r="Q447" i="20" s="1"/>
  <c r="Q459" i="20" s="1"/>
  <c r="Q471" i="20" s="1"/>
  <c r="Q483" i="20" s="1"/>
  <c r="Q495" i="20" s="1"/>
  <c r="Q507" i="20" s="1"/>
  <c r="Q519" i="20" s="1"/>
  <c r="Q531" i="20" s="1"/>
  <c r="Q543" i="20" s="1"/>
  <c r="Q555" i="20" s="1"/>
  <c r="Q567" i="20" s="1"/>
  <c r="Q579" i="20" s="1"/>
  <c r="Q591" i="20" s="1"/>
  <c r="Q603" i="20" s="1"/>
  <c r="Q615" i="20" s="1"/>
  <c r="Q627" i="20" s="1"/>
  <c r="Q639" i="20" s="1"/>
  <c r="Q651" i="20" s="1"/>
  <c r="Q663" i="20" s="1"/>
  <c r="Q675" i="20" s="1"/>
  <c r="Q687" i="20" s="1"/>
  <c r="Q699" i="20" s="1"/>
  <c r="Q711" i="20" s="1"/>
  <c r="Q723" i="20" s="1"/>
  <c r="Q735" i="20" s="1"/>
  <c r="Q747" i="20" s="1"/>
  <c r="AM44" i="21"/>
  <c r="AH44" i="21"/>
  <c r="AI44" i="21"/>
  <c r="AY44" i="21"/>
  <c r="BD44" i="21"/>
  <c r="AT44" i="21"/>
  <c r="AL44" i="21"/>
  <c r="AQ44" i="21"/>
  <c r="AV44" i="21"/>
  <c r="AS44" i="21"/>
  <c r="AZ44" i="21"/>
  <c r="AE45" i="21"/>
  <c r="AP44" i="21"/>
  <c r="AN44" i="21"/>
  <c r="AO44" i="21"/>
  <c r="AR44" i="21"/>
  <c r="BC44" i="21"/>
  <c r="BB44" i="21"/>
  <c r="AK44" i="21"/>
  <c r="AU44" i="21"/>
  <c r="AX44" i="21"/>
  <c r="AW44" i="21"/>
  <c r="AJ44" i="21"/>
  <c r="BA44" i="21"/>
  <c r="AC37" i="2"/>
  <c r="C38" i="2"/>
  <c r="J24" i="18"/>
  <c r="B31" i="20"/>
  <c r="AC30" i="20"/>
  <c r="AC33" i="19"/>
  <c r="A33" i="19"/>
  <c r="B34" i="19"/>
  <c r="H26" i="19"/>
  <c r="J26" i="19"/>
  <c r="K26" i="19"/>
  <c r="L26" i="19" s="1"/>
  <c r="F27" i="19" s="1"/>
  <c r="S75" i="20"/>
  <c r="S76" i="20" s="1"/>
  <c r="S77" i="20" s="1"/>
  <c r="S81" i="20"/>
  <c r="S84" i="20"/>
  <c r="S78" i="20"/>
  <c r="S79" i="20" s="1"/>
  <c r="S80" i="20" s="1"/>
  <c r="S73" i="20"/>
  <c r="S74" i="20" s="1"/>
  <c r="S70" i="19"/>
  <c r="S59" i="19"/>
  <c r="S118" i="17"/>
  <c r="S107" i="17"/>
  <c r="S84" i="17"/>
  <c r="S75" i="17"/>
  <c r="S76" i="17" s="1"/>
  <c r="S77" i="17" s="1"/>
  <c r="S78" i="17"/>
  <c r="S79" i="17" s="1"/>
  <c r="S80" i="17" s="1"/>
  <c r="S81" i="17"/>
  <c r="S73" i="17"/>
  <c r="S74" i="17" s="1"/>
  <c r="L24" i="20"/>
  <c r="F25" i="20" s="1"/>
  <c r="K24" i="20"/>
  <c r="E42" i="20"/>
  <c r="E54" i="20" s="1"/>
  <c r="E66" i="20" s="1"/>
  <c r="E78" i="20" s="1"/>
  <c r="E90" i="20" s="1"/>
  <c r="E102" i="20" s="1"/>
  <c r="E114" i="20" s="1"/>
  <c r="E126" i="20" s="1"/>
  <c r="E138" i="20" s="1"/>
  <c r="E150" i="20" s="1"/>
  <c r="E162" i="20" s="1"/>
  <c r="E174" i="20" s="1"/>
  <c r="E186" i="20" s="1"/>
  <c r="E198" i="20" s="1"/>
  <c r="E210" i="20" s="1"/>
  <c r="E222" i="20" s="1"/>
  <c r="E234" i="20" s="1"/>
  <c r="E246" i="20" s="1"/>
  <c r="E258" i="20" s="1"/>
  <c r="E270" i="20" s="1"/>
  <c r="E282" i="20" s="1"/>
  <c r="E294" i="20" s="1"/>
  <c r="E306" i="20" s="1"/>
  <c r="E318" i="20" s="1"/>
  <c r="E330" i="20" s="1"/>
  <c r="E342" i="20" s="1"/>
  <c r="E354" i="20" s="1"/>
  <c r="E366" i="20" s="1"/>
  <c r="E378" i="20" s="1"/>
  <c r="E390" i="20" s="1"/>
  <c r="E402" i="20" s="1"/>
  <c r="E414" i="20" s="1"/>
  <c r="E426" i="20" s="1"/>
  <c r="E438" i="20" s="1"/>
  <c r="E450" i="20" s="1"/>
  <c r="E462" i="20" s="1"/>
  <c r="E474" i="20" s="1"/>
  <c r="E486" i="20" s="1"/>
  <c r="E498" i="20" s="1"/>
  <c r="E510" i="20" s="1"/>
  <c r="E522" i="20" s="1"/>
  <c r="E534" i="20" s="1"/>
  <c r="E546" i="20" s="1"/>
  <c r="E558" i="20" s="1"/>
  <c r="E570" i="20" s="1"/>
  <c r="E582" i="20" s="1"/>
  <c r="E594" i="20" s="1"/>
  <c r="E606" i="20" s="1"/>
  <c r="E618" i="20" s="1"/>
  <c r="E630" i="20" s="1"/>
  <c r="E642" i="20" s="1"/>
  <c r="E654" i="20" s="1"/>
  <c r="E666" i="20" s="1"/>
  <c r="E678" i="20" s="1"/>
  <c r="E690" i="20" s="1"/>
  <c r="E702" i="20" s="1"/>
  <c r="E714" i="20" s="1"/>
  <c r="E726" i="20" s="1"/>
  <c r="E738" i="20" s="1"/>
  <c r="E750" i="20" s="1"/>
  <c r="E31" i="20"/>
  <c r="E43" i="19"/>
  <c r="E55" i="19" s="1"/>
  <c r="E67" i="19" s="1"/>
  <c r="E79" i="19" s="1"/>
  <c r="E91" i="19" s="1"/>
  <c r="E103" i="19" s="1"/>
  <c r="E115" i="19" s="1"/>
  <c r="E127" i="19" s="1"/>
  <c r="E139" i="19" s="1"/>
  <c r="E151" i="19" s="1"/>
  <c r="E163" i="19" s="1"/>
  <c r="E175" i="19" s="1"/>
  <c r="E187" i="19" s="1"/>
  <c r="E199" i="19" s="1"/>
  <c r="E211" i="19" s="1"/>
  <c r="E223" i="19" s="1"/>
  <c r="E235" i="19" s="1"/>
  <c r="E247" i="19" s="1"/>
  <c r="E259" i="19" s="1"/>
  <c r="E271" i="19" s="1"/>
  <c r="E283" i="19" s="1"/>
  <c r="E295" i="19" s="1"/>
  <c r="E307" i="19" s="1"/>
  <c r="E319" i="19" s="1"/>
  <c r="E331" i="19" s="1"/>
  <c r="E343" i="19" s="1"/>
  <c r="E355" i="19" s="1"/>
  <c r="E367" i="19" s="1"/>
  <c r="E379" i="19" s="1"/>
  <c r="E391" i="19" s="1"/>
  <c r="E403" i="19" s="1"/>
  <c r="E415" i="19" s="1"/>
  <c r="E427" i="19" s="1"/>
  <c r="E439" i="19" s="1"/>
  <c r="E451" i="19" s="1"/>
  <c r="E463" i="19" s="1"/>
  <c r="E475" i="19" s="1"/>
  <c r="E487" i="19" s="1"/>
  <c r="E499" i="19" s="1"/>
  <c r="E511" i="19" s="1"/>
  <c r="E523" i="19" s="1"/>
  <c r="E535" i="19" s="1"/>
  <c r="E547" i="19" s="1"/>
  <c r="E559" i="19" s="1"/>
  <c r="E571" i="19" s="1"/>
  <c r="E583" i="19" s="1"/>
  <c r="E595" i="19" s="1"/>
  <c r="E607" i="19" s="1"/>
  <c r="E619" i="19" s="1"/>
  <c r="E631" i="19" s="1"/>
  <c r="E643" i="19" s="1"/>
  <c r="E655" i="19" s="1"/>
  <c r="E667" i="19" s="1"/>
  <c r="E679" i="19" s="1"/>
  <c r="E691" i="19" s="1"/>
  <c r="E703" i="19" s="1"/>
  <c r="E715" i="19" s="1"/>
  <c r="E727" i="19" s="1"/>
  <c r="E739" i="19" s="1"/>
  <c r="E751" i="19" s="1"/>
  <c r="E32" i="19"/>
  <c r="B31" i="17"/>
  <c r="AC30" i="17"/>
  <c r="W6" i="21"/>
  <c r="K32" i="2"/>
  <c r="U6" i="21"/>
  <c r="V6" i="21" s="1"/>
  <c r="S82" i="20"/>
  <c r="S71" i="20"/>
  <c r="S61" i="19"/>
  <c r="S62" i="19" s="1"/>
  <c r="S72" i="19"/>
  <c r="S63" i="19"/>
  <c r="S64" i="19" s="1"/>
  <c r="S65" i="19" s="1"/>
  <c r="S66" i="19"/>
  <c r="S67" i="19" s="1"/>
  <c r="S68" i="19" s="1"/>
  <c r="S69" i="19"/>
  <c r="E40" i="17"/>
  <c r="E52" i="17" s="1"/>
  <c r="E64" i="17" s="1"/>
  <c r="E76" i="17" s="1"/>
  <c r="E88" i="17" s="1"/>
  <c r="E100" i="17" s="1"/>
  <c r="E112" i="17" s="1"/>
  <c r="E124" i="17" s="1"/>
  <c r="E136" i="17" s="1"/>
  <c r="E148" i="17" s="1"/>
  <c r="E160" i="17" s="1"/>
  <c r="E172" i="17" s="1"/>
  <c r="E184" i="17" s="1"/>
  <c r="E196" i="17" s="1"/>
  <c r="E208" i="17" s="1"/>
  <c r="E220" i="17" s="1"/>
  <c r="E232" i="17" s="1"/>
  <c r="E244" i="17" s="1"/>
  <c r="E256" i="17" s="1"/>
  <c r="E268" i="17" s="1"/>
  <c r="E280" i="17" s="1"/>
  <c r="E292" i="17" s="1"/>
  <c r="E304" i="17" s="1"/>
  <c r="E316" i="17" s="1"/>
  <c r="E328" i="17" s="1"/>
  <c r="E340" i="17" s="1"/>
  <c r="E352" i="17" s="1"/>
  <c r="E364" i="17" s="1"/>
  <c r="E376" i="17" s="1"/>
  <c r="E388" i="17" s="1"/>
  <c r="E400" i="17" s="1"/>
  <c r="E412" i="17" s="1"/>
  <c r="E424" i="17" s="1"/>
  <c r="E436" i="17" s="1"/>
  <c r="E448" i="17" s="1"/>
  <c r="E460" i="17" s="1"/>
  <c r="E472" i="17" s="1"/>
  <c r="E484" i="17" s="1"/>
  <c r="E496" i="17" s="1"/>
  <c r="E508" i="17" s="1"/>
  <c r="E520" i="17" s="1"/>
  <c r="E532" i="17" s="1"/>
  <c r="E544" i="17" s="1"/>
  <c r="E556" i="17" s="1"/>
  <c r="E568" i="17" s="1"/>
  <c r="E580" i="17" s="1"/>
  <c r="E592" i="17" s="1"/>
  <c r="E604" i="17" s="1"/>
  <c r="E616" i="17" s="1"/>
  <c r="E628" i="17" s="1"/>
  <c r="E640" i="17" s="1"/>
  <c r="E652" i="17" s="1"/>
  <c r="E664" i="17" s="1"/>
  <c r="E676" i="17" s="1"/>
  <c r="E688" i="17" s="1"/>
  <c r="E700" i="17" s="1"/>
  <c r="E712" i="17" s="1"/>
  <c r="E724" i="17" s="1"/>
  <c r="E736" i="17" s="1"/>
  <c r="E748" i="17" s="1"/>
  <c r="E29" i="17"/>
  <c r="D40" i="18"/>
  <c r="D52" i="18" s="1"/>
  <c r="D64" i="18" s="1"/>
  <c r="D76" i="18" s="1"/>
  <c r="D88" i="18" s="1"/>
  <c r="D100" i="18" s="1"/>
  <c r="D112" i="18" s="1"/>
  <c r="D124" i="18" s="1"/>
  <c r="D136" i="18" s="1"/>
  <c r="D148" i="18" s="1"/>
  <c r="D160" i="18" s="1"/>
  <c r="D172" i="18" s="1"/>
  <c r="D184" i="18" s="1"/>
  <c r="D196" i="18" s="1"/>
  <c r="D208" i="18" s="1"/>
  <c r="D220" i="18" s="1"/>
  <c r="D232" i="18" s="1"/>
  <c r="D244" i="18" s="1"/>
  <c r="D256" i="18" s="1"/>
  <c r="D268" i="18" s="1"/>
  <c r="D280" i="18" s="1"/>
  <c r="D292" i="18" s="1"/>
  <c r="D304" i="18" s="1"/>
  <c r="D316" i="18" s="1"/>
  <c r="D328" i="18" s="1"/>
  <c r="D340" i="18" s="1"/>
  <c r="D352" i="18" s="1"/>
  <c r="D364" i="18" s="1"/>
  <c r="D376" i="18" s="1"/>
  <c r="D388" i="18" s="1"/>
  <c r="D400" i="18" s="1"/>
  <c r="D412" i="18" s="1"/>
  <c r="D424" i="18" s="1"/>
  <c r="D436" i="18" s="1"/>
  <c r="D448" i="18" s="1"/>
  <c r="D460" i="18" s="1"/>
  <c r="D472" i="18" s="1"/>
  <c r="D484" i="18" s="1"/>
  <c r="D496" i="18" s="1"/>
  <c r="D508" i="18" s="1"/>
  <c r="D520" i="18" s="1"/>
  <c r="D532" i="18" s="1"/>
  <c r="D544" i="18" s="1"/>
  <c r="D556" i="18" s="1"/>
  <c r="D568" i="18" s="1"/>
  <c r="D580" i="18" s="1"/>
  <c r="D592" i="18" s="1"/>
  <c r="D604" i="18" s="1"/>
  <c r="D616" i="18" s="1"/>
  <c r="D628" i="18" s="1"/>
  <c r="D640" i="18" s="1"/>
  <c r="D652" i="18" s="1"/>
  <c r="D664" i="18" s="1"/>
  <c r="D676" i="18" s="1"/>
  <c r="D688" i="18" s="1"/>
  <c r="D700" i="18" s="1"/>
  <c r="D712" i="18" s="1"/>
  <c r="D724" i="18" s="1"/>
  <c r="D736" i="18" s="1"/>
  <c r="D748" i="18" s="1"/>
  <c r="D29" i="18"/>
  <c r="Q43" i="19"/>
  <c r="Q55" i="19" s="1"/>
  <c r="Q67" i="19" s="1"/>
  <c r="Q79" i="19" s="1"/>
  <c r="Q91" i="19" s="1"/>
  <c r="Q103" i="19" s="1"/>
  <c r="Q115" i="19" s="1"/>
  <c r="Q127" i="19" s="1"/>
  <c r="Q139" i="19" s="1"/>
  <c r="Q151" i="19" s="1"/>
  <c r="Q163" i="19" s="1"/>
  <c r="Q175" i="19" s="1"/>
  <c r="Q187" i="19" s="1"/>
  <c r="Q199" i="19" s="1"/>
  <c r="Q211" i="19" s="1"/>
  <c r="Q223" i="19" s="1"/>
  <c r="Q235" i="19" s="1"/>
  <c r="Q247" i="19" s="1"/>
  <c r="Q259" i="19" s="1"/>
  <c r="Q271" i="19" s="1"/>
  <c r="Q283" i="19" s="1"/>
  <c r="Q295" i="19" s="1"/>
  <c r="Q307" i="19" s="1"/>
  <c r="Q319" i="19" s="1"/>
  <c r="Q331" i="19" s="1"/>
  <c r="Q343" i="19" s="1"/>
  <c r="Q355" i="19" s="1"/>
  <c r="Q367" i="19" s="1"/>
  <c r="Q379" i="19" s="1"/>
  <c r="Q391" i="19" s="1"/>
  <c r="Q403" i="19" s="1"/>
  <c r="Q415" i="19" s="1"/>
  <c r="Q427" i="19" s="1"/>
  <c r="Q439" i="19" s="1"/>
  <c r="Q451" i="19" s="1"/>
  <c r="Q463" i="19" s="1"/>
  <c r="Q475" i="19" s="1"/>
  <c r="Q487" i="19" s="1"/>
  <c r="Q499" i="19" s="1"/>
  <c r="Q511" i="19" s="1"/>
  <c r="Q523" i="19" s="1"/>
  <c r="Q535" i="19" s="1"/>
  <c r="Q547" i="19" s="1"/>
  <c r="Q559" i="19" s="1"/>
  <c r="Q571" i="19" s="1"/>
  <c r="Q583" i="19" s="1"/>
  <c r="Q595" i="19" s="1"/>
  <c r="Q607" i="19" s="1"/>
  <c r="Q619" i="19" s="1"/>
  <c r="Q631" i="19" s="1"/>
  <c r="Q643" i="19" s="1"/>
  <c r="Q655" i="19" s="1"/>
  <c r="Q667" i="19" s="1"/>
  <c r="Q679" i="19" s="1"/>
  <c r="Q691" i="19" s="1"/>
  <c r="Q703" i="19" s="1"/>
  <c r="Q715" i="19" s="1"/>
  <c r="Q727" i="19" s="1"/>
  <c r="Q739" i="19" s="1"/>
  <c r="Q751" i="19" s="1"/>
  <c r="Q32" i="19"/>
  <c r="G33" i="2"/>
  <c r="E34" i="2"/>
  <c r="U24" i="19"/>
  <c r="Q42" i="17"/>
  <c r="Q54" i="17" s="1"/>
  <c r="Q66" i="17" s="1"/>
  <c r="Q78" i="17" s="1"/>
  <c r="Q90" i="17" s="1"/>
  <c r="Q102" i="17" s="1"/>
  <c r="Q114" i="17" s="1"/>
  <c r="Q126" i="17" s="1"/>
  <c r="Q138" i="17" s="1"/>
  <c r="Q150" i="17" s="1"/>
  <c r="Q162" i="17" s="1"/>
  <c r="Q174" i="17" s="1"/>
  <c r="Q186" i="17" s="1"/>
  <c r="Q198" i="17" s="1"/>
  <c r="Q210" i="17" s="1"/>
  <c r="Q222" i="17" s="1"/>
  <c r="Q234" i="17" s="1"/>
  <c r="Q246" i="17" s="1"/>
  <c r="Q258" i="17" s="1"/>
  <c r="Q270" i="17" s="1"/>
  <c r="Q282" i="17" s="1"/>
  <c r="Q294" i="17" s="1"/>
  <c r="Q306" i="17" s="1"/>
  <c r="Q318" i="17" s="1"/>
  <c r="Q330" i="17" s="1"/>
  <c r="Q342" i="17" s="1"/>
  <c r="Q354" i="17" s="1"/>
  <c r="Q366" i="17" s="1"/>
  <c r="Q378" i="17" s="1"/>
  <c r="Q390" i="17" s="1"/>
  <c r="Q402" i="17" s="1"/>
  <c r="Q414" i="17" s="1"/>
  <c r="Q426" i="17" s="1"/>
  <c r="Q438" i="17" s="1"/>
  <c r="Q450" i="17" s="1"/>
  <c r="Q462" i="17" s="1"/>
  <c r="Q474" i="17" s="1"/>
  <c r="Q486" i="17" s="1"/>
  <c r="Q498" i="17" s="1"/>
  <c r="Q510" i="17" s="1"/>
  <c r="Q522" i="17" s="1"/>
  <c r="Q534" i="17" s="1"/>
  <c r="Q546" i="17" s="1"/>
  <c r="Q558" i="17" s="1"/>
  <c r="Q570" i="17" s="1"/>
  <c r="Q582" i="17" s="1"/>
  <c r="Q594" i="17" s="1"/>
  <c r="Q606" i="17" s="1"/>
  <c r="Q618" i="17" s="1"/>
  <c r="Q630" i="17" s="1"/>
  <c r="Q642" i="17" s="1"/>
  <c r="Q654" i="17" s="1"/>
  <c r="Q666" i="17" s="1"/>
  <c r="Q678" i="17" s="1"/>
  <c r="Q690" i="17" s="1"/>
  <c r="Q702" i="17" s="1"/>
  <c r="Q714" i="17" s="1"/>
  <c r="Q726" i="17" s="1"/>
  <c r="Q738" i="17" s="1"/>
  <c r="Q750" i="17" s="1"/>
  <c r="Q31" i="17"/>
  <c r="Z5" i="21"/>
  <c r="AB5" i="21" s="1"/>
  <c r="AA5" i="21"/>
  <c r="C10" i="21"/>
  <c r="A9" i="21"/>
  <c r="B9" i="21" s="1"/>
  <c r="AH68" i="21"/>
  <c r="H24" i="17"/>
  <c r="U24" i="17"/>
  <c r="AI78" i="21"/>
  <c r="H27" i="19" l="1"/>
  <c r="K27" i="19" s="1"/>
  <c r="G34" i="2"/>
  <c r="E35" i="2"/>
  <c r="E41" i="17"/>
  <c r="E53" i="17" s="1"/>
  <c r="E65" i="17" s="1"/>
  <c r="E77" i="17" s="1"/>
  <c r="E89" i="17" s="1"/>
  <c r="E101" i="17" s="1"/>
  <c r="E113" i="17" s="1"/>
  <c r="E125" i="17" s="1"/>
  <c r="E137" i="17" s="1"/>
  <c r="E149" i="17" s="1"/>
  <c r="E161" i="17" s="1"/>
  <c r="E173" i="17" s="1"/>
  <c r="E185" i="17" s="1"/>
  <c r="E197" i="17" s="1"/>
  <c r="E209" i="17" s="1"/>
  <c r="E221" i="17" s="1"/>
  <c r="E233" i="17" s="1"/>
  <c r="E245" i="17" s="1"/>
  <c r="E257" i="17" s="1"/>
  <c r="E269" i="17" s="1"/>
  <c r="E281" i="17" s="1"/>
  <c r="E293" i="17" s="1"/>
  <c r="E305" i="17" s="1"/>
  <c r="E317" i="17" s="1"/>
  <c r="E329" i="17" s="1"/>
  <c r="E341" i="17" s="1"/>
  <c r="E353" i="17" s="1"/>
  <c r="E365" i="17" s="1"/>
  <c r="E377" i="17" s="1"/>
  <c r="E389" i="17" s="1"/>
  <c r="E401" i="17" s="1"/>
  <c r="E413" i="17" s="1"/>
  <c r="E425" i="17" s="1"/>
  <c r="E437" i="17" s="1"/>
  <c r="E449" i="17" s="1"/>
  <c r="E461" i="17" s="1"/>
  <c r="E473" i="17" s="1"/>
  <c r="E485" i="17" s="1"/>
  <c r="E497" i="17" s="1"/>
  <c r="E509" i="17" s="1"/>
  <c r="E521" i="17" s="1"/>
  <c r="E533" i="17" s="1"/>
  <c r="E545" i="17" s="1"/>
  <c r="E557" i="17" s="1"/>
  <c r="E569" i="17" s="1"/>
  <c r="E581" i="17" s="1"/>
  <c r="E593" i="17" s="1"/>
  <c r="E605" i="17" s="1"/>
  <c r="E617" i="17" s="1"/>
  <c r="E629" i="17" s="1"/>
  <c r="E641" i="17" s="1"/>
  <c r="E653" i="17" s="1"/>
  <c r="E665" i="17" s="1"/>
  <c r="E677" i="17" s="1"/>
  <c r="E689" i="17" s="1"/>
  <c r="E701" i="17" s="1"/>
  <c r="E713" i="17" s="1"/>
  <c r="E725" i="17" s="1"/>
  <c r="E737" i="17" s="1"/>
  <c r="E749" i="17" s="1"/>
  <c r="E30" i="17"/>
  <c r="H25" i="20"/>
  <c r="K25" i="20" s="1"/>
  <c r="Q43" i="17"/>
  <c r="Q55" i="17" s="1"/>
  <c r="Q67" i="17" s="1"/>
  <c r="Q79" i="17" s="1"/>
  <c r="Q91" i="17" s="1"/>
  <c r="Q103" i="17" s="1"/>
  <c r="Q115" i="17" s="1"/>
  <c r="Q127" i="17" s="1"/>
  <c r="Q139" i="17" s="1"/>
  <c r="Q151" i="17" s="1"/>
  <c r="Q163" i="17" s="1"/>
  <c r="Q175" i="17" s="1"/>
  <c r="Q187" i="17" s="1"/>
  <c r="Q199" i="17" s="1"/>
  <c r="Q211" i="17" s="1"/>
  <c r="Q223" i="17" s="1"/>
  <c r="Q235" i="17" s="1"/>
  <c r="Q247" i="17" s="1"/>
  <c r="Q259" i="17" s="1"/>
  <c r="Q271" i="17" s="1"/>
  <c r="Q283" i="17" s="1"/>
  <c r="Q295" i="17" s="1"/>
  <c r="Q307" i="17" s="1"/>
  <c r="Q319" i="17" s="1"/>
  <c r="Q331" i="17" s="1"/>
  <c r="Q343" i="17" s="1"/>
  <c r="Q355" i="17" s="1"/>
  <c r="Q367" i="17" s="1"/>
  <c r="Q379" i="17" s="1"/>
  <c r="Q391" i="17" s="1"/>
  <c r="Q403" i="17" s="1"/>
  <c r="Q415" i="17" s="1"/>
  <c r="Q427" i="17" s="1"/>
  <c r="Q439" i="17" s="1"/>
  <c r="Q451" i="17" s="1"/>
  <c r="Q463" i="17" s="1"/>
  <c r="Q475" i="17" s="1"/>
  <c r="Q487" i="17" s="1"/>
  <c r="Q499" i="17" s="1"/>
  <c r="Q511" i="17" s="1"/>
  <c r="Q523" i="17" s="1"/>
  <c r="Q535" i="17" s="1"/>
  <c r="Q547" i="17" s="1"/>
  <c r="Q559" i="17" s="1"/>
  <c r="Q571" i="17" s="1"/>
  <c r="Q583" i="17" s="1"/>
  <c r="Q595" i="17" s="1"/>
  <c r="Q607" i="17" s="1"/>
  <c r="Q619" i="17" s="1"/>
  <c r="Q631" i="17" s="1"/>
  <c r="Q643" i="17" s="1"/>
  <c r="Q655" i="17" s="1"/>
  <c r="Q667" i="17" s="1"/>
  <c r="Q679" i="17" s="1"/>
  <c r="Q691" i="17" s="1"/>
  <c r="Q703" i="17" s="1"/>
  <c r="Q715" i="17" s="1"/>
  <c r="Q727" i="17" s="1"/>
  <c r="Q739" i="17" s="1"/>
  <c r="Q751" i="17" s="1"/>
  <c r="Q32" i="17"/>
  <c r="W7" i="21"/>
  <c r="U7" i="21"/>
  <c r="V7" i="21" s="1"/>
  <c r="K33" i="2"/>
  <c r="Z6" i="21"/>
  <c r="AB6" i="21" s="1"/>
  <c r="AA6" i="21"/>
  <c r="E32" i="20"/>
  <c r="E43" i="20"/>
  <c r="E55" i="20" s="1"/>
  <c r="E67" i="20" s="1"/>
  <c r="E79" i="20" s="1"/>
  <c r="E91" i="20" s="1"/>
  <c r="E103" i="20" s="1"/>
  <c r="E115" i="20" s="1"/>
  <c r="E127" i="20" s="1"/>
  <c r="E139" i="20" s="1"/>
  <c r="E151" i="20" s="1"/>
  <c r="E163" i="20" s="1"/>
  <c r="E175" i="20" s="1"/>
  <c r="E187" i="20" s="1"/>
  <c r="E199" i="20" s="1"/>
  <c r="E211" i="20" s="1"/>
  <c r="E223" i="20" s="1"/>
  <c r="E235" i="20" s="1"/>
  <c r="E247" i="20" s="1"/>
  <c r="E259" i="20" s="1"/>
  <c r="E271" i="20" s="1"/>
  <c r="E283" i="20" s="1"/>
  <c r="E295" i="20" s="1"/>
  <c r="E307" i="20" s="1"/>
  <c r="E319" i="20" s="1"/>
  <c r="E331" i="20" s="1"/>
  <c r="E343" i="20" s="1"/>
  <c r="E355" i="20" s="1"/>
  <c r="E367" i="20" s="1"/>
  <c r="E379" i="20" s="1"/>
  <c r="E391" i="20" s="1"/>
  <c r="E403" i="20" s="1"/>
  <c r="E415" i="20" s="1"/>
  <c r="E427" i="20" s="1"/>
  <c r="E439" i="20" s="1"/>
  <c r="E451" i="20" s="1"/>
  <c r="E463" i="20" s="1"/>
  <c r="E475" i="20" s="1"/>
  <c r="E487" i="20" s="1"/>
  <c r="E499" i="20" s="1"/>
  <c r="E511" i="20" s="1"/>
  <c r="E523" i="20" s="1"/>
  <c r="E535" i="20" s="1"/>
  <c r="E547" i="20" s="1"/>
  <c r="E559" i="20" s="1"/>
  <c r="E571" i="20" s="1"/>
  <c r="E583" i="20" s="1"/>
  <c r="E595" i="20" s="1"/>
  <c r="E607" i="20" s="1"/>
  <c r="E619" i="20" s="1"/>
  <c r="E631" i="20" s="1"/>
  <c r="E643" i="20" s="1"/>
  <c r="E655" i="20" s="1"/>
  <c r="E667" i="20" s="1"/>
  <c r="E679" i="20" s="1"/>
  <c r="E691" i="20" s="1"/>
  <c r="E703" i="20" s="1"/>
  <c r="E715" i="20" s="1"/>
  <c r="E727" i="20" s="1"/>
  <c r="E739" i="20" s="1"/>
  <c r="E751" i="20" s="1"/>
  <c r="S119" i="17"/>
  <c r="S130" i="17"/>
  <c r="B32" i="20"/>
  <c r="AC31" i="20"/>
  <c r="AY45" i="21"/>
  <c r="AT45" i="21"/>
  <c r="AW45" i="21"/>
  <c r="AE46" i="21"/>
  <c r="AQ45" i="21"/>
  <c r="BC45" i="21"/>
  <c r="AZ45" i="21"/>
  <c r="AK45" i="21"/>
  <c r="BA45" i="21"/>
  <c r="AM45" i="21"/>
  <c r="BD45" i="21"/>
  <c r="AI45" i="21"/>
  <c r="AI68" i="21" s="1"/>
  <c r="BB45" i="21"/>
  <c r="AN45" i="21"/>
  <c r="AO45" i="21"/>
  <c r="AP45" i="21"/>
  <c r="AU45" i="21"/>
  <c r="AV45" i="21"/>
  <c r="AJ45" i="21"/>
  <c r="AS45" i="21"/>
  <c r="AX45" i="21"/>
  <c r="AL45" i="21"/>
  <c r="AR45" i="21"/>
  <c r="X24" i="17"/>
  <c r="Y24" i="17"/>
  <c r="Q33" i="19"/>
  <c r="Q44" i="19"/>
  <c r="Q56" i="19" s="1"/>
  <c r="Q68" i="19" s="1"/>
  <c r="Q80" i="19" s="1"/>
  <c r="Q92" i="19" s="1"/>
  <c r="Q104" i="19" s="1"/>
  <c r="Q116" i="19" s="1"/>
  <c r="Q128" i="19" s="1"/>
  <c r="Q140" i="19" s="1"/>
  <c r="Q152" i="19" s="1"/>
  <c r="Q164" i="19" s="1"/>
  <c r="Q176" i="19" s="1"/>
  <c r="Q188" i="19" s="1"/>
  <c r="Q200" i="19" s="1"/>
  <c r="Q212" i="19" s="1"/>
  <c r="Q224" i="19" s="1"/>
  <c r="Q236" i="19" s="1"/>
  <c r="Q248" i="19" s="1"/>
  <c r="Q260" i="19" s="1"/>
  <c r="Q272" i="19" s="1"/>
  <c r="Q284" i="19" s="1"/>
  <c r="Q296" i="19" s="1"/>
  <c r="Q308" i="19" s="1"/>
  <c r="Q320" i="19" s="1"/>
  <c r="Q332" i="19" s="1"/>
  <c r="Q344" i="19" s="1"/>
  <c r="Q356" i="19" s="1"/>
  <c r="Q368" i="19" s="1"/>
  <c r="Q380" i="19" s="1"/>
  <c r="Q392" i="19" s="1"/>
  <c r="Q404" i="19" s="1"/>
  <c r="Q416" i="19" s="1"/>
  <c r="Q428" i="19" s="1"/>
  <c r="Q440" i="19" s="1"/>
  <c r="Q452" i="19" s="1"/>
  <c r="Q464" i="19" s="1"/>
  <c r="Q476" i="19" s="1"/>
  <c r="Q488" i="19" s="1"/>
  <c r="Q500" i="19" s="1"/>
  <c r="Q512" i="19" s="1"/>
  <c r="Q524" i="19" s="1"/>
  <c r="Q536" i="19" s="1"/>
  <c r="Q548" i="19" s="1"/>
  <c r="Q560" i="19" s="1"/>
  <c r="Q572" i="19" s="1"/>
  <c r="Q584" i="19" s="1"/>
  <c r="Q596" i="19" s="1"/>
  <c r="Q608" i="19" s="1"/>
  <c r="Q620" i="19" s="1"/>
  <c r="Q632" i="19" s="1"/>
  <c r="Q644" i="19" s="1"/>
  <c r="Q656" i="19" s="1"/>
  <c r="Q668" i="19" s="1"/>
  <c r="Q680" i="19" s="1"/>
  <c r="Q692" i="19" s="1"/>
  <c r="Q704" i="19" s="1"/>
  <c r="Q716" i="19" s="1"/>
  <c r="Q728" i="19" s="1"/>
  <c r="Q740" i="19" s="1"/>
  <c r="Q752" i="19" s="1"/>
  <c r="S94" i="20"/>
  <c r="S83" i="20"/>
  <c r="S93" i="20"/>
  <c r="S90" i="20"/>
  <c r="S91" i="20" s="1"/>
  <c r="S92" i="20" s="1"/>
  <c r="S96" i="20"/>
  <c r="S87" i="20"/>
  <c r="S88" i="20" s="1"/>
  <c r="S89" i="20" s="1"/>
  <c r="S85" i="20"/>
  <c r="S86" i="20" s="1"/>
  <c r="AA24" i="20"/>
  <c r="AD24" i="20" s="1"/>
  <c r="F5" i="21" s="1"/>
  <c r="AA24" i="19"/>
  <c r="AA24" i="17"/>
  <c r="E25" i="18"/>
  <c r="Q29" i="20"/>
  <c r="Q40" i="20"/>
  <c r="Q52" i="20" s="1"/>
  <c r="Q64" i="20" s="1"/>
  <c r="Q76" i="20" s="1"/>
  <c r="Q88" i="20" s="1"/>
  <c r="Q100" i="20" s="1"/>
  <c r="Q112" i="20" s="1"/>
  <c r="Q124" i="20" s="1"/>
  <c r="Q136" i="20" s="1"/>
  <c r="Q148" i="20" s="1"/>
  <c r="Q160" i="20" s="1"/>
  <c r="Q172" i="20" s="1"/>
  <c r="Q184" i="20" s="1"/>
  <c r="Q196" i="20" s="1"/>
  <c r="Q208" i="20" s="1"/>
  <c r="Q220" i="20" s="1"/>
  <c r="Q232" i="20" s="1"/>
  <c r="Q244" i="20" s="1"/>
  <c r="Q256" i="20" s="1"/>
  <c r="Q268" i="20" s="1"/>
  <c r="Q280" i="20" s="1"/>
  <c r="Q292" i="20" s="1"/>
  <c r="Q304" i="20" s="1"/>
  <c r="Q316" i="20" s="1"/>
  <c r="Q328" i="20" s="1"/>
  <c r="Q340" i="20" s="1"/>
  <c r="Q352" i="20" s="1"/>
  <c r="Q364" i="20" s="1"/>
  <c r="Q376" i="20" s="1"/>
  <c r="Q388" i="20" s="1"/>
  <c r="Q400" i="20" s="1"/>
  <c r="Q412" i="20" s="1"/>
  <c r="Q424" i="20" s="1"/>
  <c r="Q436" i="20" s="1"/>
  <c r="Q448" i="20" s="1"/>
  <c r="Q460" i="20" s="1"/>
  <c r="Q472" i="20" s="1"/>
  <c r="Q484" i="20" s="1"/>
  <c r="Q496" i="20" s="1"/>
  <c r="Q508" i="20" s="1"/>
  <c r="Q520" i="20" s="1"/>
  <c r="Q532" i="20" s="1"/>
  <c r="Q544" i="20" s="1"/>
  <c r="Q556" i="20" s="1"/>
  <c r="Q568" i="20" s="1"/>
  <c r="Q580" i="20" s="1"/>
  <c r="Q592" i="20" s="1"/>
  <c r="Q604" i="20" s="1"/>
  <c r="Q616" i="20" s="1"/>
  <c r="Q628" i="20" s="1"/>
  <c r="Q640" i="20" s="1"/>
  <c r="Q652" i="20" s="1"/>
  <c r="Q664" i="20" s="1"/>
  <c r="Q676" i="20" s="1"/>
  <c r="Q688" i="20" s="1"/>
  <c r="Q700" i="20" s="1"/>
  <c r="Q712" i="20" s="1"/>
  <c r="Q724" i="20" s="1"/>
  <c r="Q736" i="20" s="1"/>
  <c r="Q748" i="20" s="1"/>
  <c r="K24" i="17"/>
  <c r="L24" i="17" s="1"/>
  <c r="F25" i="17" s="1"/>
  <c r="AJ78" i="21"/>
  <c r="X24" i="19"/>
  <c r="Y24" i="19" s="1"/>
  <c r="A34" i="19"/>
  <c r="AC34" i="19"/>
  <c r="B35" i="19"/>
  <c r="AC38" i="2"/>
  <c r="C39" i="2"/>
  <c r="C11" i="21"/>
  <c r="A10" i="21"/>
  <c r="B10" i="21" s="1"/>
  <c r="D30" i="18"/>
  <c r="D41" i="18"/>
  <c r="D53" i="18" s="1"/>
  <c r="D65" i="18" s="1"/>
  <c r="D77" i="18" s="1"/>
  <c r="D89" i="18" s="1"/>
  <c r="D101" i="18" s="1"/>
  <c r="D113" i="18" s="1"/>
  <c r="D125" i="18" s="1"/>
  <c r="D137" i="18" s="1"/>
  <c r="D149" i="18" s="1"/>
  <c r="D161" i="18" s="1"/>
  <c r="D173" i="18" s="1"/>
  <c r="D185" i="18" s="1"/>
  <c r="D197" i="18" s="1"/>
  <c r="D209" i="18" s="1"/>
  <c r="D221" i="18" s="1"/>
  <c r="D233" i="18" s="1"/>
  <c r="D245" i="18" s="1"/>
  <c r="D257" i="18" s="1"/>
  <c r="D269" i="18" s="1"/>
  <c r="D281" i="18" s="1"/>
  <c r="D293" i="18" s="1"/>
  <c r="D305" i="18" s="1"/>
  <c r="D317" i="18" s="1"/>
  <c r="D329" i="18" s="1"/>
  <c r="D341" i="18" s="1"/>
  <c r="D353" i="18" s="1"/>
  <c r="D365" i="18" s="1"/>
  <c r="D377" i="18" s="1"/>
  <c r="D389" i="18" s="1"/>
  <c r="D401" i="18" s="1"/>
  <c r="D413" i="18" s="1"/>
  <c r="D425" i="18" s="1"/>
  <c r="D437" i="18" s="1"/>
  <c r="D449" i="18" s="1"/>
  <c r="D461" i="18" s="1"/>
  <c r="D473" i="18" s="1"/>
  <c r="D485" i="18" s="1"/>
  <c r="D497" i="18" s="1"/>
  <c r="D509" i="18" s="1"/>
  <c r="D521" i="18" s="1"/>
  <c r="D533" i="18" s="1"/>
  <c r="D545" i="18" s="1"/>
  <c r="D557" i="18" s="1"/>
  <c r="D569" i="18" s="1"/>
  <c r="D581" i="18" s="1"/>
  <c r="D593" i="18" s="1"/>
  <c r="D605" i="18" s="1"/>
  <c r="D617" i="18" s="1"/>
  <c r="D629" i="18" s="1"/>
  <c r="D641" i="18" s="1"/>
  <c r="D653" i="18" s="1"/>
  <c r="D665" i="18" s="1"/>
  <c r="D677" i="18" s="1"/>
  <c r="D689" i="18" s="1"/>
  <c r="D701" i="18" s="1"/>
  <c r="D713" i="18" s="1"/>
  <c r="D725" i="18" s="1"/>
  <c r="D737" i="18" s="1"/>
  <c r="D749" i="18" s="1"/>
  <c r="AC31" i="17"/>
  <c r="B32" i="17"/>
  <c r="S82" i="19"/>
  <c r="S71" i="19"/>
  <c r="S78" i="19"/>
  <c r="S79" i="19" s="1"/>
  <c r="S80" i="19" s="1"/>
  <c r="S75" i="19"/>
  <c r="S76" i="19" s="1"/>
  <c r="S77" i="19" s="1"/>
  <c r="S81" i="19"/>
  <c r="S73" i="19"/>
  <c r="S74" i="19" s="1"/>
  <c r="S84" i="19"/>
  <c r="E44" i="19"/>
  <c r="E56" i="19" s="1"/>
  <c r="E68" i="19" s="1"/>
  <c r="E80" i="19" s="1"/>
  <c r="E92" i="19" s="1"/>
  <c r="E104" i="19" s="1"/>
  <c r="E116" i="19" s="1"/>
  <c r="E128" i="19" s="1"/>
  <c r="E140" i="19" s="1"/>
  <c r="E152" i="19" s="1"/>
  <c r="E164" i="19" s="1"/>
  <c r="E176" i="19" s="1"/>
  <c r="E188" i="19" s="1"/>
  <c r="E200" i="19" s="1"/>
  <c r="E212" i="19" s="1"/>
  <c r="E224" i="19" s="1"/>
  <c r="E236" i="19" s="1"/>
  <c r="E248" i="19" s="1"/>
  <c r="E260" i="19" s="1"/>
  <c r="E272" i="19" s="1"/>
  <c r="E284" i="19" s="1"/>
  <c r="E296" i="19" s="1"/>
  <c r="E308" i="19" s="1"/>
  <c r="E320" i="19" s="1"/>
  <c r="E332" i="19" s="1"/>
  <c r="E344" i="19" s="1"/>
  <c r="E356" i="19" s="1"/>
  <c r="E368" i="19" s="1"/>
  <c r="E380" i="19" s="1"/>
  <c r="E392" i="19" s="1"/>
  <c r="E404" i="19" s="1"/>
  <c r="E416" i="19" s="1"/>
  <c r="E428" i="19" s="1"/>
  <c r="E440" i="19" s="1"/>
  <c r="E452" i="19" s="1"/>
  <c r="E464" i="19" s="1"/>
  <c r="E476" i="19" s="1"/>
  <c r="E488" i="19" s="1"/>
  <c r="E500" i="19" s="1"/>
  <c r="E512" i="19" s="1"/>
  <c r="E524" i="19" s="1"/>
  <c r="E536" i="19" s="1"/>
  <c r="E548" i="19" s="1"/>
  <c r="E560" i="19" s="1"/>
  <c r="E572" i="19" s="1"/>
  <c r="E584" i="19" s="1"/>
  <c r="E596" i="19" s="1"/>
  <c r="E608" i="19" s="1"/>
  <c r="E620" i="19" s="1"/>
  <c r="E632" i="19" s="1"/>
  <c r="E644" i="19" s="1"/>
  <c r="E656" i="19" s="1"/>
  <c r="E668" i="19" s="1"/>
  <c r="E680" i="19" s="1"/>
  <c r="E692" i="19" s="1"/>
  <c r="E704" i="19" s="1"/>
  <c r="E716" i="19" s="1"/>
  <c r="E728" i="19" s="1"/>
  <c r="E740" i="19" s="1"/>
  <c r="E752" i="19" s="1"/>
  <c r="E33" i="19"/>
  <c r="S96" i="17"/>
  <c r="S93" i="17"/>
  <c r="S90" i="17"/>
  <c r="S91" i="17" s="1"/>
  <c r="S92" i="17" s="1"/>
  <c r="S87" i="17"/>
  <c r="S88" i="17" s="1"/>
  <c r="S89" i="17" s="1"/>
  <c r="S85" i="17"/>
  <c r="S86" i="17" s="1"/>
  <c r="X25" i="20"/>
  <c r="Y25" i="20" s="1"/>
  <c r="AB7" i="21" l="1"/>
  <c r="R25" i="19"/>
  <c r="J5" i="21"/>
  <c r="K25" i="17"/>
  <c r="H25" i="17"/>
  <c r="L25" i="17" s="1"/>
  <c r="F26" i="17" s="1"/>
  <c r="K6" i="21"/>
  <c r="R26" i="20"/>
  <c r="S94" i="19"/>
  <c r="S83" i="19"/>
  <c r="AC39" i="2"/>
  <c r="C40" i="2"/>
  <c r="S105" i="17"/>
  <c r="S97" i="17"/>
  <c r="S98" i="17" s="1"/>
  <c r="S99" i="17"/>
  <c r="S100" i="17" s="1"/>
  <c r="S101" i="17" s="1"/>
  <c r="S102" i="17"/>
  <c r="S103" i="17" s="1"/>
  <c r="S104" i="17" s="1"/>
  <c r="S108" i="17"/>
  <c r="AD24" i="17"/>
  <c r="D5" i="21" s="1"/>
  <c r="I5" i="21"/>
  <c r="R25" i="17"/>
  <c r="BD46" i="21"/>
  <c r="AX46" i="21"/>
  <c r="AZ46" i="21"/>
  <c r="BC46" i="21"/>
  <c r="AM46" i="21"/>
  <c r="AK46" i="21"/>
  <c r="AT46" i="21"/>
  <c r="AL46" i="21"/>
  <c r="AP46" i="21"/>
  <c r="AJ46" i="21"/>
  <c r="AJ68" i="21" s="1"/>
  <c r="AQ46" i="21"/>
  <c r="BA46" i="21"/>
  <c r="AV46" i="21"/>
  <c r="BB46" i="21"/>
  <c r="AN46" i="21"/>
  <c r="AS46" i="21"/>
  <c r="AO46" i="21"/>
  <c r="AE47" i="21"/>
  <c r="AR46" i="21"/>
  <c r="AU46" i="21"/>
  <c r="AW46" i="21"/>
  <c r="AY46" i="21"/>
  <c r="B33" i="20"/>
  <c r="AC32" i="20"/>
  <c r="E31" i="17"/>
  <c r="E42" i="17"/>
  <c r="E54" i="17" s="1"/>
  <c r="E66" i="17" s="1"/>
  <c r="E78" i="17" s="1"/>
  <c r="E90" i="17" s="1"/>
  <c r="E102" i="17" s="1"/>
  <c r="E114" i="17" s="1"/>
  <c r="E126" i="17" s="1"/>
  <c r="E138" i="17" s="1"/>
  <c r="E150" i="17" s="1"/>
  <c r="E162" i="17" s="1"/>
  <c r="E174" i="17" s="1"/>
  <c r="E186" i="17" s="1"/>
  <c r="E198" i="17" s="1"/>
  <c r="E210" i="17" s="1"/>
  <c r="E222" i="17" s="1"/>
  <c r="E234" i="17" s="1"/>
  <c r="E246" i="17" s="1"/>
  <c r="E258" i="17" s="1"/>
  <c r="E270" i="17" s="1"/>
  <c r="E282" i="17" s="1"/>
  <c r="E294" i="17" s="1"/>
  <c r="E306" i="17" s="1"/>
  <c r="E318" i="17" s="1"/>
  <c r="E330" i="17" s="1"/>
  <c r="E342" i="17" s="1"/>
  <c r="E354" i="17" s="1"/>
  <c r="E366" i="17" s="1"/>
  <c r="E378" i="17" s="1"/>
  <c r="E390" i="17" s="1"/>
  <c r="E402" i="17" s="1"/>
  <c r="E414" i="17" s="1"/>
  <c r="E426" i="17" s="1"/>
  <c r="E438" i="17" s="1"/>
  <c r="E450" i="17" s="1"/>
  <c r="E462" i="17" s="1"/>
  <c r="E474" i="17" s="1"/>
  <c r="E486" i="17" s="1"/>
  <c r="E498" i="17" s="1"/>
  <c r="E510" i="17" s="1"/>
  <c r="E522" i="17" s="1"/>
  <c r="E534" i="17" s="1"/>
  <c r="E546" i="17" s="1"/>
  <c r="E558" i="17" s="1"/>
  <c r="E570" i="17" s="1"/>
  <c r="E582" i="17" s="1"/>
  <c r="E594" i="17" s="1"/>
  <c r="E606" i="17" s="1"/>
  <c r="E618" i="17" s="1"/>
  <c r="E630" i="17" s="1"/>
  <c r="E642" i="17" s="1"/>
  <c r="E654" i="17" s="1"/>
  <c r="E666" i="17" s="1"/>
  <c r="E678" i="17" s="1"/>
  <c r="E690" i="17" s="1"/>
  <c r="E702" i="17" s="1"/>
  <c r="E714" i="17" s="1"/>
  <c r="E726" i="17" s="1"/>
  <c r="E738" i="17" s="1"/>
  <c r="E750" i="17" s="1"/>
  <c r="B33" i="17"/>
  <c r="AC32" i="17"/>
  <c r="G25" i="18"/>
  <c r="I25" i="18"/>
  <c r="J25" i="18" s="1"/>
  <c r="S102" i="20"/>
  <c r="S103" i="20" s="1"/>
  <c r="S104" i="20" s="1"/>
  <c r="S105" i="20"/>
  <c r="S99" i="20"/>
  <c r="S100" i="20" s="1"/>
  <c r="S101" i="20" s="1"/>
  <c r="S97" i="20"/>
  <c r="S98" i="20" s="1"/>
  <c r="S108" i="20"/>
  <c r="Q45" i="19"/>
  <c r="Q57" i="19" s="1"/>
  <c r="Q69" i="19" s="1"/>
  <c r="Q81" i="19" s="1"/>
  <c r="Q93" i="19" s="1"/>
  <c r="Q105" i="19" s="1"/>
  <c r="Q117" i="19" s="1"/>
  <c r="Q129" i="19" s="1"/>
  <c r="Q141" i="19" s="1"/>
  <c r="Q153" i="19" s="1"/>
  <c r="Q165" i="19" s="1"/>
  <c r="Q177" i="19" s="1"/>
  <c r="Q189" i="19" s="1"/>
  <c r="Q201" i="19" s="1"/>
  <c r="Q213" i="19" s="1"/>
  <c r="Q225" i="19" s="1"/>
  <c r="Q237" i="19" s="1"/>
  <c r="Q249" i="19" s="1"/>
  <c r="Q261" i="19" s="1"/>
  <c r="Q273" i="19" s="1"/>
  <c r="Q285" i="19" s="1"/>
  <c r="Q297" i="19" s="1"/>
  <c r="Q309" i="19" s="1"/>
  <c r="Q321" i="19" s="1"/>
  <c r="Q333" i="19" s="1"/>
  <c r="Q345" i="19" s="1"/>
  <c r="Q357" i="19" s="1"/>
  <c r="Q369" i="19" s="1"/>
  <c r="Q381" i="19" s="1"/>
  <c r="Q393" i="19" s="1"/>
  <c r="Q405" i="19" s="1"/>
  <c r="Q417" i="19" s="1"/>
  <c r="Q429" i="19" s="1"/>
  <c r="Q441" i="19" s="1"/>
  <c r="Q453" i="19" s="1"/>
  <c r="Q465" i="19" s="1"/>
  <c r="Q477" i="19" s="1"/>
  <c r="Q489" i="19" s="1"/>
  <c r="Q501" i="19" s="1"/>
  <c r="Q513" i="19" s="1"/>
  <c r="Q525" i="19" s="1"/>
  <c r="Q537" i="19" s="1"/>
  <c r="Q549" i="19" s="1"/>
  <c r="Q561" i="19" s="1"/>
  <c r="Q573" i="19" s="1"/>
  <c r="Q585" i="19" s="1"/>
  <c r="Q597" i="19" s="1"/>
  <c r="Q609" i="19" s="1"/>
  <c r="Q621" i="19" s="1"/>
  <c r="Q633" i="19" s="1"/>
  <c r="Q645" i="19" s="1"/>
  <c r="Q657" i="19" s="1"/>
  <c r="Q669" i="19" s="1"/>
  <c r="Q681" i="19" s="1"/>
  <c r="Q693" i="19" s="1"/>
  <c r="Q705" i="19" s="1"/>
  <c r="Q717" i="19" s="1"/>
  <c r="Q729" i="19" s="1"/>
  <c r="Q741" i="19" s="1"/>
  <c r="Q753" i="19" s="1"/>
  <c r="Q34" i="19"/>
  <c r="S142" i="17"/>
  <c r="S131" i="17"/>
  <c r="A35" i="19"/>
  <c r="AC35" i="19"/>
  <c r="B36" i="19"/>
  <c r="Q41" i="20"/>
  <c r="Q53" i="20" s="1"/>
  <c r="Q65" i="20" s="1"/>
  <c r="Q77" i="20" s="1"/>
  <c r="Q89" i="20" s="1"/>
  <c r="Q101" i="20" s="1"/>
  <c r="Q113" i="20" s="1"/>
  <c r="Q125" i="20" s="1"/>
  <c r="Q137" i="20" s="1"/>
  <c r="Q149" i="20" s="1"/>
  <c r="Q161" i="20" s="1"/>
  <c r="Q173" i="20" s="1"/>
  <c r="Q185" i="20" s="1"/>
  <c r="Q197" i="20" s="1"/>
  <c r="Q209" i="20" s="1"/>
  <c r="Q221" i="20" s="1"/>
  <c r="Q233" i="20" s="1"/>
  <c r="Q245" i="20" s="1"/>
  <c r="Q257" i="20" s="1"/>
  <c r="Q269" i="20" s="1"/>
  <c r="Q281" i="20" s="1"/>
  <c r="Q293" i="20" s="1"/>
  <c r="Q305" i="20" s="1"/>
  <c r="Q317" i="20" s="1"/>
  <c r="Q329" i="20" s="1"/>
  <c r="Q341" i="20" s="1"/>
  <c r="Q353" i="20" s="1"/>
  <c r="Q365" i="20" s="1"/>
  <c r="Q377" i="20" s="1"/>
  <c r="Q389" i="20" s="1"/>
  <c r="Q401" i="20" s="1"/>
  <c r="Q413" i="20" s="1"/>
  <c r="Q425" i="20" s="1"/>
  <c r="Q437" i="20" s="1"/>
  <c r="Q449" i="20" s="1"/>
  <c r="Q461" i="20" s="1"/>
  <c r="Q473" i="20" s="1"/>
  <c r="Q485" i="20" s="1"/>
  <c r="Q497" i="20" s="1"/>
  <c r="Q509" i="20" s="1"/>
  <c r="Q521" i="20" s="1"/>
  <c r="Q533" i="20" s="1"/>
  <c r="Q545" i="20" s="1"/>
  <c r="Q557" i="20" s="1"/>
  <c r="Q569" i="20" s="1"/>
  <c r="Q581" i="20" s="1"/>
  <c r="Q593" i="20" s="1"/>
  <c r="Q605" i="20" s="1"/>
  <c r="Q617" i="20" s="1"/>
  <c r="Q629" i="20" s="1"/>
  <c r="Q641" i="20" s="1"/>
  <c r="Q653" i="20" s="1"/>
  <c r="Q665" i="20" s="1"/>
  <c r="Q677" i="20" s="1"/>
  <c r="Q689" i="20" s="1"/>
  <c r="Q701" i="20" s="1"/>
  <c r="Q713" i="20" s="1"/>
  <c r="Q725" i="20" s="1"/>
  <c r="Q737" i="20" s="1"/>
  <c r="Q749" i="20" s="1"/>
  <c r="Q30" i="20"/>
  <c r="AD24" i="19"/>
  <c r="E5" i="21" s="1"/>
  <c r="E33" i="20"/>
  <c r="E44" i="20"/>
  <c r="E56" i="20" s="1"/>
  <c r="E68" i="20" s="1"/>
  <c r="E80" i="20" s="1"/>
  <c r="E92" i="20" s="1"/>
  <c r="E104" i="20" s="1"/>
  <c r="E116" i="20" s="1"/>
  <c r="E128" i="20" s="1"/>
  <c r="E140" i="20" s="1"/>
  <c r="E152" i="20" s="1"/>
  <c r="E164" i="20" s="1"/>
  <c r="E176" i="20" s="1"/>
  <c r="E188" i="20" s="1"/>
  <c r="E200" i="20" s="1"/>
  <c r="E212" i="20" s="1"/>
  <c r="E224" i="20" s="1"/>
  <c r="E236" i="20" s="1"/>
  <c r="E248" i="20" s="1"/>
  <c r="E260" i="20" s="1"/>
  <c r="E272" i="20" s="1"/>
  <c r="E284" i="20" s="1"/>
  <c r="E296" i="20" s="1"/>
  <c r="E308" i="20" s="1"/>
  <c r="E320" i="20" s="1"/>
  <c r="E332" i="20" s="1"/>
  <c r="E344" i="20" s="1"/>
  <c r="E356" i="20" s="1"/>
  <c r="E368" i="20" s="1"/>
  <c r="E380" i="20" s="1"/>
  <c r="E392" i="20" s="1"/>
  <c r="E404" i="20" s="1"/>
  <c r="E416" i="20" s="1"/>
  <c r="E428" i="20" s="1"/>
  <c r="E440" i="20" s="1"/>
  <c r="E452" i="20" s="1"/>
  <c r="E464" i="20" s="1"/>
  <c r="E476" i="20" s="1"/>
  <c r="E488" i="20" s="1"/>
  <c r="E500" i="20" s="1"/>
  <c r="E512" i="20" s="1"/>
  <c r="E524" i="20" s="1"/>
  <c r="E536" i="20" s="1"/>
  <c r="E548" i="20" s="1"/>
  <c r="E560" i="20" s="1"/>
  <c r="E572" i="20" s="1"/>
  <c r="E584" i="20" s="1"/>
  <c r="E596" i="20" s="1"/>
  <c r="E608" i="20" s="1"/>
  <c r="E620" i="20" s="1"/>
  <c r="E632" i="20" s="1"/>
  <c r="E644" i="20" s="1"/>
  <c r="E656" i="20" s="1"/>
  <c r="E668" i="20" s="1"/>
  <c r="E680" i="20" s="1"/>
  <c r="E692" i="20" s="1"/>
  <c r="E704" i="20" s="1"/>
  <c r="E716" i="20" s="1"/>
  <c r="E728" i="20" s="1"/>
  <c r="E740" i="20" s="1"/>
  <c r="E752" i="20" s="1"/>
  <c r="AA7" i="21"/>
  <c r="Z7" i="21"/>
  <c r="L25" i="20"/>
  <c r="F26" i="20" s="1"/>
  <c r="U8" i="21"/>
  <c r="V8" i="21" s="1"/>
  <c r="W8" i="21"/>
  <c r="K34" i="2"/>
  <c r="L27" i="19"/>
  <c r="F28" i="19" s="1"/>
  <c r="E34" i="19"/>
  <c r="E45" i="19"/>
  <c r="E57" i="19" s="1"/>
  <c r="E69" i="19" s="1"/>
  <c r="E81" i="19" s="1"/>
  <c r="E93" i="19" s="1"/>
  <c r="E105" i="19" s="1"/>
  <c r="E117" i="19" s="1"/>
  <c r="E129" i="19" s="1"/>
  <c r="E141" i="19" s="1"/>
  <c r="E153" i="19" s="1"/>
  <c r="E165" i="19" s="1"/>
  <c r="E177" i="19" s="1"/>
  <c r="E189" i="19" s="1"/>
  <c r="E201" i="19" s="1"/>
  <c r="E213" i="19" s="1"/>
  <c r="E225" i="19" s="1"/>
  <c r="E237" i="19" s="1"/>
  <c r="E249" i="19" s="1"/>
  <c r="E261" i="19" s="1"/>
  <c r="E273" i="19" s="1"/>
  <c r="E285" i="19" s="1"/>
  <c r="E297" i="19" s="1"/>
  <c r="E309" i="19" s="1"/>
  <c r="E321" i="19" s="1"/>
  <c r="E333" i="19" s="1"/>
  <c r="E345" i="19" s="1"/>
  <c r="E357" i="19" s="1"/>
  <c r="E369" i="19" s="1"/>
  <c r="E381" i="19" s="1"/>
  <c r="E393" i="19" s="1"/>
  <c r="E405" i="19" s="1"/>
  <c r="E417" i="19" s="1"/>
  <c r="E429" i="19" s="1"/>
  <c r="E441" i="19" s="1"/>
  <c r="E453" i="19" s="1"/>
  <c r="E465" i="19" s="1"/>
  <c r="E477" i="19" s="1"/>
  <c r="E489" i="19" s="1"/>
  <c r="E501" i="19" s="1"/>
  <c r="E513" i="19" s="1"/>
  <c r="E525" i="19" s="1"/>
  <c r="E537" i="19" s="1"/>
  <c r="E549" i="19" s="1"/>
  <c r="E561" i="19" s="1"/>
  <c r="E573" i="19" s="1"/>
  <c r="E585" i="19" s="1"/>
  <c r="E597" i="19" s="1"/>
  <c r="E609" i="19" s="1"/>
  <c r="E621" i="19" s="1"/>
  <c r="E633" i="19" s="1"/>
  <c r="E645" i="19" s="1"/>
  <c r="E657" i="19" s="1"/>
  <c r="E669" i="19" s="1"/>
  <c r="E681" i="19" s="1"/>
  <c r="E693" i="19" s="1"/>
  <c r="E705" i="19" s="1"/>
  <c r="E717" i="19" s="1"/>
  <c r="E729" i="19" s="1"/>
  <c r="E741" i="19" s="1"/>
  <c r="E753" i="19" s="1"/>
  <c r="C12" i="21"/>
  <c r="A11" i="21"/>
  <c r="B11" i="21" s="1"/>
  <c r="AK78" i="21"/>
  <c r="G35" i="2"/>
  <c r="E36" i="2"/>
  <c r="S93" i="19"/>
  <c r="S85" i="19"/>
  <c r="S86" i="19" s="1"/>
  <c r="S87" i="19"/>
  <c r="S88" i="19" s="1"/>
  <c r="S89" i="19" s="1"/>
  <c r="S96" i="19"/>
  <c r="S90" i="19"/>
  <c r="S91" i="19" s="1"/>
  <c r="S92" i="19" s="1"/>
  <c r="D31" i="18"/>
  <c r="D42" i="18"/>
  <c r="D54" i="18" s="1"/>
  <c r="D66" i="18" s="1"/>
  <c r="D78" i="18" s="1"/>
  <c r="D90" i="18" s="1"/>
  <c r="D102" i="18" s="1"/>
  <c r="D114" i="18" s="1"/>
  <c r="D126" i="18" s="1"/>
  <c r="D138" i="18" s="1"/>
  <c r="D150" i="18" s="1"/>
  <c r="D162" i="18" s="1"/>
  <c r="D174" i="18" s="1"/>
  <c r="D186" i="18" s="1"/>
  <c r="D198" i="18" s="1"/>
  <c r="D210" i="18" s="1"/>
  <c r="D222" i="18" s="1"/>
  <c r="D234" i="18" s="1"/>
  <c r="D246" i="18" s="1"/>
  <c r="D258" i="18" s="1"/>
  <c r="D270" i="18" s="1"/>
  <c r="D282" i="18" s="1"/>
  <c r="D294" i="18" s="1"/>
  <c r="D306" i="18" s="1"/>
  <c r="D318" i="18" s="1"/>
  <c r="D330" i="18" s="1"/>
  <c r="D342" i="18" s="1"/>
  <c r="D354" i="18" s="1"/>
  <c r="D366" i="18" s="1"/>
  <c r="D378" i="18" s="1"/>
  <c r="D390" i="18" s="1"/>
  <c r="D402" i="18" s="1"/>
  <c r="D414" i="18" s="1"/>
  <c r="D426" i="18" s="1"/>
  <c r="D438" i="18" s="1"/>
  <c r="D450" i="18" s="1"/>
  <c r="D462" i="18" s="1"/>
  <c r="D474" i="18" s="1"/>
  <c r="D486" i="18" s="1"/>
  <c r="D498" i="18" s="1"/>
  <c r="D510" i="18" s="1"/>
  <c r="D522" i="18" s="1"/>
  <c r="D534" i="18" s="1"/>
  <c r="D546" i="18" s="1"/>
  <c r="D558" i="18" s="1"/>
  <c r="D570" i="18" s="1"/>
  <c r="D582" i="18" s="1"/>
  <c r="D594" i="18" s="1"/>
  <c r="D606" i="18" s="1"/>
  <c r="D618" i="18" s="1"/>
  <c r="D630" i="18" s="1"/>
  <c r="D642" i="18" s="1"/>
  <c r="D654" i="18" s="1"/>
  <c r="D666" i="18" s="1"/>
  <c r="D678" i="18" s="1"/>
  <c r="D690" i="18" s="1"/>
  <c r="D702" i="18" s="1"/>
  <c r="D714" i="18" s="1"/>
  <c r="D726" i="18" s="1"/>
  <c r="D738" i="18" s="1"/>
  <c r="D750" i="18" s="1"/>
  <c r="S106" i="20"/>
  <c r="S95" i="20"/>
  <c r="Q33" i="17"/>
  <c r="Q44" i="17"/>
  <c r="Q56" i="17" s="1"/>
  <c r="Q68" i="17" s="1"/>
  <c r="Q80" i="17" s="1"/>
  <c r="Q92" i="17" s="1"/>
  <c r="Q104" i="17" s="1"/>
  <c r="Q116" i="17" s="1"/>
  <c r="Q128" i="17" s="1"/>
  <c r="Q140" i="17" s="1"/>
  <c r="Q152" i="17" s="1"/>
  <c r="Q164" i="17" s="1"/>
  <c r="Q176" i="17" s="1"/>
  <c r="Q188" i="17" s="1"/>
  <c r="Q200" i="17" s="1"/>
  <c r="Q212" i="17" s="1"/>
  <c r="Q224" i="17" s="1"/>
  <c r="Q236" i="17" s="1"/>
  <c r="Q248" i="17" s="1"/>
  <c r="Q260" i="17" s="1"/>
  <c r="Q272" i="17" s="1"/>
  <c r="Q284" i="17" s="1"/>
  <c r="Q296" i="17" s="1"/>
  <c r="Q308" i="17" s="1"/>
  <c r="Q320" i="17" s="1"/>
  <c r="Q332" i="17" s="1"/>
  <c r="Q344" i="17" s="1"/>
  <c r="Q356" i="17" s="1"/>
  <c r="Q368" i="17" s="1"/>
  <c r="Q380" i="17" s="1"/>
  <c r="Q392" i="17" s="1"/>
  <c r="Q404" i="17" s="1"/>
  <c r="Q416" i="17" s="1"/>
  <c r="Q428" i="17" s="1"/>
  <c r="Q440" i="17" s="1"/>
  <c r="Q452" i="17" s="1"/>
  <c r="Q464" i="17" s="1"/>
  <c r="Q476" i="17" s="1"/>
  <c r="Q488" i="17" s="1"/>
  <c r="Q500" i="17" s="1"/>
  <c r="Q512" i="17" s="1"/>
  <c r="Q524" i="17" s="1"/>
  <c r="Q536" i="17" s="1"/>
  <c r="Q548" i="17" s="1"/>
  <c r="Q560" i="17" s="1"/>
  <c r="Q572" i="17" s="1"/>
  <c r="Q584" i="17" s="1"/>
  <c r="Q596" i="17" s="1"/>
  <c r="Q608" i="17" s="1"/>
  <c r="Q620" i="17" s="1"/>
  <c r="Q632" i="17" s="1"/>
  <c r="Q644" i="17" s="1"/>
  <c r="Q656" i="17" s="1"/>
  <c r="Q668" i="17" s="1"/>
  <c r="Q680" i="17" s="1"/>
  <c r="Q692" i="17" s="1"/>
  <c r="Q704" i="17" s="1"/>
  <c r="Q716" i="17" s="1"/>
  <c r="Q728" i="17" s="1"/>
  <c r="Q740" i="17" s="1"/>
  <c r="Q752" i="17" s="1"/>
  <c r="E26" i="18" l="1"/>
  <c r="AA25" i="20"/>
  <c r="AD25" i="20" s="1"/>
  <c r="F6" i="21" s="1"/>
  <c r="AA25" i="17"/>
  <c r="AA25" i="19"/>
  <c r="H26" i="17"/>
  <c r="J26" i="17" s="1"/>
  <c r="AL78" i="21"/>
  <c r="D43" i="18"/>
  <c r="D55" i="18" s="1"/>
  <c r="D67" i="18" s="1"/>
  <c r="D79" i="18" s="1"/>
  <c r="D91" i="18" s="1"/>
  <c r="D103" i="18" s="1"/>
  <c r="D115" i="18" s="1"/>
  <c r="D127" i="18" s="1"/>
  <c r="D139" i="18" s="1"/>
  <c r="D151" i="18" s="1"/>
  <c r="D163" i="18" s="1"/>
  <c r="D175" i="18" s="1"/>
  <c r="D187" i="18" s="1"/>
  <c r="D199" i="18" s="1"/>
  <c r="D211" i="18" s="1"/>
  <c r="D223" i="18" s="1"/>
  <c r="D235" i="18" s="1"/>
  <c r="D247" i="18" s="1"/>
  <c r="D259" i="18" s="1"/>
  <c r="D271" i="18" s="1"/>
  <c r="D283" i="18" s="1"/>
  <c r="D295" i="18" s="1"/>
  <c r="D307" i="18" s="1"/>
  <c r="D319" i="18" s="1"/>
  <c r="D331" i="18" s="1"/>
  <c r="D343" i="18" s="1"/>
  <c r="D355" i="18" s="1"/>
  <c r="D367" i="18" s="1"/>
  <c r="D379" i="18" s="1"/>
  <c r="D391" i="18" s="1"/>
  <c r="D403" i="18" s="1"/>
  <c r="D415" i="18" s="1"/>
  <c r="D427" i="18" s="1"/>
  <c r="D439" i="18" s="1"/>
  <c r="D451" i="18" s="1"/>
  <c r="D463" i="18" s="1"/>
  <c r="D475" i="18" s="1"/>
  <c r="D487" i="18" s="1"/>
  <c r="D499" i="18" s="1"/>
  <c r="D511" i="18" s="1"/>
  <c r="D523" i="18" s="1"/>
  <c r="D535" i="18" s="1"/>
  <c r="D547" i="18" s="1"/>
  <c r="D559" i="18" s="1"/>
  <c r="D571" i="18" s="1"/>
  <c r="D583" i="18" s="1"/>
  <c r="D595" i="18" s="1"/>
  <c r="D607" i="18" s="1"/>
  <c r="D619" i="18" s="1"/>
  <c r="D631" i="18" s="1"/>
  <c r="D643" i="18" s="1"/>
  <c r="D655" i="18" s="1"/>
  <c r="D667" i="18" s="1"/>
  <c r="D679" i="18" s="1"/>
  <c r="D691" i="18" s="1"/>
  <c r="D703" i="18" s="1"/>
  <c r="D715" i="18" s="1"/>
  <c r="D727" i="18" s="1"/>
  <c r="D739" i="18" s="1"/>
  <c r="D751" i="18" s="1"/>
  <c r="D32" i="18"/>
  <c r="E35" i="19"/>
  <c r="E47" i="19" s="1"/>
  <c r="E59" i="19" s="1"/>
  <c r="E71" i="19" s="1"/>
  <c r="E83" i="19" s="1"/>
  <c r="E95" i="19" s="1"/>
  <c r="E107" i="19" s="1"/>
  <c r="E119" i="19" s="1"/>
  <c r="E131" i="19" s="1"/>
  <c r="E143" i="19" s="1"/>
  <c r="E155" i="19" s="1"/>
  <c r="E167" i="19" s="1"/>
  <c r="E179" i="19" s="1"/>
  <c r="E191" i="19" s="1"/>
  <c r="E203" i="19" s="1"/>
  <c r="E215" i="19" s="1"/>
  <c r="E227" i="19" s="1"/>
  <c r="E239" i="19" s="1"/>
  <c r="E251" i="19" s="1"/>
  <c r="E263" i="19" s="1"/>
  <c r="E275" i="19" s="1"/>
  <c r="E287" i="19" s="1"/>
  <c r="E299" i="19" s="1"/>
  <c r="E311" i="19" s="1"/>
  <c r="E323" i="19" s="1"/>
  <c r="E335" i="19" s="1"/>
  <c r="E347" i="19" s="1"/>
  <c r="E359" i="19" s="1"/>
  <c r="E371" i="19" s="1"/>
  <c r="E383" i="19" s="1"/>
  <c r="E395" i="19" s="1"/>
  <c r="E407" i="19" s="1"/>
  <c r="E419" i="19" s="1"/>
  <c r="E431" i="19" s="1"/>
  <c r="E443" i="19" s="1"/>
  <c r="E455" i="19" s="1"/>
  <c r="E467" i="19" s="1"/>
  <c r="E479" i="19" s="1"/>
  <c r="E491" i="19" s="1"/>
  <c r="E503" i="19" s="1"/>
  <c r="E515" i="19" s="1"/>
  <c r="E527" i="19" s="1"/>
  <c r="E539" i="19" s="1"/>
  <c r="E551" i="19" s="1"/>
  <c r="E563" i="19" s="1"/>
  <c r="E575" i="19" s="1"/>
  <c r="E587" i="19" s="1"/>
  <c r="E599" i="19" s="1"/>
  <c r="E611" i="19" s="1"/>
  <c r="E623" i="19" s="1"/>
  <c r="E635" i="19" s="1"/>
  <c r="E647" i="19" s="1"/>
  <c r="E659" i="19" s="1"/>
  <c r="E671" i="19" s="1"/>
  <c r="E683" i="19" s="1"/>
  <c r="E695" i="19" s="1"/>
  <c r="E707" i="19" s="1"/>
  <c r="E719" i="19" s="1"/>
  <c r="E731" i="19" s="1"/>
  <c r="E743" i="19" s="1"/>
  <c r="E755" i="19" s="1"/>
  <c r="E46" i="19"/>
  <c r="E58" i="19" s="1"/>
  <c r="E70" i="19" s="1"/>
  <c r="E82" i="19" s="1"/>
  <c r="E94" i="19" s="1"/>
  <c r="E106" i="19" s="1"/>
  <c r="E118" i="19" s="1"/>
  <c r="E130" i="19" s="1"/>
  <c r="E142" i="19" s="1"/>
  <c r="E154" i="19" s="1"/>
  <c r="E166" i="19" s="1"/>
  <c r="E178" i="19" s="1"/>
  <c r="E190" i="19" s="1"/>
  <c r="E202" i="19" s="1"/>
  <c r="E214" i="19" s="1"/>
  <c r="E226" i="19" s="1"/>
  <c r="E238" i="19" s="1"/>
  <c r="E250" i="19" s="1"/>
  <c r="E262" i="19" s="1"/>
  <c r="E274" i="19" s="1"/>
  <c r="E286" i="19" s="1"/>
  <c r="E298" i="19" s="1"/>
  <c r="E310" i="19" s="1"/>
  <c r="E322" i="19" s="1"/>
  <c r="E334" i="19" s="1"/>
  <c r="E346" i="19" s="1"/>
  <c r="E358" i="19" s="1"/>
  <c r="E370" i="19" s="1"/>
  <c r="E382" i="19" s="1"/>
  <c r="E394" i="19" s="1"/>
  <c r="E406" i="19" s="1"/>
  <c r="E418" i="19" s="1"/>
  <c r="E430" i="19" s="1"/>
  <c r="E442" i="19" s="1"/>
  <c r="E454" i="19" s="1"/>
  <c r="E466" i="19" s="1"/>
  <c r="E478" i="19" s="1"/>
  <c r="E490" i="19" s="1"/>
  <c r="E502" i="19" s="1"/>
  <c r="E514" i="19" s="1"/>
  <c r="E526" i="19" s="1"/>
  <c r="E538" i="19" s="1"/>
  <c r="E550" i="19" s="1"/>
  <c r="E562" i="19" s="1"/>
  <c r="E574" i="19" s="1"/>
  <c r="E586" i="19" s="1"/>
  <c r="E598" i="19" s="1"/>
  <c r="E610" i="19" s="1"/>
  <c r="E622" i="19" s="1"/>
  <c r="E634" i="19" s="1"/>
  <c r="E646" i="19" s="1"/>
  <c r="E658" i="19" s="1"/>
  <c r="E670" i="19" s="1"/>
  <c r="E682" i="19" s="1"/>
  <c r="E694" i="19" s="1"/>
  <c r="E706" i="19" s="1"/>
  <c r="E718" i="19" s="1"/>
  <c r="E730" i="19" s="1"/>
  <c r="E742" i="19" s="1"/>
  <c r="E754" i="19" s="1"/>
  <c r="J26" i="20"/>
  <c r="K26" i="20" s="1"/>
  <c r="L26" i="20" s="1"/>
  <c r="F27" i="20" s="1"/>
  <c r="H26" i="20"/>
  <c r="B37" i="19"/>
  <c r="AC36" i="19"/>
  <c r="A36" i="19"/>
  <c r="AC33" i="17"/>
  <c r="B34" i="17"/>
  <c r="X25" i="17"/>
  <c r="Y25" i="17"/>
  <c r="S106" i="19"/>
  <c r="S95" i="19"/>
  <c r="S118" i="20"/>
  <c r="S107" i="20"/>
  <c r="G36" i="2"/>
  <c r="E37" i="2"/>
  <c r="H28" i="19"/>
  <c r="K28" i="19"/>
  <c r="L28" i="19" s="1"/>
  <c r="F29" i="19" s="1"/>
  <c r="S143" i="17"/>
  <c r="S154" i="17"/>
  <c r="S102" i="19"/>
  <c r="S103" i="19" s="1"/>
  <c r="S104" i="19" s="1"/>
  <c r="S108" i="19"/>
  <c r="S105" i="19"/>
  <c r="S97" i="19"/>
  <c r="S98" i="19" s="1"/>
  <c r="S99" i="19"/>
  <c r="S100" i="19" s="1"/>
  <c r="S101" i="19" s="1"/>
  <c r="U9" i="21"/>
  <c r="V9" i="21" s="1"/>
  <c r="W9" i="21"/>
  <c r="K35" i="2"/>
  <c r="Q35" i="19"/>
  <c r="Q47" i="19" s="1"/>
  <c r="Q59" i="19" s="1"/>
  <c r="Q71" i="19" s="1"/>
  <c r="Q83" i="19" s="1"/>
  <c r="Q95" i="19" s="1"/>
  <c r="Q107" i="19" s="1"/>
  <c r="Q119" i="19" s="1"/>
  <c r="Q131" i="19" s="1"/>
  <c r="Q143" i="19" s="1"/>
  <c r="Q155" i="19" s="1"/>
  <c r="Q167" i="19" s="1"/>
  <c r="Q179" i="19" s="1"/>
  <c r="Q191" i="19" s="1"/>
  <c r="Q203" i="19" s="1"/>
  <c r="Q215" i="19" s="1"/>
  <c r="Q227" i="19" s="1"/>
  <c r="Q239" i="19" s="1"/>
  <c r="Q251" i="19" s="1"/>
  <c r="Q263" i="19" s="1"/>
  <c r="Q275" i="19" s="1"/>
  <c r="Q287" i="19" s="1"/>
  <c r="Q299" i="19" s="1"/>
  <c r="Q311" i="19" s="1"/>
  <c r="Q323" i="19" s="1"/>
  <c r="Q335" i="19" s="1"/>
  <c r="Q347" i="19" s="1"/>
  <c r="Q359" i="19" s="1"/>
  <c r="Q371" i="19" s="1"/>
  <c r="Q383" i="19" s="1"/>
  <c r="Q395" i="19" s="1"/>
  <c r="Q407" i="19" s="1"/>
  <c r="Q419" i="19" s="1"/>
  <c r="Q431" i="19" s="1"/>
  <c r="Q443" i="19" s="1"/>
  <c r="Q455" i="19" s="1"/>
  <c r="Q467" i="19" s="1"/>
  <c r="Q479" i="19" s="1"/>
  <c r="Q491" i="19" s="1"/>
  <c r="Q503" i="19" s="1"/>
  <c r="Q515" i="19" s="1"/>
  <c r="Q527" i="19" s="1"/>
  <c r="Q539" i="19" s="1"/>
  <c r="Q551" i="19" s="1"/>
  <c r="Q563" i="19" s="1"/>
  <c r="Q575" i="19" s="1"/>
  <c r="Q587" i="19" s="1"/>
  <c r="Q599" i="19" s="1"/>
  <c r="Q611" i="19" s="1"/>
  <c r="Q623" i="19" s="1"/>
  <c r="Q635" i="19" s="1"/>
  <c r="Q647" i="19" s="1"/>
  <c r="Q659" i="19" s="1"/>
  <c r="Q671" i="19" s="1"/>
  <c r="Q683" i="19" s="1"/>
  <c r="Q695" i="19" s="1"/>
  <c r="Q707" i="19" s="1"/>
  <c r="Q719" i="19" s="1"/>
  <c r="Q731" i="19" s="1"/>
  <c r="Q743" i="19" s="1"/>
  <c r="Q755" i="19" s="1"/>
  <c r="Q46" i="19"/>
  <c r="Q58" i="19" s="1"/>
  <c r="Q70" i="19" s="1"/>
  <c r="Q82" i="19" s="1"/>
  <c r="Q94" i="19" s="1"/>
  <c r="Q106" i="19" s="1"/>
  <c r="Q118" i="19" s="1"/>
  <c r="Q130" i="19" s="1"/>
  <c r="Q142" i="19" s="1"/>
  <c r="Q154" i="19" s="1"/>
  <c r="Q166" i="19" s="1"/>
  <c r="Q178" i="19" s="1"/>
  <c r="Q190" i="19" s="1"/>
  <c r="Q202" i="19" s="1"/>
  <c r="Q214" i="19" s="1"/>
  <c r="Q226" i="19" s="1"/>
  <c r="Q238" i="19" s="1"/>
  <c r="Q250" i="19" s="1"/>
  <c r="Q262" i="19" s="1"/>
  <c r="Q274" i="19" s="1"/>
  <c r="Q286" i="19" s="1"/>
  <c r="Q298" i="19" s="1"/>
  <c r="Q310" i="19" s="1"/>
  <c r="Q322" i="19" s="1"/>
  <c r="Q334" i="19" s="1"/>
  <c r="Q346" i="19" s="1"/>
  <c r="Q358" i="19" s="1"/>
  <c r="Q370" i="19" s="1"/>
  <c r="Q382" i="19" s="1"/>
  <c r="Q394" i="19" s="1"/>
  <c r="Q406" i="19" s="1"/>
  <c r="Q418" i="19" s="1"/>
  <c r="Q430" i="19" s="1"/>
  <c r="Q442" i="19" s="1"/>
  <c r="Q454" i="19" s="1"/>
  <c r="Q466" i="19" s="1"/>
  <c r="Q478" i="19" s="1"/>
  <c r="Q490" i="19" s="1"/>
  <c r="Q502" i="19" s="1"/>
  <c r="Q514" i="19" s="1"/>
  <c r="Q526" i="19" s="1"/>
  <c r="Q538" i="19" s="1"/>
  <c r="Q550" i="19" s="1"/>
  <c r="Q562" i="19" s="1"/>
  <c r="Q574" i="19" s="1"/>
  <c r="Q586" i="19" s="1"/>
  <c r="Q598" i="19" s="1"/>
  <c r="Q610" i="19" s="1"/>
  <c r="Q622" i="19" s="1"/>
  <c r="Q634" i="19" s="1"/>
  <c r="Q646" i="19" s="1"/>
  <c r="Q658" i="19" s="1"/>
  <c r="Q670" i="19" s="1"/>
  <c r="Q682" i="19" s="1"/>
  <c r="Q694" i="19" s="1"/>
  <c r="Q706" i="19" s="1"/>
  <c r="Q718" i="19" s="1"/>
  <c r="Q730" i="19" s="1"/>
  <c r="Q742" i="19" s="1"/>
  <c r="Q754" i="19" s="1"/>
  <c r="E32" i="17"/>
  <c r="E43" i="17"/>
  <c r="E55" i="17" s="1"/>
  <c r="E67" i="17" s="1"/>
  <c r="E79" i="17" s="1"/>
  <c r="E91" i="17" s="1"/>
  <c r="E103" i="17" s="1"/>
  <c r="E115" i="17" s="1"/>
  <c r="E127" i="17" s="1"/>
  <c r="E139" i="17" s="1"/>
  <c r="E151" i="17" s="1"/>
  <c r="E163" i="17" s="1"/>
  <c r="E175" i="17" s="1"/>
  <c r="E187" i="17" s="1"/>
  <c r="E199" i="17" s="1"/>
  <c r="E211" i="17" s="1"/>
  <c r="E223" i="17" s="1"/>
  <c r="E235" i="17" s="1"/>
  <c r="E247" i="17" s="1"/>
  <c r="E259" i="17" s="1"/>
  <c r="E271" i="17" s="1"/>
  <c r="E283" i="17" s="1"/>
  <c r="E295" i="17" s="1"/>
  <c r="E307" i="17" s="1"/>
  <c r="E319" i="17" s="1"/>
  <c r="E331" i="17" s="1"/>
  <c r="E343" i="17" s="1"/>
  <c r="E355" i="17" s="1"/>
  <c r="E367" i="17" s="1"/>
  <c r="E379" i="17" s="1"/>
  <c r="E391" i="17" s="1"/>
  <c r="E403" i="17" s="1"/>
  <c r="E415" i="17" s="1"/>
  <c r="E427" i="17" s="1"/>
  <c r="E439" i="17" s="1"/>
  <c r="E451" i="17" s="1"/>
  <c r="E463" i="17" s="1"/>
  <c r="E475" i="17" s="1"/>
  <c r="E487" i="17" s="1"/>
  <c r="E499" i="17" s="1"/>
  <c r="E511" i="17" s="1"/>
  <c r="E523" i="17" s="1"/>
  <c r="E535" i="17" s="1"/>
  <c r="E547" i="17" s="1"/>
  <c r="E559" i="17" s="1"/>
  <c r="E571" i="17" s="1"/>
  <c r="E583" i="17" s="1"/>
  <c r="E595" i="17" s="1"/>
  <c r="E607" i="17" s="1"/>
  <c r="E619" i="17" s="1"/>
  <c r="E631" i="17" s="1"/>
  <c r="E643" i="17" s="1"/>
  <c r="E655" i="17" s="1"/>
  <c r="E667" i="17" s="1"/>
  <c r="E679" i="17" s="1"/>
  <c r="E691" i="17" s="1"/>
  <c r="E703" i="17" s="1"/>
  <c r="E715" i="17" s="1"/>
  <c r="E727" i="17" s="1"/>
  <c r="E739" i="17" s="1"/>
  <c r="E751" i="17" s="1"/>
  <c r="X26" i="20"/>
  <c r="Y26" i="20"/>
  <c r="S114" i="17"/>
  <c r="S115" i="17" s="1"/>
  <c r="S116" i="17" s="1"/>
  <c r="S117" i="17"/>
  <c r="S120" i="17"/>
  <c r="S111" i="17"/>
  <c r="S112" i="17" s="1"/>
  <c r="S113" i="17" s="1"/>
  <c r="S109" i="17"/>
  <c r="S110" i="17" s="1"/>
  <c r="AC40" i="2"/>
  <c r="C41" i="2"/>
  <c r="Q34" i="17"/>
  <c r="Q45" i="17"/>
  <c r="Q57" i="17" s="1"/>
  <c r="Q69" i="17" s="1"/>
  <c r="Q81" i="17" s="1"/>
  <c r="Q93" i="17" s="1"/>
  <c r="Q105" i="17" s="1"/>
  <c r="Q117" i="17" s="1"/>
  <c r="Q129" i="17" s="1"/>
  <c r="Q141" i="17" s="1"/>
  <c r="Q153" i="17" s="1"/>
  <c r="Q165" i="17" s="1"/>
  <c r="Q177" i="17" s="1"/>
  <c r="Q189" i="17" s="1"/>
  <c r="Q201" i="17" s="1"/>
  <c r="Q213" i="17" s="1"/>
  <c r="Q225" i="17" s="1"/>
  <c r="Q237" i="17" s="1"/>
  <c r="Q249" i="17" s="1"/>
  <c r="Q261" i="17" s="1"/>
  <c r="Q273" i="17" s="1"/>
  <c r="Q285" i="17" s="1"/>
  <c r="Q297" i="17" s="1"/>
  <c r="Q309" i="17" s="1"/>
  <c r="Q321" i="17" s="1"/>
  <c r="Q333" i="17" s="1"/>
  <c r="Q345" i="17" s="1"/>
  <c r="Q357" i="17" s="1"/>
  <c r="Q369" i="17" s="1"/>
  <c r="Q381" i="17" s="1"/>
  <c r="Q393" i="17" s="1"/>
  <c r="Q405" i="17" s="1"/>
  <c r="Q417" i="17" s="1"/>
  <c r="Q429" i="17" s="1"/>
  <c r="Q441" i="17" s="1"/>
  <c r="Q453" i="17" s="1"/>
  <c r="Q465" i="17" s="1"/>
  <c r="Q477" i="17" s="1"/>
  <c r="Q489" i="17" s="1"/>
  <c r="Q501" i="17" s="1"/>
  <c r="Q513" i="17" s="1"/>
  <c r="Q525" i="17" s="1"/>
  <c r="Q537" i="17" s="1"/>
  <c r="Q549" i="17" s="1"/>
  <c r="Q561" i="17" s="1"/>
  <c r="Q573" i="17" s="1"/>
  <c r="Q585" i="17" s="1"/>
  <c r="Q597" i="17" s="1"/>
  <c r="Q609" i="17" s="1"/>
  <c r="Q621" i="17" s="1"/>
  <c r="Q633" i="17" s="1"/>
  <c r="Q645" i="17" s="1"/>
  <c r="Q657" i="17" s="1"/>
  <c r="Q669" i="17" s="1"/>
  <c r="Q681" i="17" s="1"/>
  <c r="Q693" i="17" s="1"/>
  <c r="Q705" i="17" s="1"/>
  <c r="Q717" i="17" s="1"/>
  <c r="Q729" i="17" s="1"/>
  <c r="Q741" i="17" s="1"/>
  <c r="Q753" i="17" s="1"/>
  <c r="C13" i="21"/>
  <c r="A12" i="21"/>
  <c r="B12" i="21" s="1"/>
  <c r="Z8" i="21"/>
  <c r="AA8" i="21"/>
  <c r="E45" i="20"/>
  <c r="E57" i="20" s="1"/>
  <c r="E69" i="20" s="1"/>
  <c r="E81" i="20" s="1"/>
  <c r="E93" i="20" s="1"/>
  <c r="E105" i="20" s="1"/>
  <c r="E117" i="20" s="1"/>
  <c r="E129" i="20" s="1"/>
  <c r="E141" i="20" s="1"/>
  <c r="E153" i="20" s="1"/>
  <c r="E165" i="20" s="1"/>
  <c r="E177" i="20" s="1"/>
  <c r="E189" i="20" s="1"/>
  <c r="E201" i="20" s="1"/>
  <c r="E213" i="20" s="1"/>
  <c r="E225" i="20" s="1"/>
  <c r="E237" i="20" s="1"/>
  <c r="E249" i="20" s="1"/>
  <c r="E261" i="20" s="1"/>
  <c r="E273" i="20" s="1"/>
  <c r="E285" i="20" s="1"/>
  <c r="E297" i="20" s="1"/>
  <c r="E309" i="20" s="1"/>
  <c r="E321" i="20" s="1"/>
  <c r="E333" i="20" s="1"/>
  <c r="E345" i="20" s="1"/>
  <c r="E357" i="20" s="1"/>
  <c r="E369" i="20" s="1"/>
  <c r="E381" i="20" s="1"/>
  <c r="E393" i="20" s="1"/>
  <c r="E405" i="20" s="1"/>
  <c r="E417" i="20" s="1"/>
  <c r="E429" i="20" s="1"/>
  <c r="E441" i="20" s="1"/>
  <c r="E453" i="20" s="1"/>
  <c r="E465" i="20" s="1"/>
  <c r="E477" i="20" s="1"/>
  <c r="E489" i="20" s="1"/>
  <c r="E501" i="20" s="1"/>
  <c r="E513" i="20" s="1"/>
  <c r="E525" i="20" s="1"/>
  <c r="E537" i="20" s="1"/>
  <c r="E549" i="20" s="1"/>
  <c r="E561" i="20" s="1"/>
  <c r="E573" i="20" s="1"/>
  <c r="E585" i="20" s="1"/>
  <c r="E597" i="20" s="1"/>
  <c r="E609" i="20" s="1"/>
  <c r="E621" i="20" s="1"/>
  <c r="E633" i="20" s="1"/>
  <c r="E645" i="20" s="1"/>
  <c r="E657" i="20" s="1"/>
  <c r="E669" i="20" s="1"/>
  <c r="E681" i="20" s="1"/>
  <c r="E693" i="20" s="1"/>
  <c r="E705" i="20" s="1"/>
  <c r="E717" i="20" s="1"/>
  <c r="E729" i="20" s="1"/>
  <c r="E741" i="20" s="1"/>
  <c r="E753" i="20" s="1"/>
  <c r="E34" i="20"/>
  <c r="Q31" i="20"/>
  <c r="Q42" i="20"/>
  <c r="Q54" i="20" s="1"/>
  <c r="Q66" i="20" s="1"/>
  <c r="Q78" i="20" s="1"/>
  <c r="Q90" i="20" s="1"/>
  <c r="Q102" i="20" s="1"/>
  <c r="Q114" i="20" s="1"/>
  <c r="Q126" i="20" s="1"/>
  <c r="Q138" i="20" s="1"/>
  <c r="Q150" i="20" s="1"/>
  <c r="Q162" i="20" s="1"/>
  <c r="Q174" i="20" s="1"/>
  <c r="Q186" i="20" s="1"/>
  <c r="Q198" i="20" s="1"/>
  <c r="Q210" i="20" s="1"/>
  <c r="Q222" i="20" s="1"/>
  <c r="Q234" i="20" s="1"/>
  <c r="Q246" i="20" s="1"/>
  <c r="Q258" i="20" s="1"/>
  <c r="Q270" i="20" s="1"/>
  <c r="Q282" i="20" s="1"/>
  <c r="Q294" i="20" s="1"/>
  <c r="Q306" i="20" s="1"/>
  <c r="Q318" i="20" s="1"/>
  <c r="Q330" i="20" s="1"/>
  <c r="Q342" i="20" s="1"/>
  <c r="Q354" i="20" s="1"/>
  <c r="Q366" i="20" s="1"/>
  <c r="Q378" i="20" s="1"/>
  <c r="Q390" i="20" s="1"/>
  <c r="Q402" i="20" s="1"/>
  <c r="Q414" i="20" s="1"/>
  <c r="Q426" i="20" s="1"/>
  <c r="Q438" i="20" s="1"/>
  <c r="Q450" i="20" s="1"/>
  <c r="Q462" i="20" s="1"/>
  <c r="Q474" i="20" s="1"/>
  <c r="Q486" i="20" s="1"/>
  <c r="Q498" i="20" s="1"/>
  <c r="Q510" i="20" s="1"/>
  <c r="Q522" i="20" s="1"/>
  <c r="Q534" i="20" s="1"/>
  <c r="Q546" i="20" s="1"/>
  <c r="Q558" i="20" s="1"/>
  <c r="Q570" i="20" s="1"/>
  <c r="Q582" i="20" s="1"/>
  <c r="Q594" i="20" s="1"/>
  <c r="Q606" i="20" s="1"/>
  <c r="Q618" i="20" s="1"/>
  <c r="Q630" i="20" s="1"/>
  <c r="Q642" i="20" s="1"/>
  <c r="Q654" i="20" s="1"/>
  <c r="Q666" i="20" s="1"/>
  <c r="Q678" i="20" s="1"/>
  <c r="Q690" i="20" s="1"/>
  <c r="Q702" i="20" s="1"/>
  <c r="Q714" i="20" s="1"/>
  <c r="Q726" i="20" s="1"/>
  <c r="Q738" i="20" s="1"/>
  <c r="Q750" i="20" s="1"/>
  <c r="S109" i="20"/>
  <c r="S110" i="20" s="1"/>
  <c r="S111" i="20"/>
  <c r="S112" i="20" s="1"/>
  <c r="S113" i="20" s="1"/>
  <c r="S120" i="20"/>
  <c r="S114" i="20"/>
  <c r="S115" i="20" s="1"/>
  <c r="S116" i="20" s="1"/>
  <c r="S117" i="20"/>
  <c r="B34" i="20"/>
  <c r="AC33" i="20"/>
  <c r="AZ47" i="21"/>
  <c r="AR47" i="21"/>
  <c r="AN47" i="21"/>
  <c r="AM47" i="21"/>
  <c r="AP47" i="21"/>
  <c r="AV47" i="21"/>
  <c r="AT47" i="21"/>
  <c r="AQ47" i="21"/>
  <c r="AX47" i="21"/>
  <c r="AE48" i="21"/>
  <c r="BC47" i="21"/>
  <c r="BB47" i="21"/>
  <c r="AW47" i="21"/>
  <c r="AK47" i="21"/>
  <c r="AK68" i="21" s="1"/>
  <c r="AY47" i="21"/>
  <c r="BA47" i="21"/>
  <c r="AL47" i="21"/>
  <c r="AU47" i="21"/>
  <c r="AS47" i="21"/>
  <c r="AO47" i="21"/>
  <c r="BD47" i="21"/>
  <c r="X25" i="19"/>
  <c r="Y25" i="19"/>
  <c r="AB8" i="21"/>
  <c r="H29" i="19" l="1"/>
  <c r="K27" i="20"/>
  <c r="H27" i="20"/>
  <c r="L27" i="20" s="1"/>
  <c r="F28" i="20" s="1"/>
  <c r="E44" i="17"/>
  <c r="E56" i="17" s="1"/>
  <c r="E68" i="17" s="1"/>
  <c r="E80" i="17" s="1"/>
  <c r="E92" i="17" s="1"/>
  <c r="E104" i="17" s="1"/>
  <c r="E116" i="17" s="1"/>
  <c r="E128" i="17" s="1"/>
  <c r="E140" i="17" s="1"/>
  <c r="E152" i="17" s="1"/>
  <c r="E164" i="17" s="1"/>
  <c r="E176" i="17" s="1"/>
  <c r="E188" i="17" s="1"/>
  <c r="E200" i="17" s="1"/>
  <c r="E212" i="17" s="1"/>
  <c r="E224" i="17" s="1"/>
  <c r="E236" i="17" s="1"/>
  <c r="E248" i="17" s="1"/>
  <c r="E260" i="17" s="1"/>
  <c r="E272" i="17" s="1"/>
  <c r="E284" i="17" s="1"/>
  <c r="E296" i="17" s="1"/>
  <c r="E308" i="17" s="1"/>
  <c r="E320" i="17" s="1"/>
  <c r="E332" i="17" s="1"/>
  <c r="E344" i="17" s="1"/>
  <c r="E356" i="17" s="1"/>
  <c r="E368" i="17" s="1"/>
  <c r="E380" i="17" s="1"/>
  <c r="E392" i="17" s="1"/>
  <c r="E404" i="17" s="1"/>
  <c r="E416" i="17" s="1"/>
  <c r="E428" i="17" s="1"/>
  <c r="E440" i="17" s="1"/>
  <c r="E452" i="17" s="1"/>
  <c r="E464" i="17" s="1"/>
  <c r="E476" i="17" s="1"/>
  <c r="E488" i="17" s="1"/>
  <c r="E500" i="17" s="1"/>
  <c r="E512" i="17" s="1"/>
  <c r="E524" i="17" s="1"/>
  <c r="E536" i="17" s="1"/>
  <c r="E548" i="17" s="1"/>
  <c r="E560" i="17" s="1"/>
  <c r="E572" i="17" s="1"/>
  <c r="E584" i="17" s="1"/>
  <c r="E596" i="17" s="1"/>
  <c r="E608" i="17" s="1"/>
  <c r="E620" i="17" s="1"/>
  <c r="E632" i="17" s="1"/>
  <c r="E644" i="17" s="1"/>
  <c r="E656" i="17" s="1"/>
  <c r="E668" i="17" s="1"/>
  <c r="E680" i="17" s="1"/>
  <c r="E692" i="17" s="1"/>
  <c r="E704" i="17" s="1"/>
  <c r="E716" i="17" s="1"/>
  <c r="E728" i="17" s="1"/>
  <c r="E740" i="17" s="1"/>
  <c r="E752" i="17" s="1"/>
  <c r="E33" i="17"/>
  <c r="S117" i="19"/>
  <c r="S120" i="19"/>
  <c r="S111" i="19"/>
  <c r="S112" i="19" s="1"/>
  <c r="S113" i="19" s="1"/>
  <c r="S114" i="19"/>
  <c r="S115" i="19" s="1"/>
  <c r="S116" i="19" s="1"/>
  <c r="S109" i="19"/>
  <c r="S110" i="19" s="1"/>
  <c r="G37" i="2"/>
  <c r="E38" i="2"/>
  <c r="R26" i="17"/>
  <c r="I6" i="21"/>
  <c r="AM78" i="21"/>
  <c r="BA48" i="21"/>
  <c r="BB48" i="21"/>
  <c r="AV48" i="21"/>
  <c r="AZ48" i="21"/>
  <c r="BD48" i="21"/>
  <c r="AL48" i="21"/>
  <c r="AL68" i="21" s="1"/>
  <c r="AT48" i="21"/>
  <c r="AU48" i="21"/>
  <c r="BC48" i="21"/>
  <c r="AM48" i="21"/>
  <c r="AE49" i="21"/>
  <c r="AP48" i="21"/>
  <c r="AQ48" i="21"/>
  <c r="AN48" i="21"/>
  <c r="AS48" i="21"/>
  <c r="AO48" i="21"/>
  <c r="AX48" i="21"/>
  <c r="AY48" i="21"/>
  <c r="AW48" i="21"/>
  <c r="AR48" i="21"/>
  <c r="Q32" i="20"/>
  <c r="Q43" i="20"/>
  <c r="Q55" i="20" s="1"/>
  <c r="Q67" i="20" s="1"/>
  <c r="Q79" i="20" s="1"/>
  <c r="Q91" i="20" s="1"/>
  <c r="Q103" i="20" s="1"/>
  <c r="Q115" i="20" s="1"/>
  <c r="Q127" i="20" s="1"/>
  <c r="Q139" i="20" s="1"/>
  <c r="Q151" i="20" s="1"/>
  <c r="Q163" i="20" s="1"/>
  <c r="Q175" i="20" s="1"/>
  <c r="Q187" i="20" s="1"/>
  <c r="Q199" i="20" s="1"/>
  <c r="Q211" i="20" s="1"/>
  <c r="Q223" i="20" s="1"/>
  <c r="Q235" i="20" s="1"/>
  <c r="Q247" i="20" s="1"/>
  <c r="Q259" i="20" s="1"/>
  <c r="Q271" i="20" s="1"/>
  <c r="Q283" i="20" s="1"/>
  <c r="Q295" i="20" s="1"/>
  <c r="Q307" i="20" s="1"/>
  <c r="Q319" i="20" s="1"/>
  <c r="Q331" i="20" s="1"/>
  <c r="Q343" i="20" s="1"/>
  <c r="Q355" i="20" s="1"/>
  <c r="Q367" i="20" s="1"/>
  <c r="Q379" i="20" s="1"/>
  <c r="Q391" i="20" s="1"/>
  <c r="Q403" i="20" s="1"/>
  <c r="Q415" i="20" s="1"/>
  <c r="Q427" i="20" s="1"/>
  <c r="Q439" i="20" s="1"/>
  <c r="Q451" i="20" s="1"/>
  <c r="Q463" i="20" s="1"/>
  <c r="Q475" i="20" s="1"/>
  <c r="Q487" i="20" s="1"/>
  <c r="Q499" i="20" s="1"/>
  <c r="Q511" i="20" s="1"/>
  <c r="Q523" i="20" s="1"/>
  <c r="Q535" i="20" s="1"/>
  <c r="Q547" i="20" s="1"/>
  <c r="Q559" i="20" s="1"/>
  <c r="Q571" i="20" s="1"/>
  <c r="Q583" i="20" s="1"/>
  <c r="Q595" i="20" s="1"/>
  <c r="Q607" i="20" s="1"/>
  <c r="Q619" i="20" s="1"/>
  <c r="Q631" i="20" s="1"/>
  <c r="Q643" i="20" s="1"/>
  <c r="Q655" i="20" s="1"/>
  <c r="Q667" i="20" s="1"/>
  <c r="Q679" i="20" s="1"/>
  <c r="Q691" i="20" s="1"/>
  <c r="Q703" i="20" s="1"/>
  <c r="Q715" i="20" s="1"/>
  <c r="Q727" i="20" s="1"/>
  <c r="Q739" i="20" s="1"/>
  <c r="Q751" i="20" s="1"/>
  <c r="AA9" i="21"/>
  <c r="Z9" i="21"/>
  <c r="K36" i="2"/>
  <c r="W10" i="21"/>
  <c r="U10" i="21"/>
  <c r="V10" i="21" s="1"/>
  <c r="E46" i="20"/>
  <c r="E58" i="20" s="1"/>
  <c r="E70" i="20" s="1"/>
  <c r="E82" i="20" s="1"/>
  <c r="E94" i="20" s="1"/>
  <c r="E106" i="20" s="1"/>
  <c r="E118" i="20" s="1"/>
  <c r="E130" i="20" s="1"/>
  <c r="E142" i="20" s="1"/>
  <c r="E154" i="20" s="1"/>
  <c r="E166" i="20" s="1"/>
  <c r="E178" i="20" s="1"/>
  <c r="E190" i="20" s="1"/>
  <c r="E202" i="20" s="1"/>
  <c r="E214" i="20" s="1"/>
  <c r="E226" i="20" s="1"/>
  <c r="E238" i="20" s="1"/>
  <c r="E250" i="20" s="1"/>
  <c r="E262" i="20" s="1"/>
  <c r="E274" i="20" s="1"/>
  <c r="E286" i="20" s="1"/>
  <c r="E298" i="20" s="1"/>
  <c r="E310" i="20" s="1"/>
  <c r="E322" i="20" s="1"/>
  <c r="E334" i="20" s="1"/>
  <c r="E346" i="20" s="1"/>
  <c r="E358" i="20" s="1"/>
  <c r="E370" i="20" s="1"/>
  <c r="E382" i="20" s="1"/>
  <c r="E394" i="20" s="1"/>
  <c r="E406" i="20" s="1"/>
  <c r="E418" i="20" s="1"/>
  <c r="E430" i="20" s="1"/>
  <c r="E442" i="20" s="1"/>
  <c r="E454" i="20" s="1"/>
  <c r="E466" i="20" s="1"/>
  <c r="E478" i="20" s="1"/>
  <c r="E490" i="20" s="1"/>
  <c r="E502" i="20" s="1"/>
  <c r="E514" i="20" s="1"/>
  <c r="E526" i="20" s="1"/>
  <c r="E538" i="20" s="1"/>
  <c r="E550" i="20" s="1"/>
  <c r="E562" i="20" s="1"/>
  <c r="E574" i="20" s="1"/>
  <c r="E586" i="20" s="1"/>
  <c r="E598" i="20" s="1"/>
  <c r="E610" i="20" s="1"/>
  <c r="E622" i="20" s="1"/>
  <c r="E634" i="20" s="1"/>
  <c r="E646" i="20" s="1"/>
  <c r="E658" i="20" s="1"/>
  <c r="E670" i="20" s="1"/>
  <c r="E682" i="20" s="1"/>
  <c r="E694" i="20" s="1"/>
  <c r="E706" i="20" s="1"/>
  <c r="E718" i="20" s="1"/>
  <c r="E730" i="20" s="1"/>
  <c r="E742" i="20" s="1"/>
  <c r="E754" i="20" s="1"/>
  <c r="E35" i="20"/>
  <c r="E47" i="20" s="1"/>
  <c r="E59" i="20" s="1"/>
  <c r="E71" i="20" s="1"/>
  <c r="E83" i="20" s="1"/>
  <c r="E95" i="20" s="1"/>
  <c r="E107" i="20" s="1"/>
  <c r="E119" i="20" s="1"/>
  <c r="E131" i="20" s="1"/>
  <c r="E143" i="20" s="1"/>
  <c r="E155" i="20" s="1"/>
  <c r="E167" i="20" s="1"/>
  <c r="E179" i="20" s="1"/>
  <c r="E191" i="20" s="1"/>
  <c r="E203" i="20" s="1"/>
  <c r="E215" i="20" s="1"/>
  <c r="E227" i="20" s="1"/>
  <c r="E239" i="20" s="1"/>
  <c r="E251" i="20" s="1"/>
  <c r="E263" i="20" s="1"/>
  <c r="E275" i="20" s="1"/>
  <c r="E287" i="20" s="1"/>
  <c r="E299" i="20" s="1"/>
  <c r="E311" i="20" s="1"/>
  <c r="E323" i="20" s="1"/>
  <c r="E335" i="20" s="1"/>
  <c r="E347" i="20" s="1"/>
  <c r="E359" i="20" s="1"/>
  <c r="E371" i="20" s="1"/>
  <c r="E383" i="20" s="1"/>
  <c r="E395" i="20" s="1"/>
  <c r="E407" i="20" s="1"/>
  <c r="E419" i="20" s="1"/>
  <c r="E431" i="20" s="1"/>
  <c r="E443" i="20" s="1"/>
  <c r="E455" i="20" s="1"/>
  <c r="E467" i="20" s="1"/>
  <c r="E479" i="20" s="1"/>
  <c r="E491" i="20" s="1"/>
  <c r="E503" i="20" s="1"/>
  <c r="E515" i="20" s="1"/>
  <c r="E527" i="20" s="1"/>
  <c r="E539" i="20" s="1"/>
  <c r="E551" i="20" s="1"/>
  <c r="E563" i="20" s="1"/>
  <c r="E575" i="20" s="1"/>
  <c r="E587" i="20" s="1"/>
  <c r="E599" i="20" s="1"/>
  <c r="E611" i="20" s="1"/>
  <c r="E623" i="20" s="1"/>
  <c r="E635" i="20" s="1"/>
  <c r="E647" i="20" s="1"/>
  <c r="E659" i="20" s="1"/>
  <c r="E671" i="20" s="1"/>
  <c r="E683" i="20" s="1"/>
  <c r="E695" i="20" s="1"/>
  <c r="E707" i="20" s="1"/>
  <c r="E719" i="20" s="1"/>
  <c r="E731" i="20" s="1"/>
  <c r="E743" i="20" s="1"/>
  <c r="E755" i="20" s="1"/>
  <c r="S132" i="17"/>
  <c r="S123" i="17"/>
  <c r="S124" i="17" s="1"/>
  <c r="S125" i="17" s="1"/>
  <c r="S129" i="17"/>
  <c r="S126" i="17"/>
  <c r="S127" i="17" s="1"/>
  <c r="S128" i="17" s="1"/>
  <c r="S121" i="17"/>
  <c r="S122" i="17" s="1"/>
  <c r="K7" i="21"/>
  <c r="R27" i="20"/>
  <c r="B38" i="19"/>
  <c r="A37" i="19"/>
  <c r="AC37" i="19"/>
  <c r="AD25" i="19"/>
  <c r="E6" i="21" s="1"/>
  <c r="S132" i="20"/>
  <c r="S129" i="20"/>
  <c r="S126" i="20"/>
  <c r="S127" i="20" s="1"/>
  <c r="S128" i="20" s="1"/>
  <c r="S121" i="20"/>
  <c r="S122" i="20" s="1"/>
  <c r="S123" i="20"/>
  <c r="S124" i="20" s="1"/>
  <c r="S125" i="20" s="1"/>
  <c r="C14" i="21"/>
  <c r="A13" i="21"/>
  <c r="B13" i="21" s="1"/>
  <c r="AC41" i="2"/>
  <c r="C42" i="2"/>
  <c r="S130" i="20"/>
  <c r="S119" i="20"/>
  <c r="D33" i="18"/>
  <c r="D44" i="18"/>
  <c r="D56" i="18" s="1"/>
  <c r="D68" i="18" s="1"/>
  <c r="D80" i="18" s="1"/>
  <c r="D92" i="18" s="1"/>
  <c r="D104" i="18" s="1"/>
  <c r="D116" i="18" s="1"/>
  <c r="D128" i="18" s="1"/>
  <c r="D140" i="18" s="1"/>
  <c r="D152" i="18" s="1"/>
  <c r="D164" i="18" s="1"/>
  <c r="D176" i="18" s="1"/>
  <c r="D188" i="18" s="1"/>
  <c r="D200" i="18" s="1"/>
  <c r="D212" i="18" s="1"/>
  <c r="D224" i="18" s="1"/>
  <c r="D236" i="18" s="1"/>
  <c r="D248" i="18" s="1"/>
  <c r="D260" i="18" s="1"/>
  <c r="D272" i="18" s="1"/>
  <c r="D284" i="18" s="1"/>
  <c r="D296" i="18" s="1"/>
  <c r="D308" i="18" s="1"/>
  <c r="D320" i="18" s="1"/>
  <c r="D332" i="18" s="1"/>
  <c r="D344" i="18" s="1"/>
  <c r="D356" i="18" s="1"/>
  <c r="D368" i="18" s="1"/>
  <c r="D380" i="18" s="1"/>
  <c r="D392" i="18" s="1"/>
  <c r="D404" i="18" s="1"/>
  <c r="D416" i="18" s="1"/>
  <c r="D428" i="18" s="1"/>
  <c r="D440" i="18" s="1"/>
  <c r="D452" i="18" s="1"/>
  <c r="D464" i="18" s="1"/>
  <c r="D476" i="18" s="1"/>
  <c r="D488" i="18" s="1"/>
  <c r="D500" i="18" s="1"/>
  <c r="D512" i="18" s="1"/>
  <c r="D524" i="18" s="1"/>
  <c r="D536" i="18" s="1"/>
  <c r="D548" i="18" s="1"/>
  <c r="D560" i="18" s="1"/>
  <c r="D572" i="18" s="1"/>
  <c r="D584" i="18" s="1"/>
  <c r="D596" i="18" s="1"/>
  <c r="D608" i="18" s="1"/>
  <c r="D620" i="18" s="1"/>
  <c r="D632" i="18" s="1"/>
  <c r="D644" i="18" s="1"/>
  <c r="D656" i="18" s="1"/>
  <c r="D668" i="18" s="1"/>
  <c r="D680" i="18" s="1"/>
  <c r="D692" i="18" s="1"/>
  <c r="D704" i="18" s="1"/>
  <c r="D716" i="18" s="1"/>
  <c r="D728" i="18" s="1"/>
  <c r="D740" i="18" s="1"/>
  <c r="D752" i="18" s="1"/>
  <c r="AD25" i="17"/>
  <c r="D6" i="21" s="1"/>
  <c r="B35" i="17"/>
  <c r="AC34" i="17"/>
  <c r="K26" i="17"/>
  <c r="L26" i="17" s="1"/>
  <c r="F27" i="17" s="1"/>
  <c r="J6" i="21"/>
  <c r="R26" i="19"/>
  <c r="B35" i="20"/>
  <c r="AC34" i="20"/>
  <c r="S155" i="17"/>
  <c r="S166" i="17"/>
  <c r="AB9" i="21"/>
  <c r="Q46" i="17"/>
  <c r="Q58" i="17" s="1"/>
  <c r="Q70" i="17" s="1"/>
  <c r="Q82" i="17" s="1"/>
  <c r="Q94" i="17" s="1"/>
  <c r="Q106" i="17" s="1"/>
  <c r="Q118" i="17" s="1"/>
  <c r="Q130" i="17" s="1"/>
  <c r="Q142" i="17" s="1"/>
  <c r="Q154" i="17" s="1"/>
  <c r="Q166" i="17" s="1"/>
  <c r="Q178" i="17" s="1"/>
  <c r="Q190" i="17" s="1"/>
  <c r="Q202" i="17" s="1"/>
  <c r="Q214" i="17" s="1"/>
  <c r="Q226" i="17" s="1"/>
  <c r="Q238" i="17" s="1"/>
  <c r="Q250" i="17" s="1"/>
  <c r="Q262" i="17" s="1"/>
  <c r="Q274" i="17" s="1"/>
  <c r="Q286" i="17" s="1"/>
  <c r="Q298" i="17" s="1"/>
  <c r="Q310" i="17" s="1"/>
  <c r="Q322" i="17" s="1"/>
  <c r="Q334" i="17" s="1"/>
  <c r="Q346" i="17" s="1"/>
  <c r="Q358" i="17" s="1"/>
  <c r="Q370" i="17" s="1"/>
  <c r="Q382" i="17" s="1"/>
  <c r="Q394" i="17" s="1"/>
  <c r="Q406" i="17" s="1"/>
  <c r="Q418" i="17" s="1"/>
  <c r="Q430" i="17" s="1"/>
  <c r="Q442" i="17" s="1"/>
  <c r="Q454" i="17" s="1"/>
  <c r="Q466" i="17" s="1"/>
  <c r="Q478" i="17" s="1"/>
  <c r="Q490" i="17" s="1"/>
  <c r="Q502" i="17" s="1"/>
  <c r="Q514" i="17" s="1"/>
  <c r="Q526" i="17" s="1"/>
  <c r="Q538" i="17" s="1"/>
  <c r="Q550" i="17" s="1"/>
  <c r="Q562" i="17" s="1"/>
  <c r="Q574" i="17" s="1"/>
  <c r="Q586" i="17" s="1"/>
  <c r="Q598" i="17" s="1"/>
  <c r="Q610" i="17" s="1"/>
  <c r="Q622" i="17" s="1"/>
  <c r="Q634" i="17" s="1"/>
  <c r="Q646" i="17" s="1"/>
  <c r="Q658" i="17" s="1"/>
  <c r="Q670" i="17" s="1"/>
  <c r="Q682" i="17" s="1"/>
  <c r="Q694" i="17" s="1"/>
  <c r="Q706" i="17" s="1"/>
  <c r="Q718" i="17" s="1"/>
  <c r="Q730" i="17" s="1"/>
  <c r="Q742" i="17" s="1"/>
  <c r="Q754" i="17" s="1"/>
  <c r="Q35" i="17"/>
  <c r="Q47" i="17" s="1"/>
  <c r="Q59" i="17" s="1"/>
  <c r="Q71" i="17" s="1"/>
  <c r="Q83" i="17" s="1"/>
  <c r="Q95" i="17" s="1"/>
  <c r="Q107" i="17" s="1"/>
  <c r="Q119" i="17" s="1"/>
  <c r="Q131" i="17" s="1"/>
  <c r="Q143" i="17" s="1"/>
  <c r="Q155" i="17" s="1"/>
  <c r="Q167" i="17" s="1"/>
  <c r="Q179" i="17" s="1"/>
  <c r="Q191" i="17" s="1"/>
  <c r="Q203" i="17" s="1"/>
  <c r="Q215" i="17" s="1"/>
  <c r="Q227" i="17" s="1"/>
  <c r="Q239" i="17" s="1"/>
  <c r="Q251" i="17" s="1"/>
  <c r="Q263" i="17" s="1"/>
  <c r="Q275" i="17" s="1"/>
  <c r="Q287" i="17" s="1"/>
  <c r="Q299" i="17" s="1"/>
  <c r="Q311" i="17" s="1"/>
  <c r="Q323" i="17" s="1"/>
  <c r="Q335" i="17" s="1"/>
  <c r="Q347" i="17" s="1"/>
  <c r="Q359" i="17" s="1"/>
  <c r="Q371" i="17" s="1"/>
  <c r="Q383" i="17" s="1"/>
  <c r="Q395" i="17" s="1"/>
  <c r="Q407" i="17" s="1"/>
  <c r="Q419" i="17" s="1"/>
  <c r="Q431" i="17" s="1"/>
  <c r="Q443" i="17" s="1"/>
  <c r="Q455" i="17" s="1"/>
  <c r="Q467" i="17" s="1"/>
  <c r="Q479" i="17" s="1"/>
  <c r="Q491" i="17" s="1"/>
  <c r="Q503" i="17" s="1"/>
  <c r="Q515" i="17" s="1"/>
  <c r="Q527" i="17" s="1"/>
  <c r="Q539" i="17" s="1"/>
  <c r="Q551" i="17" s="1"/>
  <c r="Q563" i="17" s="1"/>
  <c r="Q575" i="17" s="1"/>
  <c r="Q587" i="17" s="1"/>
  <c r="Q599" i="17" s="1"/>
  <c r="Q611" i="17" s="1"/>
  <c r="Q623" i="17" s="1"/>
  <c r="Q635" i="17" s="1"/>
  <c r="Q647" i="17" s="1"/>
  <c r="Q659" i="17" s="1"/>
  <c r="Q671" i="17" s="1"/>
  <c r="Q683" i="17" s="1"/>
  <c r="Q695" i="17" s="1"/>
  <c r="Q707" i="17" s="1"/>
  <c r="Q719" i="17" s="1"/>
  <c r="Q731" i="17" s="1"/>
  <c r="Q743" i="17" s="1"/>
  <c r="Q755" i="17" s="1"/>
  <c r="S107" i="19"/>
  <c r="S118" i="19"/>
  <c r="I26" i="18"/>
  <c r="G26" i="18"/>
  <c r="H26" i="18"/>
  <c r="J26" i="18" s="1"/>
  <c r="K28" i="20" l="1"/>
  <c r="L28" i="20" s="1"/>
  <c r="F29" i="20" s="1"/>
  <c r="H28" i="20"/>
  <c r="AA26" i="17"/>
  <c r="AA26" i="20"/>
  <c r="AD26" i="20" s="1"/>
  <c r="F7" i="21" s="1"/>
  <c r="E27" i="18"/>
  <c r="AA26" i="19"/>
  <c r="K27" i="17"/>
  <c r="L27" i="17" s="1"/>
  <c r="F28" i="17" s="1"/>
  <c r="H27" i="17"/>
  <c r="K29" i="19"/>
  <c r="S135" i="20"/>
  <c r="S136" i="20" s="1"/>
  <c r="S137" i="20" s="1"/>
  <c r="S141" i="20"/>
  <c r="S138" i="20"/>
  <c r="S139" i="20" s="1"/>
  <c r="S140" i="20" s="1"/>
  <c r="S133" i="20"/>
  <c r="S134" i="20" s="1"/>
  <c r="S144" i="20"/>
  <c r="U27" i="20"/>
  <c r="S133" i="17"/>
  <c r="S134" i="17" s="1"/>
  <c r="S138" i="17"/>
  <c r="S139" i="17" s="1"/>
  <c r="S140" i="17" s="1"/>
  <c r="S144" i="17"/>
  <c r="S141" i="17"/>
  <c r="S135" i="17"/>
  <c r="S136" i="17" s="1"/>
  <c r="S137" i="17" s="1"/>
  <c r="K37" i="2"/>
  <c r="U11" i="21"/>
  <c r="V11" i="21" s="1"/>
  <c r="W11" i="21"/>
  <c r="X26" i="19"/>
  <c r="Y26" i="19" s="1"/>
  <c r="C15" i="21"/>
  <c r="A14" i="21"/>
  <c r="B14" i="21" s="1"/>
  <c r="E45" i="17"/>
  <c r="E57" i="17" s="1"/>
  <c r="E69" i="17" s="1"/>
  <c r="E81" i="17" s="1"/>
  <c r="E93" i="17" s="1"/>
  <c r="E105" i="17" s="1"/>
  <c r="E117" i="17" s="1"/>
  <c r="E129" i="17" s="1"/>
  <c r="E141" i="17" s="1"/>
  <c r="E153" i="17" s="1"/>
  <c r="E165" i="17" s="1"/>
  <c r="E177" i="17" s="1"/>
  <c r="E189" i="17" s="1"/>
  <c r="E201" i="17" s="1"/>
  <c r="E213" i="17" s="1"/>
  <c r="E225" i="17" s="1"/>
  <c r="E237" i="17" s="1"/>
  <c r="E249" i="17" s="1"/>
  <c r="E261" i="17" s="1"/>
  <c r="E273" i="17" s="1"/>
  <c r="E285" i="17" s="1"/>
  <c r="E297" i="17" s="1"/>
  <c r="E309" i="17" s="1"/>
  <c r="E321" i="17" s="1"/>
  <c r="E333" i="17" s="1"/>
  <c r="E345" i="17" s="1"/>
  <c r="E357" i="17" s="1"/>
  <c r="E369" i="17" s="1"/>
  <c r="E381" i="17" s="1"/>
  <c r="E393" i="17" s="1"/>
  <c r="E405" i="17" s="1"/>
  <c r="E417" i="17" s="1"/>
  <c r="E429" i="17" s="1"/>
  <c r="E441" i="17" s="1"/>
  <c r="E453" i="17" s="1"/>
  <c r="E465" i="17" s="1"/>
  <c r="E477" i="17" s="1"/>
  <c r="E489" i="17" s="1"/>
  <c r="E501" i="17" s="1"/>
  <c r="E513" i="17" s="1"/>
  <c r="E525" i="17" s="1"/>
  <c r="E537" i="17" s="1"/>
  <c r="E549" i="17" s="1"/>
  <c r="E561" i="17" s="1"/>
  <c r="E573" i="17" s="1"/>
  <c r="E585" i="17" s="1"/>
  <c r="E597" i="17" s="1"/>
  <c r="E609" i="17" s="1"/>
  <c r="E621" i="17" s="1"/>
  <c r="E633" i="17" s="1"/>
  <c r="E645" i="17" s="1"/>
  <c r="E657" i="17" s="1"/>
  <c r="E669" i="17" s="1"/>
  <c r="E681" i="17" s="1"/>
  <c r="E693" i="17" s="1"/>
  <c r="E705" i="17" s="1"/>
  <c r="E717" i="17" s="1"/>
  <c r="E729" i="17" s="1"/>
  <c r="E741" i="17" s="1"/>
  <c r="E753" i="17" s="1"/>
  <c r="E34" i="17"/>
  <c r="J29" i="19"/>
  <c r="S142" i="20"/>
  <c r="S131" i="20"/>
  <c r="AX49" i="21"/>
  <c r="AT49" i="21"/>
  <c r="AE50" i="21"/>
  <c r="AN49" i="21"/>
  <c r="AZ49" i="21"/>
  <c r="AQ49" i="21"/>
  <c r="AY49" i="21"/>
  <c r="BB49" i="21"/>
  <c r="AR49" i="21"/>
  <c r="AW49" i="21"/>
  <c r="AM49" i="21"/>
  <c r="AM68" i="21" s="1"/>
  <c r="AU49" i="21"/>
  <c r="BD49" i="21"/>
  <c r="BA49" i="21"/>
  <c r="AV49" i="21"/>
  <c r="BC49" i="21"/>
  <c r="AO49" i="21"/>
  <c r="AP49" i="21"/>
  <c r="AS49" i="21"/>
  <c r="AN78" i="21"/>
  <c r="S130" i="19"/>
  <c r="S119" i="19"/>
  <c r="B36" i="17"/>
  <c r="AC35" i="17"/>
  <c r="A38" i="19"/>
  <c r="AC38" i="19"/>
  <c r="B39" i="19"/>
  <c r="AA10" i="21"/>
  <c r="Z10" i="21"/>
  <c r="AB10" i="21" s="1"/>
  <c r="G38" i="2"/>
  <c r="E39" i="2"/>
  <c r="AC35" i="20"/>
  <c r="B36" i="20"/>
  <c r="S178" i="17"/>
  <c r="S167" i="17"/>
  <c r="D45" i="18"/>
  <c r="D57" i="18" s="1"/>
  <c r="D69" i="18" s="1"/>
  <c r="D81" i="18" s="1"/>
  <c r="D93" i="18" s="1"/>
  <c r="D105" i="18" s="1"/>
  <c r="D117" i="18" s="1"/>
  <c r="D129" i="18" s="1"/>
  <c r="D141" i="18" s="1"/>
  <c r="D153" i="18" s="1"/>
  <c r="D165" i="18" s="1"/>
  <c r="D177" i="18" s="1"/>
  <c r="D189" i="18" s="1"/>
  <c r="D201" i="18" s="1"/>
  <c r="D213" i="18" s="1"/>
  <c r="D225" i="18" s="1"/>
  <c r="D237" i="18" s="1"/>
  <c r="D249" i="18" s="1"/>
  <c r="D261" i="18" s="1"/>
  <c r="D273" i="18" s="1"/>
  <c r="D285" i="18" s="1"/>
  <c r="D297" i="18" s="1"/>
  <c r="D309" i="18" s="1"/>
  <c r="D321" i="18" s="1"/>
  <c r="D333" i="18" s="1"/>
  <c r="D345" i="18" s="1"/>
  <c r="D357" i="18" s="1"/>
  <c r="D369" i="18" s="1"/>
  <c r="D381" i="18" s="1"/>
  <c r="D393" i="18" s="1"/>
  <c r="D405" i="18" s="1"/>
  <c r="D417" i="18" s="1"/>
  <c r="D429" i="18" s="1"/>
  <c r="D441" i="18" s="1"/>
  <c r="D453" i="18" s="1"/>
  <c r="D465" i="18" s="1"/>
  <c r="D477" i="18" s="1"/>
  <c r="D489" i="18" s="1"/>
  <c r="D501" i="18" s="1"/>
  <c r="D513" i="18" s="1"/>
  <c r="D525" i="18" s="1"/>
  <c r="D537" i="18" s="1"/>
  <c r="D549" i="18" s="1"/>
  <c r="D561" i="18" s="1"/>
  <c r="D573" i="18" s="1"/>
  <c r="D585" i="18" s="1"/>
  <c r="D597" i="18" s="1"/>
  <c r="D609" i="18" s="1"/>
  <c r="D621" i="18" s="1"/>
  <c r="D633" i="18" s="1"/>
  <c r="D645" i="18" s="1"/>
  <c r="D657" i="18" s="1"/>
  <c r="D669" i="18" s="1"/>
  <c r="D681" i="18" s="1"/>
  <c r="D693" i="18" s="1"/>
  <c r="D705" i="18" s="1"/>
  <c r="D717" i="18" s="1"/>
  <c r="D729" i="18" s="1"/>
  <c r="D741" i="18" s="1"/>
  <c r="D753" i="18" s="1"/>
  <c r="D34" i="18"/>
  <c r="AC42" i="2"/>
  <c r="C43" i="2"/>
  <c r="Q44" i="20"/>
  <c r="Q56" i="20" s="1"/>
  <c r="Q68" i="20" s="1"/>
  <c r="Q80" i="20" s="1"/>
  <c r="Q92" i="20" s="1"/>
  <c r="Q104" i="20" s="1"/>
  <c r="Q116" i="20" s="1"/>
  <c r="Q128" i="20" s="1"/>
  <c r="Q140" i="20" s="1"/>
  <c r="Q152" i="20" s="1"/>
  <c r="Q164" i="20" s="1"/>
  <c r="Q176" i="20" s="1"/>
  <c r="Q188" i="20" s="1"/>
  <c r="Q200" i="20" s="1"/>
  <c r="Q212" i="20" s="1"/>
  <c r="Q224" i="20" s="1"/>
  <c r="Q236" i="20" s="1"/>
  <c r="Q248" i="20" s="1"/>
  <c r="Q260" i="20" s="1"/>
  <c r="Q272" i="20" s="1"/>
  <c r="Q284" i="20" s="1"/>
  <c r="Q296" i="20" s="1"/>
  <c r="Q308" i="20" s="1"/>
  <c r="Q320" i="20" s="1"/>
  <c r="Q332" i="20" s="1"/>
  <c r="Q344" i="20" s="1"/>
  <c r="Q356" i="20" s="1"/>
  <c r="Q368" i="20" s="1"/>
  <c r="Q380" i="20" s="1"/>
  <c r="Q392" i="20" s="1"/>
  <c r="Q404" i="20" s="1"/>
  <c r="Q416" i="20" s="1"/>
  <c r="Q428" i="20" s="1"/>
  <c r="Q440" i="20" s="1"/>
  <c r="Q452" i="20" s="1"/>
  <c r="Q464" i="20" s="1"/>
  <c r="Q476" i="20" s="1"/>
  <c r="Q488" i="20" s="1"/>
  <c r="Q500" i="20" s="1"/>
  <c r="Q512" i="20" s="1"/>
  <c r="Q524" i="20" s="1"/>
  <c r="Q536" i="20" s="1"/>
  <c r="Q548" i="20" s="1"/>
  <c r="Q560" i="20" s="1"/>
  <c r="Q572" i="20" s="1"/>
  <c r="Q584" i="20" s="1"/>
  <c r="Q596" i="20" s="1"/>
  <c r="Q608" i="20" s="1"/>
  <c r="Q620" i="20" s="1"/>
  <c r="Q632" i="20" s="1"/>
  <c r="Q644" i="20" s="1"/>
  <c r="Q656" i="20" s="1"/>
  <c r="Q668" i="20" s="1"/>
  <c r="Q680" i="20" s="1"/>
  <c r="Q692" i="20" s="1"/>
  <c r="Q704" i="20" s="1"/>
  <c r="Q716" i="20" s="1"/>
  <c r="Q728" i="20" s="1"/>
  <c r="Q740" i="20" s="1"/>
  <c r="Q752" i="20" s="1"/>
  <c r="Q33" i="20"/>
  <c r="X26" i="17"/>
  <c r="Y26" i="17"/>
  <c r="S129" i="19"/>
  <c r="S132" i="19"/>
  <c r="S123" i="19"/>
  <c r="S124" i="19" s="1"/>
  <c r="S125" i="19" s="1"/>
  <c r="S121" i="19"/>
  <c r="S122" i="19" s="1"/>
  <c r="S126" i="19"/>
  <c r="S127" i="19" s="1"/>
  <c r="S128" i="19" s="1"/>
  <c r="AB11" i="21" l="1"/>
  <c r="J7" i="21"/>
  <c r="R27" i="19"/>
  <c r="K28" i="17"/>
  <c r="H28" i="17"/>
  <c r="L28" i="17" s="1"/>
  <c r="F29" i="17" s="1"/>
  <c r="H29" i="20"/>
  <c r="W12" i="21"/>
  <c r="U12" i="21"/>
  <c r="V12" i="21" s="1"/>
  <c r="K38" i="2"/>
  <c r="S133" i="19"/>
  <c r="S134" i="19" s="1"/>
  <c r="S144" i="19"/>
  <c r="S138" i="19"/>
  <c r="S139" i="19" s="1"/>
  <c r="S140" i="19" s="1"/>
  <c r="S135" i="19"/>
  <c r="S136" i="19" s="1"/>
  <c r="S137" i="19" s="1"/>
  <c r="S141" i="19"/>
  <c r="C44" i="2"/>
  <c r="AC43" i="2"/>
  <c r="X27" i="20"/>
  <c r="Y27" i="20" s="1"/>
  <c r="G27" i="18"/>
  <c r="I27" i="18" s="1"/>
  <c r="R27" i="17"/>
  <c r="I7" i="21"/>
  <c r="B37" i="20"/>
  <c r="AC36" i="20"/>
  <c r="A39" i="19"/>
  <c r="AC39" i="19"/>
  <c r="B40" i="19"/>
  <c r="S131" i="19"/>
  <c r="S142" i="19"/>
  <c r="S154" i="20"/>
  <c r="S143" i="20"/>
  <c r="D46" i="18"/>
  <c r="D58" i="18" s="1"/>
  <c r="D70" i="18" s="1"/>
  <c r="D82" i="18" s="1"/>
  <c r="D94" i="18" s="1"/>
  <c r="D106" i="18" s="1"/>
  <c r="D118" i="18" s="1"/>
  <c r="D130" i="18" s="1"/>
  <c r="D142" i="18" s="1"/>
  <c r="D154" i="18" s="1"/>
  <c r="D166" i="18" s="1"/>
  <c r="D178" i="18" s="1"/>
  <c r="D190" i="18" s="1"/>
  <c r="D202" i="18" s="1"/>
  <c r="D214" i="18" s="1"/>
  <c r="D226" i="18" s="1"/>
  <c r="D238" i="18" s="1"/>
  <c r="D250" i="18" s="1"/>
  <c r="D262" i="18" s="1"/>
  <c r="D274" i="18" s="1"/>
  <c r="D286" i="18" s="1"/>
  <c r="D298" i="18" s="1"/>
  <c r="D310" i="18" s="1"/>
  <c r="D322" i="18" s="1"/>
  <c r="D334" i="18" s="1"/>
  <c r="D346" i="18" s="1"/>
  <c r="D358" i="18" s="1"/>
  <c r="D370" i="18" s="1"/>
  <c r="D382" i="18" s="1"/>
  <c r="D394" i="18" s="1"/>
  <c r="D406" i="18" s="1"/>
  <c r="D418" i="18" s="1"/>
  <c r="D430" i="18" s="1"/>
  <c r="D442" i="18" s="1"/>
  <c r="D454" i="18" s="1"/>
  <c r="D466" i="18" s="1"/>
  <c r="D478" i="18" s="1"/>
  <c r="D490" i="18" s="1"/>
  <c r="D502" i="18" s="1"/>
  <c r="D514" i="18" s="1"/>
  <c r="D526" i="18" s="1"/>
  <c r="D538" i="18" s="1"/>
  <c r="D550" i="18" s="1"/>
  <c r="D562" i="18" s="1"/>
  <c r="D574" i="18" s="1"/>
  <c r="D586" i="18" s="1"/>
  <c r="D598" i="18" s="1"/>
  <c r="D610" i="18" s="1"/>
  <c r="D622" i="18" s="1"/>
  <c r="D634" i="18" s="1"/>
  <c r="D646" i="18" s="1"/>
  <c r="D658" i="18" s="1"/>
  <c r="D670" i="18" s="1"/>
  <c r="D682" i="18" s="1"/>
  <c r="D694" i="18" s="1"/>
  <c r="D706" i="18" s="1"/>
  <c r="D718" i="18" s="1"/>
  <c r="D730" i="18" s="1"/>
  <c r="D742" i="18" s="1"/>
  <c r="D754" i="18" s="1"/>
  <c r="D35" i="18"/>
  <c r="D47" i="18" s="1"/>
  <c r="D59" i="18" s="1"/>
  <c r="D71" i="18" s="1"/>
  <c r="D83" i="18" s="1"/>
  <c r="D95" i="18" s="1"/>
  <c r="D107" i="18" s="1"/>
  <c r="D119" i="18" s="1"/>
  <c r="D131" i="18" s="1"/>
  <c r="D143" i="18" s="1"/>
  <c r="D155" i="18" s="1"/>
  <c r="D167" i="18" s="1"/>
  <c r="D179" i="18" s="1"/>
  <c r="D191" i="18" s="1"/>
  <c r="D203" i="18" s="1"/>
  <c r="D215" i="18" s="1"/>
  <c r="D227" i="18" s="1"/>
  <c r="D239" i="18" s="1"/>
  <c r="D251" i="18" s="1"/>
  <c r="D263" i="18" s="1"/>
  <c r="D275" i="18" s="1"/>
  <c r="D287" i="18" s="1"/>
  <c r="D299" i="18" s="1"/>
  <c r="D311" i="18" s="1"/>
  <c r="D323" i="18" s="1"/>
  <c r="D335" i="18" s="1"/>
  <c r="D347" i="18" s="1"/>
  <c r="D359" i="18" s="1"/>
  <c r="D371" i="18" s="1"/>
  <c r="D383" i="18" s="1"/>
  <c r="D395" i="18" s="1"/>
  <c r="D407" i="18" s="1"/>
  <c r="D419" i="18" s="1"/>
  <c r="D431" i="18" s="1"/>
  <c r="D443" i="18" s="1"/>
  <c r="D455" i="18" s="1"/>
  <c r="D467" i="18" s="1"/>
  <c r="D479" i="18" s="1"/>
  <c r="D491" i="18" s="1"/>
  <c r="D503" i="18" s="1"/>
  <c r="D515" i="18" s="1"/>
  <c r="D527" i="18" s="1"/>
  <c r="D539" i="18" s="1"/>
  <c r="D551" i="18" s="1"/>
  <c r="D563" i="18" s="1"/>
  <c r="D575" i="18" s="1"/>
  <c r="D587" i="18" s="1"/>
  <c r="D599" i="18" s="1"/>
  <c r="D611" i="18" s="1"/>
  <c r="D623" i="18" s="1"/>
  <c r="D635" i="18" s="1"/>
  <c r="D647" i="18" s="1"/>
  <c r="D659" i="18" s="1"/>
  <c r="D671" i="18" s="1"/>
  <c r="D683" i="18" s="1"/>
  <c r="D695" i="18" s="1"/>
  <c r="D707" i="18" s="1"/>
  <c r="D719" i="18" s="1"/>
  <c r="D731" i="18" s="1"/>
  <c r="D743" i="18" s="1"/>
  <c r="D755" i="18" s="1"/>
  <c r="L29" i="19"/>
  <c r="F30" i="19" s="1"/>
  <c r="AA11" i="21"/>
  <c r="Z11" i="21"/>
  <c r="S147" i="17"/>
  <c r="S148" i="17" s="1"/>
  <c r="S149" i="17" s="1"/>
  <c r="S153" i="17"/>
  <c r="S150" i="17"/>
  <c r="S151" i="17" s="1"/>
  <c r="S152" i="17" s="1"/>
  <c r="S145" i="17"/>
  <c r="S146" i="17" s="1"/>
  <c r="S156" i="17"/>
  <c r="S150" i="20"/>
  <c r="S151" i="20" s="1"/>
  <c r="S152" i="20" s="1"/>
  <c r="S156" i="20"/>
  <c r="S145" i="20"/>
  <c r="S146" i="20" s="1"/>
  <c r="S147" i="20"/>
  <c r="S148" i="20" s="1"/>
  <c r="S149" i="20" s="1"/>
  <c r="S153" i="20"/>
  <c r="AD26" i="17"/>
  <c r="D7" i="21" s="1"/>
  <c r="S179" i="17"/>
  <c r="S190" i="17"/>
  <c r="Q45" i="20"/>
  <c r="Q57" i="20" s="1"/>
  <c r="Q69" i="20" s="1"/>
  <c r="Q81" i="20" s="1"/>
  <c r="Q93" i="20" s="1"/>
  <c r="Q105" i="20" s="1"/>
  <c r="Q117" i="20" s="1"/>
  <c r="Q129" i="20" s="1"/>
  <c r="Q141" i="20" s="1"/>
  <c r="Q153" i="20" s="1"/>
  <c r="Q165" i="20" s="1"/>
  <c r="Q177" i="20" s="1"/>
  <c r="Q189" i="20" s="1"/>
  <c r="Q201" i="20" s="1"/>
  <c r="Q213" i="20" s="1"/>
  <c r="Q225" i="20" s="1"/>
  <c r="Q237" i="20" s="1"/>
  <c r="Q249" i="20" s="1"/>
  <c r="Q261" i="20" s="1"/>
  <c r="Q273" i="20" s="1"/>
  <c r="Q285" i="20" s="1"/>
  <c r="Q297" i="20" s="1"/>
  <c r="Q309" i="20" s="1"/>
  <c r="Q321" i="20" s="1"/>
  <c r="Q333" i="20" s="1"/>
  <c r="Q345" i="20" s="1"/>
  <c r="Q357" i="20" s="1"/>
  <c r="Q369" i="20" s="1"/>
  <c r="Q381" i="20" s="1"/>
  <c r="Q393" i="20" s="1"/>
  <c r="Q405" i="20" s="1"/>
  <c r="Q417" i="20" s="1"/>
  <c r="Q429" i="20" s="1"/>
  <c r="Q441" i="20" s="1"/>
  <c r="Q453" i="20" s="1"/>
  <c r="Q465" i="20" s="1"/>
  <c r="Q477" i="20" s="1"/>
  <c r="Q489" i="20" s="1"/>
  <c r="Q501" i="20" s="1"/>
  <c r="Q513" i="20" s="1"/>
  <c r="Q525" i="20" s="1"/>
  <c r="Q537" i="20" s="1"/>
  <c r="Q549" i="20" s="1"/>
  <c r="Q561" i="20" s="1"/>
  <c r="Q573" i="20" s="1"/>
  <c r="Q585" i="20" s="1"/>
  <c r="Q597" i="20" s="1"/>
  <c r="Q609" i="20" s="1"/>
  <c r="Q621" i="20" s="1"/>
  <c r="Q633" i="20" s="1"/>
  <c r="Q645" i="20" s="1"/>
  <c r="Q657" i="20" s="1"/>
  <c r="Q669" i="20" s="1"/>
  <c r="Q681" i="20" s="1"/>
  <c r="Q693" i="20" s="1"/>
  <c r="Q705" i="20" s="1"/>
  <c r="Q717" i="20" s="1"/>
  <c r="Q729" i="20" s="1"/>
  <c r="Q741" i="20" s="1"/>
  <c r="Q753" i="20" s="1"/>
  <c r="Q34" i="20"/>
  <c r="G39" i="2"/>
  <c r="E40" i="2"/>
  <c r="AO78" i="21"/>
  <c r="AP50" i="21"/>
  <c r="AO50" i="21"/>
  <c r="AX50" i="21"/>
  <c r="AW50" i="21"/>
  <c r="AQ50" i="21"/>
  <c r="AZ50" i="21"/>
  <c r="AU50" i="21"/>
  <c r="AN50" i="21"/>
  <c r="AN68" i="21" s="1"/>
  <c r="AR50" i="21"/>
  <c r="AE51" i="21"/>
  <c r="BA50" i="21"/>
  <c r="BB50" i="21"/>
  <c r="BD50" i="21"/>
  <c r="AS50" i="21"/>
  <c r="AT50" i="21"/>
  <c r="BC50" i="21"/>
  <c r="AY50" i="21"/>
  <c r="AV50" i="21"/>
  <c r="E35" i="17"/>
  <c r="E47" i="17" s="1"/>
  <c r="E59" i="17" s="1"/>
  <c r="E71" i="17" s="1"/>
  <c r="E83" i="17" s="1"/>
  <c r="E95" i="17" s="1"/>
  <c r="E107" i="17" s="1"/>
  <c r="E119" i="17" s="1"/>
  <c r="E131" i="17" s="1"/>
  <c r="E143" i="17" s="1"/>
  <c r="E155" i="17" s="1"/>
  <c r="E167" i="17" s="1"/>
  <c r="E179" i="17" s="1"/>
  <c r="E191" i="17" s="1"/>
  <c r="E203" i="17" s="1"/>
  <c r="E215" i="17" s="1"/>
  <c r="E227" i="17" s="1"/>
  <c r="E239" i="17" s="1"/>
  <c r="E251" i="17" s="1"/>
  <c r="E263" i="17" s="1"/>
  <c r="E275" i="17" s="1"/>
  <c r="E287" i="17" s="1"/>
  <c r="E299" i="17" s="1"/>
  <c r="E311" i="17" s="1"/>
  <c r="E323" i="17" s="1"/>
  <c r="E335" i="17" s="1"/>
  <c r="E347" i="17" s="1"/>
  <c r="E359" i="17" s="1"/>
  <c r="E371" i="17" s="1"/>
  <c r="E383" i="17" s="1"/>
  <c r="E395" i="17" s="1"/>
  <c r="E407" i="17" s="1"/>
  <c r="E419" i="17" s="1"/>
  <c r="E431" i="17" s="1"/>
  <c r="E443" i="17" s="1"/>
  <c r="E455" i="17" s="1"/>
  <c r="E467" i="17" s="1"/>
  <c r="E479" i="17" s="1"/>
  <c r="E491" i="17" s="1"/>
  <c r="E503" i="17" s="1"/>
  <c r="E515" i="17" s="1"/>
  <c r="E527" i="17" s="1"/>
  <c r="E539" i="17" s="1"/>
  <c r="E551" i="17" s="1"/>
  <c r="E563" i="17" s="1"/>
  <c r="E575" i="17" s="1"/>
  <c r="E587" i="17" s="1"/>
  <c r="E599" i="17" s="1"/>
  <c r="E611" i="17" s="1"/>
  <c r="E623" i="17" s="1"/>
  <c r="E635" i="17" s="1"/>
  <c r="E647" i="17" s="1"/>
  <c r="E659" i="17" s="1"/>
  <c r="E671" i="17" s="1"/>
  <c r="E683" i="17" s="1"/>
  <c r="E695" i="17" s="1"/>
  <c r="E707" i="17" s="1"/>
  <c r="E719" i="17" s="1"/>
  <c r="E731" i="17" s="1"/>
  <c r="E743" i="17" s="1"/>
  <c r="E755" i="17" s="1"/>
  <c r="E46" i="17"/>
  <c r="E58" i="17" s="1"/>
  <c r="E70" i="17" s="1"/>
  <c r="E82" i="17" s="1"/>
  <c r="E94" i="17" s="1"/>
  <c r="E106" i="17" s="1"/>
  <c r="E118" i="17" s="1"/>
  <c r="E130" i="17" s="1"/>
  <c r="E142" i="17" s="1"/>
  <c r="E154" i="17" s="1"/>
  <c r="E166" i="17" s="1"/>
  <c r="E178" i="17" s="1"/>
  <c r="E190" i="17" s="1"/>
  <c r="E202" i="17" s="1"/>
  <c r="E214" i="17" s="1"/>
  <c r="E226" i="17" s="1"/>
  <c r="E238" i="17" s="1"/>
  <c r="E250" i="17" s="1"/>
  <c r="E262" i="17" s="1"/>
  <c r="E274" i="17" s="1"/>
  <c r="E286" i="17" s="1"/>
  <c r="E298" i="17" s="1"/>
  <c r="E310" i="17" s="1"/>
  <c r="E322" i="17" s="1"/>
  <c r="E334" i="17" s="1"/>
  <c r="E346" i="17" s="1"/>
  <c r="E358" i="17" s="1"/>
  <c r="E370" i="17" s="1"/>
  <c r="E382" i="17" s="1"/>
  <c r="E394" i="17" s="1"/>
  <c r="E406" i="17" s="1"/>
  <c r="E418" i="17" s="1"/>
  <c r="E430" i="17" s="1"/>
  <c r="E442" i="17" s="1"/>
  <c r="E454" i="17" s="1"/>
  <c r="E466" i="17" s="1"/>
  <c r="E478" i="17" s="1"/>
  <c r="E490" i="17" s="1"/>
  <c r="E502" i="17" s="1"/>
  <c r="E514" i="17" s="1"/>
  <c r="E526" i="17" s="1"/>
  <c r="E538" i="17" s="1"/>
  <c r="E550" i="17" s="1"/>
  <c r="E562" i="17" s="1"/>
  <c r="E574" i="17" s="1"/>
  <c r="E586" i="17" s="1"/>
  <c r="E598" i="17" s="1"/>
  <c r="E610" i="17" s="1"/>
  <c r="E622" i="17" s="1"/>
  <c r="E634" i="17" s="1"/>
  <c r="E646" i="17" s="1"/>
  <c r="E658" i="17" s="1"/>
  <c r="E670" i="17" s="1"/>
  <c r="E682" i="17" s="1"/>
  <c r="E694" i="17" s="1"/>
  <c r="E706" i="17" s="1"/>
  <c r="E718" i="17" s="1"/>
  <c r="E730" i="17" s="1"/>
  <c r="E742" i="17" s="1"/>
  <c r="E754" i="17" s="1"/>
  <c r="C16" i="21"/>
  <c r="A15" i="21"/>
  <c r="B15" i="21" s="1"/>
  <c r="AC36" i="17"/>
  <c r="B37" i="17"/>
  <c r="AD26" i="19"/>
  <c r="E7" i="21" s="1"/>
  <c r="K8" i="21" l="1"/>
  <c r="R28" i="20"/>
  <c r="J29" i="17"/>
  <c r="K29" i="17"/>
  <c r="L29" i="17" s="1"/>
  <c r="F30" i="17" s="1"/>
  <c r="H29" i="17"/>
  <c r="AC37" i="17"/>
  <c r="B38" i="17"/>
  <c r="S166" i="20"/>
  <c r="S155" i="20"/>
  <c r="J27" i="18"/>
  <c r="AC44" i="2"/>
  <c r="C45" i="2"/>
  <c r="J29" i="20"/>
  <c r="K29" i="20" s="1"/>
  <c r="AP78" i="21"/>
  <c r="S202" i="17"/>
  <c r="S191" i="17"/>
  <c r="S165" i="20"/>
  <c r="S157" i="20"/>
  <c r="S158" i="20" s="1"/>
  <c r="S168" i="20"/>
  <c r="S159" i="20"/>
  <c r="S160" i="20" s="1"/>
  <c r="S161" i="20" s="1"/>
  <c r="S162" i="20"/>
  <c r="S163" i="20" s="1"/>
  <c r="S164" i="20" s="1"/>
  <c r="S154" i="19"/>
  <c r="S143" i="19"/>
  <c r="AC37" i="20"/>
  <c r="B38" i="20"/>
  <c r="Q35" i="20"/>
  <c r="Q47" i="20" s="1"/>
  <c r="Q59" i="20" s="1"/>
  <c r="Q71" i="20" s="1"/>
  <c r="Q83" i="20" s="1"/>
  <c r="Q95" i="20" s="1"/>
  <c r="Q107" i="20" s="1"/>
  <c r="Q119" i="20" s="1"/>
  <c r="Q131" i="20" s="1"/>
  <c r="Q143" i="20" s="1"/>
  <c r="Q155" i="20" s="1"/>
  <c r="Q167" i="20" s="1"/>
  <c r="Q179" i="20" s="1"/>
  <c r="Q191" i="20" s="1"/>
  <c r="Q203" i="20" s="1"/>
  <c r="Q215" i="20" s="1"/>
  <c r="Q227" i="20" s="1"/>
  <c r="Q239" i="20" s="1"/>
  <c r="Q251" i="20" s="1"/>
  <c r="Q263" i="20" s="1"/>
  <c r="Q275" i="20" s="1"/>
  <c r="Q287" i="20" s="1"/>
  <c r="Q299" i="20" s="1"/>
  <c r="Q311" i="20" s="1"/>
  <c r="Q323" i="20" s="1"/>
  <c r="Q335" i="20" s="1"/>
  <c r="Q347" i="20" s="1"/>
  <c r="Q359" i="20" s="1"/>
  <c r="Q371" i="20" s="1"/>
  <c r="Q383" i="20" s="1"/>
  <c r="Q395" i="20" s="1"/>
  <c r="Q407" i="20" s="1"/>
  <c r="Q419" i="20" s="1"/>
  <c r="Q431" i="20" s="1"/>
  <c r="Q443" i="20" s="1"/>
  <c r="Q455" i="20" s="1"/>
  <c r="Q467" i="20" s="1"/>
  <c r="Q479" i="20" s="1"/>
  <c r="Q491" i="20" s="1"/>
  <c r="Q503" i="20" s="1"/>
  <c r="Q515" i="20" s="1"/>
  <c r="Q527" i="20" s="1"/>
  <c r="Q539" i="20" s="1"/>
  <c r="Q551" i="20" s="1"/>
  <c r="Q563" i="20" s="1"/>
  <c r="Q575" i="20" s="1"/>
  <c r="Q587" i="20" s="1"/>
  <c r="Q599" i="20" s="1"/>
  <c r="Q611" i="20" s="1"/>
  <c r="Q623" i="20" s="1"/>
  <c r="Q635" i="20" s="1"/>
  <c r="Q647" i="20" s="1"/>
  <c r="Q659" i="20" s="1"/>
  <c r="Q671" i="20" s="1"/>
  <c r="Q683" i="20" s="1"/>
  <c r="Q695" i="20" s="1"/>
  <c r="Q707" i="20" s="1"/>
  <c r="Q719" i="20" s="1"/>
  <c r="Q731" i="20" s="1"/>
  <c r="Q743" i="20" s="1"/>
  <c r="Q755" i="20" s="1"/>
  <c r="Q46" i="20"/>
  <c r="Q58" i="20" s="1"/>
  <c r="Q70" i="20" s="1"/>
  <c r="Q82" i="20" s="1"/>
  <c r="Q94" i="20" s="1"/>
  <c r="Q106" i="20" s="1"/>
  <c r="Q118" i="20" s="1"/>
  <c r="Q130" i="20" s="1"/>
  <c r="Q142" i="20" s="1"/>
  <c r="Q154" i="20" s="1"/>
  <c r="Q166" i="20" s="1"/>
  <c r="Q178" i="20" s="1"/>
  <c r="Q190" i="20" s="1"/>
  <c r="Q202" i="20" s="1"/>
  <c r="Q214" i="20" s="1"/>
  <c r="Q226" i="20" s="1"/>
  <c r="Q238" i="20" s="1"/>
  <c r="Q250" i="20" s="1"/>
  <c r="Q262" i="20" s="1"/>
  <c r="Q274" i="20" s="1"/>
  <c r="Q286" i="20" s="1"/>
  <c r="Q298" i="20" s="1"/>
  <c r="Q310" i="20" s="1"/>
  <c r="Q322" i="20" s="1"/>
  <c r="Q334" i="20" s="1"/>
  <c r="Q346" i="20" s="1"/>
  <c r="Q358" i="20" s="1"/>
  <c r="Q370" i="20" s="1"/>
  <c r="Q382" i="20" s="1"/>
  <c r="Q394" i="20" s="1"/>
  <c r="Q406" i="20" s="1"/>
  <c r="Q418" i="20" s="1"/>
  <c r="Q430" i="20" s="1"/>
  <c r="Q442" i="20" s="1"/>
  <c r="Q454" i="20" s="1"/>
  <c r="Q466" i="20" s="1"/>
  <c r="Q478" i="20" s="1"/>
  <c r="Q490" i="20" s="1"/>
  <c r="Q502" i="20" s="1"/>
  <c r="Q514" i="20" s="1"/>
  <c r="Q526" i="20" s="1"/>
  <c r="Q538" i="20" s="1"/>
  <c r="Q550" i="20" s="1"/>
  <c r="Q562" i="20" s="1"/>
  <c r="Q574" i="20" s="1"/>
  <c r="Q586" i="20" s="1"/>
  <c r="Q598" i="20" s="1"/>
  <c r="Q610" i="20" s="1"/>
  <c r="Q622" i="20" s="1"/>
  <c r="Q634" i="20" s="1"/>
  <c r="Q646" i="20" s="1"/>
  <c r="Q658" i="20" s="1"/>
  <c r="Q670" i="20" s="1"/>
  <c r="Q682" i="20" s="1"/>
  <c r="Q694" i="20" s="1"/>
  <c r="Q706" i="20" s="1"/>
  <c r="Q718" i="20" s="1"/>
  <c r="Q730" i="20" s="1"/>
  <c r="Q742" i="20" s="1"/>
  <c r="Q754" i="20" s="1"/>
  <c r="AW51" i="21"/>
  <c r="AZ51" i="21"/>
  <c r="AQ51" i="21"/>
  <c r="BA51" i="21"/>
  <c r="AY51" i="21"/>
  <c r="AS51" i="21"/>
  <c r="AE52" i="21"/>
  <c r="BB51" i="21"/>
  <c r="AV51" i="21"/>
  <c r="AR51" i="21"/>
  <c r="AP51" i="21"/>
  <c r="BC51" i="21"/>
  <c r="BD51" i="21"/>
  <c r="AT51" i="21"/>
  <c r="AU51" i="21"/>
  <c r="AO51" i="21"/>
  <c r="AO68" i="21" s="1"/>
  <c r="AX51" i="21"/>
  <c r="U27" i="19"/>
  <c r="X27" i="19" s="1"/>
  <c r="C17" i="21"/>
  <c r="A16" i="21"/>
  <c r="B16" i="21" s="1"/>
  <c r="G40" i="2"/>
  <c r="E41" i="2"/>
  <c r="S168" i="17"/>
  <c r="S165" i="17"/>
  <c r="S159" i="17"/>
  <c r="S160" i="17" s="1"/>
  <c r="S161" i="17" s="1"/>
  <c r="S157" i="17"/>
  <c r="S158" i="17" s="1"/>
  <c r="S162" i="17"/>
  <c r="S163" i="17" s="1"/>
  <c r="S164" i="17" s="1"/>
  <c r="A40" i="19"/>
  <c r="B41" i="19"/>
  <c r="AC40" i="19"/>
  <c r="U13" i="21"/>
  <c r="V13" i="21" s="1"/>
  <c r="W13" i="21"/>
  <c r="K39" i="2"/>
  <c r="H30" i="19"/>
  <c r="K30" i="19"/>
  <c r="L30" i="19"/>
  <c r="F31" i="19" s="1"/>
  <c r="U27" i="17"/>
  <c r="X27" i="17" s="1"/>
  <c r="S145" i="19"/>
  <c r="S146" i="19" s="1"/>
  <c r="S150" i="19"/>
  <c r="S151" i="19" s="1"/>
  <c r="S152" i="19" s="1"/>
  <c r="S153" i="19"/>
  <c r="S147" i="19"/>
  <c r="S148" i="19" s="1"/>
  <c r="S149" i="19" s="1"/>
  <c r="S156" i="19"/>
  <c r="Z12" i="21"/>
  <c r="AA12" i="21"/>
  <c r="AB12" i="21"/>
  <c r="K30" i="17" l="1"/>
  <c r="H30" i="17"/>
  <c r="L30" i="17" s="1"/>
  <c r="F31" i="17" s="1"/>
  <c r="C18" i="21"/>
  <c r="A17" i="21"/>
  <c r="B17" i="21" s="1"/>
  <c r="L29" i="20"/>
  <c r="F30" i="20" s="1"/>
  <c r="S203" i="17"/>
  <c r="S214" i="17"/>
  <c r="B39" i="17"/>
  <c r="AC38" i="17"/>
  <c r="H31" i="19"/>
  <c r="K31" i="19" s="1"/>
  <c r="U14" i="21"/>
  <c r="V14" i="21" s="1"/>
  <c r="K40" i="2"/>
  <c r="W14" i="21"/>
  <c r="AC45" i="2"/>
  <c r="C46" i="2"/>
  <c r="X28" i="20"/>
  <c r="Y28" i="20"/>
  <c r="S155" i="19"/>
  <c r="S166" i="19"/>
  <c r="S167" i="20"/>
  <c r="S178" i="20"/>
  <c r="S168" i="19"/>
  <c r="S165" i="19"/>
  <c r="S159" i="19"/>
  <c r="S160" i="19" s="1"/>
  <c r="S161" i="19" s="1"/>
  <c r="S162" i="19"/>
  <c r="S163" i="19" s="1"/>
  <c r="S164" i="19" s="1"/>
  <c r="S157" i="19"/>
  <c r="S158" i="19" s="1"/>
  <c r="Y27" i="17"/>
  <c r="Z13" i="21"/>
  <c r="AB13" i="21" s="1"/>
  <c r="AA13" i="21"/>
  <c r="S180" i="17"/>
  <c r="S171" i="17"/>
  <c r="S172" i="17" s="1"/>
  <c r="S173" i="17" s="1"/>
  <c r="S174" i="17"/>
  <c r="S175" i="17" s="1"/>
  <c r="S176" i="17" s="1"/>
  <c r="S169" i="17"/>
  <c r="S170" i="17" s="1"/>
  <c r="S177" i="17"/>
  <c r="Y27" i="19"/>
  <c r="AC38" i="20"/>
  <c r="B39" i="20"/>
  <c r="S171" i="20"/>
  <c r="S172" i="20" s="1"/>
  <c r="S173" i="20" s="1"/>
  <c r="S180" i="20"/>
  <c r="S177" i="20"/>
  <c r="S174" i="20"/>
  <c r="S175" i="20" s="1"/>
  <c r="S176" i="20" s="1"/>
  <c r="S169" i="20"/>
  <c r="S170" i="20" s="1"/>
  <c r="AQ78" i="21"/>
  <c r="AC41" i="19"/>
  <c r="B42" i="19"/>
  <c r="A41" i="19"/>
  <c r="G41" i="2"/>
  <c r="E42" i="2"/>
  <c r="AP52" i="21"/>
  <c r="AP68" i="21" s="1"/>
  <c r="AV52" i="21"/>
  <c r="AU52" i="21"/>
  <c r="AX52" i="21"/>
  <c r="AW52" i="21"/>
  <c r="AE53" i="21"/>
  <c r="AQ52" i="21"/>
  <c r="BA52" i="21"/>
  <c r="AZ52" i="21"/>
  <c r="BC52" i="21"/>
  <c r="BD52" i="21"/>
  <c r="AT52" i="21"/>
  <c r="AR52" i="21"/>
  <c r="BB52" i="21"/>
  <c r="AY52" i="21"/>
  <c r="AS52" i="21"/>
  <c r="AA27" i="20"/>
  <c r="AD27" i="20" s="1"/>
  <c r="F8" i="21" s="1"/>
  <c r="AA27" i="17"/>
  <c r="AD27" i="17" s="1"/>
  <c r="D8" i="21" s="1"/>
  <c r="E28" i="18"/>
  <c r="AA27" i="19"/>
  <c r="AB14" i="21" l="1"/>
  <c r="K31" i="17"/>
  <c r="H31" i="17"/>
  <c r="L31" i="17" s="1"/>
  <c r="F32" i="17" s="1"/>
  <c r="S169" i="19"/>
  <c r="S170" i="19" s="1"/>
  <c r="S171" i="19"/>
  <c r="S172" i="19" s="1"/>
  <c r="S173" i="19" s="1"/>
  <c r="S174" i="19"/>
  <c r="S175" i="19" s="1"/>
  <c r="S176" i="19" s="1"/>
  <c r="S180" i="19"/>
  <c r="S177" i="19"/>
  <c r="K9" i="21"/>
  <c r="R29" i="20"/>
  <c r="Z14" i="21"/>
  <c r="AA14" i="21"/>
  <c r="S179" i="20"/>
  <c r="S190" i="20"/>
  <c r="AC39" i="17"/>
  <c r="B40" i="17"/>
  <c r="C19" i="21"/>
  <c r="A18" i="21"/>
  <c r="B18" i="21" s="1"/>
  <c r="J8" i="21"/>
  <c r="R28" i="19"/>
  <c r="K30" i="20"/>
  <c r="L30" i="20"/>
  <c r="F31" i="20" s="1"/>
  <c r="H30" i="20"/>
  <c r="G42" i="2"/>
  <c r="E43" i="2"/>
  <c r="S192" i="20"/>
  <c r="S183" i="20"/>
  <c r="S184" i="20" s="1"/>
  <c r="S185" i="20" s="1"/>
  <c r="S186" i="20"/>
  <c r="S187" i="20" s="1"/>
  <c r="S188" i="20" s="1"/>
  <c r="S189" i="20"/>
  <c r="S181" i="20"/>
  <c r="S182" i="20" s="1"/>
  <c r="I8" i="21"/>
  <c r="R28" i="17"/>
  <c r="U15" i="21"/>
  <c r="V15" i="21" s="1"/>
  <c r="K41" i="2"/>
  <c r="W15" i="21"/>
  <c r="S226" i="17"/>
  <c r="S215" i="17"/>
  <c r="I28" i="18"/>
  <c r="G28" i="18"/>
  <c r="J28" i="18" s="1"/>
  <c r="L31" i="19"/>
  <c r="F32" i="19" s="1"/>
  <c r="AU53" i="21"/>
  <c r="AS53" i="21"/>
  <c r="BB53" i="21"/>
  <c r="BD53" i="21"/>
  <c r="AE54" i="21"/>
  <c r="AT53" i="21"/>
  <c r="BA53" i="21"/>
  <c r="AV53" i="21"/>
  <c r="AX53" i="21"/>
  <c r="BC53" i="21"/>
  <c r="AQ53" i="21"/>
  <c r="AQ68" i="21" s="1"/>
  <c r="AW53" i="21"/>
  <c r="AZ53" i="21"/>
  <c r="AY53" i="21"/>
  <c r="AR53" i="21"/>
  <c r="AR78" i="21"/>
  <c r="B40" i="20"/>
  <c r="AC39" i="20"/>
  <c r="AD27" i="19"/>
  <c r="E8" i="21" s="1"/>
  <c r="AC42" i="19"/>
  <c r="A42" i="19"/>
  <c r="B43" i="19"/>
  <c r="S183" i="17"/>
  <c r="S184" i="17" s="1"/>
  <c r="S185" i="17" s="1"/>
  <c r="S189" i="17"/>
  <c r="S186" i="17"/>
  <c r="S187" i="17" s="1"/>
  <c r="S188" i="17" s="1"/>
  <c r="S181" i="17"/>
  <c r="S182" i="17" s="1"/>
  <c r="S192" i="17"/>
  <c r="S178" i="19"/>
  <c r="S167" i="19"/>
  <c r="AC46" i="2"/>
  <c r="C47" i="2"/>
  <c r="E29" i="18" l="1"/>
  <c r="AA28" i="20"/>
  <c r="AD28" i="20" s="1"/>
  <c r="F9" i="21" s="1"/>
  <c r="AA28" i="17"/>
  <c r="AA28" i="19"/>
  <c r="J32" i="17"/>
  <c r="K32" i="17"/>
  <c r="H32" i="17"/>
  <c r="L32" i="17" s="1"/>
  <c r="F33" i="17" s="1"/>
  <c r="AC47" i="2"/>
  <c r="C48" i="2"/>
  <c r="X28" i="17"/>
  <c r="Y28" i="17" s="1"/>
  <c r="B41" i="17"/>
  <c r="AC40" i="17"/>
  <c r="S227" i="17"/>
  <c r="S238" i="17"/>
  <c r="X28" i="19"/>
  <c r="Y28" i="19" s="1"/>
  <c r="X29" i="20"/>
  <c r="Y29" i="20" s="1"/>
  <c r="AC40" i="20"/>
  <c r="B41" i="20"/>
  <c r="H32" i="19"/>
  <c r="J32" i="19" s="1"/>
  <c r="W16" i="21"/>
  <c r="U16" i="21"/>
  <c r="V16" i="21" s="1"/>
  <c r="K42" i="2"/>
  <c r="S179" i="19"/>
  <c r="S190" i="19"/>
  <c r="Z15" i="21"/>
  <c r="AA15" i="21"/>
  <c r="S191" i="20"/>
  <c r="S202" i="20"/>
  <c r="H31" i="20"/>
  <c r="K31" i="20" s="1"/>
  <c r="C20" i="21"/>
  <c r="A19" i="21"/>
  <c r="B19" i="21" s="1"/>
  <c r="AB15" i="21"/>
  <c r="S195" i="20"/>
  <c r="S196" i="20" s="1"/>
  <c r="S197" i="20" s="1"/>
  <c r="S198" i="20"/>
  <c r="S199" i="20" s="1"/>
  <c r="S200" i="20" s="1"/>
  <c r="S204" i="20"/>
  <c r="S193" i="20"/>
  <c r="S194" i="20" s="1"/>
  <c r="S201" i="20"/>
  <c r="G43" i="2"/>
  <c r="E44" i="2"/>
  <c r="B44" i="19"/>
  <c r="A43" i="19"/>
  <c r="AC43" i="19"/>
  <c r="AX54" i="21"/>
  <c r="BA54" i="21"/>
  <c r="AU54" i="21"/>
  <c r="AZ54" i="21"/>
  <c r="BC54" i="21"/>
  <c r="AW54" i="21"/>
  <c r="AT54" i="21"/>
  <c r="AV54" i="21"/>
  <c r="BB54" i="21"/>
  <c r="AY54" i="21"/>
  <c r="AR54" i="21"/>
  <c r="AR68" i="21" s="1"/>
  <c r="BD54" i="21"/>
  <c r="AS54" i="21"/>
  <c r="AE55" i="21"/>
  <c r="S204" i="17"/>
  <c r="S193" i="17"/>
  <c r="S194" i="17" s="1"/>
  <c r="S195" i="17"/>
  <c r="S196" i="17" s="1"/>
  <c r="S197" i="17" s="1"/>
  <c r="S201" i="17"/>
  <c r="S198" i="17"/>
  <c r="S199" i="17" s="1"/>
  <c r="S200" i="17" s="1"/>
  <c r="AS78" i="21"/>
  <c r="S181" i="19"/>
  <c r="S182" i="19" s="1"/>
  <c r="S192" i="19"/>
  <c r="S189" i="19"/>
  <c r="S183" i="19"/>
  <c r="S184" i="19" s="1"/>
  <c r="S185" i="19" s="1"/>
  <c r="S186" i="19"/>
  <c r="S187" i="19" s="1"/>
  <c r="S188" i="19" s="1"/>
  <c r="K10" i="21" l="1"/>
  <c r="R30" i="20"/>
  <c r="H33" i="17"/>
  <c r="K33" i="17" s="1"/>
  <c r="R29" i="17"/>
  <c r="I9" i="21"/>
  <c r="J9" i="21"/>
  <c r="R29" i="19"/>
  <c r="BC55" i="21"/>
  <c r="AS55" i="21"/>
  <c r="AS68" i="21" s="1"/>
  <c r="AW55" i="21"/>
  <c r="AZ55" i="21"/>
  <c r="AV55" i="21"/>
  <c r="BB55" i="21"/>
  <c r="AU55" i="21"/>
  <c r="BA55" i="21"/>
  <c r="BD55" i="21"/>
  <c r="AE56" i="21"/>
  <c r="AY55" i="21"/>
  <c r="AX55" i="21"/>
  <c r="AT55" i="21"/>
  <c r="AA16" i="21"/>
  <c r="Z16" i="21"/>
  <c r="AB16" i="21" s="1"/>
  <c r="S239" i="17"/>
  <c r="S250" i="17"/>
  <c r="AC48" i="2"/>
  <c r="C49" i="2"/>
  <c r="AD28" i="19"/>
  <c r="E9" i="21" s="1"/>
  <c r="S207" i="20"/>
  <c r="S208" i="20" s="1"/>
  <c r="S209" i="20" s="1"/>
  <c r="S213" i="20"/>
  <c r="S216" i="20"/>
  <c r="S210" i="20"/>
  <c r="S211" i="20" s="1"/>
  <c r="S212" i="20" s="1"/>
  <c r="S205" i="20"/>
  <c r="S206" i="20" s="1"/>
  <c r="S214" i="20"/>
  <c r="S203" i="20"/>
  <c r="AD28" i="17"/>
  <c r="D9" i="21" s="1"/>
  <c r="K43" i="2"/>
  <c r="U17" i="21"/>
  <c r="V17" i="21" s="1"/>
  <c r="W17" i="21"/>
  <c r="L31" i="20"/>
  <c r="F32" i="20" s="1"/>
  <c r="AC41" i="20"/>
  <c r="B42" i="20"/>
  <c r="S202" i="19"/>
  <c r="S191" i="19"/>
  <c r="A44" i="19"/>
  <c r="AC44" i="19"/>
  <c r="B45" i="19"/>
  <c r="K32" i="19"/>
  <c r="L32" i="19" s="1"/>
  <c r="F33" i="19" s="1"/>
  <c r="B42" i="17"/>
  <c r="AC41" i="17"/>
  <c r="AT78" i="21"/>
  <c r="S201" i="19"/>
  <c r="S193" i="19"/>
  <c r="S194" i="19" s="1"/>
  <c r="S198" i="19"/>
  <c r="S199" i="19" s="1"/>
  <c r="S200" i="19" s="1"/>
  <c r="S195" i="19"/>
  <c r="S196" i="19" s="1"/>
  <c r="S197" i="19" s="1"/>
  <c r="S204" i="19"/>
  <c r="S205" i="17"/>
  <c r="S206" i="17" s="1"/>
  <c r="S210" i="17"/>
  <c r="S211" i="17" s="1"/>
  <c r="S212" i="17" s="1"/>
  <c r="S213" i="17"/>
  <c r="S216" i="17"/>
  <c r="S207" i="17"/>
  <c r="S208" i="17" s="1"/>
  <c r="S209" i="17" s="1"/>
  <c r="G44" i="2"/>
  <c r="E45" i="2"/>
  <c r="C21" i="21"/>
  <c r="A20" i="21"/>
  <c r="B20" i="21" s="1"/>
  <c r="G29" i="18"/>
  <c r="I29" i="18" s="1"/>
  <c r="H29" i="18"/>
  <c r="J29" i="18" s="1"/>
  <c r="AA29" i="20" l="1"/>
  <c r="AD29" i="20" s="1"/>
  <c r="F10" i="21" s="1"/>
  <c r="AA29" i="19"/>
  <c r="E30" i="18"/>
  <c r="AA29" i="17"/>
  <c r="AB17" i="21"/>
  <c r="H33" i="19"/>
  <c r="G45" i="2"/>
  <c r="E46" i="2"/>
  <c r="A45" i="19"/>
  <c r="B46" i="19"/>
  <c r="AC45" i="19"/>
  <c r="S228" i="20"/>
  <c r="S219" i="20"/>
  <c r="S220" i="20" s="1"/>
  <c r="S221" i="20" s="1"/>
  <c r="S217" i="20"/>
  <c r="S218" i="20" s="1"/>
  <c r="S222" i="20"/>
  <c r="S223" i="20" s="1"/>
  <c r="S224" i="20" s="1"/>
  <c r="S225" i="20"/>
  <c r="AC49" i="2"/>
  <c r="C50" i="2"/>
  <c r="L33" i="17"/>
  <c r="F34" i="17" s="1"/>
  <c r="S203" i="19"/>
  <c r="S214" i="19"/>
  <c r="H32" i="20"/>
  <c r="X29" i="19"/>
  <c r="Y29" i="19" s="1"/>
  <c r="B43" i="17"/>
  <c r="AC42" i="17"/>
  <c r="X29" i="17"/>
  <c r="Y29" i="17"/>
  <c r="A21" i="21"/>
  <c r="B21" i="21" s="1"/>
  <c r="C22" i="21"/>
  <c r="B43" i="20"/>
  <c r="AC42" i="20"/>
  <c r="K44" i="2"/>
  <c r="W18" i="21"/>
  <c r="U18" i="21"/>
  <c r="V18" i="21" s="1"/>
  <c r="S213" i="19"/>
  <c r="S205" i="19"/>
  <c r="S206" i="19" s="1"/>
  <c r="S216" i="19"/>
  <c r="S210" i="19"/>
  <c r="S211" i="19" s="1"/>
  <c r="S212" i="19" s="1"/>
  <c r="S207" i="19"/>
  <c r="S208" i="19" s="1"/>
  <c r="S209" i="19" s="1"/>
  <c r="AU78" i="21"/>
  <c r="S251" i="17"/>
  <c r="S262" i="17"/>
  <c r="X30" i="20"/>
  <c r="Y30" i="20" s="1"/>
  <c r="U30" i="20"/>
  <c r="S225" i="17"/>
  <c r="S222" i="17"/>
  <c r="S223" i="17" s="1"/>
  <c r="S224" i="17" s="1"/>
  <c r="S217" i="17"/>
  <c r="S218" i="17" s="1"/>
  <c r="S219" i="17"/>
  <c r="S220" i="17" s="1"/>
  <c r="S221" i="17" s="1"/>
  <c r="S228" i="17"/>
  <c r="AA17" i="21"/>
  <c r="Z17" i="21"/>
  <c r="S226" i="20"/>
  <c r="S215" i="20"/>
  <c r="AW56" i="21"/>
  <c r="AZ56" i="21"/>
  <c r="AT56" i="21"/>
  <c r="AT68" i="21" s="1"/>
  <c r="BC56" i="21"/>
  <c r="BD56" i="21"/>
  <c r="AV56" i="21"/>
  <c r="BA56" i="21"/>
  <c r="AU56" i="21"/>
  <c r="AX56" i="21"/>
  <c r="AY56" i="21"/>
  <c r="AE57" i="21"/>
  <c r="BB56" i="21"/>
  <c r="R30" i="19" l="1"/>
  <c r="J10" i="21"/>
  <c r="R31" i="20"/>
  <c r="K11" i="21"/>
  <c r="Z18" i="21"/>
  <c r="AA18" i="21"/>
  <c r="W19" i="21"/>
  <c r="K45" i="2"/>
  <c r="U19" i="21"/>
  <c r="V19" i="21" s="1"/>
  <c r="S238" i="20"/>
  <c r="S227" i="20"/>
  <c r="AC50" i="2"/>
  <c r="C51" i="2"/>
  <c r="S240" i="20"/>
  <c r="S229" i="20"/>
  <c r="S230" i="20" s="1"/>
  <c r="S237" i="20"/>
  <c r="S234" i="20"/>
  <c r="S235" i="20" s="1"/>
  <c r="S236" i="20" s="1"/>
  <c r="S231" i="20"/>
  <c r="S232" i="20" s="1"/>
  <c r="S233" i="20" s="1"/>
  <c r="AD29" i="17"/>
  <c r="D10" i="21" s="1"/>
  <c r="AB18" i="21"/>
  <c r="J32" i="20"/>
  <c r="G30" i="18"/>
  <c r="J30" i="18" s="1"/>
  <c r="I30" i="18"/>
  <c r="H34" i="17"/>
  <c r="K34" i="17" s="1"/>
  <c r="S222" i="19"/>
  <c r="S223" i="19" s="1"/>
  <c r="S224" i="19" s="1"/>
  <c r="S219" i="19"/>
  <c r="S220" i="19" s="1"/>
  <c r="S221" i="19" s="1"/>
  <c r="S225" i="19"/>
  <c r="S217" i="19"/>
  <c r="S218" i="19" s="1"/>
  <c r="S228" i="19"/>
  <c r="AC43" i="17"/>
  <c r="B44" i="17"/>
  <c r="B44" i="20"/>
  <c r="AC43" i="20"/>
  <c r="A22" i="21"/>
  <c r="B22" i="21" s="1"/>
  <c r="C23" i="21"/>
  <c r="S226" i="19"/>
  <c r="S215" i="19"/>
  <c r="A46" i="19"/>
  <c r="B47" i="19"/>
  <c r="AC46" i="19"/>
  <c r="K33" i="19"/>
  <c r="L33" i="19" s="1"/>
  <c r="F34" i="19" s="1"/>
  <c r="AD29" i="19"/>
  <c r="E10" i="21" s="1"/>
  <c r="R30" i="17"/>
  <c r="I10" i="21"/>
  <c r="G46" i="2"/>
  <c r="E47" i="2"/>
  <c r="S274" i="17"/>
  <c r="S263" i="17"/>
  <c r="AY57" i="21"/>
  <c r="BA57" i="21"/>
  <c r="AV57" i="21"/>
  <c r="AE58" i="21"/>
  <c r="BC57" i="21"/>
  <c r="BD57" i="21"/>
  <c r="AX57" i="21"/>
  <c r="AU57" i="21"/>
  <c r="AU68" i="21" s="1"/>
  <c r="BB57" i="21"/>
  <c r="AZ57" i="21"/>
  <c r="AW57" i="21"/>
  <c r="S234" i="17"/>
  <c r="S235" i="17" s="1"/>
  <c r="S236" i="17" s="1"/>
  <c r="S240" i="17"/>
  <c r="S231" i="17"/>
  <c r="S232" i="17" s="1"/>
  <c r="S233" i="17" s="1"/>
  <c r="S237" i="17"/>
  <c r="S229" i="17"/>
  <c r="S230" i="17" s="1"/>
  <c r="AV78" i="21"/>
  <c r="AA30" i="19" l="1"/>
  <c r="AA30" i="17"/>
  <c r="AA30" i="20"/>
  <c r="AD30" i="20" s="1"/>
  <c r="F11" i="21" s="1"/>
  <c r="E31" i="18"/>
  <c r="H34" i="19"/>
  <c r="K34" i="19" s="1"/>
  <c r="L34" i="19" s="1"/>
  <c r="F35" i="19" s="1"/>
  <c r="U30" i="17"/>
  <c r="X30" i="17" s="1"/>
  <c r="S238" i="19"/>
  <c r="S227" i="19"/>
  <c r="K32" i="20"/>
  <c r="L32" i="20" s="1"/>
  <c r="F33" i="20" s="1"/>
  <c r="AA19" i="21"/>
  <c r="Z19" i="21"/>
  <c r="AB19" i="21" s="1"/>
  <c r="S249" i="17"/>
  <c r="S241" i="17"/>
  <c r="S242" i="17" s="1"/>
  <c r="S246" i="17"/>
  <c r="S247" i="17" s="1"/>
  <c r="S248" i="17" s="1"/>
  <c r="S243" i="17"/>
  <c r="S244" i="17" s="1"/>
  <c r="S245" i="17" s="1"/>
  <c r="S252" i="17"/>
  <c r="AW78" i="21"/>
  <c r="S286" i="17"/>
  <c r="S275" i="17"/>
  <c r="BA58" i="21"/>
  <c r="BC58" i="21"/>
  <c r="BB58" i="21"/>
  <c r="AE59" i="21"/>
  <c r="AX58" i="21"/>
  <c r="BD58" i="21"/>
  <c r="AW58" i="21"/>
  <c r="AV58" i="21"/>
  <c r="AV68" i="21" s="1"/>
  <c r="AY58" i="21"/>
  <c r="AZ58" i="21"/>
  <c r="G47" i="2"/>
  <c r="E48" i="2"/>
  <c r="S234" i="19"/>
  <c r="S235" i="19" s="1"/>
  <c r="S236" i="19" s="1"/>
  <c r="S229" i="19"/>
  <c r="S230" i="19" s="1"/>
  <c r="S237" i="19"/>
  <c r="S240" i="19"/>
  <c r="S231" i="19"/>
  <c r="S232" i="19" s="1"/>
  <c r="S233" i="19" s="1"/>
  <c r="L34" i="17"/>
  <c r="F35" i="17" s="1"/>
  <c r="S241" i="20"/>
  <c r="S242" i="20" s="1"/>
  <c r="S252" i="20"/>
  <c r="S246" i="20"/>
  <c r="S247" i="20" s="1"/>
  <c r="S248" i="20" s="1"/>
  <c r="S243" i="20"/>
  <c r="S244" i="20" s="1"/>
  <c r="S245" i="20" s="1"/>
  <c r="S249" i="20"/>
  <c r="AC44" i="20"/>
  <c r="B45" i="20"/>
  <c r="AC51" i="2"/>
  <c r="C52" i="2"/>
  <c r="X31" i="20"/>
  <c r="Y31" i="20" s="1"/>
  <c r="B45" i="17"/>
  <c r="AC44" i="17"/>
  <c r="C24" i="21"/>
  <c r="A23" i="21"/>
  <c r="B23" i="21" s="1"/>
  <c r="U20" i="21"/>
  <c r="V20" i="21" s="1"/>
  <c r="K46" i="2"/>
  <c r="W20" i="21"/>
  <c r="B48" i="19"/>
  <c r="A47" i="19"/>
  <c r="AC47" i="19"/>
  <c r="S250" i="20"/>
  <c r="S239" i="20"/>
  <c r="U30" i="19"/>
  <c r="X30" i="19" s="1"/>
  <c r="Y30" i="19" s="1"/>
  <c r="R32" i="20" l="1"/>
  <c r="K12" i="21"/>
  <c r="J11" i="21"/>
  <c r="R31" i="19"/>
  <c r="K35" i="19"/>
  <c r="L35" i="19"/>
  <c r="F36" i="19" s="1"/>
  <c r="H35" i="19"/>
  <c r="J35" i="19"/>
  <c r="H33" i="20"/>
  <c r="B46" i="17"/>
  <c r="AC45" i="17"/>
  <c r="B46" i="20"/>
  <c r="AC45" i="20"/>
  <c r="S258" i="20"/>
  <c r="S259" i="20" s="1"/>
  <c r="S260" i="20" s="1"/>
  <c r="S264" i="20"/>
  <c r="S253" i="20"/>
  <c r="S254" i="20" s="1"/>
  <c r="S255" i="20"/>
  <c r="S256" i="20" s="1"/>
  <c r="S257" i="20" s="1"/>
  <c r="S261" i="20"/>
  <c r="AX78" i="21"/>
  <c r="S253" i="17"/>
  <c r="S254" i="17" s="1"/>
  <c r="S264" i="17"/>
  <c r="S261" i="17"/>
  <c r="S258" i="17"/>
  <c r="S259" i="17" s="1"/>
  <c r="S260" i="17" s="1"/>
  <c r="S255" i="17"/>
  <c r="S256" i="17" s="1"/>
  <c r="S257" i="17" s="1"/>
  <c r="Y30" i="17"/>
  <c r="AD30" i="17" s="1"/>
  <c r="D11" i="21" s="1"/>
  <c r="G31" i="18"/>
  <c r="I31" i="18"/>
  <c r="J31" i="18"/>
  <c r="S243" i="19"/>
  <c r="S244" i="19" s="1"/>
  <c r="S245" i="19" s="1"/>
  <c r="S241" i="19"/>
  <c r="S242" i="19" s="1"/>
  <c r="S252" i="19"/>
  <c r="S246" i="19"/>
  <c r="S247" i="19" s="1"/>
  <c r="S248" i="19" s="1"/>
  <c r="S249" i="19"/>
  <c r="BD59" i="21"/>
  <c r="AX59" i="21"/>
  <c r="BB59" i="21"/>
  <c r="BC59" i="21"/>
  <c r="BA59" i="21"/>
  <c r="AW59" i="21"/>
  <c r="AW68" i="21" s="1"/>
  <c r="AY59" i="21"/>
  <c r="AZ59" i="21"/>
  <c r="AE60" i="21"/>
  <c r="S262" i="20"/>
  <c r="S251" i="20"/>
  <c r="AC48" i="19"/>
  <c r="A48" i="19"/>
  <c r="B49" i="19"/>
  <c r="S239" i="19"/>
  <c r="S250" i="19"/>
  <c r="Z20" i="21"/>
  <c r="AB20" i="21" s="1"/>
  <c r="AA20" i="21"/>
  <c r="J35" i="17"/>
  <c r="K35" i="17"/>
  <c r="H35" i="17"/>
  <c r="L35" i="17" s="1"/>
  <c r="F36" i="17" s="1"/>
  <c r="G48" i="2"/>
  <c r="E49" i="2"/>
  <c r="A24" i="21"/>
  <c r="B24" i="21" s="1"/>
  <c r="C25" i="21"/>
  <c r="AC52" i="2"/>
  <c r="C53" i="2"/>
  <c r="K47" i="2"/>
  <c r="U21" i="21"/>
  <c r="V21" i="21" s="1"/>
  <c r="W21" i="21"/>
  <c r="S287" i="17"/>
  <c r="S298" i="17"/>
  <c r="AD30" i="19"/>
  <c r="E11" i="21" s="1"/>
  <c r="H36" i="17" l="1"/>
  <c r="K36" i="17" s="1"/>
  <c r="S274" i="20"/>
  <c r="S263" i="20"/>
  <c r="S265" i="20"/>
  <c r="S266" i="20" s="1"/>
  <c r="S270" i="20"/>
  <c r="S271" i="20" s="1"/>
  <c r="S272" i="20" s="1"/>
  <c r="S276" i="20"/>
  <c r="S273" i="20"/>
  <c r="S267" i="20"/>
  <c r="S268" i="20" s="1"/>
  <c r="S269" i="20" s="1"/>
  <c r="A49" i="19"/>
  <c r="AC49" i="19"/>
  <c r="B50" i="19"/>
  <c r="G49" i="2"/>
  <c r="E50" i="2"/>
  <c r="AY78" i="21"/>
  <c r="K33" i="20"/>
  <c r="L33" i="20" s="1"/>
  <c r="F34" i="20" s="1"/>
  <c r="X31" i="19"/>
  <c r="Y31" i="19"/>
  <c r="S310" i="17"/>
  <c r="S299" i="17"/>
  <c r="AC53" i="2"/>
  <c r="C54" i="2"/>
  <c r="U22" i="21"/>
  <c r="V22" i="21" s="1"/>
  <c r="K48" i="2"/>
  <c r="W22" i="21"/>
  <c r="AA31" i="19"/>
  <c r="AA31" i="17"/>
  <c r="E32" i="18"/>
  <c r="AA31" i="20"/>
  <c r="AD31" i="20" s="1"/>
  <c r="F12" i="21" s="1"/>
  <c r="AC46" i="20"/>
  <c r="B47" i="20"/>
  <c r="I11" i="21"/>
  <c r="R31" i="17"/>
  <c r="H36" i="19"/>
  <c r="L36" i="19" s="1"/>
  <c r="F37" i="19" s="1"/>
  <c r="K36" i="19"/>
  <c r="AA21" i="21"/>
  <c r="Z21" i="21"/>
  <c r="AB21" i="21" s="1"/>
  <c r="S276" i="17"/>
  <c r="S270" i="17"/>
  <c r="S271" i="17" s="1"/>
  <c r="S272" i="17" s="1"/>
  <c r="S265" i="17"/>
  <c r="S266" i="17" s="1"/>
  <c r="S267" i="17"/>
  <c r="S268" i="17" s="1"/>
  <c r="S269" i="17" s="1"/>
  <c r="S273" i="17"/>
  <c r="C26" i="21"/>
  <c r="A25" i="21"/>
  <c r="B25" i="21" s="1"/>
  <c r="S258" i="19"/>
  <c r="S259" i="19" s="1"/>
  <c r="S260" i="19" s="1"/>
  <c r="S253" i="19"/>
  <c r="S254" i="19" s="1"/>
  <c r="S264" i="19"/>
  <c r="S255" i="19"/>
  <c r="S256" i="19" s="1"/>
  <c r="S257" i="19" s="1"/>
  <c r="S261" i="19"/>
  <c r="BA60" i="21"/>
  <c r="BC60" i="21"/>
  <c r="BD60" i="21"/>
  <c r="AY60" i="21"/>
  <c r="AE61" i="21"/>
  <c r="AZ60" i="21"/>
  <c r="AX60" i="21"/>
  <c r="AX68" i="21" s="1"/>
  <c r="BB60" i="21"/>
  <c r="S262" i="19"/>
  <c r="S251" i="19"/>
  <c r="B47" i="17"/>
  <c r="AC46" i="17"/>
  <c r="X32" i="20"/>
  <c r="Y32" i="20"/>
  <c r="H34" i="20" l="1"/>
  <c r="H37" i="19"/>
  <c r="L37" i="19" s="1"/>
  <c r="F38" i="19" s="1"/>
  <c r="K37" i="19"/>
  <c r="A26" i="21"/>
  <c r="B26" i="21" s="1"/>
  <c r="C27" i="21"/>
  <c r="X31" i="17"/>
  <c r="Y31" i="17"/>
  <c r="AD31" i="17"/>
  <c r="D12" i="21" s="1"/>
  <c r="R32" i="19"/>
  <c r="J12" i="21"/>
  <c r="W23" i="21"/>
  <c r="K49" i="2"/>
  <c r="U23" i="21"/>
  <c r="V23" i="21" s="1"/>
  <c r="S277" i="20"/>
  <c r="S278" i="20" s="1"/>
  <c r="S285" i="20"/>
  <c r="S288" i="20"/>
  <c r="S279" i="20"/>
  <c r="S280" i="20" s="1"/>
  <c r="S281" i="20" s="1"/>
  <c r="S282" i="20"/>
  <c r="S283" i="20" s="1"/>
  <c r="S284" i="20" s="1"/>
  <c r="L36" i="17"/>
  <c r="F37" i="17" s="1"/>
  <c r="B48" i="17"/>
  <c r="AC47" i="17"/>
  <c r="AD31" i="19"/>
  <c r="E12" i="21" s="1"/>
  <c r="AC54" i="2"/>
  <c r="C55" i="2"/>
  <c r="A50" i="19"/>
  <c r="AC50" i="19"/>
  <c r="B51" i="19"/>
  <c r="S275" i="20"/>
  <c r="S286" i="20"/>
  <c r="S263" i="19"/>
  <c r="S274" i="19"/>
  <c r="AZ61" i="21"/>
  <c r="BA61" i="21"/>
  <c r="BD61" i="21"/>
  <c r="BB61" i="21"/>
  <c r="AY61" i="21"/>
  <c r="AY68" i="21" s="1"/>
  <c r="BC61" i="21"/>
  <c r="AE62" i="21"/>
  <c r="AC47" i="20"/>
  <c r="B48" i="20"/>
  <c r="S311" i="17"/>
  <c r="S322" i="17"/>
  <c r="AZ78" i="21"/>
  <c r="S279" i="17"/>
  <c r="S280" i="17" s="1"/>
  <c r="S281" i="17" s="1"/>
  <c r="S288" i="17"/>
  <c r="S282" i="17"/>
  <c r="S283" i="17" s="1"/>
  <c r="S284" i="17" s="1"/>
  <c r="S285" i="17"/>
  <c r="S277" i="17"/>
  <c r="S278" i="17" s="1"/>
  <c r="G32" i="18"/>
  <c r="I32" i="18" s="1"/>
  <c r="G50" i="2"/>
  <c r="E51" i="2"/>
  <c r="R33" i="20"/>
  <c r="K13" i="21"/>
  <c r="S270" i="19"/>
  <c r="S271" i="19" s="1"/>
  <c r="S272" i="19" s="1"/>
  <c r="S267" i="19"/>
  <c r="S268" i="19" s="1"/>
  <c r="S269" i="19" s="1"/>
  <c r="S276" i="19"/>
  <c r="S273" i="19"/>
  <c r="S265" i="19"/>
  <c r="S266" i="19" s="1"/>
  <c r="AA22" i="21"/>
  <c r="Z22" i="21"/>
  <c r="AB22" i="21" s="1"/>
  <c r="H38" i="19" l="1"/>
  <c r="J38" i="19"/>
  <c r="K38" i="19"/>
  <c r="L38" i="19" s="1"/>
  <c r="F39" i="19" s="1"/>
  <c r="AB23" i="21"/>
  <c r="L34" i="20"/>
  <c r="F35" i="20" s="1"/>
  <c r="X33" i="20"/>
  <c r="U33" i="20"/>
  <c r="Y33" i="20" s="1"/>
  <c r="B49" i="20"/>
  <c r="AC48" i="20"/>
  <c r="S287" i="20"/>
  <c r="S298" i="20"/>
  <c r="H37" i="17"/>
  <c r="S282" i="19"/>
  <c r="S283" i="19" s="1"/>
  <c r="S284" i="19" s="1"/>
  <c r="S285" i="19"/>
  <c r="S279" i="19"/>
  <c r="S280" i="19" s="1"/>
  <c r="S281" i="19" s="1"/>
  <c r="S277" i="19"/>
  <c r="S278" i="19" s="1"/>
  <c r="S288" i="19"/>
  <c r="U24" i="21"/>
  <c r="V24" i="21" s="1"/>
  <c r="K50" i="2"/>
  <c r="W24" i="21"/>
  <c r="S334" i="17"/>
  <c r="S323" i="17"/>
  <c r="BB62" i="21"/>
  <c r="BA62" i="21"/>
  <c r="BC62" i="21"/>
  <c r="BD62" i="21"/>
  <c r="AZ62" i="21"/>
  <c r="AZ68" i="21" s="1"/>
  <c r="AE63" i="21"/>
  <c r="AC51" i="19"/>
  <c r="A51" i="19"/>
  <c r="B52" i="19"/>
  <c r="S289" i="20"/>
  <c r="S290" i="20" s="1"/>
  <c r="S297" i="20"/>
  <c r="S294" i="20"/>
  <c r="S295" i="20" s="1"/>
  <c r="S296" i="20" s="1"/>
  <c r="S300" i="20"/>
  <c r="S291" i="20"/>
  <c r="S292" i="20" s="1"/>
  <c r="S293" i="20" s="1"/>
  <c r="AA23" i="21"/>
  <c r="Z23" i="21"/>
  <c r="C28" i="21"/>
  <c r="A27" i="21"/>
  <c r="B27" i="21" s="1"/>
  <c r="AC55" i="2"/>
  <c r="R32" i="17"/>
  <c r="I12" i="21"/>
  <c r="G51" i="2"/>
  <c r="E52" i="2"/>
  <c r="BA78" i="21"/>
  <c r="H32" i="18"/>
  <c r="J32" i="18" s="1"/>
  <c r="S275" i="19"/>
  <c r="S286" i="19"/>
  <c r="K34" i="20"/>
  <c r="S294" i="17"/>
  <c r="S295" i="17" s="1"/>
  <c r="S296" i="17" s="1"/>
  <c r="S300" i="17"/>
  <c r="S297" i="17"/>
  <c r="S291" i="17"/>
  <c r="S292" i="17" s="1"/>
  <c r="S293" i="17" s="1"/>
  <c r="S289" i="17"/>
  <c r="S290" i="17" s="1"/>
  <c r="AC48" i="17"/>
  <c r="B49" i="17"/>
  <c r="X32" i="19"/>
  <c r="Y32" i="19" s="1"/>
  <c r="H39" i="19" l="1"/>
  <c r="K39" i="19"/>
  <c r="L39" i="19"/>
  <c r="F40" i="19" s="1"/>
  <c r="J13" i="21"/>
  <c r="R33" i="19"/>
  <c r="R34" i="20"/>
  <c r="K14" i="21"/>
  <c r="S312" i="20"/>
  <c r="S306" i="20"/>
  <c r="S307" i="20" s="1"/>
  <c r="S308" i="20" s="1"/>
  <c r="S303" i="20"/>
  <c r="S304" i="20" s="1"/>
  <c r="S305" i="20" s="1"/>
  <c r="S301" i="20"/>
  <c r="S302" i="20" s="1"/>
  <c r="S309" i="20"/>
  <c r="AE64" i="21"/>
  <c r="BD63" i="21"/>
  <c r="BA63" i="21"/>
  <c r="BA68" i="21" s="1"/>
  <c r="BB63" i="21"/>
  <c r="BC63" i="21"/>
  <c r="S297" i="19"/>
  <c r="S300" i="19"/>
  <c r="S291" i="19"/>
  <c r="S292" i="19" s="1"/>
  <c r="S293" i="19" s="1"/>
  <c r="S294" i="19"/>
  <c r="S295" i="19" s="1"/>
  <c r="S296" i="19" s="1"/>
  <c r="S289" i="19"/>
  <c r="S290" i="19" s="1"/>
  <c r="K37" i="17"/>
  <c r="L37" i="17" s="1"/>
  <c r="F38" i="17" s="1"/>
  <c r="B50" i="20"/>
  <c r="AC49" i="20"/>
  <c r="H35" i="20"/>
  <c r="J35" i="20" s="1"/>
  <c r="AC49" i="17"/>
  <c r="B50" i="17"/>
  <c r="BB78" i="21"/>
  <c r="G52" i="2"/>
  <c r="E53" i="2"/>
  <c r="C29" i="21"/>
  <c r="A28" i="21"/>
  <c r="B28" i="21" s="1"/>
  <c r="S346" i="17"/>
  <c r="S335" i="17"/>
  <c r="E33" i="18"/>
  <c r="AA32" i="17"/>
  <c r="AA32" i="19"/>
  <c r="AD32" i="19" s="1"/>
  <c r="E13" i="21" s="1"/>
  <c r="AA32" i="20"/>
  <c r="AD32" i="20" s="1"/>
  <c r="F13" i="21" s="1"/>
  <c r="X32" i="17"/>
  <c r="Y32" i="17"/>
  <c r="S312" i="17"/>
  <c r="S306" i="17"/>
  <c r="S307" i="17" s="1"/>
  <c r="S308" i="17" s="1"/>
  <c r="S301" i="17"/>
  <c r="S302" i="17" s="1"/>
  <c r="S303" i="17"/>
  <c r="S304" i="17" s="1"/>
  <c r="S305" i="17" s="1"/>
  <c r="S309" i="17"/>
  <c r="S298" i="19"/>
  <c r="S287" i="19"/>
  <c r="U25" i="21"/>
  <c r="V25" i="21" s="1"/>
  <c r="K51" i="2"/>
  <c r="W25" i="21"/>
  <c r="AC52" i="19"/>
  <c r="A52" i="19"/>
  <c r="B53" i="19"/>
  <c r="AA24" i="21"/>
  <c r="Z24" i="21"/>
  <c r="AB24" i="21" s="1"/>
  <c r="S310" i="20"/>
  <c r="S299" i="20"/>
  <c r="H38" i="17" l="1"/>
  <c r="J38" i="17" s="1"/>
  <c r="AB25" i="21"/>
  <c r="BC78" i="21"/>
  <c r="U33" i="19"/>
  <c r="Y33" i="19" s="1"/>
  <c r="X33" i="19"/>
  <c r="I13" i="21"/>
  <c r="R33" i="17"/>
  <c r="B51" i="17"/>
  <c r="AC50" i="17"/>
  <c r="S311" i="20"/>
  <c r="S322" i="20"/>
  <c r="AA25" i="21"/>
  <c r="Z25" i="21"/>
  <c r="S358" i="17"/>
  <c r="S347" i="17"/>
  <c r="A29" i="21"/>
  <c r="B29" i="21" s="1"/>
  <c r="C30" i="21"/>
  <c r="S306" i="19"/>
  <c r="S307" i="19" s="1"/>
  <c r="S308" i="19" s="1"/>
  <c r="S312" i="19"/>
  <c r="S309" i="19"/>
  <c r="S303" i="19"/>
  <c r="S304" i="19" s="1"/>
  <c r="S305" i="19" s="1"/>
  <c r="S301" i="19"/>
  <c r="S302" i="19" s="1"/>
  <c r="BD64" i="21"/>
  <c r="AE65" i="21"/>
  <c r="BB64" i="21"/>
  <c r="BB68" i="21" s="1"/>
  <c r="BC64" i="21"/>
  <c r="H40" i="19"/>
  <c r="K40" i="19" s="1"/>
  <c r="S315" i="17"/>
  <c r="S316" i="17" s="1"/>
  <c r="S317" i="17" s="1"/>
  <c r="S313" i="17"/>
  <c r="S314" i="17" s="1"/>
  <c r="S321" i="17"/>
  <c r="S318" i="17"/>
  <c r="S319" i="17" s="1"/>
  <c r="S320" i="17" s="1"/>
  <c r="S324" i="17"/>
  <c r="G33" i="18"/>
  <c r="S310" i="19"/>
  <c r="S299" i="19"/>
  <c r="G53" i="2"/>
  <c r="E54" i="2"/>
  <c r="AC50" i="20"/>
  <c r="B51" i="20"/>
  <c r="S313" i="20"/>
  <c r="S314" i="20" s="1"/>
  <c r="S321" i="20"/>
  <c r="S318" i="20"/>
  <c r="S319" i="20" s="1"/>
  <c r="S320" i="20" s="1"/>
  <c r="S324" i="20"/>
  <c r="S315" i="20"/>
  <c r="S316" i="20" s="1"/>
  <c r="S317" i="20" s="1"/>
  <c r="W26" i="21"/>
  <c r="U26" i="21"/>
  <c r="V26" i="21" s="1"/>
  <c r="K52" i="2"/>
  <c r="K35" i="20"/>
  <c r="L35" i="20" s="1"/>
  <c r="F36" i="20" s="1"/>
  <c r="B54" i="19"/>
  <c r="AC53" i="19"/>
  <c r="A53" i="19"/>
  <c r="AD32" i="17"/>
  <c r="D13" i="21" s="1"/>
  <c r="X34" i="20"/>
  <c r="Y34" i="20" s="1"/>
  <c r="H36" i="20" l="1"/>
  <c r="K15" i="21"/>
  <c r="R35" i="20"/>
  <c r="R34" i="19"/>
  <c r="J14" i="21"/>
  <c r="S315" i="19"/>
  <c r="S316" i="19" s="1"/>
  <c r="S317" i="19" s="1"/>
  <c r="S321" i="19"/>
  <c r="S324" i="19"/>
  <c r="S313" i="19"/>
  <c r="S314" i="19" s="1"/>
  <c r="S318" i="19"/>
  <c r="S319" i="19" s="1"/>
  <c r="S320" i="19" s="1"/>
  <c r="G54" i="2"/>
  <c r="E55" i="2"/>
  <c r="I33" i="18"/>
  <c r="J33" i="18" s="1"/>
  <c r="S325" i="20"/>
  <c r="S326" i="20" s="1"/>
  <c r="S333" i="20"/>
  <c r="S327" i="20"/>
  <c r="S328" i="20" s="1"/>
  <c r="S329" i="20" s="1"/>
  <c r="S336" i="20"/>
  <c r="S330" i="20"/>
  <c r="S331" i="20" s="1"/>
  <c r="S332" i="20" s="1"/>
  <c r="BC65" i="21"/>
  <c r="BC68" i="21" s="1"/>
  <c r="BD65" i="21"/>
  <c r="AE66" i="21"/>
  <c r="AA26" i="21"/>
  <c r="Z26" i="21"/>
  <c r="AB26" i="21" s="1"/>
  <c r="W27" i="21"/>
  <c r="K53" i="2"/>
  <c r="U27" i="21"/>
  <c r="V27" i="21" s="1"/>
  <c r="S336" i="17"/>
  <c r="S330" i="17"/>
  <c r="S331" i="17" s="1"/>
  <c r="S332" i="17" s="1"/>
  <c r="S333" i="17"/>
  <c r="S325" i="17"/>
  <c r="S326" i="17" s="1"/>
  <c r="S327" i="17"/>
  <c r="S328" i="17" s="1"/>
  <c r="S329" i="17" s="1"/>
  <c r="L40" i="19"/>
  <c r="F41" i="19" s="1"/>
  <c r="S370" i="17"/>
  <c r="S359" i="17"/>
  <c r="B52" i="17"/>
  <c r="AC51" i="17"/>
  <c r="K38" i="17"/>
  <c r="L38" i="17" s="1"/>
  <c r="F39" i="17" s="1"/>
  <c r="S323" i="20"/>
  <c r="S334" i="20"/>
  <c r="AC54" i="19"/>
  <c r="B55" i="19"/>
  <c r="A54" i="19"/>
  <c r="U33" i="17"/>
  <c r="X33" i="17" s="1"/>
  <c r="Y33" i="17" s="1"/>
  <c r="AC51" i="20"/>
  <c r="B52" i="20"/>
  <c r="C31" i="21"/>
  <c r="A30" i="21"/>
  <c r="B30" i="21" s="1"/>
  <c r="X57" i="2"/>
  <c r="S311" i="19"/>
  <c r="S322" i="19"/>
  <c r="BD78" i="21"/>
  <c r="R34" i="17" l="1"/>
  <c r="I14" i="21"/>
  <c r="K39" i="17"/>
  <c r="L39" i="17"/>
  <c r="F40" i="17" s="1"/>
  <c r="H39" i="17"/>
  <c r="AA33" i="20"/>
  <c r="AD33" i="20" s="1"/>
  <c r="F14" i="21" s="1"/>
  <c r="E34" i="18"/>
  <c r="AA33" i="17"/>
  <c r="AD33" i="17" s="1"/>
  <c r="D14" i="21" s="1"/>
  <c r="AA33" i="19"/>
  <c r="AD33" i="19" s="1"/>
  <c r="E14" i="21" s="1"/>
  <c r="S334" i="19"/>
  <c r="S323" i="19"/>
  <c r="S382" i="17"/>
  <c r="S371" i="17"/>
  <c r="S333" i="19"/>
  <c r="S325" i="19"/>
  <c r="S326" i="19" s="1"/>
  <c r="S327" i="19"/>
  <c r="S328" i="19" s="1"/>
  <c r="S329" i="19" s="1"/>
  <c r="S336" i="19"/>
  <c r="S330" i="19"/>
  <c r="S331" i="19" s="1"/>
  <c r="S332" i="19" s="1"/>
  <c r="H41" i="19"/>
  <c r="J41" i="19" s="1"/>
  <c r="BD66" i="21"/>
  <c r="BD68" i="21" s="1"/>
  <c r="AE68" i="21"/>
  <c r="G55" i="2"/>
  <c r="K36" i="20"/>
  <c r="L36" i="20" s="1"/>
  <c r="F37" i="20" s="1"/>
  <c r="C32" i="21"/>
  <c r="A31" i="21"/>
  <c r="B31" i="21" s="1"/>
  <c r="AC55" i="19"/>
  <c r="B56" i="19"/>
  <c r="A55" i="19"/>
  <c r="W28" i="21"/>
  <c r="K54" i="2"/>
  <c r="U28" i="21"/>
  <c r="V28" i="21" s="1"/>
  <c r="S348" i="20"/>
  <c r="S342" i="20"/>
  <c r="S343" i="20" s="1"/>
  <c r="S344" i="20" s="1"/>
  <c r="S337" i="20"/>
  <c r="S338" i="20" s="1"/>
  <c r="S339" i="20"/>
  <c r="S340" i="20" s="1"/>
  <c r="S341" i="20" s="1"/>
  <c r="S345" i="20"/>
  <c r="X34" i="19"/>
  <c r="Y34" i="19" s="1"/>
  <c r="AC52" i="20"/>
  <c r="B53" i="20"/>
  <c r="S348" i="17"/>
  <c r="S345" i="17"/>
  <c r="S339" i="17"/>
  <c r="S340" i="17" s="1"/>
  <c r="S341" i="17" s="1"/>
  <c r="S337" i="17"/>
  <c r="S338" i="17" s="1"/>
  <c r="S342" i="17"/>
  <c r="S343" i="17" s="1"/>
  <c r="S344" i="17" s="1"/>
  <c r="AC52" i="17"/>
  <c r="B53" i="17"/>
  <c r="S346" i="20"/>
  <c r="S335" i="20"/>
  <c r="Z27" i="21"/>
  <c r="AB27" i="21" s="1"/>
  <c r="AA27" i="21"/>
  <c r="X35" i="20"/>
  <c r="Y35" i="20"/>
  <c r="H37" i="20" l="1"/>
  <c r="K37" i="20" s="1"/>
  <c r="R35" i="19"/>
  <c r="J15" i="21"/>
  <c r="U29" i="21"/>
  <c r="V29" i="21" s="1"/>
  <c r="W29" i="21"/>
  <c r="K55" i="2"/>
  <c r="K41" i="19"/>
  <c r="L41" i="19" s="1"/>
  <c r="F42" i="19" s="1"/>
  <c r="S354" i="20"/>
  <c r="S355" i="20" s="1"/>
  <c r="S356" i="20" s="1"/>
  <c r="S360" i="20"/>
  <c r="S349" i="20"/>
  <c r="S350" i="20" s="1"/>
  <c r="S357" i="20"/>
  <c r="S351" i="20"/>
  <c r="S352" i="20" s="1"/>
  <c r="S353" i="20" s="1"/>
  <c r="B54" i="20"/>
  <c r="AC53" i="20"/>
  <c r="S358" i="20"/>
  <c r="S347" i="20"/>
  <c r="S394" i="17"/>
  <c r="S383" i="17"/>
  <c r="G34" i="18"/>
  <c r="I34" i="18" s="1"/>
  <c r="X34" i="17"/>
  <c r="Y34" i="17"/>
  <c r="S337" i="19"/>
  <c r="S338" i="19" s="1"/>
  <c r="S345" i="19"/>
  <c r="S342" i="19"/>
  <c r="S343" i="19" s="1"/>
  <c r="S344" i="19" s="1"/>
  <c r="S339" i="19"/>
  <c r="S340" i="19" s="1"/>
  <c r="S341" i="19" s="1"/>
  <c r="S348" i="19"/>
  <c r="K40" i="17"/>
  <c r="H40" i="17"/>
  <c r="L40" i="17" s="1"/>
  <c r="F41" i="17" s="1"/>
  <c r="S360" i="17"/>
  <c r="S357" i="17"/>
  <c r="S349" i="17"/>
  <c r="S350" i="17" s="1"/>
  <c r="S354" i="17"/>
  <c r="S355" i="17" s="1"/>
  <c r="S356" i="17" s="1"/>
  <c r="S351" i="17"/>
  <c r="S352" i="17" s="1"/>
  <c r="S353" i="17" s="1"/>
  <c r="AC56" i="19"/>
  <c r="A56" i="19"/>
  <c r="B57" i="19"/>
  <c r="R36" i="20"/>
  <c r="K16" i="21"/>
  <c r="B54" i="17"/>
  <c r="AC53" i="17"/>
  <c r="AA28" i="21"/>
  <c r="Z28" i="21"/>
  <c r="AB28" i="21" s="1"/>
  <c r="A32" i="21"/>
  <c r="B32" i="21" s="1"/>
  <c r="C33" i="21"/>
  <c r="S335" i="19"/>
  <c r="S346" i="19"/>
  <c r="H41" i="17" l="1"/>
  <c r="L42" i="19"/>
  <c r="F43" i="19" s="1"/>
  <c r="H42" i="19"/>
  <c r="K42" i="19"/>
  <c r="U36" i="20"/>
  <c r="X36" i="20" s="1"/>
  <c r="R35" i="17"/>
  <c r="I15" i="21"/>
  <c r="S406" i="17"/>
  <c r="S395" i="17"/>
  <c r="T21" i="2"/>
  <c r="S357" i="19"/>
  <c r="S349" i="19"/>
  <c r="S350" i="19" s="1"/>
  <c r="S360" i="19"/>
  <c r="S351" i="19"/>
  <c r="S352" i="19" s="1"/>
  <c r="S353" i="19" s="1"/>
  <c r="S354" i="19"/>
  <c r="S355" i="19" s="1"/>
  <c r="S356" i="19" s="1"/>
  <c r="B55" i="20"/>
  <c r="AC54" i="20"/>
  <c r="S366" i="17"/>
  <c r="S367" i="17" s="1"/>
  <c r="S368" i="17" s="1"/>
  <c r="S361" i="17"/>
  <c r="S362" i="17" s="1"/>
  <c r="S372" i="17"/>
  <c r="S369" i="17"/>
  <c r="S363" i="17"/>
  <c r="S364" i="17" s="1"/>
  <c r="S365" i="17" s="1"/>
  <c r="S358" i="19"/>
  <c r="S347" i="19"/>
  <c r="Z29" i="21"/>
  <c r="AB29" i="21" s="1"/>
  <c r="AA29" i="21"/>
  <c r="L37" i="20"/>
  <c r="F38" i="20" s="1"/>
  <c r="X35" i="19"/>
  <c r="Y35" i="19"/>
  <c r="B55" i="17"/>
  <c r="AC54" i="17"/>
  <c r="J34" i="18"/>
  <c r="S370" i="20"/>
  <c r="S359" i="20"/>
  <c r="S361" i="20"/>
  <c r="S362" i="20" s="1"/>
  <c r="S363" i="20"/>
  <c r="S364" i="20" s="1"/>
  <c r="S365" i="20" s="1"/>
  <c r="S366" i="20"/>
  <c r="S367" i="20" s="1"/>
  <c r="S368" i="20" s="1"/>
  <c r="S369" i="20"/>
  <c r="S372" i="20"/>
  <c r="AC57" i="19"/>
  <c r="B58" i="19"/>
  <c r="A57" i="19"/>
  <c r="A33" i="21"/>
  <c r="B33" i="21" s="1"/>
  <c r="C34" i="21"/>
  <c r="S373" i="20" l="1"/>
  <c r="S374" i="20" s="1"/>
  <c r="S375" i="20"/>
  <c r="S376" i="20" s="1"/>
  <c r="S377" i="20" s="1"/>
  <c r="S378" i="20"/>
  <c r="S379" i="20" s="1"/>
  <c r="S380" i="20" s="1"/>
  <c r="S381" i="20"/>
  <c r="S384" i="20"/>
  <c r="Y36" i="20"/>
  <c r="B56" i="20"/>
  <c r="AC55" i="20"/>
  <c r="S371" i="20"/>
  <c r="S382" i="20"/>
  <c r="C35" i="21"/>
  <c r="A34" i="21"/>
  <c r="B34" i="21" s="1"/>
  <c r="AA34" i="17"/>
  <c r="AD34" i="17" s="1"/>
  <c r="D15" i="21" s="1"/>
  <c r="E35" i="18"/>
  <c r="AA34" i="20"/>
  <c r="AD34" i="20" s="1"/>
  <c r="F15" i="21" s="1"/>
  <c r="AA34" i="19"/>
  <c r="AD34" i="19" s="1"/>
  <c r="E15" i="21" s="1"/>
  <c r="S373" i="17"/>
  <c r="S374" i="17" s="1"/>
  <c r="S378" i="17"/>
  <c r="S379" i="17" s="1"/>
  <c r="S380" i="17" s="1"/>
  <c r="S384" i="17"/>
  <c r="S381" i="17"/>
  <c r="S375" i="17"/>
  <c r="S376" i="17" s="1"/>
  <c r="S377" i="17" s="1"/>
  <c r="J41" i="17"/>
  <c r="S359" i="19"/>
  <c r="S370" i="19"/>
  <c r="X35" i="17"/>
  <c r="Y35" i="17"/>
  <c r="H38" i="20"/>
  <c r="J38" i="20" s="1"/>
  <c r="S363" i="19"/>
  <c r="S364" i="19" s="1"/>
  <c r="S365" i="19" s="1"/>
  <c r="S369" i="19"/>
  <c r="S372" i="19"/>
  <c r="S366" i="19"/>
  <c r="S367" i="19" s="1"/>
  <c r="S368" i="19" s="1"/>
  <c r="S361" i="19"/>
  <c r="S362" i="19" s="1"/>
  <c r="S418" i="17"/>
  <c r="S407" i="17"/>
  <c r="AC58" i="19"/>
  <c r="B59" i="19"/>
  <c r="A58" i="19"/>
  <c r="R36" i="19"/>
  <c r="J16" i="21"/>
  <c r="H43" i="19"/>
  <c r="L43" i="19" s="1"/>
  <c r="F44" i="19" s="1"/>
  <c r="K43" i="19"/>
  <c r="AC55" i="17"/>
  <c r="B56" i="17"/>
  <c r="H44" i="19" l="1"/>
  <c r="J44" i="19" s="1"/>
  <c r="AF74" i="21"/>
  <c r="I16" i="21"/>
  <c r="T31" i="2" s="1"/>
  <c r="O5" i="21" s="1"/>
  <c r="R36" i="17"/>
  <c r="S393" i="17"/>
  <c r="S396" i="17"/>
  <c r="S390" i="17"/>
  <c r="S391" i="17" s="1"/>
  <c r="S392" i="17" s="1"/>
  <c r="S387" i="17"/>
  <c r="S388" i="17" s="1"/>
  <c r="S389" i="17" s="1"/>
  <c r="S385" i="17"/>
  <c r="S386" i="17" s="1"/>
  <c r="AC56" i="20"/>
  <c r="B57" i="20"/>
  <c r="G35" i="18"/>
  <c r="I35" i="18" s="1"/>
  <c r="H35" i="18"/>
  <c r="J35" i="18" s="1"/>
  <c r="U36" i="19"/>
  <c r="X36" i="19"/>
  <c r="Y36" i="19"/>
  <c r="K41" i="17"/>
  <c r="L41" i="17" s="1"/>
  <c r="F42" i="17" s="1"/>
  <c r="S430" i="17"/>
  <c r="S419" i="17"/>
  <c r="S382" i="19"/>
  <c r="S371" i="19"/>
  <c r="K38" i="20"/>
  <c r="L38" i="20" s="1"/>
  <c r="F39" i="20" s="1"/>
  <c r="A35" i="21"/>
  <c r="B35" i="21" s="1"/>
  <c r="C36" i="21"/>
  <c r="R37" i="20"/>
  <c r="K17" i="21"/>
  <c r="B57" i="17"/>
  <c r="AC56" i="17"/>
  <c r="AC59" i="19"/>
  <c r="B60" i="19"/>
  <c r="A59" i="19"/>
  <c r="S375" i="19"/>
  <c r="S376" i="19" s="1"/>
  <c r="S377" i="19" s="1"/>
  <c r="S381" i="19"/>
  <c r="S384" i="19"/>
  <c r="S378" i="19"/>
  <c r="S379" i="19" s="1"/>
  <c r="S380" i="19" s="1"/>
  <c r="S373" i="19"/>
  <c r="S374" i="19" s="1"/>
  <c r="S394" i="20"/>
  <c r="S383" i="20"/>
  <c r="S387" i="20"/>
  <c r="S388" i="20" s="1"/>
  <c r="S389" i="20" s="1"/>
  <c r="S393" i="20"/>
  <c r="S390" i="20"/>
  <c r="S391" i="20" s="1"/>
  <c r="S392" i="20" s="1"/>
  <c r="S396" i="20"/>
  <c r="S385" i="20"/>
  <c r="S386" i="20" s="1"/>
  <c r="AA35" i="20" l="1"/>
  <c r="AD35" i="20" s="1"/>
  <c r="F16" i="21" s="1"/>
  <c r="AA35" i="19"/>
  <c r="AD35" i="19" s="1"/>
  <c r="E16" i="21" s="1"/>
  <c r="E36" i="18"/>
  <c r="AA35" i="17"/>
  <c r="AD35" i="17" s="1"/>
  <c r="D16" i="21" s="1"/>
  <c r="AC42" i="21" s="1"/>
  <c r="AF70" i="21" s="1"/>
  <c r="AF72" i="21" s="1"/>
  <c r="AF77" i="21" s="1"/>
  <c r="K42" i="17"/>
  <c r="L42" i="17"/>
  <c r="F43" i="17" s="1"/>
  <c r="H42" i="17"/>
  <c r="H39" i="20"/>
  <c r="S402" i="20"/>
  <c r="S403" i="20" s="1"/>
  <c r="S404" i="20" s="1"/>
  <c r="S399" i="20"/>
  <c r="S400" i="20" s="1"/>
  <c r="S401" i="20" s="1"/>
  <c r="S408" i="20"/>
  <c r="S405" i="20"/>
  <c r="S397" i="20"/>
  <c r="S398" i="20" s="1"/>
  <c r="J17" i="21"/>
  <c r="R37" i="19"/>
  <c r="S408" i="17"/>
  <c r="S397" i="17"/>
  <c r="S398" i="17" s="1"/>
  <c r="S399" i="17"/>
  <c r="S400" i="17" s="1"/>
  <c r="S401" i="17" s="1"/>
  <c r="S402" i="17"/>
  <c r="S403" i="17" s="1"/>
  <c r="S404" i="17" s="1"/>
  <c r="S405" i="17"/>
  <c r="X37" i="20"/>
  <c r="Y37" i="20" s="1"/>
  <c r="U37" i="20"/>
  <c r="S383" i="19"/>
  <c r="S394" i="19"/>
  <c r="AC57" i="20"/>
  <c r="B58" i="20"/>
  <c r="L44" i="19"/>
  <c r="F45" i="19" s="1"/>
  <c r="S396" i="19"/>
  <c r="S385" i="19"/>
  <c r="S386" i="19" s="1"/>
  <c r="S393" i="19"/>
  <c r="S390" i="19"/>
  <c r="S391" i="19" s="1"/>
  <c r="S392" i="19" s="1"/>
  <c r="S387" i="19"/>
  <c r="S388" i="19" s="1"/>
  <c r="S389" i="19" s="1"/>
  <c r="X36" i="17"/>
  <c r="U36" i="17"/>
  <c r="Y36" i="17" s="1"/>
  <c r="K44" i="19"/>
  <c r="S395" i="20"/>
  <c r="S406" i="20"/>
  <c r="AC60" i="19"/>
  <c r="B61" i="19"/>
  <c r="A60" i="19"/>
  <c r="B58" i="17"/>
  <c r="AC57" i="17"/>
  <c r="C37" i="21"/>
  <c r="A36" i="21"/>
  <c r="B36" i="21" s="1"/>
  <c r="S442" i="17"/>
  <c r="S431" i="17"/>
  <c r="P5" i="21"/>
  <c r="R5" i="21"/>
  <c r="Q5" i="21"/>
  <c r="R38" i="20" l="1"/>
  <c r="K18" i="21"/>
  <c r="R37" i="17"/>
  <c r="I17" i="21"/>
  <c r="S414" i="17"/>
  <c r="S415" i="17" s="1"/>
  <c r="S416" i="17" s="1"/>
  <c r="S411" i="17"/>
  <c r="S412" i="17" s="1"/>
  <c r="S413" i="17" s="1"/>
  <c r="S409" i="17"/>
  <c r="S410" i="17" s="1"/>
  <c r="S420" i="17"/>
  <c r="S417" i="17"/>
  <c r="H45" i="19"/>
  <c r="K45" i="19" s="1"/>
  <c r="L45" i="19" s="1"/>
  <c r="F46" i="19" s="1"/>
  <c r="B59" i="17"/>
  <c r="AC58" i="17"/>
  <c r="S406" i="19"/>
  <c r="S395" i="19"/>
  <c r="K39" i="20"/>
  <c r="L39" i="20" s="1"/>
  <c r="F40" i="20" s="1"/>
  <c r="I36" i="18"/>
  <c r="G36" i="18"/>
  <c r="J36" i="18" s="1"/>
  <c r="H43" i="17"/>
  <c r="K43" i="17" s="1"/>
  <c r="A37" i="21"/>
  <c r="B37" i="21" s="1"/>
  <c r="C38" i="21"/>
  <c r="S407" i="20"/>
  <c r="S418" i="20"/>
  <c r="AC58" i="20"/>
  <c r="B59" i="20"/>
  <c r="U37" i="19"/>
  <c r="X37" i="19"/>
  <c r="Y37" i="19" s="1"/>
  <c r="S443" i="17"/>
  <c r="S454" i="17"/>
  <c r="A61" i="19"/>
  <c r="B62" i="19"/>
  <c r="AC61" i="19"/>
  <c r="S399" i="19"/>
  <c r="S400" i="19" s="1"/>
  <c r="S401" i="19" s="1"/>
  <c r="S405" i="19"/>
  <c r="S402" i="19"/>
  <c r="S403" i="19" s="1"/>
  <c r="S404" i="19" s="1"/>
  <c r="S397" i="19"/>
  <c r="S398" i="19" s="1"/>
  <c r="S408" i="19"/>
  <c r="S409" i="20"/>
  <c r="S410" i="20" s="1"/>
  <c r="S417" i="20"/>
  <c r="S414" i="20"/>
  <c r="S415" i="20" s="1"/>
  <c r="S416" i="20" s="1"/>
  <c r="S411" i="20"/>
  <c r="S412" i="20" s="1"/>
  <c r="S413" i="20" s="1"/>
  <c r="S420" i="20"/>
  <c r="AA36" i="20" l="1"/>
  <c r="AD36" i="20" s="1"/>
  <c r="F17" i="21" s="1"/>
  <c r="AA36" i="19"/>
  <c r="AD36" i="19" s="1"/>
  <c r="E17" i="21" s="1"/>
  <c r="E37" i="18"/>
  <c r="AA36" i="17"/>
  <c r="AD36" i="17" s="1"/>
  <c r="D17" i="21" s="1"/>
  <c r="H40" i="20"/>
  <c r="K40" i="20" s="1"/>
  <c r="H46" i="19"/>
  <c r="K46" i="19"/>
  <c r="L46" i="19" s="1"/>
  <c r="F47" i="19" s="1"/>
  <c r="R38" i="19"/>
  <c r="J18" i="21"/>
  <c r="S430" i="20"/>
  <c r="S419" i="20"/>
  <c r="L43" i="17"/>
  <c r="F44" i="17" s="1"/>
  <c r="S407" i="19"/>
  <c r="S418" i="19"/>
  <c r="S429" i="17"/>
  <c r="S432" i="17"/>
  <c r="S426" i="17"/>
  <c r="S427" i="17" s="1"/>
  <c r="S428" i="17" s="1"/>
  <c r="S421" i="17"/>
  <c r="S422" i="17" s="1"/>
  <c r="S423" i="17"/>
  <c r="S424" i="17" s="1"/>
  <c r="S425" i="17" s="1"/>
  <c r="U37" i="17"/>
  <c r="X37" i="17" s="1"/>
  <c r="S466" i="17"/>
  <c r="S455" i="17"/>
  <c r="S417" i="19"/>
  <c r="S420" i="19"/>
  <c r="S414" i="19"/>
  <c r="S415" i="19" s="1"/>
  <c r="S416" i="19" s="1"/>
  <c r="S409" i="19"/>
  <c r="S410" i="19" s="1"/>
  <c r="S411" i="19"/>
  <c r="S412" i="19" s="1"/>
  <c r="S413" i="19" s="1"/>
  <c r="B63" i="19"/>
  <c r="A62" i="19"/>
  <c r="AC62" i="19"/>
  <c r="S426" i="20"/>
  <c r="S427" i="20" s="1"/>
  <c r="S428" i="20" s="1"/>
  <c r="S421" i="20"/>
  <c r="S422" i="20" s="1"/>
  <c r="S432" i="20"/>
  <c r="S423" i="20"/>
  <c r="S424" i="20" s="1"/>
  <c r="S425" i="20" s="1"/>
  <c r="S429" i="20"/>
  <c r="A38" i="21"/>
  <c r="B38" i="21" s="1"/>
  <c r="C39" i="21"/>
  <c r="B60" i="17"/>
  <c r="AC59" i="17"/>
  <c r="AC59" i="20"/>
  <c r="B60" i="20"/>
  <c r="U38" i="20"/>
  <c r="X38" i="20" s="1"/>
  <c r="H47" i="19" l="1"/>
  <c r="J47" i="19"/>
  <c r="K47" i="19" s="1"/>
  <c r="S442" i="20"/>
  <c r="S431" i="20"/>
  <c r="Y38" i="20"/>
  <c r="Y37" i="17"/>
  <c r="L40" i="20"/>
  <c r="F41" i="20" s="1"/>
  <c r="A63" i="19"/>
  <c r="AC63" i="19"/>
  <c r="B64" i="19"/>
  <c r="S438" i="17"/>
  <c r="S439" i="17" s="1"/>
  <c r="S440" i="17" s="1"/>
  <c r="S444" i="17"/>
  <c r="S441" i="17"/>
  <c r="S435" i="17"/>
  <c r="S436" i="17" s="1"/>
  <c r="S437" i="17" s="1"/>
  <c r="S433" i="17"/>
  <c r="S434" i="17" s="1"/>
  <c r="S429" i="19"/>
  <c r="S423" i="19"/>
  <c r="S424" i="19" s="1"/>
  <c r="S425" i="19" s="1"/>
  <c r="S426" i="19"/>
  <c r="S427" i="19" s="1"/>
  <c r="S428" i="19" s="1"/>
  <c r="S421" i="19"/>
  <c r="S422" i="19" s="1"/>
  <c r="S432" i="19"/>
  <c r="S430" i="19"/>
  <c r="S419" i="19"/>
  <c r="U38" i="19"/>
  <c r="X38" i="19"/>
  <c r="Y38" i="19"/>
  <c r="AC60" i="17"/>
  <c r="B61" i="17"/>
  <c r="C40" i="21"/>
  <c r="A39" i="21"/>
  <c r="B39" i="21" s="1"/>
  <c r="B61" i="20"/>
  <c r="AC60" i="20"/>
  <c r="H44" i="17"/>
  <c r="J44" i="17" s="1"/>
  <c r="G37" i="18"/>
  <c r="J37" i="18" s="1"/>
  <c r="I37" i="18"/>
  <c r="S433" i="20"/>
  <c r="S434" i="20" s="1"/>
  <c r="S438" i="20"/>
  <c r="S439" i="20" s="1"/>
  <c r="S440" i="20" s="1"/>
  <c r="S444" i="20"/>
  <c r="S441" i="20"/>
  <c r="S435" i="20"/>
  <c r="S436" i="20" s="1"/>
  <c r="S437" i="20" s="1"/>
  <c r="S467" i="17"/>
  <c r="S478" i="17"/>
  <c r="E38" i="18" l="1"/>
  <c r="AA37" i="19"/>
  <c r="AD37" i="19" s="1"/>
  <c r="E18" i="21" s="1"/>
  <c r="AA37" i="17"/>
  <c r="AD37" i="17" s="1"/>
  <c r="D18" i="21" s="1"/>
  <c r="AA37" i="20"/>
  <c r="AD37" i="20" s="1"/>
  <c r="F18" i="21" s="1"/>
  <c r="S456" i="20"/>
  <c r="S445" i="20"/>
  <c r="S446" i="20" s="1"/>
  <c r="S447" i="20"/>
  <c r="S448" i="20" s="1"/>
  <c r="S449" i="20" s="1"/>
  <c r="S450" i="20"/>
  <c r="S451" i="20" s="1"/>
  <c r="S452" i="20" s="1"/>
  <c r="S453" i="20"/>
  <c r="R39" i="19"/>
  <c r="J19" i="21"/>
  <c r="H41" i="20"/>
  <c r="A40" i="21"/>
  <c r="B40" i="21" s="1"/>
  <c r="C41" i="21"/>
  <c r="A64" i="19"/>
  <c r="AC64" i="19"/>
  <c r="B65" i="19"/>
  <c r="AC61" i="17"/>
  <c r="B62" i="17"/>
  <c r="S442" i="19"/>
  <c r="S431" i="19"/>
  <c r="S443" i="20"/>
  <c r="S454" i="20"/>
  <c r="L44" i="17"/>
  <c r="F45" i="17" s="1"/>
  <c r="B62" i="20"/>
  <c r="AC61" i="20"/>
  <c r="S438" i="19"/>
  <c r="S439" i="19" s="1"/>
  <c r="S440" i="19" s="1"/>
  <c r="S444" i="19"/>
  <c r="S435" i="19"/>
  <c r="S436" i="19" s="1"/>
  <c r="S437" i="19" s="1"/>
  <c r="S433" i="19"/>
  <c r="S434" i="19" s="1"/>
  <c r="S441" i="19"/>
  <c r="L47" i="19"/>
  <c r="F48" i="19" s="1"/>
  <c r="S456" i="17"/>
  <c r="S453" i="17"/>
  <c r="S450" i="17"/>
  <c r="S451" i="17" s="1"/>
  <c r="S452" i="17" s="1"/>
  <c r="S445" i="17"/>
  <c r="S446" i="17" s="1"/>
  <c r="S447" i="17"/>
  <c r="S448" i="17" s="1"/>
  <c r="S449" i="17" s="1"/>
  <c r="R38" i="17"/>
  <c r="I18" i="21"/>
  <c r="K44" i="17"/>
  <c r="S479" i="17"/>
  <c r="S490" i="17"/>
  <c r="R39" i="20"/>
  <c r="K19" i="21"/>
  <c r="S491" i="17" l="1"/>
  <c r="S502" i="17"/>
  <c r="S462" i="17"/>
  <c r="S463" i="17" s="1"/>
  <c r="S464" i="17" s="1"/>
  <c r="S468" i="17"/>
  <c r="S465" i="17"/>
  <c r="S459" i="17"/>
  <c r="S460" i="17" s="1"/>
  <c r="S461" i="17" s="1"/>
  <c r="S457" i="17"/>
  <c r="S458" i="17" s="1"/>
  <c r="J41" i="20"/>
  <c r="K41" i="20" s="1"/>
  <c r="U38" i="17"/>
  <c r="X38" i="17" s="1"/>
  <c r="H48" i="19"/>
  <c r="K48" i="19"/>
  <c r="L48" i="19"/>
  <c r="F49" i="19" s="1"/>
  <c r="S454" i="19"/>
  <c r="S443" i="19"/>
  <c r="A41" i="21"/>
  <c r="B41" i="21" s="1"/>
  <c r="C42" i="21"/>
  <c r="S462" i="20"/>
  <c r="S463" i="20" s="1"/>
  <c r="S464" i="20" s="1"/>
  <c r="S465" i="20"/>
  <c r="S459" i="20"/>
  <c r="S460" i="20" s="1"/>
  <c r="S461" i="20" s="1"/>
  <c r="S457" i="20"/>
  <c r="S458" i="20" s="1"/>
  <c r="S468" i="20"/>
  <c r="U39" i="20"/>
  <c r="X39" i="20" s="1"/>
  <c r="B63" i="20"/>
  <c r="AC62" i="20"/>
  <c r="AC62" i="17"/>
  <c r="B63" i="17"/>
  <c r="U39" i="19"/>
  <c r="X39" i="19"/>
  <c r="Y39" i="19" s="1"/>
  <c r="K45" i="17"/>
  <c r="L45" i="17"/>
  <c r="F46" i="17" s="1"/>
  <c r="H45" i="17"/>
  <c r="S466" i="20"/>
  <c r="S455" i="20"/>
  <c r="AC65" i="19"/>
  <c r="B66" i="19"/>
  <c r="A65" i="19"/>
  <c r="S447" i="19"/>
  <c r="S448" i="19" s="1"/>
  <c r="S449" i="19" s="1"/>
  <c r="S456" i="19"/>
  <c r="S450" i="19"/>
  <c r="S451" i="19" s="1"/>
  <c r="S452" i="19" s="1"/>
  <c r="S445" i="19"/>
  <c r="S446" i="19" s="1"/>
  <c r="S453" i="19"/>
  <c r="G38" i="18"/>
  <c r="H38" i="18"/>
  <c r="I38" i="18"/>
  <c r="J38" i="18"/>
  <c r="R40" i="19" l="1"/>
  <c r="J20" i="21"/>
  <c r="B67" i="19"/>
  <c r="AC66" i="19"/>
  <c r="A66" i="19"/>
  <c r="Y38" i="17"/>
  <c r="S471" i="17"/>
  <c r="S472" i="17" s="1"/>
  <c r="S473" i="17" s="1"/>
  <c r="S477" i="17"/>
  <c r="S469" i="17"/>
  <c r="S470" i="17" s="1"/>
  <c r="S480" i="17"/>
  <c r="S474" i="17"/>
  <c r="S475" i="17" s="1"/>
  <c r="S476" i="17" s="1"/>
  <c r="H46" i="17"/>
  <c r="K46" i="17" s="1"/>
  <c r="AC63" i="20"/>
  <c r="B64" i="20"/>
  <c r="S455" i="19"/>
  <c r="S466" i="19"/>
  <c r="AA38" i="20"/>
  <c r="AD38" i="20" s="1"/>
  <c r="F19" i="21" s="1"/>
  <c r="AA38" i="19"/>
  <c r="AD38" i="19" s="1"/>
  <c r="E19" i="21" s="1"/>
  <c r="E39" i="18"/>
  <c r="AA38" i="17"/>
  <c r="S457" i="19"/>
  <c r="S458" i="19" s="1"/>
  <c r="S462" i="19"/>
  <c r="S463" i="19" s="1"/>
  <c r="S464" i="19" s="1"/>
  <c r="S459" i="19"/>
  <c r="S460" i="19" s="1"/>
  <c r="S461" i="19" s="1"/>
  <c r="S468" i="19"/>
  <c r="S465" i="19"/>
  <c r="S514" i="17"/>
  <c r="S503" i="17"/>
  <c r="S469" i="20"/>
  <c r="S470" i="20" s="1"/>
  <c r="S471" i="20"/>
  <c r="S472" i="20" s="1"/>
  <c r="S473" i="20" s="1"/>
  <c r="S474" i="20"/>
  <c r="S475" i="20" s="1"/>
  <c r="S476" i="20" s="1"/>
  <c r="S477" i="20"/>
  <c r="S480" i="20"/>
  <c r="H49" i="19"/>
  <c r="K49" i="19"/>
  <c r="L49" i="19" s="1"/>
  <c r="F50" i="19" s="1"/>
  <c r="S478" i="20"/>
  <c r="S467" i="20"/>
  <c r="Y39" i="20"/>
  <c r="L41" i="20"/>
  <c r="F42" i="20" s="1"/>
  <c r="AC63" i="17"/>
  <c r="B64" i="17"/>
  <c r="A42" i="21"/>
  <c r="B42" i="21" s="1"/>
  <c r="C43" i="21"/>
  <c r="H50" i="19" l="1"/>
  <c r="J50" i="19" s="1"/>
  <c r="S471" i="19"/>
  <c r="S472" i="19" s="1"/>
  <c r="S473" i="19" s="1"/>
  <c r="S477" i="19"/>
  <c r="S469" i="19"/>
  <c r="S470" i="19" s="1"/>
  <c r="S480" i="19"/>
  <c r="S474" i="19"/>
  <c r="S475" i="19" s="1"/>
  <c r="S476" i="19" s="1"/>
  <c r="S490" i="20"/>
  <c r="S479" i="20"/>
  <c r="B65" i="17"/>
  <c r="AC64" i="17"/>
  <c r="U40" i="19"/>
  <c r="Y40" i="19" s="1"/>
  <c r="X40" i="19"/>
  <c r="S478" i="19"/>
  <c r="S467" i="19"/>
  <c r="R40" i="20"/>
  <c r="K20" i="21"/>
  <c r="S483" i="20"/>
  <c r="S484" i="20" s="1"/>
  <c r="S485" i="20" s="1"/>
  <c r="S486" i="20"/>
  <c r="S487" i="20" s="1"/>
  <c r="S488" i="20" s="1"/>
  <c r="S492" i="20"/>
  <c r="S481" i="20"/>
  <c r="S482" i="20" s="1"/>
  <c r="S489" i="20"/>
  <c r="S515" i="17"/>
  <c r="S526" i="17"/>
  <c r="AD38" i="17"/>
  <c r="D19" i="21" s="1"/>
  <c r="B65" i="20"/>
  <c r="AC64" i="20"/>
  <c r="S481" i="17"/>
  <c r="S482" i="17" s="1"/>
  <c r="S483" i="17"/>
  <c r="S484" i="17" s="1"/>
  <c r="S485" i="17" s="1"/>
  <c r="S489" i="17"/>
  <c r="S486" i="17"/>
  <c r="S487" i="17" s="1"/>
  <c r="S488" i="17" s="1"/>
  <c r="S492" i="17"/>
  <c r="L46" i="17"/>
  <c r="F47" i="17" s="1"/>
  <c r="I19" i="21"/>
  <c r="R39" i="17"/>
  <c r="L42" i="20"/>
  <c r="F43" i="20" s="1"/>
  <c r="K42" i="20"/>
  <c r="H42" i="20"/>
  <c r="A43" i="21"/>
  <c r="B43" i="21" s="1"/>
  <c r="C44" i="21"/>
  <c r="G39" i="18"/>
  <c r="AC67" i="19"/>
  <c r="B68" i="19"/>
  <c r="A67" i="19"/>
  <c r="R41" i="19" l="1"/>
  <c r="J21" i="21"/>
  <c r="J39" i="18"/>
  <c r="S486" i="19"/>
  <c r="S487" i="19" s="1"/>
  <c r="S488" i="19" s="1"/>
  <c r="S483" i="19"/>
  <c r="S484" i="19" s="1"/>
  <c r="S485" i="19" s="1"/>
  <c r="S481" i="19"/>
  <c r="S482" i="19" s="1"/>
  <c r="S489" i="19"/>
  <c r="S492" i="19"/>
  <c r="C45" i="21"/>
  <c r="A44" i="21"/>
  <c r="B44" i="21" s="1"/>
  <c r="J47" i="17"/>
  <c r="K47" i="17" s="1"/>
  <c r="L47" i="17" s="1"/>
  <c r="F48" i="17" s="1"/>
  <c r="H47" i="17"/>
  <c r="B66" i="17"/>
  <c r="AC65" i="17"/>
  <c r="I39" i="18"/>
  <c r="X39" i="17"/>
  <c r="Y39" i="17" s="1"/>
  <c r="U39" i="17"/>
  <c r="K50" i="19"/>
  <c r="B69" i="19"/>
  <c r="A68" i="19"/>
  <c r="AC68" i="19"/>
  <c r="S501" i="17"/>
  <c r="S495" i="17"/>
  <c r="S496" i="17" s="1"/>
  <c r="S497" i="17" s="1"/>
  <c r="S504" i="17"/>
  <c r="S498" i="17"/>
  <c r="S499" i="17" s="1"/>
  <c r="S500" i="17" s="1"/>
  <c r="S493" i="17"/>
  <c r="S494" i="17" s="1"/>
  <c r="B66" i="20"/>
  <c r="AC65" i="20"/>
  <c r="S498" i="20"/>
  <c r="S499" i="20" s="1"/>
  <c r="S500" i="20" s="1"/>
  <c r="S504" i="20"/>
  <c r="S495" i="20"/>
  <c r="S496" i="20" s="1"/>
  <c r="S497" i="20" s="1"/>
  <c r="S493" i="20"/>
  <c r="S494" i="20" s="1"/>
  <c r="S501" i="20"/>
  <c r="S490" i="19"/>
  <c r="S479" i="19"/>
  <c r="K43" i="20"/>
  <c r="L43" i="20" s="1"/>
  <c r="F44" i="20" s="1"/>
  <c r="H43" i="20"/>
  <c r="S538" i="17"/>
  <c r="S527" i="17"/>
  <c r="S491" i="20"/>
  <c r="S502" i="20"/>
  <c r="L50" i="19"/>
  <c r="F51" i="19" s="1"/>
  <c r="U40" i="20"/>
  <c r="X40" i="20" s="1"/>
  <c r="K48" i="17" l="1"/>
  <c r="H48" i="17"/>
  <c r="L48" i="17" s="1"/>
  <c r="F49" i="17" s="1"/>
  <c r="H44" i="20"/>
  <c r="R40" i="17"/>
  <c r="I20" i="21"/>
  <c r="S505" i="17"/>
  <c r="S506" i="17" s="1"/>
  <c r="S516" i="17"/>
  <c r="S507" i="17"/>
  <c r="S508" i="17" s="1"/>
  <c r="S509" i="17" s="1"/>
  <c r="S510" i="17"/>
  <c r="S511" i="17" s="1"/>
  <c r="S512" i="17" s="1"/>
  <c r="S513" i="17"/>
  <c r="S502" i="19"/>
  <c r="S491" i="19"/>
  <c r="U41" i="19"/>
  <c r="Y41" i="19" s="1"/>
  <c r="X41" i="19"/>
  <c r="Y40" i="20"/>
  <c r="S550" i="17"/>
  <c r="S539" i="17"/>
  <c r="AC66" i="20"/>
  <c r="B67" i="20"/>
  <c r="S503" i="20"/>
  <c r="S514" i="20"/>
  <c r="H51" i="19"/>
  <c r="K51" i="19" s="1"/>
  <c r="A69" i="19"/>
  <c r="B70" i="19"/>
  <c r="AC69" i="19"/>
  <c r="S505" i="20"/>
  <c r="S506" i="20" s="1"/>
  <c r="S513" i="20"/>
  <c r="S510" i="20"/>
  <c r="S511" i="20" s="1"/>
  <c r="S512" i="20" s="1"/>
  <c r="S507" i="20"/>
  <c r="S508" i="20" s="1"/>
  <c r="S509" i="20" s="1"/>
  <c r="S516" i="20"/>
  <c r="AC66" i="17"/>
  <c r="B67" i="17"/>
  <c r="A45" i="21"/>
  <c r="B45" i="21" s="1"/>
  <c r="C46" i="21"/>
  <c r="AA39" i="17"/>
  <c r="AD39" i="17" s="1"/>
  <c r="D20" i="21" s="1"/>
  <c r="AA39" i="19"/>
  <c r="AD39" i="19" s="1"/>
  <c r="E20" i="21" s="1"/>
  <c r="AA39" i="20"/>
  <c r="AD39" i="20" s="1"/>
  <c r="F20" i="21" s="1"/>
  <c r="E40" i="18"/>
  <c r="S493" i="19"/>
  <c r="S494" i="19" s="1"/>
  <c r="S495" i="19"/>
  <c r="S496" i="19" s="1"/>
  <c r="S497" i="19" s="1"/>
  <c r="S498" i="19"/>
  <c r="S499" i="19" s="1"/>
  <c r="S500" i="19" s="1"/>
  <c r="S501" i="19"/>
  <c r="S504" i="19"/>
  <c r="K49" i="17" l="1"/>
  <c r="L49" i="17"/>
  <c r="F50" i="17" s="1"/>
  <c r="H49" i="17"/>
  <c r="J22" i="21"/>
  <c r="R42" i="19"/>
  <c r="B71" i="19"/>
  <c r="AC70" i="19"/>
  <c r="A70" i="19"/>
  <c r="A46" i="21"/>
  <c r="B46" i="21" s="1"/>
  <c r="C47" i="21"/>
  <c r="L51" i="19"/>
  <c r="F52" i="19" s="1"/>
  <c r="S528" i="17"/>
  <c r="S525" i="17"/>
  <c r="S519" i="17"/>
  <c r="S520" i="17" s="1"/>
  <c r="S521" i="17" s="1"/>
  <c r="S522" i="17"/>
  <c r="S523" i="17" s="1"/>
  <c r="S524" i="17" s="1"/>
  <c r="S517" i="17"/>
  <c r="S518" i="17" s="1"/>
  <c r="J44" i="20"/>
  <c r="S528" i="20"/>
  <c r="S517" i="20"/>
  <c r="S518" i="20" s="1"/>
  <c r="S525" i="20"/>
  <c r="S519" i="20"/>
  <c r="S520" i="20" s="1"/>
  <c r="S521" i="20" s="1"/>
  <c r="S522" i="20"/>
  <c r="S523" i="20" s="1"/>
  <c r="S524" i="20" s="1"/>
  <c r="B68" i="20"/>
  <c r="AC67" i="20"/>
  <c r="G40" i="18"/>
  <c r="B68" i="17"/>
  <c r="AC67" i="17"/>
  <c r="S551" i="17"/>
  <c r="S562" i="17"/>
  <c r="S503" i="19"/>
  <c r="S514" i="19"/>
  <c r="S513" i="19"/>
  <c r="S505" i="19"/>
  <c r="S506" i="19" s="1"/>
  <c r="S507" i="19"/>
  <c r="S508" i="19" s="1"/>
  <c r="S509" i="19" s="1"/>
  <c r="S510" i="19"/>
  <c r="S511" i="19" s="1"/>
  <c r="S512" i="19" s="1"/>
  <c r="S516" i="19"/>
  <c r="S515" i="20"/>
  <c r="S526" i="20"/>
  <c r="R41" i="20"/>
  <c r="K21" i="21"/>
  <c r="X40" i="17"/>
  <c r="U40" i="17"/>
  <c r="Y40" i="17" s="1"/>
  <c r="J40" i="18" l="1"/>
  <c r="R41" i="17"/>
  <c r="I21" i="21"/>
  <c r="S534" i="17"/>
  <c r="S535" i="17" s="1"/>
  <c r="S536" i="17" s="1"/>
  <c r="S529" i="17"/>
  <c r="S530" i="17" s="1"/>
  <c r="S531" i="17"/>
  <c r="S532" i="17" s="1"/>
  <c r="S533" i="17" s="1"/>
  <c r="S540" i="17"/>
  <c r="S537" i="17"/>
  <c r="U41" i="20"/>
  <c r="X41" i="20" s="1"/>
  <c r="Y41" i="20" s="1"/>
  <c r="K52" i="19"/>
  <c r="L52" i="19"/>
  <c r="F53" i="19" s="1"/>
  <c r="H52" i="19"/>
  <c r="AC68" i="17"/>
  <c r="B69" i="17"/>
  <c r="C48" i="21"/>
  <c r="A47" i="21"/>
  <c r="B47" i="21" s="1"/>
  <c r="X42" i="19"/>
  <c r="Y42" i="19" s="1"/>
  <c r="U42" i="19"/>
  <c r="S531" i="20"/>
  <c r="S532" i="20" s="1"/>
  <c r="S533" i="20" s="1"/>
  <c r="S537" i="20"/>
  <c r="S540" i="20"/>
  <c r="S529" i="20"/>
  <c r="S530" i="20" s="1"/>
  <c r="S534" i="20"/>
  <c r="S535" i="20" s="1"/>
  <c r="S536" i="20" s="1"/>
  <c r="AC68" i="20"/>
  <c r="B69" i="20"/>
  <c r="B72" i="19"/>
  <c r="A71" i="19"/>
  <c r="AC71" i="19"/>
  <c r="S538" i="20"/>
  <c r="S527" i="20"/>
  <c r="S515" i="19"/>
  <c r="S526" i="19"/>
  <c r="S528" i="19"/>
  <c r="S517" i="19"/>
  <c r="S518" i="19" s="1"/>
  <c r="S522" i="19"/>
  <c r="S523" i="19" s="1"/>
  <c r="S524" i="19" s="1"/>
  <c r="S519" i="19"/>
  <c r="S520" i="19" s="1"/>
  <c r="S521" i="19" s="1"/>
  <c r="S525" i="19"/>
  <c r="I40" i="18"/>
  <c r="K44" i="20"/>
  <c r="L44" i="20" s="1"/>
  <c r="F45" i="20" s="1"/>
  <c r="H50" i="17"/>
  <c r="J50" i="17" s="1"/>
  <c r="S563" i="17"/>
  <c r="S574" i="17"/>
  <c r="R43" i="19" l="1"/>
  <c r="J23" i="21"/>
  <c r="K50" i="17"/>
  <c r="L50" i="17" s="1"/>
  <c r="F51" i="17" s="1"/>
  <c r="H45" i="20"/>
  <c r="K45" i="20" s="1"/>
  <c r="K22" i="21"/>
  <c r="R42" i="20"/>
  <c r="S527" i="19"/>
  <c r="S538" i="19"/>
  <c r="B73" i="19"/>
  <c r="AC72" i="19"/>
  <c r="A72" i="19"/>
  <c r="C49" i="21"/>
  <c r="A48" i="21"/>
  <c r="B48" i="21" s="1"/>
  <c r="H53" i="19"/>
  <c r="J53" i="19" s="1"/>
  <c r="AA40" i="20"/>
  <c r="AD40" i="20" s="1"/>
  <c r="F21" i="21" s="1"/>
  <c r="E41" i="18"/>
  <c r="AA40" i="19"/>
  <c r="AD40" i="19" s="1"/>
  <c r="E21" i="21" s="1"/>
  <c r="AA40" i="17"/>
  <c r="AD40" i="17" s="1"/>
  <c r="D21" i="21" s="1"/>
  <c r="S549" i="20"/>
  <c r="S552" i="20"/>
  <c r="S546" i="20"/>
  <c r="S547" i="20" s="1"/>
  <c r="S548" i="20" s="1"/>
  <c r="S541" i="20"/>
  <c r="S542" i="20" s="1"/>
  <c r="S543" i="20"/>
  <c r="S544" i="20" s="1"/>
  <c r="S545" i="20" s="1"/>
  <c r="B70" i="20"/>
  <c r="AC69" i="20"/>
  <c r="B70" i="17"/>
  <c r="AC69" i="17"/>
  <c r="S552" i="17"/>
  <c r="S549" i="17"/>
  <c r="S546" i="17"/>
  <c r="S547" i="17" s="1"/>
  <c r="S548" i="17" s="1"/>
  <c r="S543" i="17"/>
  <c r="S544" i="17" s="1"/>
  <c r="S545" i="17" s="1"/>
  <c r="S541" i="17"/>
  <c r="S542" i="17" s="1"/>
  <c r="S534" i="19"/>
  <c r="S535" i="19" s="1"/>
  <c r="S536" i="19" s="1"/>
  <c r="S537" i="19"/>
  <c r="S531" i="19"/>
  <c r="S532" i="19" s="1"/>
  <c r="S533" i="19" s="1"/>
  <c r="S540" i="19"/>
  <c r="S529" i="19"/>
  <c r="S530" i="19" s="1"/>
  <c r="S586" i="17"/>
  <c r="S575" i="17"/>
  <c r="S550" i="20"/>
  <c r="S539" i="20"/>
  <c r="U41" i="17"/>
  <c r="K51" i="17" l="1"/>
  <c r="L51" i="17"/>
  <c r="F52" i="17" s="1"/>
  <c r="H51" i="17"/>
  <c r="K53" i="19"/>
  <c r="L53" i="19" s="1"/>
  <c r="F54" i="19" s="1"/>
  <c r="B74" i="19"/>
  <c r="A73" i="19"/>
  <c r="AC73" i="19"/>
  <c r="L45" i="20"/>
  <c r="F46" i="20" s="1"/>
  <c r="S587" i="17"/>
  <c r="S598" i="17"/>
  <c r="AC70" i="17"/>
  <c r="B71" i="17"/>
  <c r="X41" i="17"/>
  <c r="Y41" i="17" s="1"/>
  <c r="AC70" i="20"/>
  <c r="B71" i="20"/>
  <c r="S550" i="19"/>
  <c r="S539" i="19"/>
  <c r="U43" i="19"/>
  <c r="X43" i="19" s="1"/>
  <c r="S551" i="20"/>
  <c r="S562" i="20"/>
  <c r="S564" i="17"/>
  <c r="S561" i="17"/>
  <c r="S558" i="17"/>
  <c r="S559" i="17" s="1"/>
  <c r="S560" i="17" s="1"/>
  <c r="S555" i="17"/>
  <c r="S556" i="17" s="1"/>
  <c r="S557" i="17" s="1"/>
  <c r="S553" i="17"/>
  <c r="S554" i="17" s="1"/>
  <c r="G41" i="18"/>
  <c r="I41" i="18" s="1"/>
  <c r="H41" i="18"/>
  <c r="J41" i="18" s="1"/>
  <c r="S558" i="20"/>
  <c r="S559" i="20" s="1"/>
  <c r="S560" i="20" s="1"/>
  <c r="S553" i="20"/>
  <c r="S554" i="20" s="1"/>
  <c r="S555" i="20"/>
  <c r="S556" i="20" s="1"/>
  <c r="S557" i="20" s="1"/>
  <c r="S561" i="20"/>
  <c r="S564" i="20"/>
  <c r="S549" i="19"/>
  <c r="S552" i="19"/>
  <c r="S546" i="19"/>
  <c r="S547" i="19" s="1"/>
  <c r="S548" i="19" s="1"/>
  <c r="S543" i="19"/>
  <c r="S544" i="19" s="1"/>
  <c r="S545" i="19" s="1"/>
  <c r="S541" i="19"/>
  <c r="S542" i="19" s="1"/>
  <c r="A49" i="21"/>
  <c r="B49" i="21" s="1"/>
  <c r="C50" i="21"/>
  <c r="U42" i="20"/>
  <c r="R42" i="17" l="1"/>
  <c r="I22" i="21"/>
  <c r="H54" i="19"/>
  <c r="K54" i="19" s="1"/>
  <c r="AA41" i="20"/>
  <c r="AD41" i="20" s="1"/>
  <c r="F22" i="21" s="1"/>
  <c r="AA41" i="17"/>
  <c r="AD41" i="17" s="1"/>
  <c r="D22" i="21" s="1"/>
  <c r="E42" i="18"/>
  <c r="AA41" i="19"/>
  <c r="AD41" i="19" s="1"/>
  <c r="E22" i="21" s="1"/>
  <c r="B72" i="17"/>
  <c r="AC71" i="17"/>
  <c r="S573" i="17"/>
  <c r="S567" i="17"/>
  <c r="S568" i="17" s="1"/>
  <c r="S569" i="17" s="1"/>
  <c r="S565" i="17"/>
  <c r="S566" i="17" s="1"/>
  <c r="S570" i="17"/>
  <c r="S571" i="17" s="1"/>
  <c r="S572" i="17" s="1"/>
  <c r="S576" i="17"/>
  <c r="AC74" i="19"/>
  <c r="B75" i="19"/>
  <c r="A74" i="19"/>
  <c r="S563" i="20"/>
  <c r="S574" i="20"/>
  <c r="S562" i="19"/>
  <c r="S551" i="19"/>
  <c r="S599" i="17"/>
  <c r="S610" i="17"/>
  <c r="K52" i="17"/>
  <c r="H52" i="17"/>
  <c r="L52" i="17" s="1"/>
  <c r="F53" i="17" s="1"/>
  <c r="B72" i="20"/>
  <c r="AC71" i="20"/>
  <c r="S576" i="20"/>
  <c r="S573" i="20"/>
  <c r="S570" i="20"/>
  <c r="S571" i="20" s="1"/>
  <c r="S572" i="20" s="1"/>
  <c r="S567" i="20"/>
  <c r="S568" i="20" s="1"/>
  <c r="S569" i="20" s="1"/>
  <c r="S565" i="20"/>
  <c r="S566" i="20" s="1"/>
  <c r="S553" i="19"/>
  <c r="S554" i="19" s="1"/>
  <c r="S558" i="19"/>
  <c r="S559" i="19" s="1"/>
  <c r="S560" i="19" s="1"/>
  <c r="S555" i="19"/>
  <c r="S556" i="19" s="1"/>
  <c r="S557" i="19" s="1"/>
  <c r="S561" i="19"/>
  <c r="S564" i="19"/>
  <c r="Y43" i="19"/>
  <c r="K46" i="20"/>
  <c r="L46" i="20"/>
  <c r="F47" i="20" s="1"/>
  <c r="H46" i="20"/>
  <c r="X42" i="20"/>
  <c r="Y42" i="20" s="1"/>
  <c r="C51" i="21"/>
  <c r="A50" i="21"/>
  <c r="B50" i="21" s="1"/>
  <c r="K53" i="17" l="1"/>
  <c r="L53" i="17"/>
  <c r="F54" i="17" s="1"/>
  <c r="J53" i="17"/>
  <c r="H53" i="17"/>
  <c r="K23" i="21"/>
  <c r="R43" i="20"/>
  <c r="J24" i="21"/>
  <c r="R44" i="19"/>
  <c r="B73" i="20"/>
  <c r="AC72" i="20"/>
  <c r="H47" i="20"/>
  <c r="S622" i="17"/>
  <c r="S611" i="17"/>
  <c r="AC75" i="19"/>
  <c r="A75" i="19"/>
  <c r="B76" i="19"/>
  <c r="X42" i="17"/>
  <c r="Y42" i="17" s="1"/>
  <c r="U42" i="17"/>
  <c r="C52" i="21"/>
  <c r="A51" i="21"/>
  <c r="B51" i="21" s="1"/>
  <c r="S570" i="19"/>
  <c r="S571" i="19" s="1"/>
  <c r="S572" i="19" s="1"/>
  <c r="S576" i="19"/>
  <c r="S565" i="19"/>
  <c r="S566" i="19" s="1"/>
  <c r="S567" i="19"/>
  <c r="S568" i="19" s="1"/>
  <c r="S569" i="19" s="1"/>
  <c r="S573" i="19"/>
  <c r="S563" i="19"/>
  <c r="S574" i="19"/>
  <c r="S588" i="17"/>
  <c r="S585" i="17"/>
  <c r="S577" i="17"/>
  <c r="S578" i="17" s="1"/>
  <c r="S582" i="17"/>
  <c r="S583" i="17" s="1"/>
  <c r="S584" i="17" s="1"/>
  <c r="S579" i="17"/>
  <c r="S580" i="17" s="1"/>
  <c r="S581" i="17" s="1"/>
  <c r="B73" i="17"/>
  <c r="AC72" i="17"/>
  <c r="L54" i="19"/>
  <c r="F55" i="19" s="1"/>
  <c r="S586" i="20"/>
  <c r="S575" i="20"/>
  <c r="S585" i="20"/>
  <c r="S579" i="20"/>
  <c r="S580" i="20" s="1"/>
  <c r="S581" i="20" s="1"/>
  <c r="S588" i="20"/>
  <c r="S577" i="20"/>
  <c r="S578" i="20" s="1"/>
  <c r="S582" i="20"/>
  <c r="S583" i="20" s="1"/>
  <c r="S584" i="20" s="1"/>
  <c r="G42" i="18"/>
  <c r="I42" i="18"/>
  <c r="J42" i="18"/>
  <c r="I23" i="21" l="1"/>
  <c r="R43" i="17"/>
  <c r="B74" i="17"/>
  <c r="AC73" i="17"/>
  <c r="X43" i="20"/>
  <c r="Y43" i="20"/>
  <c r="U43" i="20"/>
  <c r="S600" i="20"/>
  <c r="S594" i="20"/>
  <c r="S595" i="20" s="1"/>
  <c r="S596" i="20" s="1"/>
  <c r="S597" i="20"/>
  <c r="S591" i="20"/>
  <c r="S592" i="20" s="1"/>
  <c r="S593" i="20" s="1"/>
  <c r="S589" i="20"/>
  <c r="S590" i="20" s="1"/>
  <c r="C53" i="21"/>
  <c r="A52" i="21"/>
  <c r="B52" i="21" s="1"/>
  <c r="J47" i="20"/>
  <c r="K47" i="20" s="1"/>
  <c r="L47" i="20" s="1"/>
  <c r="F48" i="20" s="1"/>
  <c r="S594" i="17"/>
  <c r="S595" i="17" s="1"/>
  <c r="S596" i="17" s="1"/>
  <c r="S597" i="17"/>
  <c r="S589" i="17"/>
  <c r="S590" i="17" s="1"/>
  <c r="S591" i="17"/>
  <c r="S592" i="17" s="1"/>
  <c r="S593" i="17" s="1"/>
  <c r="S600" i="17"/>
  <c r="U44" i="19"/>
  <c r="X44" i="19" s="1"/>
  <c r="Y44" i="19" s="1"/>
  <c r="AA42" i="20"/>
  <c r="AD42" i="20" s="1"/>
  <c r="F23" i="21" s="1"/>
  <c r="E43" i="18"/>
  <c r="AA42" i="19"/>
  <c r="AD42" i="19" s="1"/>
  <c r="E23" i="21" s="1"/>
  <c r="AA42" i="17"/>
  <c r="AD42" i="17" s="1"/>
  <c r="D23" i="21" s="1"/>
  <c r="S587" i="20"/>
  <c r="S598" i="20"/>
  <c r="S582" i="19"/>
  <c r="S583" i="19" s="1"/>
  <c r="S584" i="19" s="1"/>
  <c r="S585" i="19"/>
  <c r="S588" i="19"/>
  <c r="S579" i="19"/>
  <c r="S580" i="19" s="1"/>
  <c r="S581" i="19" s="1"/>
  <c r="S577" i="19"/>
  <c r="S578" i="19" s="1"/>
  <c r="K54" i="17"/>
  <c r="L54" i="17"/>
  <c r="F55" i="17" s="1"/>
  <c r="H54" i="17"/>
  <c r="S575" i="19"/>
  <c r="S586" i="19"/>
  <c r="B77" i="19"/>
  <c r="AC76" i="19"/>
  <c r="A76" i="19"/>
  <c r="H55" i="19"/>
  <c r="K55" i="19" s="1"/>
  <c r="S634" i="17"/>
  <c r="S623" i="17"/>
  <c r="B74" i="20"/>
  <c r="AC73" i="20"/>
  <c r="R45" i="19" l="1"/>
  <c r="J25" i="21"/>
  <c r="H48" i="20"/>
  <c r="K48" i="20" s="1"/>
  <c r="L48" i="20" s="1"/>
  <c r="F49" i="20" s="1"/>
  <c r="K24" i="21"/>
  <c r="R44" i="20"/>
  <c r="B75" i="20"/>
  <c r="AC74" i="20"/>
  <c r="H55" i="17"/>
  <c r="K55" i="17" s="1"/>
  <c r="S610" i="20"/>
  <c r="S599" i="20"/>
  <c r="AC77" i="19"/>
  <c r="B78" i="19"/>
  <c r="A77" i="19"/>
  <c r="S597" i="19"/>
  <c r="S594" i="19"/>
  <c r="S595" i="19" s="1"/>
  <c r="S596" i="19" s="1"/>
  <c r="S591" i="19"/>
  <c r="S592" i="19" s="1"/>
  <c r="S593" i="19" s="1"/>
  <c r="S600" i="19"/>
  <c r="S589" i="19"/>
  <c r="S590" i="19" s="1"/>
  <c r="S609" i="17"/>
  <c r="S601" i="17"/>
  <c r="S602" i="17" s="1"/>
  <c r="S612" i="17"/>
  <c r="S606" i="17"/>
  <c r="S607" i="17" s="1"/>
  <c r="S608" i="17" s="1"/>
  <c r="S603" i="17"/>
  <c r="S604" i="17" s="1"/>
  <c r="S605" i="17" s="1"/>
  <c r="S603" i="20"/>
  <c r="S604" i="20" s="1"/>
  <c r="S605" i="20" s="1"/>
  <c r="S612" i="20"/>
  <c r="S606" i="20"/>
  <c r="S607" i="20" s="1"/>
  <c r="S608" i="20" s="1"/>
  <c r="S601" i="20"/>
  <c r="S602" i="20" s="1"/>
  <c r="S609" i="20"/>
  <c r="B75" i="17"/>
  <c r="AC74" i="17"/>
  <c r="S646" i="17"/>
  <c r="S635" i="17"/>
  <c r="S587" i="19"/>
  <c r="S598" i="19"/>
  <c r="L55" i="19"/>
  <c r="F56" i="19" s="1"/>
  <c r="G43" i="18"/>
  <c r="I43" i="18" s="1"/>
  <c r="A53" i="21"/>
  <c r="B53" i="21" s="1"/>
  <c r="C54" i="21"/>
  <c r="Y43" i="17"/>
  <c r="X43" i="17"/>
  <c r="U43" i="17"/>
  <c r="K49" i="20" l="1"/>
  <c r="L49" i="20"/>
  <c r="F50" i="20" s="1"/>
  <c r="H49" i="20"/>
  <c r="AC75" i="20"/>
  <c r="B76" i="20"/>
  <c r="U44" i="20"/>
  <c r="R44" i="17"/>
  <c r="I24" i="21"/>
  <c r="S609" i="19"/>
  <c r="S612" i="19"/>
  <c r="S603" i="19"/>
  <c r="S604" i="19" s="1"/>
  <c r="S605" i="19" s="1"/>
  <c r="S606" i="19"/>
  <c r="S607" i="19" s="1"/>
  <c r="S608" i="19" s="1"/>
  <c r="S601" i="19"/>
  <c r="S602" i="19" s="1"/>
  <c r="S622" i="20"/>
  <c r="S611" i="20"/>
  <c r="U45" i="19"/>
  <c r="X45" i="19" s="1"/>
  <c r="Y45" i="19" s="1"/>
  <c r="J43" i="18"/>
  <c r="S658" i="17"/>
  <c r="S647" i="17"/>
  <c r="S613" i="20"/>
  <c r="S614" i="20" s="1"/>
  <c r="S615" i="20"/>
  <c r="S616" i="20" s="1"/>
  <c r="S617" i="20" s="1"/>
  <c r="S621" i="20"/>
  <c r="S618" i="20"/>
  <c r="S619" i="20" s="1"/>
  <c r="S620" i="20" s="1"/>
  <c r="S624" i="20"/>
  <c r="L55" i="17"/>
  <c r="F56" i="17" s="1"/>
  <c r="H56" i="19"/>
  <c r="J56" i="19"/>
  <c r="K56" i="19" s="1"/>
  <c r="B76" i="17"/>
  <c r="AC75" i="17"/>
  <c r="A54" i="21"/>
  <c r="B54" i="21" s="1"/>
  <c r="C55" i="21"/>
  <c r="S610" i="19"/>
  <c r="S599" i="19"/>
  <c r="S621" i="17"/>
  <c r="S618" i="17"/>
  <c r="S619" i="17" s="1"/>
  <c r="S620" i="17" s="1"/>
  <c r="S615" i="17"/>
  <c r="S616" i="17" s="1"/>
  <c r="S617" i="17" s="1"/>
  <c r="S613" i="17"/>
  <c r="S614" i="17" s="1"/>
  <c r="S624" i="17"/>
  <c r="AC78" i="19"/>
  <c r="B79" i="19"/>
  <c r="A78" i="19"/>
  <c r="Y44" i="20" l="1"/>
  <c r="J26" i="21"/>
  <c r="R46" i="19"/>
  <c r="S615" i="19"/>
  <c r="S616" i="19" s="1"/>
  <c r="S617" i="19" s="1"/>
  <c r="S618" i="19"/>
  <c r="S619" i="19" s="1"/>
  <c r="S620" i="19" s="1"/>
  <c r="S624" i="19"/>
  <c r="S621" i="19"/>
  <c r="S613" i="19"/>
  <c r="S614" i="19" s="1"/>
  <c r="X44" i="20"/>
  <c r="H50" i="20"/>
  <c r="J50" i="20" s="1"/>
  <c r="A55" i="21"/>
  <c r="B55" i="21" s="1"/>
  <c r="C56" i="21"/>
  <c r="L56" i="19"/>
  <c r="F57" i="19" s="1"/>
  <c r="H56" i="17"/>
  <c r="B77" i="20"/>
  <c r="AC76" i="20"/>
  <c r="S611" i="19"/>
  <c r="S622" i="19"/>
  <c r="A79" i="19"/>
  <c r="B80" i="19"/>
  <c r="AC79" i="19"/>
  <c r="B77" i="17"/>
  <c r="AC76" i="17"/>
  <c r="S633" i="20"/>
  <c r="S636" i="20"/>
  <c r="S630" i="20"/>
  <c r="S631" i="20" s="1"/>
  <c r="S632" i="20" s="1"/>
  <c r="S625" i="20"/>
  <c r="S626" i="20" s="1"/>
  <c r="S627" i="20"/>
  <c r="S628" i="20" s="1"/>
  <c r="S629" i="20" s="1"/>
  <c r="S670" i="17"/>
  <c r="S659" i="17"/>
  <c r="S634" i="20"/>
  <c r="S623" i="20"/>
  <c r="S627" i="17"/>
  <c r="S628" i="17" s="1"/>
  <c r="S629" i="17" s="1"/>
  <c r="S633" i="17"/>
  <c r="S630" i="17"/>
  <c r="S631" i="17" s="1"/>
  <c r="S632" i="17" s="1"/>
  <c r="S625" i="17"/>
  <c r="S626" i="17" s="1"/>
  <c r="S636" i="17"/>
  <c r="AA43" i="20"/>
  <c r="AD43" i="20" s="1"/>
  <c r="F24" i="21" s="1"/>
  <c r="AA43" i="19"/>
  <c r="AD43" i="19" s="1"/>
  <c r="E24" i="21" s="1"/>
  <c r="E44" i="18"/>
  <c r="AA43" i="17"/>
  <c r="AD43" i="17" s="1"/>
  <c r="D24" i="21" s="1"/>
  <c r="U44" i="17"/>
  <c r="X44" i="17" s="1"/>
  <c r="R45" i="20" l="1"/>
  <c r="K25" i="21"/>
  <c r="Y44" i="17"/>
  <c r="S634" i="19"/>
  <c r="S623" i="19"/>
  <c r="S636" i="19"/>
  <c r="S630" i="19"/>
  <c r="S631" i="19" s="1"/>
  <c r="S632" i="19" s="1"/>
  <c r="S627" i="19"/>
  <c r="S628" i="19" s="1"/>
  <c r="S629" i="19" s="1"/>
  <c r="S633" i="19"/>
  <c r="S625" i="19"/>
  <c r="S626" i="19" s="1"/>
  <c r="S648" i="17"/>
  <c r="S645" i="17"/>
  <c r="S637" i="17"/>
  <c r="S638" i="17" s="1"/>
  <c r="S642" i="17"/>
  <c r="S643" i="17" s="1"/>
  <c r="S644" i="17" s="1"/>
  <c r="S639" i="17"/>
  <c r="S640" i="17" s="1"/>
  <c r="S641" i="17" s="1"/>
  <c r="J56" i="17"/>
  <c r="K50" i="20"/>
  <c r="L50" i="20" s="1"/>
  <c r="F51" i="20" s="1"/>
  <c r="AC80" i="19"/>
  <c r="B81" i="19"/>
  <c r="A80" i="19"/>
  <c r="S639" i="20"/>
  <c r="S640" i="20" s="1"/>
  <c r="S641" i="20" s="1"/>
  <c r="S645" i="20"/>
  <c r="S637" i="20"/>
  <c r="S638" i="20" s="1"/>
  <c r="S642" i="20"/>
  <c r="S643" i="20" s="1"/>
  <c r="S644" i="20" s="1"/>
  <c r="S648" i="20"/>
  <c r="S682" i="17"/>
  <c r="S671" i="17"/>
  <c r="G44" i="18"/>
  <c r="H44" i="18" s="1"/>
  <c r="I44" i="18"/>
  <c r="B78" i="17"/>
  <c r="AC77" i="17"/>
  <c r="H57" i="19"/>
  <c r="K57" i="19" s="1"/>
  <c r="S646" i="20"/>
  <c r="S635" i="20"/>
  <c r="AC77" i="20"/>
  <c r="B78" i="20"/>
  <c r="C57" i="21"/>
  <c r="A56" i="21"/>
  <c r="B56" i="21" s="1"/>
  <c r="U46" i="19"/>
  <c r="K51" i="20" l="1"/>
  <c r="L51" i="20" s="1"/>
  <c r="F52" i="20" s="1"/>
  <c r="H51" i="20"/>
  <c r="U45" i="20"/>
  <c r="X45" i="20" s="1"/>
  <c r="K56" i="17"/>
  <c r="L56" i="17" s="1"/>
  <c r="F57" i="17" s="1"/>
  <c r="X46" i="19"/>
  <c r="Y46" i="19" s="1"/>
  <c r="S654" i="17"/>
  <c r="S655" i="17" s="1"/>
  <c r="S656" i="17" s="1"/>
  <c r="S660" i="17"/>
  <c r="S651" i="17"/>
  <c r="S652" i="17" s="1"/>
  <c r="S653" i="17" s="1"/>
  <c r="S649" i="17"/>
  <c r="S650" i="17" s="1"/>
  <c r="S657" i="17"/>
  <c r="B79" i="17"/>
  <c r="AC78" i="17"/>
  <c r="S694" i="17"/>
  <c r="S683" i="17"/>
  <c r="S635" i="19"/>
  <c r="S646" i="19"/>
  <c r="A57" i="21"/>
  <c r="B57" i="21" s="1"/>
  <c r="C58" i="21"/>
  <c r="AC78" i="20"/>
  <c r="B79" i="20"/>
  <c r="L57" i="19"/>
  <c r="F58" i="19" s="1"/>
  <c r="S651" i="20"/>
  <c r="S652" i="20" s="1"/>
  <c r="S653" i="20" s="1"/>
  <c r="S649" i="20"/>
  <c r="S650" i="20" s="1"/>
  <c r="S657" i="20"/>
  <c r="S654" i="20"/>
  <c r="S655" i="20" s="1"/>
  <c r="S656" i="20" s="1"/>
  <c r="S660" i="20"/>
  <c r="A81" i="19"/>
  <c r="B82" i="19"/>
  <c r="AC81" i="19"/>
  <c r="I25" i="21"/>
  <c r="R45" i="17"/>
  <c r="S647" i="20"/>
  <c r="S658" i="20"/>
  <c r="J44" i="18"/>
  <c r="S648" i="19"/>
  <c r="S645" i="19"/>
  <c r="S639" i="19"/>
  <c r="S640" i="19" s="1"/>
  <c r="S641" i="19" s="1"/>
  <c r="S642" i="19"/>
  <c r="S643" i="19" s="1"/>
  <c r="S644" i="19" s="1"/>
  <c r="S637" i="19"/>
  <c r="S638" i="19" s="1"/>
  <c r="R47" i="19" l="1"/>
  <c r="J27" i="21"/>
  <c r="K52" i="20"/>
  <c r="H52" i="20"/>
  <c r="L52" i="20" s="1"/>
  <c r="F53" i="20" s="1"/>
  <c r="H57" i="17"/>
  <c r="K57" i="17" s="1"/>
  <c r="L57" i="17" s="1"/>
  <c r="F58" i="17" s="1"/>
  <c r="L58" i="19"/>
  <c r="F59" i="19" s="1"/>
  <c r="H58" i="19"/>
  <c r="K58" i="19"/>
  <c r="Y45" i="20"/>
  <c r="S695" i="17"/>
  <c r="S706" i="17"/>
  <c r="S672" i="17"/>
  <c r="S669" i="17"/>
  <c r="S663" i="17"/>
  <c r="S664" i="17" s="1"/>
  <c r="S665" i="17" s="1"/>
  <c r="S666" i="17"/>
  <c r="S667" i="17" s="1"/>
  <c r="S668" i="17" s="1"/>
  <c r="S661" i="17"/>
  <c r="S662" i="17" s="1"/>
  <c r="S670" i="20"/>
  <c r="S659" i="20"/>
  <c r="S669" i="20"/>
  <c r="S666" i="20"/>
  <c r="S667" i="20" s="1"/>
  <c r="S668" i="20" s="1"/>
  <c r="S672" i="20"/>
  <c r="S663" i="20"/>
  <c r="S664" i="20" s="1"/>
  <c r="S665" i="20" s="1"/>
  <c r="S661" i="20"/>
  <c r="S662" i="20" s="1"/>
  <c r="AC79" i="20"/>
  <c r="B80" i="20"/>
  <c r="X45" i="17"/>
  <c r="Y45" i="17"/>
  <c r="U45" i="17"/>
  <c r="C59" i="21"/>
  <c r="A58" i="21"/>
  <c r="B58" i="21" s="1"/>
  <c r="S649" i="19"/>
  <c r="S650" i="19" s="1"/>
  <c r="S654" i="19"/>
  <c r="S655" i="19" s="1"/>
  <c r="S656" i="19" s="1"/>
  <c r="S651" i="19"/>
  <c r="S652" i="19" s="1"/>
  <c r="S653" i="19" s="1"/>
  <c r="S660" i="19"/>
  <c r="S657" i="19"/>
  <c r="B80" i="17"/>
  <c r="AC79" i="17"/>
  <c r="E45" i="18"/>
  <c r="AA44" i="17"/>
  <c r="AD44" i="17" s="1"/>
  <c r="D25" i="21" s="1"/>
  <c r="AA44" i="20"/>
  <c r="AD44" i="20" s="1"/>
  <c r="F25" i="21" s="1"/>
  <c r="AA44" i="19"/>
  <c r="AD44" i="19" s="1"/>
  <c r="E25" i="21" s="1"/>
  <c r="B83" i="19"/>
  <c r="A82" i="19"/>
  <c r="AC82" i="19"/>
  <c r="S647" i="19"/>
  <c r="S658" i="19"/>
  <c r="H53" i="20" l="1"/>
  <c r="K58" i="17"/>
  <c r="L58" i="17"/>
  <c r="F59" i="17" s="1"/>
  <c r="H58" i="17"/>
  <c r="R46" i="17"/>
  <c r="I26" i="21"/>
  <c r="S673" i="20"/>
  <c r="S674" i="20" s="1"/>
  <c r="S678" i="20"/>
  <c r="S679" i="20" s="1"/>
  <c r="S680" i="20" s="1"/>
  <c r="S681" i="20"/>
  <c r="S675" i="20"/>
  <c r="S676" i="20" s="1"/>
  <c r="S677" i="20" s="1"/>
  <c r="S684" i="20"/>
  <c r="R46" i="20"/>
  <c r="K26" i="21"/>
  <c r="I45" i="18"/>
  <c r="J45" i="18"/>
  <c r="G45" i="18"/>
  <c r="AC80" i="20"/>
  <c r="B81" i="20"/>
  <c r="AC83" i="19"/>
  <c r="A83" i="19"/>
  <c r="B84" i="19"/>
  <c r="S681" i="17"/>
  <c r="S678" i="17"/>
  <c r="S679" i="17" s="1"/>
  <c r="S680" i="17" s="1"/>
  <c r="S675" i="17"/>
  <c r="S676" i="17" s="1"/>
  <c r="S677" i="17" s="1"/>
  <c r="S684" i="17"/>
  <c r="S673" i="17"/>
  <c r="S674" i="17" s="1"/>
  <c r="H59" i="19"/>
  <c r="J59" i="19" s="1"/>
  <c r="A59" i="21"/>
  <c r="B59" i="21" s="1"/>
  <c r="C60" i="21"/>
  <c r="S682" i="20"/>
  <c r="S671" i="20"/>
  <c r="S718" i="17"/>
  <c r="S707" i="17"/>
  <c r="B81" i="17"/>
  <c r="AC80" i="17"/>
  <c r="S659" i="19"/>
  <c r="S670" i="19"/>
  <c r="S661" i="19"/>
  <c r="S662" i="19" s="1"/>
  <c r="S672" i="19"/>
  <c r="S666" i="19"/>
  <c r="S667" i="19" s="1"/>
  <c r="S668" i="19" s="1"/>
  <c r="S663" i="19"/>
  <c r="S664" i="19" s="1"/>
  <c r="S665" i="19" s="1"/>
  <c r="S669" i="19"/>
  <c r="U47" i="19"/>
  <c r="X47" i="19" s="1"/>
  <c r="A84" i="19" l="1"/>
  <c r="AC84" i="19"/>
  <c r="B85" i="19"/>
  <c r="B82" i="17"/>
  <c r="AC81" i="17"/>
  <c r="S696" i="17"/>
  <c r="S693" i="17"/>
  <c r="S685" i="17"/>
  <c r="S686" i="17" s="1"/>
  <c r="S690" i="17"/>
  <c r="S691" i="17" s="1"/>
  <c r="S692" i="17" s="1"/>
  <c r="S687" i="17"/>
  <c r="S688" i="17" s="1"/>
  <c r="S689" i="17" s="1"/>
  <c r="Y47" i="19"/>
  <c r="S684" i="19"/>
  <c r="S678" i="19"/>
  <c r="S679" i="19" s="1"/>
  <c r="S680" i="19" s="1"/>
  <c r="S673" i="19"/>
  <c r="S674" i="19" s="1"/>
  <c r="S675" i="19"/>
  <c r="S676" i="19" s="1"/>
  <c r="S677" i="19" s="1"/>
  <c r="S681" i="19"/>
  <c r="L59" i="19"/>
  <c r="F60" i="19" s="1"/>
  <c r="B82" i="20"/>
  <c r="AC81" i="20"/>
  <c r="U46" i="20"/>
  <c r="J53" i="20"/>
  <c r="K53" i="20" s="1"/>
  <c r="L53" i="20" s="1"/>
  <c r="F54" i="20" s="1"/>
  <c r="S683" i="20"/>
  <c r="S694" i="20"/>
  <c r="AA45" i="17"/>
  <c r="AD45" i="17" s="1"/>
  <c r="D26" i="21" s="1"/>
  <c r="AA45" i="19"/>
  <c r="AD45" i="19" s="1"/>
  <c r="E26" i="21" s="1"/>
  <c r="E46" i="18"/>
  <c r="AA45" i="20"/>
  <c r="AD45" i="20" s="1"/>
  <c r="F26" i="21" s="1"/>
  <c r="H59" i="17"/>
  <c r="C61" i="21"/>
  <c r="A60" i="21"/>
  <c r="B60" i="21" s="1"/>
  <c r="S730" i="17"/>
  <c r="S719" i="17"/>
  <c r="K59" i="19"/>
  <c r="S690" i="20"/>
  <c r="S691" i="20" s="1"/>
  <c r="S692" i="20" s="1"/>
  <c r="S693" i="20"/>
  <c r="S687" i="20"/>
  <c r="S688" i="20" s="1"/>
  <c r="S689" i="20" s="1"/>
  <c r="S685" i="20"/>
  <c r="S686" i="20" s="1"/>
  <c r="S696" i="20"/>
  <c r="U46" i="17"/>
  <c r="S682" i="19"/>
  <c r="S671" i="19"/>
  <c r="H54" i="20" l="1"/>
  <c r="K54" i="20" s="1"/>
  <c r="G46" i="18"/>
  <c r="I46" i="18" s="1"/>
  <c r="AC82" i="17"/>
  <c r="B83" i="17"/>
  <c r="AC85" i="19"/>
  <c r="A85" i="19"/>
  <c r="B86" i="19"/>
  <c r="J28" i="21"/>
  <c r="R48" i="19"/>
  <c r="X46" i="20"/>
  <c r="Y46" i="20" s="1"/>
  <c r="X46" i="17"/>
  <c r="Y46" i="17" s="1"/>
  <c r="S708" i="20"/>
  <c r="S697" i="20"/>
  <c r="S698" i="20" s="1"/>
  <c r="S699" i="20"/>
  <c r="S700" i="20" s="1"/>
  <c r="S701" i="20" s="1"/>
  <c r="S705" i="20"/>
  <c r="S702" i="20"/>
  <c r="S703" i="20" s="1"/>
  <c r="S704" i="20" s="1"/>
  <c r="J59" i="17"/>
  <c r="K59" i="17" s="1"/>
  <c r="S706" i="20"/>
  <c r="S695" i="20"/>
  <c r="H60" i="19"/>
  <c r="K60" i="19" s="1"/>
  <c r="L60" i="19" s="1"/>
  <c r="F61" i="19" s="1"/>
  <c r="A61" i="21"/>
  <c r="B61" i="21" s="1"/>
  <c r="C62" i="21"/>
  <c r="S683" i="19"/>
  <c r="S694" i="19"/>
  <c r="S742" i="17"/>
  <c r="S731" i="17"/>
  <c r="B83" i="20"/>
  <c r="AC82" i="20"/>
  <c r="S696" i="19"/>
  <c r="S687" i="19"/>
  <c r="S688" i="19" s="1"/>
  <c r="S689" i="19" s="1"/>
  <c r="S693" i="19"/>
  <c r="S685" i="19"/>
  <c r="S686" i="19" s="1"/>
  <c r="S690" i="19"/>
  <c r="S691" i="19" s="1"/>
  <c r="S692" i="19" s="1"/>
  <c r="S702" i="17"/>
  <c r="S703" i="17" s="1"/>
  <c r="S704" i="17" s="1"/>
  <c r="S699" i="17"/>
  <c r="S700" i="17" s="1"/>
  <c r="S701" i="17" s="1"/>
  <c r="S705" i="17"/>
  <c r="S708" i="17"/>
  <c r="S697" i="17"/>
  <c r="S698" i="17" s="1"/>
  <c r="R47" i="17" l="1"/>
  <c r="I27" i="21"/>
  <c r="K27" i="21"/>
  <c r="R47" i="20"/>
  <c r="H61" i="19"/>
  <c r="K61" i="19" s="1"/>
  <c r="B84" i="20"/>
  <c r="AC83" i="20"/>
  <c r="S714" i="17"/>
  <c r="S715" i="17" s="1"/>
  <c r="S716" i="17" s="1"/>
  <c r="S711" i="17"/>
  <c r="S712" i="17" s="1"/>
  <c r="S713" i="17" s="1"/>
  <c r="S709" i="17"/>
  <c r="S710" i="17" s="1"/>
  <c r="S717" i="17"/>
  <c r="S720" i="17"/>
  <c r="S754" i="17"/>
  <c r="S755" i="17" s="1"/>
  <c r="S743" i="17"/>
  <c r="B84" i="17"/>
  <c r="AC83" i="17"/>
  <c r="S706" i="19"/>
  <c r="S695" i="19"/>
  <c r="U48" i="19"/>
  <c r="X48" i="19" s="1"/>
  <c r="Y48" i="19" s="1"/>
  <c r="L59" i="17"/>
  <c r="F60" i="17" s="1"/>
  <c r="S699" i="19"/>
  <c r="S700" i="19" s="1"/>
  <c r="S701" i="19" s="1"/>
  <c r="S708" i="19"/>
  <c r="S697" i="19"/>
  <c r="S698" i="19" s="1"/>
  <c r="S702" i="19"/>
  <c r="S703" i="19" s="1"/>
  <c r="S704" i="19" s="1"/>
  <c r="S705" i="19"/>
  <c r="C63" i="21"/>
  <c r="A62" i="21"/>
  <c r="B62" i="21" s="1"/>
  <c r="S707" i="20"/>
  <c r="S718" i="20"/>
  <c r="S714" i="20"/>
  <c r="S715" i="20" s="1"/>
  <c r="S716" i="20" s="1"/>
  <c r="S720" i="20"/>
  <c r="S709" i="20"/>
  <c r="S710" i="20" s="1"/>
  <c r="S711" i="20"/>
  <c r="S712" i="20" s="1"/>
  <c r="S713" i="20" s="1"/>
  <c r="S717" i="20"/>
  <c r="A86" i="19"/>
  <c r="B87" i="19"/>
  <c r="AC86" i="19"/>
  <c r="J46" i="18"/>
  <c r="L54" i="20"/>
  <c r="F55" i="20" s="1"/>
  <c r="J29" i="21" l="1"/>
  <c r="R49" i="19"/>
  <c r="C64" i="21"/>
  <c r="A63" i="21"/>
  <c r="B63" i="21" s="1"/>
  <c r="H60" i="17"/>
  <c r="L61" i="19"/>
  <c r="F62" i="19" s="1"/>
  <c r="S726" i="17"/>
  <c r="S727" i="17" s="1"/>
  <c r="S728" i="17" s="1"/>
  <c r="S723" i="17"/>
  <c r="S724" i="17" s="1"/>
  <c r="S725" i="17" s="1"/>
  <c r="S729" i="17"/>
  <c r="S732" i="17"/>
  <c r="S721" i="17"/>
  <c r="S722" i="17" s="1"/>
  <c r="K55" i="20"/>
  <c r="H55" i="20"/>
  <c r="L55" i="20" s="1"/>
  <c r="F56" i="20" s="1"/>
  <c r="S718" i="19"/>
  <c r="S707" i="19"/>
  <c r="X47" i="17"/>
  <c r="Y47" i="17"/>
  <c r="U47" i="17"/>
  <c r="E47" i="18"/>
  <c r="AA46" i="19"/>
  <c r="AD46" i="19" s="1"/>
  <c r="E27" i="21" s="1"/>
  <c r="AA46" i="20"/>
  <c r="AD46" i="20" s="1"/>
  <c r="F27" i="21" s="1"/>
  <c r="AA46" i="17"/>
  <c r="AD46" i="17" s="1"/>
  <c r="D27" i="21" s="1"/>
  <c r="S729" i="20"/>
  <c r="S732" i="20"/>
  <c r="S726" i="20"/>
  <c r="S727" i="20" s="1"/>
  <c r="S728" i="20" s="1"/>
  <c r="S721" i="20"/>
  <c r="S722" i="20" s="1"/>
  <c r="S723" i="20"/>
  <c r="S724" i="20" s="1"/>
  <c r="S725" i="20" s="1"/>
  <c r="AC84" i="17"/>
  <c r="B85" i="17"/>
  <c r="S720" i="19"/>
  <c r="S717" i="19"/>
  <c r="S709" i="19"/>
  <c r="S710" i="19" s="1"/>
  <c r="S711" i="19"/>
  <c r="S712" i="19" s="1"/>
  <c r="S713" i="19" s="1"/>
  <c r="S714" i="19"/>
  <c r="S715" i="19" s="1"/>
  <c r="S716" i="19" s="1"/>
  <c r="B85" i="20"/>
  <c r="AC84" i="20"/>
  <c r="U47" i="20"/>
  <c r="X47" i="20" s="1"/>
  <c r="A87" i="19"/>
  <c r="AC87" i="19"/>
  <c r="B88" i="19"/>
  <c r="S730" i="20"/>
  <c r="S719" i="20"/>
  <c r="J56" i="20" l="1"/>
  <c r="H56" i="20"/>
  <c r="K56" i="20" s="1"/>
  <c r="L56" i="20" s="1"/>
  <c r="F57" i="20" s="1"/>
  <c r="AC85" i="17"/>
  <c r="B86" i="17"/>
  <c r="R48" i="17"/>
  <c r="AG74" i="21"/>
  <c r="I28" i="21"/>
  <c r="T32" i="2" s="1"/>
  <c r="O6" i="21" s="1"/>
  <c r="U49" i="19"/>
  <c r="Y49" i="19" s="1"/>
  <c r="X49" i="19"/>
  <c r="S738" i="17"/>
  <c r="S739" i="17" s="1"/>
  <c r="S740" i="17" s="1"/>
  <c r="S741" i="17"/>
  <c r="S744" i="17"/>
  <c r="S735" i="17"/>
  <c r="S736" i="17" s="1"/>
  <c r="S737" i="17" s="1"/>
  <c r="S733" i="17"/>
  <c r="S734" i="17" s="1"/>
  <c r="K60" i="17"/>
  <c r="L60" i="17" s="1"/>
  <c r="F61" i="17" s="1"/>
  <c r="S719" i="19"/>
  <c r="S730" i="19"/>
  <c r="G47" i="18"/>
  <c r="I47" i="18" s="1"/>
  <c r="J47" i="18" s="1"/>
  <c r="H47" i="18"/>
  <c r="AC85" i="20"/>
  <c r="B86" i="20"/>
  <c r="H62" i="19"/>
  <c r="Y47" i="20"/>
  <c r="S742" i="20"/>
  <c r="S731" i="20"/>
  <c r="A88" i="19"/>
  <c r="AC88" i="19"/>
  <c r="B89" i="19"/>
  <c r="S723" i="19"/>
  <c r="S724" i="19" s="1"/>
  <c r="S725" i="19" s="1"/>
  <c r="S729" i="19"/>
  <c r="S732" i="19"/>
  <c r="S726" i="19"/>
  <c r="S727" i="19" s="1"/>
  <c r="S728" i="19" s="1"/>
  <c r="S721" i="19"/>
  <c r="S722" i="19" s="1"/>
  <c r="S738" i="20"/>
  <c r="S739" i="20" s="1"/>
  <c r="S740" i="20" s="1"/>
  <c r="S733" i="20"/>
  <c r="S734" i="20" s="1"/>
  <c r="S735" i="20"/>
  <c r="S736" i="20" s="1"/>
  <c r="S737" i="20" s="1"/>
  <c r="S744" i="20"/>
  <c r="S741" i="20"/>
  <c r="C65" i="21"/>
  <c r="A64" i="21"/>
  <c r="B64" i="21" s="1"/>
  <c r="AA47" i="19" l="1"/>
  <c r="AD47" i="19" s="1"/>
  <c r="E28" i="21" s="1"/>
  <c r="AA47" i="17"/>
  <c r="AD47" i="17" s="1"/>
  <c r="D28" i="21" s="1"/>
  <c r="AC43" i="21" s="1"/>
  <c r="AG70" i="21" s="1"/>
  <c r="AG72" i="21" s="1"/>
  <c r="AG77" i="21" s="1"/>
  <c r="P6" i="21" s="1"/>
  <c r="AA47" i="20"/>
  <c r="AD47" i="20" s="1"/>
  <c r="F28" i="21" s="1"/>
  <c r="E48" i="18"/>
  <c r="K61" i="17"/>
  <c r="L61" i="17" s="1"/>
  <c r="F62" i="17" s="1"/>
  <c r="H61" i="17"/>
  <c r="J30" i="21"/>
  <c r="R50" i="19"/>
  <c r="H57" i="20"/>
  <c r="K57" i="20" s="1"/>
  <c r="S745" i="20"/>
  <c r="S746" i="20" s="1"/>
  <c r="S747" i="20"/>
  <c r="S748" i="20" s="1"/>
  <c r="S749" i="20" s="1"/>
  <c r="S750" i="20"/>
  <c r="S751" i="20" s="1"/>
  <c r="S752" i="20" s="1"/>
  <c r="S753" i="20"/>
  <c r="C66" i="21"/>
  <c r="A65" i="21"/>
  <c r="B65" i="21" s="1"/>
  <c r="K28" i="21"/>
  <c r="R48" i="20"/>
  <c r="J62" i="19"/>
  <c r="Q6" i="21"/>
  <c r="R6" i="21"/>
  <c r="S753" i="17"/>
  <c r="S747" i="17"/>
  <c r="S748" i="17" s="1"/>
  <c r="S749" i="17" s="1"/>
  <c r="S745" i="17"/>
  <c r="S746" i="17" s="1"/>
  <c r="S750" i="17"/>
  <c r="S751" i="17" s="1"/>
  <c r="S752" i="17" s="1"/>
  <c r="S743" i="20"/>
  <c r="S754" i="20"/>
  <c r="S755" i="20" s="1"/>
  <c r="B87" i="20"/>
  <c r="AC86" i="20"/>
  <c r="S731" i="19"/>
  <c r="S742" i="19"/>
  <c r="S744" i="19"/>
  <c r="S735" i="19"/>
  <c r="S736" i="19" s="1"/>
  <c r="S737" i="19" s="1"/>
  <c r="S738" i="19"/>
  <c r="S739" i="19" s="1"/>
  <c r="S740" i="19" s="1"/>
  <c r="S733" i="19"/>
  <c r="S734" i="19" s="1"/>
  <c r="S741" i="19"/>
  <c r="X48" i="17"/>
  <c r="Y48" i="17" s="1"/>
  <c r="U48" i="17"/>
  <c r="A89" i="19"/>
  <c r="AC89" i="19"/>
  <c r="B90" i="19"/>
  <c r="AC86" i="17"/>
  <c r="B87" i="17"/>
  <c r="I29" i="21" l="1"/>
  <c r="R49" i="17"/>
  <c r="H62" i="17"/>
  <c r="J62" i="17" s="1"/>
  <c r="A66" i="21"/>
  <c r="B66" i="21" s="1"/>
  <c r="C67" i="21"/>
  <c r="L57" i="20"/>
  <c r="F58" i="20" s="1"/>
  <c r="S747" i="19"/>
  <c r="S748" i="19" s="1"/>
  <c r="S749" i="19" s="1"/>
  <c r="S750" i="19"/>
  <c r="S751" i="19" s="1"/>
  <c r="S752" i="19" s="1"/>
  <c r="S753" i="19"/>
  <c r="S745" i="19"/>
  <c r="S746" i="19" s="1"/>
  <c r="S754" i="19"/>
  <c r="S755" i="19" s="1"/>
  <c r="S743" i="19"/>
  <c r="B91" i="19"/>
  <c r="A90" i="19"/>
  <c r="AC90" i="19"/>
  <c r="G48" i="18"/>
  <c r="J48" i="18" s="1"/>
  <c r="I48" i="18"/>
  <c r="AC87" i="20"/>
  <c r="B88" i="20"/>
  <c r="B88" i="17"/>
  <c r="AC87" i="17"/>
  <c r="U48" i="20"/>
  <c r="X48" i="20" s="1"/>
  <c r="Y48" i="20" s="1"/>
  <c r="U50" i="19"/>
  <c r="X50" i="19"/>
  <c r="Y50" i="19"/>
  <c r="K62" i="19"/>
  <c r="L62" i="19" s="1"/>
  <c r="F63" i="19" s="1"/>
  <c r="R49" i="20" l="1"/>
  <c r="K29" i="21"/>
  <c r="AA48" i="19"/>
  <c r="AD48" i="19" s="1"/>
  <c r="E29" i="21" s="1"/>
  <c r="E49" i="18"/>
  <c r="AA48" i="17"/>
  <c r="AD48" i="17" s="1"/>
  <c r="D29" i="21" s="1"/>
  <c r="AA48" i="20"/>
  <c r="AD48" i="20" s="1"/>
  <c r="F29" i="21" s="1"/>
  <c r="K63" i="19"/>
  <c r="L63" i="19"/>
  <c r="F64" i="19" s="1"/>
  <c r="H63" i="19"/>
  <c r="A67" i="21"/>
  <c r="B67" i="21" s="1"/>
  <c r="C68" i="21"/>
  <c r="J31" i="21"/>
  <c r="R51" i="19"/>
  <c r="B89" i="17"/>
  <c r="AC88" i="17"/>
  <c r="AC88" i="20"/>
  <c r="B89" i="20"/>
  <c r="K62" i="17"/>
  <c r="L62" i="17" s="1"/>
  <c r="F63" i="17" s="1"/>
  <c r="X49" i="17"/>
  <c r="U49" i="17"/>
  <c r="Y49" i="17" s="1"/>
  <c r="A91" i="19"/>
  <c r="B92" i="19"/>
  <c r="AC91" i="19"/>
  <c r="K58" i="20"/>
  <c r="L58" i="20" s="1"/>
  <c r="F59" i="20" s="1"/>
  <c r="H58" i="20"/>
  <c r="J59" i="20" l="1"/>
  <c r="H59" i="20"/>
  <c r="K59" i="20" s="1"/>
  <c r="I30" i="21"/>
  <c r="R50" i="17"/>
  <c r="H63" i="17"/>
  <c r="K63" i="17" s="1"/>
  <c r="H64" i="19"/>
  <c r="K64" i="19" s="1"/>
  <c r="B90" i="20"/>
  <c r="AC89" i="20"/>
  <c r="C69" i="21"/>
  <c r="A68" i="21"/>
  <c r="B68" i="21" s="1"/>
  <c r="AC89" i="17"/>
  <c r="B90" i="17"/>
  <c r="U51" i="19"/>
  <c r="X51" i="19"/>
  <c r="Y51" i="19" s="1"/>
  <c r="X49" i="20"/>
  <c r="U49" i="20"/>
  <c r="Y49" i="20" s="1"/>
  <c r="B93" i="19"/>
  <c r="AC92" i="19"/>
  <c r="A92" i="19"/>
  <c r="G49" i="18"/>
  <c r="I49" i="18" s="1"/>
  <c r="J49" i="18" s="1"/>
  <c r="K30" i="21" l="1"/>
  <c r="R50" i="20"/>
  <c r="E50" i="18"/>
  <c r="AA49" i="17"/>
  <c r="AD49" i="17" s="1"/>
  <c r="D30" i="21" s="1"/>
  <c r="AA49" i="19"/>
  <c r="AD49" i="19" s="1"/>
  <c r="E30" i="21" s="1"/>
  <c r="AA49" i="20"/>
  <c r="AD49" i="20" s="1"/>
  <c r="F30" i="21" s="1"/>
  <c r="R52" i="19"/>
  <c r="J32" i="21"/>
  <c r="AC90" i="17"/>
  <c r="B91" i="17"/>
  <c r="L64" i="19"/>
  <c r="F65" i="19" s="1"/>
  <c r="X50" i="17"/>
  <c r="U50" i="17"/>
  <c r="Y50" i="17" s="1"/>
  <c r="AC93" i="19"/>
  <c r="A93" i="19"/>
  <c r="B94" i="19"/>
  <c r="A69" i="21"/>
  <c r="B69" i="21" s="1"/>
  <c r="C70" i="21"/>
  <c r="L63" i="17"/>
  <c r="F64" i="17" s="1"/>
  <c r="L59" i="20"/>
  <c r="F60" i="20" s="1"/>
  <c r="B91" i="20"/>
  <c r="AC90" i="20"/>
  <c r="I31" i="21" l="1"/>
  <c r="R51" i="17"/>
  <c r="AC94" i="19"/>
  <c r="A94" i="19"/>
  <c r="B95" i="19"/>
  <c r="B92" i="20"/>
  <c r="AC91" i="20"/>
  <c r="B92" i="17"/>
  <c r="AC91" i="17"/>
  <c r="H65" i="19"/>
  <c r="H60" i="20"/>
  <c r="K60" i="20" s="1"/>
  <c r="L60" i="20" s="1"/>
  <c r="F61" i="20" s="1"/>
  <c r="G50" i="18"/>
  <c r="I50" i="18"/>
  <c r="H64" i="17"/>
  <c r="K64" i="17" s="1"/>
  <c r="X50" i="20"/>
  <c r="U50" i="20"/>
  <c r="Y50" i="20" s="1"/>
  <c r="C71" i="21"/>
  <c r="A70" i="21"/>
  <c r="B70" i="21" s="1"/>
  <c r="U52" i="19"/>
  <c r="Y52" i="19" s="1"/>
  <c r="X52" i="19"/>
  <c r="K31" i="21" l="1"/>
  <c r="R51" i="20"/>
  <c r="J33" i="21"/>
  <c r="R53" i="19"/>
  <c r="J50" i="18"/>
  <c r="H61" i="20"/>
  <c r="K61" i="20" s="1"/>
  <c r="L61" i="20" s="1"/>
  <c r="F62" i="20" s="1"/>
  <c r="B93" i="20"/>
  <c r="AC92" i="20"/>
  <c r="A95" i="19"/>
  <c r="B96" i="19"/>
  <c r="AC95" i="19"/>
  <c r="L64" i="17"/>
  <c r="F65" i="17" s="1"/>
  <c r="J65" i="19"/>
  <c r="K65" i="19" s="1"/>
  <c r="A71" i="21"/>
  <c r="B71" i="21" s="1"/>
  <c r="C72" i="21"/>
  <c r="H50" i="18"/>
  <c r="AC92" i="17"/>
  <c r="B93" i="17"/>
  <c r="X51" i="17"/>
  <c r="Y51" i="17" s="1"/>
  <c r="U51" i="17"/>
  <c r="R52" i="17" l="1"/>
  <c r="I32" i="21"/>
  <c r="J62" i="20"/>
  <c r="H62" i="20"/>
  <c r="K62" i="20" s="1"/>
  <c r="E51" i="18"/>
  <c r="AA50" i="19"/>
  <c r="AD50" i="19" s="1"/>
  <c r="E31" i="21" s="1"/>
  <c r="AA50" i="20"/>
  <c r="AD50" i="20" s="1"/>
  <c r="F31" i="21" s="1"/>
  <c r="AA50" i="17"/>
  <c r="AD50" i="17" s="1"/>
  <c r="D31" i="21" s="1"/>
  <c r="B94" i="17"/>
  <c r="AC93" i="17"/>
  <c r="L65" i="19"/>
  <c r="F66" i="19" s="1"/>
  <c r="B94" i="20"/>
  <c r="AC93" i="20"/>
  <c r="U53" i="19"/>
  <c r="X53" i="19"/>
  <c r="Y53" i="19"/>
  <c r="J65" i="17"/>
  <c r="K65" i="17" s="1"/>
  <c r="H65" i="17"/>
  <c r="X51" i="20"/>
  <c r="Y51" i="20"/>
  <c r="U51" i="20"/>
  <c r="C73" i="21"/>
  <c r="A72" i="21"/>
  <c r="B72" i="21" s="1"/>
  <c r="B97" i="19"/>
  <c r="AC96" i="19"/>
  <c r="A96" i="19"/>
  <c r="R52" i="20" l="1"/>
  <c r="K32" i="21"/>
  <c r="AC94" i="17"/>
  <c r="B95" i="17"/>
  <c r="L62" i="20"/>
  <c r="F63" i="20" s="1"/>
  <c r="J34" i="21"/>
  <c r="R54" i="19"/>
  <c r="AC97" i="19"/>
  <c r="B98" i="19"/>
  <c r="A97" i="19"/>
  <c r="C74" i="21"/>
  <c r="A73" i="21"/>
  <c r="B73" i="21" s="1"/>
  <c r="L65" i="17"/>
  <c r="F66" i="17" s="1"/>
  <c r="B95" i="20"/>
  <c r="AC94" i="20"/>
  <c r="H66" i="19"/>
  <c r="L66" i="19" s="1"/>
  <c r="F67" i="19" s="1"/>
  <c r="K66" i="19"/>
  <c r="G51" i="18"/>
  <c r="I51" i="18"/>
  <c r="J51" i="18"/>
  <c r="U52" i="17"/>
  <c r="K67" i="19" l="1"/>
  <c r="H67" i="19"/>
  <c r="L67" i="19" s="1"/>
  <c r="F68" i="19" s="1"/>
  <c r="A74" i="21"/>
  <c r="B74" i="21" s="1"/>
  <c r="C75" i="21"/>
  <c r="K63" i="20"/>
  <c r="H63" i="20"/>
  <c r="L63" i="20" s="1"/>
  <c r="F64" i="20" s="1"/>
  <c r="X52" i="17"/>
  <c r="Y52" i="17" s="1"/>
  <c r="B96" i="17"/>
  <c r="AC95" i="17"/>
  <c r="AA51" i="19"/>
  <c r="AD51" i="19" s="1"/>
  <c r="E32" i="21" s="1"/>
  <c r="AA51" i="20"/>
  <c r="AD51" i="20" s="1"/>
  <c r="F32" i="21" s="1"/>
  <c r="AA51" i="17"/>
  <c r="AD51" i="17" s="1"/>
  <c r="D32" i="21" s="1"/>
  <c r="E52" i="18"/>
  <c r="A98" i="19"/>
  <c r="AC98" i="19"/>
  <c r="B99" i="19"/>
  <c r="B96" i="20"/>
  <c r="AC95" i="20"/>
  <c r="H66" i="17"/>
  <c r="K66" i="17" s="1"/>
  <c r="U54" i="19"/>
  <c r="X54" i="19" s="1"/>
  <c r="U52" i="20"/>
  <c r="X52" i="20" s="1"/>
  <c r="R53" i="17" l="1"/>
  <c r="I33" i="21"/>
  <c r="K64" i="20"/>
  <c r="H64" i="20"/>
  <c r="L64" i="20" s="1"/>
  <c r="F65" i="20" s="1"/>
  <c r="H68" i="19"/>
  <c r="C76" i="21"/>
  <c r="A75" i="21"/>
  <c r="B75" i="21" s="1"/>
  <c r="Y52" i="20"/>
  <c r="L66" i="17"/>
  <c r="F67" i="17" s="1"/>
  <c r="B97" i="17"/>
  <c r="AC96" i="17"/>
  <c r="G52" i="18"/>
  <c r="I52" i="18" s="1"/>
  <c r="B100" i="19"/>
  <c r="AC99" i="19"/>
  <c r="A99" i="19"/>
  <c r="Y54" i="19"/>
  <c r="B97" i="20"/>
  <c r="AC96" i="20"/>
  <c r="J65" i="20" l="1"/>
  <c r="H65" i="20"/>
  <c r="K65" i="20" s="1"/>
  <c r="J68" i="19"/>
  <c r="K68" i="19" s="1"/>
  <c r="L68" i="19" s="1"/>
  <c r="F69" i="19" s="1"/>
  <c r="A100" i="19"/>
  <c r="AC100" i="19"/>
  <c r="B101" i="19"/>
  <c r="K33" i="21"/>
  <c r="R53" i="20"/>
  <c r="AC97" i="20"/>
  <c r="B98" i="20"/>
  <c r="J52" i="18"/>
  <c r="R55" i="19"/>
  <c r="J35" i="21"/>
  <c r="C77" i="21"/>
  <c r="A76" i="21"/>
  <c r="B76" i="21" s="1"/>
  <c r="B98" i="17"/>
  <c r="AC97" i="17"/>
  <c r="H67" i="17"/>
  <c r="K67" i="17" s="1"/>
  <c r="X53" i="17"/>
  <c r="U53" i="17"/>
  <c r="Y53" i="17" s="1"/>
  <c r="H69" i="19" l="1"/>
  <c r="K69" i="19"/>
  <c r="L69" i="19"/>
  <c r="F70" i="19" s="1"/>
  <c r="I34" i="21"/>
  <c r="R54" i="17"/>
  <c r="C78" i="21"/>
  <c r="A77" i="21"/>
  <c r="B77" i="21" s="1"/>
  <c r="X53" i="20"/>
  <c r="U53" i="20"/>
  <c r="Y53" i="20" s="1"/>
  <c r="L67" i="17"/>
  <c r="F68" i="17" s="1"/>
  <c r="L65" i="20"/>
  <c r="F66" i="20" s="1"/>
  <c r="U55" i="19"/>
  <c r="X55" i="19"/>
  <c r="Y55" i="19"/>
  <c r="AC101" i="19"/>
  <c r="B102" i="19"/>
  <c r="A101" i="19"/>
  <c r="AA52" i="17"/>
  <c r="AD52" i="17" s="1"/>
  <c r="D33" i="21" s="1"/>
  <c r="AA52" i="19"/>
  <c r="AD52" i="19" s="1"/>
  <c r="E33" i="21" s="1"/>
  <c r="AA52" i="20"/>
  <c r="AD52" i="20" s="1"/>
  <c r="F33" i="21" s="1"/>
  <c r="E53" i="18"/>
  <c r="AC98" i="17"/>
  <c r="B99" i="17"/>
  <c r="AC98" i="20"/>
  <c r="B99" i="20"/>
  <c r="R54" i="20" l="1"/>
  <c r="K34" i="21"/>
  <c r="H68" i="17"/>
  <c r="X54" i="17"/>
  <c r="U54" i="17"/>
  <c r="Y54" i="17" s="1"/>
  <c r="H66" i="20"/>
  <c r="K66" i="20" s="1"/>
  <c r="AC102" i="19"/>
  <c r="A102" i="19"/>
  <c r="B103" i="19"/>
  <c r="G53" i="18"/>
  <c r="I53" i="18"/>
  <c r="H53" i="18"/>
  <c r="J53" i="18" s="1"/>
  <c r="A78" i="21"/>
  <c r="B78" i="21" s="1"/>
  <c r="C79" i="21"/>
  <c r="J36" i="21"/>
  <c r="R56" i="19"/>
  <c r="AC99" i="20"/>
  <c r="B100" i="20"/>
  <c r="AC99" i="17"/>
  <c r="B100" i="17"/>
  <c r="H70" i="19"/>
  <c r="K70" i="19"/>
  <c r="L70" i="19"/>
  <c r="F71" i="19" s="1"/>
  <c r="AA53" i="17" l="1"/>
  <c r="AD53" i="17" s="1"/>
  <c r="D34" i="21" s="1"/>
  <c r="AA53" i="20"/>
  <c r="AD53" i="20" s="1"/>
  <c r="F34" i="21" s="1"/>
  <c r="AA53" i="19"/>
  <c r="AD53" i="19" s="1"/>
  <c r="E34" i="21" s="1"/>
  <c r="E54" i="18"/>
  <c r="R55" i="17"/>
  <c r="I35" i="21"/>
  <c r="H71" i="19"/>
  <c r="AC100" i="20"/>
  <c r="B101" i="20"/>
  <c r="U56" i="19"/>
  <c r="X56" i="19" s="1"/>
  <c r="Y56" i="19" s="1"/>
  <c r="L66" i="20"/>
  <c r="F67" i="20" s="1"/>
  <c r="J68" i="17"/>
  <c r="K68" i="17" s="1"/>
  <c r="L68" i="17" s="1"/>
  <c r="F69" i="17" s="1"/>
  <c r="B101" i="17"/>
  <c r="AC100" i="17"/>
  <c r="C80" i="21"/>
  <c r="A79" i="21"/>
  <c r="B79" i="21" s="1"/>
  <c r="AC103" i="19"/>
  <c r="B104" i="19"/>
  <c r="A103" i="19"/>
  <c r="U54" i="20"/>
  <c r="X54" i="20" s="1"/>
  <c r="H69" i="17" l="1"/>
  <c r="K69" i="17" s="1"/>
  <c r="J37" i="21"/>
  <c r="R57" i="19"/>
  <c r="U55" i="17"/>
  <c r="X55" i="17" s="1"/>
  <c r="A80" i="21"/>
  <c r="B80" i="21" s="1"/>
  <c r="C81" i="21"/>
  <c r="J71" i="19"/>
  <c r="K71" i="19" s="1"/>
  <c r="G54" i="18"/>
  <c r="J54" i="18" s="1"/>
  <c r="I54" i="18"/>
  <c r="Y54" i="20"/>
  <c r="B102" i="17"/>
  <c r="AC101" i="17"/>
  <c r="B102" i="20"/>
  <c r="AC101" i="20"/>
  <c r="H67" i="20"/>
  <c r="K67" i="20" s="1"/>
  <c r="B105" i="19"/>
  <c r="A104" i="19"/>
  <c r="AC104" i="19"/>
  <c r="AA54" i="17" l="1"/>
  <c r="AD54" i="17" s="1"/>
  <c r="D35" i="21" s="1"/>
  <c r="AA54" i="20"/>
  <c r="AD54" i="20" s="1"/>
  <c r="F35" i="21" s="1"/>
  <c r="E55" i="18"/>
  <c r="AA54" i="19"/>
  <c r="AD54" i="19" s="1"/>
  <c r="E35" i="21" s="1"/>
  <c r="L71" i="19"/>
  <c r="F72" i="19" s="1"/>
  <c r="L67" i="20"/>
  <c r="F68" i="20" s="1"/>
  <c r="B103" i="17"/>
  <c r="AC102" i="17"/>
  <c r="U57" i="19"/>
  <c r="X57" i="19"/>
  <c r="Y57" i="19"/>
  <c r="Y55" i="17"/>
  <c r="L69" i="17"/>
  <c r="F70" i="17" s="1"/>
  <c r="B106" i="19"/>
  <c r="A105" i="19"/>
  <c r="AC105" i="19"/>
  <c r="C82" i="21"/>
  <c r="A81" i="21"/>
  <c r="B81" i="21" s="1"/>
  <c r="K35" i="21"/>
  <c r="R55" i="20"/>
  <c r="AC102" i="20"/>
  <c r="B103" i="20"/>
  <c r="R58" i="19" l="1"/>
  <c r="J38" i="21"/>
  <c r="H68" i="20"/>
  <c r="J68" i="20" s="1"/>
  <c r="A82" i="21"/>
  <c r="B82" i="21" s="1"/>
  <c r="C83" i="21"/>
  <c r="AC103" i="20"/>
  <c r="B104" i="20"/>
  <c r="G55" i="18"/>
  <c r="I55" i="18" s="1"/>
  <c r="U55" i="20"/>
  <c r="X55" i="20" s="1"/>
  <c r="AC106" i="19"/>
  <c r="B107" i="19"/>
  <c r="A106" i="19"/>
  <c r="I36" i="21"/>
  <c r="R56" i="17"/>
  <c r="H72" i="19"/>
  <c r="K72" i="19" s="1"/>
  <c r="L72" i="19" s="1"/>
  <c r="F73" i="19" s="1"/>
  <c r="K70" i="17"/>
  <c r="H70" i="17"/>
  <c r="L70" i="17" s="1"/>
  <c r="F71" i="17" s="1"/>
  <c r="B104" i="17"/>
  <c r="AC103" i="17"/>
  <c r="J71" i="17" l="1"/>
  <c r="H71" i="17"/>
  <c r="K71" i="17" s="1"/>
  <c r="H73" i="19"/>
  <c r="K68" i="20"/>
  <c r="AC104" i="20"/>
  <c r="B105" i="20"/>
  <c r="L68" i="20"/>
  <c r="F69" i="20" s="1"/>
  <c r="J55" i="18"/>
  <c r="X56" i="17"/>
  <c r="U56" i="17"/>
  <c r="Y56" i="17" s="1"/>
  <c r="Y55" i="20"/>
  <c r="AC107" i="19"/>
  <c r="A107" i="19"/>
  <c r="B108" i="19"/>
  <c r="AC104" i="17"/>
  <c r="B105" i="17"/>
  <c r="C84" i="21"/>
  <c r="A83" i="21"/>
  <c r="B83" i="21" s="1"/>
  <c r="U58" i="19"/>
  <c r="X58" i="19" s="1"/>
  <c r="I37" i="21" l="1"/>
  <c r="R57" i="17"/>
  <c r="L73" i="19"/>
  <c r="F74" i="19" s="1"/>
  <c r="K73" i="19"/>
  <c r="B106" i="20"/>
  <c r="AC105" i="20"/>
  <c r="B109" i="19"/>
  <c r="A108" i="19"/>
  <c r="AC108" i="19"/>
  <c r="H69" i="20"/>
  <c r="K69" i="20" s="1"/>
  <c r="R56" i="20"/>
  <c r="K36" i="21"/>
  <c r="AC105" i="17"/>
  <c r="B106" i="17"/>
  <c r="L71" i="17"/>
  <c r="F72" i="17" s="1"/>
  <c r="Y58" i="19"/>
  <c r="AA55" i="17"/>
  <c r="AD55" i="17" s="1"/>
  <c r="D36" i="21" s="1"/>
  <c r="AA55" i="20"/>
  <c r="AD55" i="20" s="1"/>
  <c r="F36" i="21" s="1"/>
  <c r="E56" i="18"/>
  <c r="AA55" i="19"/>
  <c r="AD55" i="19" s="1"/>
  <c r="E36" i="21" s="1"/>
  <c r="C85" i="21"/>
  <c r="A84" i="21"/>
  <c r="B84" i="21" s="1"/>
  <c r="J39" i="21" l="1"/>
  <c r="R59" i="19"/>
  <c r="L69" i="20"/>
  <c r="F70" i="20" s="1"/>
  <c r="AC106" i="20"/>
  <c r="B107" i="20"/>
  <c r="AC106" i="17"/>
  <c r="B107" i="17"/>
  <c r="A85" i="21"/>
  <c r="B85" i="21" s="1"/>
  <c r="C86" i="21"/>
  <c r="G56" i="18"/>
  <c r="I56" i="18" s="1"/>
  <c r="K72" i="17"/>
  <c r="L72" i="17"/>
  <c r="F73" i="17" s="1"/>
  <c r="H72" i="17"/>
  <c r="J74" i="19"/>
  <c r="L74" i="19"/>
  <c r="F75" i="19" s="1"/>
  <c r="H74" i="19"/>
  <c r="K74" i="19"/>
  <c r="U57" i="17"/>
  <c r="X57" i="17" s="1"/>
  <c r="Y57" i="17" s="1"/>
  <c r="U56" i="20"/>
  <c r="X56" i="20" s="1"/>
  <c r="Y56" i="20" s="1"/>
  <c r="A109" i="19"/>
  <c r="AC109" i="19"/>
  <c r="B110" i="19"/>
  <c r="I38" i="21" l="1"/>
  <c r="R58" i="17"/>
  <c r="K37" i="21"/>
  <c r="R57" i="20"/>
  <c r="H75" i="19"/>
  <c r="K75" i="19" s="1"/>
  <c r="B111" i="19"/>
  <c r="A110" i="19"/>
  <c r="AC110" i="19"/>
  <c r="B108" i="20"/>
  <c r="AC107" i="20"/>
  <c r="H56" i="18"/>
  <c r="J56" i="18" s="1"/>
  <c r="K73" i="17"/>
  <c r="L73" i="17" s="1"/>
  <c r="F74" i="17" s="1"/>
  <c r="H73" i="17"/>
  <c r="C87" i="21"/>
  <c r="A86" i="21"/>
  <c r="B86" i="21" s="1"/>
  <c r="U59" i="19"/>
  <c r="X59" i="19"/>
  <c r="Y59" i="19" s="1"/>
  <c r="K70" i="20"/>
  <c r="L70" i="20"/>
  <c r="F71" i="20" s="1"/>
  <c r="H70" i="20"/>
  <c r="AC107" i="17"/>
  <c r="B108" i="17"/>
  <c r="H74" i="17" l="1"/>
  <c r="R60" i="19"/>
  <c r="J40" i="21"/>
  <c r="E57" i="18"/>
  <c r="AA56" i="20"/>
  <c r="AD56" i="20" s="1"/>
  <c r="F37" i="21" s="1"/>
  <c r="AA56" i="17"/>
  <c r="AD56" i="17" s="1"/>
  <c r="D37" i="21" s="1"/>
  <c r="AA56" i="19"/>
  <c r="AD56" i="19" s="1"/>
  <c r="E37" i="21" s="1"/>
  <c r="B109" i="20"/>
  <c r="AC108" i="20"/>
  <c r="L75" i="19"/>
  <c r="F76" i="19" s="1"/>
  <c r="A87" i="21"/>
  <c r="B87" i="21" s="1"/>
  <c r="C88" i="21"/>
  <c r="U57" i="20"/>
  <c r="X57" i="20" s="1"/>
  <c r="H71" i="20"/>
  <c r="AC108" i="17"/>
  <c r="B109" i="17"/>
  <c r="A111" i="19"/>
  <c r="AC111" i="19"/>
  <c r="B112" i="19"/>
  <c r="U58" i="17"/>
  <c r="X58" i="17" s="1"/>
  <c r="Y58" i="17" l="1"/>
  <c r="Y57" i="20"/>
  <c r="B110" i="20"/>
  <c r="AC109" i="20"/>
  <c r="U60" i="19"/>
  <c r="X60" i="19"/>
  <c r="Y60" i="19"/>
  <c r="B110" i="17"/>
  <c r="AC109" i="17"/>
  <c r="AC112" i="19"/>
  <c r="B113" i="19"/>
  <c r="A112" i="19"/>
  <c r="C89" i="21"/>
  <c r="A88" i="21"/>
  <c r="B88" i="21" s="1"/>
  <c r="K71" i="20"/>
  <c r="L71" i="20" s="1"/>
  <c r="F72" i="20" s="1"/>
  <c r="K74" i="17"/>
  <c r="J71" i="20"/>
  <c r="J74" i="17"/>
  <c r="L74" i="17" s="1"/>
  <c r="F75" i="17" s="1"/>
  <c r="H76" i="19"/>
  <c r="K76" i="19" s="1"/>
  <c r="G57" i="18"/>
  <c r="I57" i="18" s="1"/>
  <c r="H75" i="17" l="1"/>
  <c r="K75" i="17" s="1"/>
  <c r="H72" i="20"/>
  <c r="L76" i="19"/>
  <c r="F77" i="19" s="1"/>
  <c r="B111" i="20"/>
  <c r="AC110" i="20"/>
  <c r="B111" i="17"/>
  <c r="AC110" i="17"/>
  <c r="R58" i="20"/>
  <c r="K38" i="21"/>
  <c r="A89" i="21"/>
  <c r="B89" i="21" s="1"/>
  <c r="C90" i="21"/>
  <c r="J41" i="21"/>
  <c r="R61" i="19"/>
  <c r="R59" i="17"/>
  <c r="I39" i="21"/>
  <c r="J57" i="18"/>
  <c r="AC113" i="19"/>
  <c r="B114" i="19"/>
  <c r="A113" i="19"/>
  <c r="L72" i="20" l="1"/>
  <c r="F73" i="20" s="1"/>
  <c r="E58" i="18"/>
  <c r="AA57" i="17"/>
  <c r="AD57" i="17" s="1"/>
  <c r="D38" i="21" s="1"/>
  <c r="AA57" i="19"/>
  <c r="AD57" i="19" s="1"/>
  <c r="E38" i="21" s="1"/>
  <c r="AA57" i="20"/>
  <c r="AD57" i="20" s="1"/>
  <c r="F38" i="21" s="1"/>
  <c r="K72" i="20"/>
  <c r="U59" i="17"/>
  <c r="X59" i="17" s="1"/>
  <c r="U58" i="20"/>
  <c r="X58" i="20" s="1"/>
  <c r="Y58" i="20" s="1"/>
  <c r="U61" i="19"/>
  <c r="X61" i="19" s="1"/>
  <c r="Y61" i="19" s="1"/>
  <c r="AC114" i="19"/>
  <c r="B115" i="19"/>
  <c r="A114" i="19"/>
  <c r="AC111" i="17"/>
  <c r="B112" i="17"/>
  <c r="AC111" i="20"/>
  <c r="B112" i="20"/>
  <c r="L75" i="17"/>
  <c r="F76" i="17" s="1"/>
  <c r="A90" i="21"/>
  <c r="B90" i="21" s="1"/>
  <c r="C91" i="21"/>
  <c r="H77" i="19"/>
  <c r="J77" i="19" s="1"/>
  <c r="K77" i="19" s="1"/>
  <c r="R62" i="19" l="1"/>
  <c r="J42" i="21"/>
  <c r="R59" i="20"/>
  <c r="K39" i="21"/>
  <c r="C92" i="21"/>
  <c r="A91" i="21"/>
  <c r="B91" i="21" s="1"/>
  <c r="Y59" i="17"/>
  <c r="A115" i="19"/>
  <c r="AC115" i="19"/>
  <c r="B116" i="19"/>
  <c r="K76" i="17"/>
  <c r="L76" i="17"/>
  <c r="F77" i="17" s="1"/>
  <c r="H76" i="17"/>
  <c r="L77" i="19"/>
  <c r="F78" i="19" s="1"/>
  <c r="B113" i="20"/>
  <c r="AC112" i="20"/>
  <c r="AC112" i="17"/>
  <c r="B113" i="17"/>
  <c r="G58" i="18"/>
  <c r="I58" i="18" s="1"/>
  <c r="H73" i="20"/>
  <c r="K73" i="20" s="1"/>
  <c r="B114" i="17" l="1"/>
  <c r="AC113" i="17"/>
  <c r="A92" i="21"/>
  <c r="B92" i="21" s="1"/>
  <c r="C93" i="21"/>
  <c r="J77" i="17"/>
  <c r="K77" i="17"/>
  <c r="H77" i="17"/>
  <c r="L77" i="17" s="1"/>
  <c r="F78" i="17" s="1"/>
  <c r="L73" i="20"/>
  <c r="F74" i="20" s="1"/>
  <c r="A116" i="19"/>
  <c r="AC116" i="19"/>
  <c r="B117" i="19"/>
  <c r="J58" i="18"/>
  <c r="AC113" i="20"/>
  <c r="B114" i="20"/>
  <c r="U59" i="20"/>
  <c r="X59" i="20" s="1"/>
  <c r="H78" i="19"/>
  <c r="L78" i="19" s="1"/>
  <c r="F79" i="19" s="1"/>
  <c r="K78" i="19"/>
  <c r="AH74" i="21"/>
  <c r="I40" i="21"/>
  <c r="T33" i="2" s="1"/>
  <c r="O7" i="21" s="1"/>
  <c r="R60" i="17"/>
  <c r="U62" i="19"/>
  <c r="X62" i="19"/>
  <c r="Y62" i="19"/>
  <c r="H79" i="19" l="1"/>
  <c r="K79" i="19" s="1"/>
  <c r="L79" i="19" s="1"/>
  <c r="F80" i="19" s="1"/>
  <c r="H78" i="17"/>
  <c r="K78" i="17" s="1"/>
  <c r="J43" i="21"/>
  <c r="R63" i="19"/>
  <c r="U60" i="17"/>
  <c r="X60" i="17" s="1"/>
  <c r="A117" i="19"/>
  <c r="AC117" i="19"/>
  <c r="B118" i="19"/>
  <c r="Y59" i="20"/>
  <c r="R7" i="21"/>
  <c r="Q7" i="21"/>
  <c r="C94" i="21"/>
  <c r="A93" i="21"/>
  <c r="B93" i="21" s="1"/>
  <c r="AC114" i="20"/>
  <c r="B115" i="20"/>
  <c r="J74" i="20"/>
  <c r="L74" i="20" s="1"/>
  <c r="F75" i="20" s="1"/>
  <c r="K74" i="20"/>
  <c r="H74" i="20"/>
  <c r="AA58" i="19"/>
  <c r="AD58" i="19" s="1"/>
  <c r="E39" i="21" s="1"/>
  <c r="AA58" i="17"/>
  <c r="AD58" i="17" s="1"/>
  <c r="D39" i="21" s="1"/>
  <c r="E59" i="18"/>
  <c r="AA58" i="20"/>
  <c r="AD58" i="20" s="1"/>
  <c r="F39" i="21" s="1"/>
  <c r="B115" i="17"/>
  <c r="AC114" i="17"/>
  <c r="K75" i="20" l="1"/>
  <c r="H75" i="20"/>
  <c r="L75" i="20" s="1"/>
  <c r="F76" i="20" s="1"/>
  <c r="J80" i="19"/>
  <c r="K80" i="19"/>
  <c r="L80" i="19"/>
  <c r="F81" i="19" s="1"/>
  <c r="H80" i="19"/>
  <c r="L78" i="17"/>
  <c r="F79" i="17" s="1"/>
  <c r="G59" i="18"/>
  <c r="I59" i="18" s="1"/>
  <c r="H59" i="18"/>
  <c r="Y60" i="17"/>
  <c r="AC115" i="20"/>
  <c r="B116" i="20"/>
  <c r="R60" i="20"/>
  <c r="K40" i="21"/>
  <c r="AC118" i="19"/>
  <c r="A118" i="19"/>
  <c r="B119" i="19"/>
  <c r="U63" i="19"/>
  <c r="Y63" i="19" s="1"/>
  <c r="X63" i="19"/>
  <c r="B116" i="17"/>
  <c r="AC115" i="17"/>
  <c r="C95" i="21"/>
  <c r="A94" i="21"/>
  <c r="B94" i="21" s="1"/>
  <c r="H76" i="20" l="1"/>
  <c r="K76" i="20" s="1"/>
  <c r="L76" i="20" s="1"/>
  <c r="F77" i="20" s="1"/>
  <c r="J44" i="21"/>
  <c r="R64" i="19"/>
  <c r="B117" i="17"/>
  <c r="AC116" i="17"/>
  <c r="H81" i="19"/>
  <c r="L81" i="19" s="1"/>
  <c r="F82" i="19" s="1"/>
  <c r="K81" i="19"/>
  <c r="J59" i="18"/>
  <c r="B117" i="20"/>
  <c r="AC116" i="20"/>
  <c r="U60" i="20"/>
  <c r="B120" i="19"/>
  <c r="A119" i="19"/>
  <c r="AC119" i="19"/>
  <c r="H79" i="17"/>
  <c r="K79" i="17" s="1"/>
  <c r="C96" i="21"/>
  <c r="A95" i="21"/>
  <c r="B95" i="21" s="1"/>
  <c r="R61" i="17"/>
  <c r="I41" i="21"/>
  <c r="H82" i="19" l="1"/>
  <c r="K82" i="19" s="1"/>
  <c r="J77" i="20"/>
  <c r="L77" i="20" s="1"/>
  <c r="F78" i="20" s="1"/>
  <c r="K77" i="20"/>
  <c r="H77" i="20"/>
  <c r="A120" i="19"/>
  <c r="B121" i="19"/>
  <c r="AC120" i="19"/>
  <c r="AA59" i="17"/>
  <c r="AD59" i="17" s="1"/>
  <c r="D40" i="21" s="1"/>
  <c r="AC44" i="21" s="1"/>
  <c r="AH70" i="21" s="1"/>
  <c r="AH72" i="21" s="1"/>
  <c r="AH77" i="21" s="1"/>
  <c r="P7" i="21" s="1"/>
  <c r="E60" i="18"/>
  <c r="AA59" i="19"/>
  <c r="AD59" i="19" s="1"/>
  <c r="E40" i="21" s="1"/>
  <c r="AA59" i="20"/>
  <c r="AD59" i="20" s="1"/>
  <c r="F40" i="21" s="1"/>
  <c r="U64" i="19"/>
  <c r="X64" i="19" s="1"/>
  <c r="Y64" i="19" s="1"/>
  <c r="AC117" i="20"/>
  <c r="B118" i="20"/>
  <c r="U61" i="17"/>
  <c r="AC117" i="17"/>
  <c r="B118" i="17"/>
  <c r="L79" i="17"/>
  <c r="F80" i="17" s="1"/>
  <c r="X60" i="20"/>
  <c r="Y60" i="20" s="1"/>
  <c r="A96" i="21"/>
  <c r="B96" i="21" s="1"/>
  <c r="C97" i="21"/>
  <c r="K41" i="21" l="1"/>
  <c r="R61" i="20"/>
  <c r="J45" i="21"/>
  <c r="R65" i="19"/>
  <c r="K78" i="20"/>
  <c r="L78" i="20" s="1"/>
  <c r="F79" i="20" s="1"/>
  <c r="H78" i="20"/>
  <c r="I60" i="18"/>
  <c r="G60" i="18"/>
  <c r="J60" i="18" s="1"/>
  <c r="C98" i="21"/>
  <c r="A97" i="21"/>
  <c r="B97" i="21" s="1"/>
  <c r="X61" i="17"/>
  <c r="Y61" i="17" s="1"/>
  <c r="A121" i="19"/>
  <c r="B122" i="19"/>
  <c r="AC121" i="19"/>
  <c r="AC118" i="17"/>
  <c r="B119" i="17"/>
  <c r="L82" i="19"/>
  <c r="F83" i="19" s="1"/>
  <c r="J80" i="17"/>
  <c r="H80" i="17"/>
  <c r="K80" i="17" s="1"/>
  <c r="AC118" i="20"/>
  <c r="B119" i="20"/>
  <c r="I42" i="21" l="1"/>
  <c r="R62" i="17"/>
  <c r="H79" i="20"/>
  <c r="AA60" i="17"/>
  <c r="AD60" i="17" s="1"/>
  <c r="D41" i="21" s="1"/>
  <c r="E61" i="18"/>
  <c r="AA60" i="19"/>
  <c r="AD60" i="19" s="1"/>
  <c r="E41" i="21" s="1"/>
  <c r="AA60" i="20"/>
  <c r="AD60" i="20" s="1"/>
  <c r="F41" i="21" s="1"/>
  <c r="AC119" i="17"/>
  <c r="B120" i="17"/>
  <c r="L80" i="17"/>
  <c r="F81" i="17" s="1"/>
  <c r="A98" i="21"/>
  <c r="B98" i="21" s="1"/>
  <c r="C99" i="21"/>
  <c r="A122" i="19"/>
  <c r="B123" i="19"/>
  <c r="AC122" i="19"/>
  <c r="U65" i="19"/>
  <c r="Y65" i="19" s="1"/>
  <c r="X65" i="19"/>
  <c r="B120" i="20"/>
  <c r="AC119" i="20"/>
  <c r="H83" i="19"/>
  <c r="U61" i="20"/>
  <c r="X61" i="20" s="1"/>
  <c r="R66" i="19" l="1"/>
  <c r="J46" i="21"/>
  <c r="H81" i="17"/>
  <c r="K81" i="17" s="1"/>
  <c r="L81" i="17" s="1"/>
  <c r="F82" i="17" s="1"/>
  <c r="G61" i="18"/>
  <c r="J61" i="18"/>
  <c r="I61" i="18"/>
  <c r="J83" i="19"/>
  <c r="K83" i="19" s="1"/>
  <c r="AC120" i="17"/>
  <c r="B121" i="17"/>
  <c r="Y61" i="20"/>
  <c r="AC123" i="19"/>
  <c r="B124" i="19"/>
  <c r="A123" i="19"/>
  <c r="K79" i="20"/>
  <c r="L79" i="20" s="1"/>
  <c r="F80" i="20" s="1"/>
  <c r="B121" i="20"/>
  <c r="AC120" i="20"/>
  <c r="C100" i="21"/>
  <c r="A99" i="21"/>
  <c r="B99" i="21" s="1"/>
  <c r="U62" i="17"/>
  <c r="X62" i="17" s="1"/>
  <c r="H82" i="17" l="1"/>
  <c r="K82" i="17" s="1"/>
  <c r="L82" i="17" s="1"/>
  <c r="F83" i="17" s="1"/>
  <c r="J80" i="20"/>
  <c r="H80" i="20"/>
  <c r="K80" i="20" s="1"/>
  <c r="Y62" i="17"/>
  <c r="A124" i="19"/>
  <c r="B125" i="19"/>
  <c r="AC124" i="19"/>
  <c r="L83" i="19"/>
  <c r="F84" i="19" s="1"/>
  <c r="C101" i="21"/>
  <c r="A100" i="21"/>
  <c r="B100" i="21" s="1"/>
  <c r="AA61" i="17"/>
  <c r="AD61" i="17" s="1"/>
  <c r="D42" i="21" s="1"/>
  <c r="AA61" i="19"/>
  <c r="AD61" i="19" s="1"/>
  <c r="E42" i="21" s="1"/>
  <c r="AA61" i="20"/>
  <c r="AD61" i="20" s="1"/>
  <c r="F42" i="21" s="1"/>
  <c r="E62" i="18"/>
  <c r="R62" i="20"/>
  <c r="K42" i="21"/>
  <c r="AC121" i="20"/>
  <c r="B122" i="20"/>
  <c r="B122" i="17"/>
  <c r="AC121" i="17"/>
  <c r="U66" i="19"/>
  <c r="X66" i="19" s="1"/>
  <c r="H83" i="17" l="1"/>
  <c r="J83" i="17" s="1"/>
  <c r="G62" i="18"/>
  <c r="I62" i="18" s="1"/>
  <c r="L80" i="20"/>
  <c r="F81" i="20" s="1"/>
  <c r="H84" i="19"/>
  <c r="AC125" i="19"/>
  <c r="A125" i="19"/>
  <c r="B126" i="19"/>
  <c r="U62" i="20"/>
  <c r="X62" i="20" s="1"/>
  <c r="Y66" i="19"/>
  <c r="AC122" i="17"/>
  <c r="B123" i="17"/>
  <c r="B123" i="20"/>
  <c r="AC122" i="20"/>
  <c r="I43" i="21"/>
  <c r="R63" i="17"/>
  <c r="C102" i="21"/>
  <c r="A101" i="21"/>
  <c r="B101" i="21" s="1"/>
  <c r="K84" i="19" l="1"/>
  <c r="L84" i="19" s="1"/>
  <c r="F85" i="19" s="1"/>
  <c r="Y62" i="20"/>
  <c r="A126" i="19"/>
  <c r="B127" i="19"/>
  <c r="AC126" i="19"/>
  <c r="H81" i="20"/>
  <c r="K81" i="20" s="1"/>
  <c r="K83" i="17"/>
  <c r="L83" i="17" s="1"/>
  <c r="F84" i="17" s="1"/>
  <c r="B124" i="20"/>
  <c r="AC123" i="20"/>
  <c r="AC123" i="17"/>
  <c r="B124" i="17"/>
  <c r="A102" i="21"/>
  <c r="B102" i="21" s="1"/>
  <c r="C103" i="21"/>
  <c r="H62" i="18"/>
  <c r="J62" i="18" s="1"/>
  <c r="U63" i="17"/>
  <c r="X63" i="17" s="1"/>
  <c r="J47" i="21"/>
  <c r="R67" i="19"/>
  <c r="AA62" i="19" l="1"/>
  <c r="AD62" i="19" s="1"/>
  <c r="E43" i="21" s="1"/>
  <c r="E63" i="18"/>
  <c r="AA62" i="20"/>
  <c r="AD62" i="20" s="1"/>
  <c r="F43" i="21" s="1"/>
  <c r="AA62" i="17"/>
  <c r="AD62" i="17" s="1"/>
  <c r="D43" i="21" s="1"/>
  <c r="K84" i="17"/>
  <c r="L84" i="17"/>
  <c r="F85" i="17" s="1"/>
  <c r="H84" i="17"/>
  <c r="H85" i="19"/>
  <c r="K85" i="19"/>
  <c r="L85" i="19" s="1"/>
  <c r="F86" i="19" s="1"/>
  <c r="C104" i="21"/>
  <c r="A103" i="21"/>
  <c r="B103" i="21" s="1"/>
  <c r="AC127" i="19"/>
  <c r="B128" i="19"/>
  <c r="A127" i="19"/>
  <c r="Y63" i="17"/>
  <c r="R63" i="20"/>
  <c r="K43" i="21"/>
  <c r="B125" i="20"/>
  <c r="AC124" i="20"/>
  <c r="B125" i="17"/>
  <c r="AC124" i="17"/>
  <c r="L81" i="20"/>
  <c r="F82" i="20" s="1"/>
  <c r="X67" i="19"/>
  <c r="U67" i="19"/>
  <c r="Y67" i="19" s="1"/>
  <c r="J48" i="21" l="1"/>
  <c r="R68" i="19"/>
  <c r="H86" i="19"/>
  <c r="J86" i="19"/>
  <c r="K86" i="19" s="1"/>
  <c r="H85" i="17"/>
  <c r="K85" i="17" s="1"/>
  <c r="H82" i="20"/>
  <c r="K82" i="20" s="1"/>
  <c r="U63" i="20"/>
  <c r="X63" i="20" s="1"/>
  <c r="A104" i="21"/>
  <c r="B104" i="21" s="1"/>
  <c r="C105" i="21"/>
  <c r="B126" i="17"/>
  <c r="AC125" i="17"/>
  <c r="B129" i="19"/>
  <c r="A128" i="19"/>
  <c r="AC128" i="19"/>
  <c r="I44" i="21"/>
  <c r="R64" i="17"/>
  <c r="G63" i="18"/>
  <c r="I63" i="18"/>
  <c r="J63" i="18" s="1"/>
  <c r="AC125" i="20"/>
  <c r="B126" i="20"/>
  <c r="AA63" i="17" l="1"/>
  <c r="AD63" i="17" s="1"/>
  <c r="D44" i="21" s="1"/>
  <c r="E64" i="18"/>
  <c r="AA63" i="19"/>
  <c r="AD63" i="19" s="1"/>
  <c r="E44" i="21" s="1"/>
  <c r="AA63" i="20"/>
  <c r="L86" i="19"/>
  <c r="F87" i="19" s="1"/>
  <c r="AC126" i="20"/>
  <c r="B127" i="20"/>
  <c r="A105" i="21"/>
  <c r="B105" i="21" s="1"/>
  <c r="C106" i="21"/>
  <c r="L82" i="20"/>
  <c r="F83" i="20" s="1"/>
  <c r="U64" i="17"/>
  <c r="X64" i="17" s="1"/>
  <c r="B130" i="19"/>
  <c r="AC129" i="19"/>
  <c r="A129" i="19"/>
  <c r="B127" i="17"/>
  <c r="AC126" i="17"/>
  <c r="Y63" i="20"/>
  <c r="L85" i="17"/>
  <c r="F86" i="17" s="1"/>
  <c r="U68" i="19"/>
  <c r="X68" i="19" s="1"/>
  <c r="R64" i="20" l="1"/>
  <c r="K44" i="21"/>
  <c r="AC127" i="17"/>
  <c r="B128" i="17"/>
  <c r="Y64" i="17"/>
  <c r="L87" i="19"/>
  <c r="F88" i="19" s="1"/>
  <c r="H87" i="19"/>
  <c r="K87" i="19"/>
  <c r="AC127" i="20"/>
  <c r="B128" i="20"/>
  <c r="Y68" i="19"/>
  <c r="J83" i="20"/>
  <c r="H83" i="20"/>
  <c r="K83" i="20" s="1"/>
  <c r="AD63" i="20"/>
  <c r="F44" i="21" s="1"/>
  <c r="A106" i="21"/>
  <c r="B106" i="21" s="1"/>
  <c r="C107" i="21"/>
  <c r="H86" i="17"/>
  <c r="A130" i="19"/>
  <c r="AC130" i="19"/>
  <c r="B131" i="19"/>
  <c r="G64" i="18"/>
  <c r="I64" i="18"/>
  <c r="J64" i="18"/>
  <c r="A107" i="21" l="1"/>
  <c r="B107" i="21" s="1"/>
  <c r="C108" i="21"/>
  <c r="H88" i="19"/>
  <c r="K88" i="19"/>
  <c r="L88" i="19"/>
  <c r="F89" i="19" s="1"/>
  <c r="R69" i="19"/>
  <c r="J49" i="21"/>
  <c r="I45" i="21"/>
  <c r="R65" i="17"/>
  <c r="AC128" i="20"/>
  <c r="B129" i="20"/>
  <c r="AC128" i="17"/>
  <c r="B129" i="17"/>
  <c r="AA64" i="19"/>
  <c r="AD64" i="19" s="1"/>
  <c r="E45" i="21" s="1"/>
  <c r="AA64" i="17"/>
  <c r="AD64" i="17" s="1"/>
  <c r="D45" i="21" s="1"/>
  <c r="E65" i="18"/>
  <c r="AA64" i="20"/>
  <c r="J86" i="17"/>
  <c r="L83" i="20"/>
  <c r="F84" i="20" s="1"/>
  <c r="A131" i="19"/>
  <c r="AC131" i="19"/>
  <c r="B132" i="19"/>
  <c r="U64" i="20"/>
  <c r="L86" i="17" l="1"/>
  <c r="F87" i="17" s="1"/>
  <c r="Y64" i="20"/>
  <c r="AD64" i="20" s="1"/>
  <c r="F45" i="21" s="1"/>
  <c r="G65" i="18"/>
  <c r="H65" i="18" s="1"/>
  <c r="H89" i="19"/>
  <c r="J89" i="19" s="1"/>
  <c r="A132" i="19"/>
  <c r="B133" i="19"/>
  <c r="AC132" i="19"/>
  <c r="C109" i="21"/>
  <c r="A108" i="21"/>
  <c r="B108" i="21" s="1"/>
  <c r="AC129" i="20"/>
  <c r="B130" i="20"/>
  <c r="X65" i="17"/>
  <c r="Y65" i="17" s="1"/>
  <c r="U65" i="17"/>
  <c r="H84" i="20"/>
  <c r="X64" i="20"/>
  <c r="AC129" i="17"/>
  <c r="B130" i="17"/>
  <c r="K86" i="17"/>
  <c r="U69" i="19"/>
  <c r="X69" i="19" s="1"/>
  <c r="R66" i="17" l="1"/>
  <c r="I46" i="21"/>
  <c r="Y69" i="19"/>
  <c r="K84" i="20"/>
  <c r="L84" i="20" s="1"/>
  <c r="F85" i="20" s="1"/>
  <c r="A109" i="21"/>
  <c r="B109" i="21" s="1"/>
  <c r="C110" i="21"/>
  <c r="AC133" i="19"/>
  <c r="A133" i="19"/>
  <c r="B134" i="19"/>
  <c r="K89" i="19"/>
  <c r="L89" i="19" s="1"/>
  <c r="F90" i="19" s="1"/>
  <c r="I65" i="18"/>
  <c r="J65" i="18" s="1"/>
  <c r="R65" i="20"/>
  <c r="K45" i="21"/>
  <c r="AC130" i="20"/>
  <c r="B131" i="20"/>
  <c r="B131" i="17"/>
  <c r="AC130" i="17"/>
  <c r="H87" i="17"/>
  <c r="K87" i="17" s="1"/>
  <c r="K90" i="19" l="1"/>
  <c r="L90" i="19"/>
  <c r="F91" i="19" s="1"/>
  <c r="H90" i="19"/>
  <c r="AA65" i="20"/>
  <c r="E66" i="18"/>
  <c r="AA65" i="19"/>
  <c r="AD65" i="19" s="1"/>
  <c r="E46" i="21" s="1"/>
  <c r="AA65" i="17"/>
  <c r="AD65" i="17" s="1"/>
  <c r="D46" i="21" s="1"/>
  <c r="K85" i="20"/>
  <c r="H85" i="20"/>
  <c r="L85" i="20" s="1"/>
  <c r="F86" i="20" s="1"/>
  <c r="U66" i="17"/>
  <c r="R70" i="19"/>
  <c r="J50" i="21"/>
  <c r="L87" i="17"/>
  <c r="F88" i="17" s="1"/>
  <c r="AC131" i="20"/>
  <c r="B132" i="20"/>
  <c r="AC134" i="19"/>
  <c r="A134" i="19"/>
  <c r="B135" i="19"/>
  <c r="U65" i="20"/>
  <c r="X65" i="20" s="1"/>
  <c r="C111" i="21"/>
  <c r="A110" i="21"/>
  <c r="B110" i="21" s="1"/>
  <c r="AC131" i="17"/>
  <c r="B132" i="17"/>
  <c r="Y66" i="17" l="1"/>
  <c r="H86" i="20"/>
  <c r="J86" i="20" s="1"/>
  <c r="K86" i="20" s="1"/>
  <c r="Y65" i="20"/>
  <c r="X66" i="17"/>
  <c r="I66" i="18"/>
  <c r="J66" i="18" s="1"/>
  <c r="G66" i="18"/>
  <c r="H91" i="19"/>
  <c r="K91" i="19"/>
  <c r="L91" i="19"/>
  <c r="F92" i="19" s="1"/>
  <c r="AD65" i="20"/>
  <c r="F46" i="21" s="1"/>
  <c r="A111" i="21"/>
  <c r="B111" i="21" s="1"/>
  <c r="C112" i="21"/>
  <c r="B133" i="20"/>
  <c r="AC132" i="20"/>
  <c r="AC132" i="17"/>
  <c r="B133" i="17"/>
  <c r="H88" i="17"/>
  <c r="A135" i="19"/>
  <c r="B136" i="19"/>
  <c r="AC135" i="19"/>
  <c r="U70" i="19"/>
  <c r="X70" i="19" s="1"/>
  <c r="AA66" i="19" l="1"/>
  <c r="AD66" i="19" s="1"/>
  <c r="E47" i="21" s="1"/>
  <c r="AA66" i="20"/>
  <c r="AA66" i="17"/>
  <c r="AD66" i="17" s="1"/>
  <c r="D47" i="21" s="1"/>
  <c r="E67" i="18"/>
  <c r="H92" i="19"/>
  <c r="K92" i="19" s="1"/>
  <c r="J92" i="19"/>
  <c r="B134" i="20"/>
  <c r="AC133" i="20"/>
  <c r="K46" i="21"/>
  <c r="R66" i="20"/>
  <c r="Y70" i="19"/>
  <c r="K88" i="17"/>
  <c r="L88" i="17" s="1"/>
  <c r="F89" i="17" s="1"/>
  <c r="A112" i="21"/>
  <c r="B112" i="21" s="1"/>
  <c r="C113" i="21"/>
  <c r="L86" i="20"/>
  <c r="F87" i="20" s="1"/>
  <c r="B137" i="19"/>
  <c r="AC136" i="19"/>
  <c r="A136" i="19"/>
  <c r="B134" i="17"/>
  <c r="AC133" i="17"/>
  <c r="I47" i="21"/>
  <c r="R67" i="17"/>
  <c r="J89" i="17" l="1"/>
  <c r="H89" i="17"/>
  <c r="K89" i="17" s="1"/>
  <c r="B138" i="19"/>
  <c r="A137" i="19"/>
  <c r="AC137" i="19"/>
  <c r="A113" i="21"/>
  <c r="B113" i="21" s="1"/>
  <c r="C114" i="21"/>
  <c r="U66" i="20"/>
  <c r="B135" i="20"/>
  <c r="AC134" i="20"/>
  <c r="G67" i="18"/>
  <c r="I67" i="18"/>
  <c r="J67" i="18"/>
  <c r="B135" i="17"/>
  <c r="AC134" i="17"/>
  <c r="L92" i="19"/>
  <c r="F93" i="19" s="1"/>
  <c r="U67" i="17"/>
  <c r="X67" i="17" s="1"/>
  <c r="K87" i="20"/>
  <c r="L87" i="20"/>
  <c r="F88" i="20" s="1"/>
  <c r="H87" i="20"/>
  <c r="J51" i="21"/>
  <c r="R71" i="19"/>
  <c r="A138" i="19" l="1"/>
  <c r="B139" i="19"/>
  <c r="AC138" i="19"/>
  <c r="B136" i="17"/>
  <c r="AC135" i="17"/>
  <c r="U71" i="19"/>
  <c r="X71" i="19" s="1"/>
  <c r="Y71" i="19" s="1"/>
  <c r="Y67" i="17"/>
  <c r="X66" i="20"/>
  <c r="Y66" i="20" s="1"/>
  <c r="H88" i="20"/>
  <c r="K88" i="20" s="1"/>
  <c r="L88" i="20" s="1"/>
  <c r="F89" i="20" s="1"/>
  <c r="C115" i="21"/>
  <c r="A114" i="21"/>
  <c r="B114" i="21" s="1"/>
  <c r="L89" i="17"/>
  <c r="F90" i="17" s="1"/>
  <c r="AC135" i="20"/>
  <c r="B136" i="20"/>
  <c r="AA67" i="19"/>
  <c r="AD67" i="19" s="1"/>
  <c r="E48" i="21" s="1"/>
  <c r="AA67" i="17"/>
  <c r="AD67" i="17" s="1"/>
  <c r="D48" i="21" s="1"/>
  <c r="E68" i="18"/>
  <c r="AA67" i="20"/>
  <c r="H93" i="19"/>
  <c r="K93" i="19" s="1"/>
  <c r="J52" i="21" l="1"/>
  <c r="R72" i="19"/>
  <c r="K47" i="21"/>
  <c r="R67" i="20"/>
  <c r="AD66" i="20"/>
  <c r="F47" i="21" s="1"/>
  <c r="J89" i="20"/>
  <c r="H89" i="20"/>
  <c r="K89" i="20" s="1"/>
  <c r="AC136" i="17"/>
  <c r="B137" i="17"/>
  <c r="R68" i="17"/>
  <c r="I48" i="21"/>
  <c r="H90" i="17"/>
  <c r="K90" i="17" s="1"/>
  <c r="L90" i="17" s="1"/>
  <c r="F91" i="17" s="1"/>
  <c r="I68" i="18"/>
  <c r="H68" i="18"/>
  <c r="J68" i="18" s="1"/>
  <c r="G68" i="18"/>
  <c r="AC139" i="19"/>
  <c r="B140" i="19"/>
  <c r="A139" i="19"/>
  <c r="A115" i="21"/>
  <c r="B115" i="21" s="1"/>
  <c r="C116" i="21"/>
  <c r="L93" i="19"/>
  <c r="F94" i="19" s="1"/>
  <c r="B137" i="20"/>
  <c r="AC136" i="20"/>
  <c r="H91" i="17" l="1"/>
  <c r="K91" i="17" s="1"/>
  <c r="E69" i="18"/>
  <c r="AA68" i="19"/>
  <c r="AD68" i="19" s="1"/>
  <c r="E49" i="21" s="1"/>
  <c r="AA68" i="20"/>
  <c r="AA68" i="17"/>
  <c r="U68" i="17"/>
  <c r="X68" i="17" s="1"/>
  <c r="AC137" i="17"/>
  <c r="B138" i="17"/>
  <c r="B141" i="19"/>
  <c r="A140" i="19"/>
  <c r="AC140" i="19"/>
  <c r="U67" i="20"/>
  <c r="X67" i="20" s="1"/>
  <c r="H94" i="19"/>
  <c r="K94" i="19" s="1"/>
  <c r="C117" i="21"/>
  <c r="A116" i="21"/>
  <c r="B116" i="21" s="1"/>
  <c r="L89" i="20"/>
  <c r="F90" i="20" s="1"/>
  <c r="U72" i="19"/>
  <c r="X72" i="19" s="1"/>
  <c r="AC137" i="20"/>
  <c r="B138" i="20"/>
  <c r="A117" i="21" l="1"/>
  <c r="B117" i="21" s="1"/>
  <c r="C118" i="21"/>
  <c r="Y67" i="20"/>
  <c r="I69" i="18"/>
  <c r="J69" i="18"/>
  <c r="G69" i="18"/>
  <c r="B139" i="20"/>
  <c r="AC138" i="20"/>
  <c r="Y68" i="17"/>
  <c r="Y72" i="19"/>
  <c r="L94" i="19"/>
  <c r="F95" i="19" s="1"/>
  <c r="L91" i="17"/>
  <c r="F92" i="17" s="1"/>
  <c r="H90" i="20"/>
  <c r="AC138" i="17"/>
  <c r="B139" i="17"/>
  <c r="AC141" i="19"/>
  <c r="A141" i="19"/>
  <c r="B142" i="19"/>
  <c r="AD68" i="17"/>
  <c r="D49" i="21" s="1"/>
  <c r="R73" i="19" l="1"/>
  <c r="J53" i="21"/>
  <c r="H95" i="19"/>
  <c r="K95" i="19" s="1"/>
  <c r="J95" i="19"/>
  <c r="I49" i="21"/>
  <c r="R69" i="17"/>
  <c r="R68" i="20"/>
  <c r="K48" i="21"/>
  <c r="AD67" i="20"/>
  <c r="F48" i="21" s="1"/>
  <c r="B140" i="17"/>
  <c r="AC139" i="17"/>
  <c r="AA69" i="20"/>
  <c r="AA69" i="17"/>
  <c r="E70" i="18"/>
  <c r="AA69" i="19"/>
  <c r="AD69" i="19" s="1"/>
  <c r="E50" i="21" s="1"/>
  <c r="A142" i="19"/>
  <c r="AC142" i="19"/>
  <c r="B143" i="19"/>
  <c r="K90" i="20"/>
  <c r="L90" i="20" s="1"/>
  <c r="F91" i="20" s="1"/>
  <c r="C119" i="21"/>
  <c r="A118" i="21"/>
  <c r="B118" i="21" s="1"/>
  <c r="AC139" i="20"/>
  <c r="B140" i="20"/>
  <c r="H92" i="17"/>
  <c r="J92" i="17" s="1"/>
  <c r="H91" i="20" l="1"/>
  <c r="K91" i="20" s="1"/>
  <c r="C120" i="21"/>
  <c r="A119" i="21"/>
  <c r="B119" i="21" s="1"/>
  <c r="K92" i="17"/>
  <c r="L92" i="17" s="1"/>
  <c r="F93" i="17" s="1"/>
  <c r="U68" i="20"/>
  <c r="X68" i="20" s="1"/>
  <c r="L95" i="19"/>
  <c r="F96" i="19" s="1"/>
  <c r="G70" i="18"/>
  <c r="I70" i="18" s="1"/>
  <c r="A143" i="19"/>
  <c r="AC143" i="19"/>
  <c r="B144" i="19"/>
  <c r="U69" i="17"/>
  <c r="B141" i="20"/>
  <c r="AC140" i="20"/>
  <c r="U73" i="19"/>
  <c r="Y73" i="19" s="1"/>
  <c r="X73" i="19"/>
  <c r="B141" i="17"/>
  <c r="AC140" i="17"/>
  <c r="R74" i="19" l="1"/>
  <c r="J54" i="21"/>
  <c r="Y69" i="17"/>
  <c r="H93" i="17"/>
  <c r="AC144" i="19"/>
  <c r="B145" i="19"/>
  <c r="A144" i="19"/>
  <c r="B142" i="20"/>
  <c r="AC141" i="20"/>
  <c r="H96" i="19"/>
  <c r="K96" i="19" s="1"/>
  <c r="AC141" i="17"/>
  <c r="B142" i="17"/>
  <c r="C121" i="21"/>
  <c r="A120" i="21"/>
  <c r="B120" i="21" s="1"/>
  <c r="X69" i="17"/>
  <c r="Y68" i="20"/>
  <c r="J70" i="18"/>
  <c r="L91" i="20"/>
  <c r="F92" i="20" s="1"/>
  <c r="L93" i="17" l="1"/>
  <c r="F94" i="17" s="1"/>
  <c r="K93" i="17"/>
  <c r="A121" i="21"/>
  <c r="B121" i="21" s="1"/>
  <c r="C122" i="21"/>
  <c r="B143" i="17"/>
  <c r="AC142" i="17"/>
  <c r="H92" i="20"/>
  <c r="J92" i="20" s="1"/>
  <c r="B143" i="20"/>
  <c r="AC142" i="20"/>
  <c r="AA70" i="17"/>
  <c r="AA70" i="19"/>
  <c r="AD70" i="19" s="1"/>
  <c r="E51" i="21" s="1"/>
  <c r="AA70" i="20"/>
  <c r="E71" i="18"/>
  <c r="R70" i="17"/>
  <c r="I50" i="21"/>
  <c r="AD69" i="17"/>
  <c r="D50" i="21" s="1"/>
  <c r="K49" i="21"/>
  <c r="R69" i="20"/>
  <c r="AD68" i="20"/>
  <c r="F49" i="21" s="1"/>
  <c r="L96" i="19"/>
  <c r="F97" i="19" s="1"/>
  <c r="A145" i="19"/>
  <c r="AC145" i="19"/>
  <c r="B146" i="19"/>
  <c r="U74" i="19"/>
  <c r="X74" i="19" s="1"/>
  <c r="Y74" i="19" l="1"/>
  <c r="X70" i="17"/>
  <c r="U70" i="17"/>
  <c r="Y70" i="17" s="1"/>
  <c r="AC143" i="20"/>
  <c r="B144" i="20"/>
  <c r="AC143" i="17"/>
  <c r="B144" i="17"/>
  <c r="H97" i="19"/>
  <c r="K97" i="19"/>
  <c r="L97" i="19" s="1"/>
  <c r="F98" i="19" s="1"/>
  <c r="I71" i="18"/>
  <c r="J71" i="18" s="1"/>
  <c r="G71" i="18"/>
  <c r="H71" i="18"/>
  <c r="C123" i="21"/>
  <c r="A122" i="21"/>
  <c r="B122" i="21" s="1"/>
  <c r="K92" i="20"/>
  <c r="L92" i="20" s="1"/>
  <c r="F93" i="20" s="1"/>
  <c r="U69" i="20"/>
  <c r="X69" i="20" s="1"/>
  <c r="Y69" i="20" s="1"/>
  <c r="AC146" i="19"/>
  <c r="A146" i="19"/>
  <c r="B147" i="19"/>
  <c r="H94" i="17"/>
  <c r="H93" i="20" l="1"/>
  <c r="K93" i="20" s="1"/>
  <c r="K50" i="21"/>
  <c r="R70" i="20"/>
  <c r="AD69" i="20"/>
  <c r="F50" i="21" s="1"/>
  <c r="AA71" i="20"/>
  <c r="AA71" i="17"/>
  <c r="E72" i="18"/>
  <c r="AA71" i="19"/>
  <c r="AD71" i="19" s="1"/>
  <c r="E52" i="21" s="1"/>
  <c r="H98" i="19"/>
  <c r="J98" i="19"/>
  <c r="K98" i="19" s="1"/>
  <c r="I51" i="21"/>
  <c r="R71" i="17"/>
  <c r="AD70" i="17"/>
  <c r="D51" i="21" s="1"/>
  <c r="L94" i="17"/>
  <c r="F95" i="17" s="1"/>
  <c r="A123" i="21"/>
  <c r="B123" i="21" s="1"/>
  <c r="C124" i="21"/>
  <c r="B145" i="17"/>
  <c r="AC144" i="17"/>
  <c r="J55" i="21"/>
  <c r="R75" i="19"/>
  <c r="B148" i="19"/>
  <c r="A147" i="19"/>
  <c r="AC147" i="19"/>
  <c r="K94" i="17"/>
  <c r="B145" i="20"/>
  <c r="AC144" i="20"/>
  <c r="U75" i="19" l="1"/>
  <c r="X75" i="19"/>
  <c r="Y75" i="19"/>
  <c r="J95" i="17"/>
  <c r="K95" i="17"/>
  <c r="L95" i="17"/>
  <c r="F96" i="17" s="1"/>
  <c r="H95" i="17"/>
  <c r="B146" i="20"/>
  <c r="AC145" i="20"/>
  <c r="U70" i="20"/>
  <c r="U71" i="17"/>
  <c r="A124" i="21"/>
  <c r="B124" i="21" s="1"/>
  <c r="C125" i="21"/>
  <c r="L93" i="20"/>
  <c r="F94" i="20" s="1"/>
  <c r="AC145" i="17"/>
  <c r="B146" i="17"/>
  <c r="G72" i="18"/>
  <c r="I72" i="18"/>
  <c r="J72" i="18"/>
  <c r="L98" i="19"/>
  <c r="F99" i="19" s="1"/>
  <c r="B149" i="19"/>
  <c r="AC148" i="19"/>
  <c r="A148" i="19"/>
  <c r="A125" i="21" l="1"/>
  <c r="B125" i="21" s="1"/>
  <c r="C126" i="21"/>
  <c r="AA72" i="17"/>
  <c r="AA72" i="19"/>
  <c r="AD72" i="19" s="1"/>
  <c r="E53" i="21" s="1"/>
  <c r="AA72" i="20"/>
  <c r="E73" i="18"/>
  <c r="H96" i="17"/>
  <c r="K96" i="17" s="1"/>
  <c r="X70" i="20"/>
  <c r="Y70" i="20" s="1"/>
  <c r="B147" i="17"/>
  <c r="AC146" i="17"/>
  <c r="J56" i="21"/>
  <c r="R76" i="19"/>
  <c r="A149" i="19"/>
  <c r="AC149" i="19"/>
  <c r="B150" i="19"/>
  <c r="X71" i="17"/>
  <c r="Y71" i="17" s="1"/>
  <c r="AC146" i="20"/>
  <c r="B147" i="20"/>
  <c r="H99" i="19"/>
  <c r="L99" i="19" s="1"/>
  <c r="F100" i="19" s="1"/>
  <c r="K99" i="19"/>
  <c r="H94" i="20"/>
  <c r="K94" i="20" s="1"/>
  <c r="R72" i="17" l="1"/>
  <c r="I52" i="21"/>
  <c r="T34" i="2" s="1"/>
  <c r="O8" i="21" s="1"/>
  <c r="AI74" i="21"/>
  <c r="AD71" i="17"/>
  <c r="D52" i="21" s="1"/>
  <c r="AC45" i="21" s="1"/>
  <c r="AI70" i="21" s="1"/>
  <c r="AI72" i="21" s="1"/>
  <c r="AI77" i="21" s="1"/>
  <c r="K51" i="21"/>
  <c r="R71" i="20"/>
  <c r="AD70" i="20"/>
  <c r="F51" i="21" s="1"/>
  <c r="K100" i="19"/>
  <c r="H100" i="19"/>
  <c r="L100" i="19" s="1"/>
  <c r="F101" i="19" s="1"/>
  <c r="U76" i="19"/>
  <c r="Y76" i="19" s="1"/>
  <c r="X76" i="19"/>
  <c r="L96" i="17"/>
  <c r="F97" i="17" s="1"/>
  <c r="C127" i="21"/>
  <c r="A126" i="21"/>
  <c r="B126" i="21" s="1"/>
  <c r="AC147" i="20"/>
  <c r="B148" i="20"/>
  <c r="L94" i="20"/>
  <c r="F95" i="20" s="1"/>
  <c r="G73" i="18"/>
  <c r="I73" i="18" s="1"/>
  <c r="A150" i="19"/>
  <c r="AC150" i="19"/>
  <c r="B151" i="19"/>
  <c r="AC147" i="17"/>
  <c r="B148" i="17"/>
  <c r="J57" i="21" l="1"/>
  <c r="R77" i="19"/>
  <c r="H101" i="19"/>
  <c r="J101" i="19" s="1"/>
  <c r="U71" i="20"/>
  <c r="X71" i="20" s="1"/>
  <c r="AC148" i="17"/>
  <c r="B149" i="17"/>
  <c r="J73" i="18"/>
  <c r="AC148" i="20"/>
  <c r="B149" i="20"/>
  <c r="C128" i="21"/>
  <c r="A127" i="21"/>
  <c r="B127" i="21" s="1"/>
  <c r="P8" i="21"/>
  <c r="Q8" i="21"/>
  <c r="R8" i="21"/>
  <c r="AC151" i="19"/>
  <c r="B152" i="19"/>
  <c r="A151" i="19"/>
  <c r="K97" i="17"/>
  <c r="L97" i="17" s="1"/>
  <c r="F98" i="17" s="1"/>
  <c r="H97" i="17"/>
  <c r="H95" i="20"/>
  <c r="J95" i="20" s="1"/>
  <c r="Y72" i="17"/>
  <c r="X72" i="17"/>
  <c r="U72" i="17"/>
  <c r="H98" i="17" l="1"/>
  <c r="K101" i="19"/>
  <c r="L101" i="19" s="1"/>
  <c r="F102" i="19" s="1"/>
  <c r="AA73" i="17"/>
  <c r="AA73" i="20"/>
  <c r="AA73" i="19"/>
  <c r="AD73" i="19" s="1"/>
  <c r="E54" i="21" s="1"/>
  <c r="E74" i="18"/>
  <c r="K95" i="20"/>
  <c r="L95" i="20"/>
  <c r="F96" i="20" s="1"/>
  <c r="C129" i="21"/>
  <c r="A128" i="21"/>
  <c r="B128" i="21" s="1"/>
  <c r="B150" i="20"/>
  <c r="AC149" i="20"/>
  <c r="Y71" i="20"/>
  <c r="Y77" i="19"/>
  <c r="U77" i="19"/>
  <c r="X77" i="19"/>
  <c r="I53" i="21"/>
  <c r="R73" i="17"/>
  <c r="AD72" i="17"/>
  <c r="D53" i="21" s="1"/>
  <c r="B150" i="17"/>
  <c r="AC149" i="17"/>
  <c r="B153" i="19"/>
  <c r="A152" i="19"/>
  <c r="AC152" i="19"/>
  <c r="H102" i="19" l="1"/>
  <c r="K102" i="19"/>
  <c r="L102" i="19" s="1"/>
  <c r="F103" i="19" s="1"/>
  <c r="K96" i="20"/>
  <c r="L96" i="20"/>
  <c r="F97" i="20" s="1"/>
  <c r="H96" i="20"/>
  <c r="G74" i="18"/>
  <c r="H74" i="18" s="1"/>
  <c r="B151" i="17"/>
  <c r="AC150" i="17"/>
  <c r="R78" i="19"/>
  <c r="J58" i="21"/>
  <c r="K52" i="21"/>
  <c r="R72" i="20"/>
  <c r="AD71" i="20"/>
  <c r="F52" i="21" s="1"/>
  <c r="U73" i="17"/>
  <c r="X73" i="17" s="1"/>
  <c r="Y73" i="17" s="1"/>
  <c r="AC150" i="20"/>
  <c r="B151" i="20"/>
  <c r="A153" i="19"/>
  <c r="B154" i="19"/>
  <c r="AC153" i="19"/>
  <c r="J98" i="17"/>
  <c r="K98" i="17" s="1"/>
  <c r="L98" i="17" s="1"/>
  <c r="F99" i="17" s="1"/>
  <c r="C130" i="21"/>
  <c r="A129" i="21"/>
  <c r="B129" i="21" s="1"/>
  <c r="H103" i="19" l="1"/>
  <c r="K103" i="19" s="1"/>
  <c r="L103" i="19" s="1"/>
  <c r="F104" i="19" s="1"/>
  <c r="H99" i="17"/>
  <c r="K99" i="17" s="1"/>
  <c r="I54" i="21"/>
  <c r="R74" i="17"/>
  <c r="AD73" i="17"/>
  <c r="D54" i="21" s="1"/>
  <c r="AC151" i="17"/>
  <c r="B152" i="17"/>
  <c r="U72" i="20"/>
  <c r="X72" i="20" s="1"/>
  <c r="Y72" i="20" s="1"/>
  <c r="I74" i="18"/>
  <c r="J74" i="18" s="1"/>
  <c r="C131" i="21"/>
  <c r="A130" i="21"/>
  <c r="B130" i="21" s="1"/>
  <c r="K97" i="20"/>
  <c r="H97" i="20"/>
  <c r="L97" i="20" s="1"/>
  <c r="F98" i="20" s="1"/>
  <c r="AC151" i="20"/>
  <c r="B152" i="20"/>
  <c r="AC154" i="19"/>
  <c r="B155" i="19"/>
  <c r="A154" i="19"/>
  <c r="U78" i="19"/>
  <c r="X78" i="19"/>
  <c r="Y78" i="19" s="1"/>
  <c r="H104" i="19" l="1"/>
  <c r="J104" i="19"/>
  <c r="K104" i="19"/>
  <c r="L104" i="19"/>
  <c r="F105" i="19" s="1"/>
  <c r="K53" i="21"/>
  <c r="R73" i="20"/>
  <c r="AD72" i="20"/>
  <c r="F53" i="21" s="1"/>
  <c r="H98" i="20"/>
  <c r="R79" i="19"/>
  <c r="J59" i="21"/>
  <c r="E75" i="18"/>
  <c r="AA74" i="17"/>
  <c r="AA74" i="20"/>
  <c r="AA74" i="19"/>
  <c r="AD74" i="19" s="1"/>
  <c r="E55" i="21" s="1"/>
  <c r="A131" i="21"/>
  <c r="B131" i="21" s="1"/>
  <c r="C132" i="21"/>
  <c r="B153" i="17"/>
  <c r="AC152" i="17"/>
  <c r="L99" i="17"/>
  <c r="F100" i="17" s="1"/>
  <c r="B153" i="20"/>
  <c r="AC152" i="20"/>
  <c r="U74" i="17"/>
  <c r="X74" i="17" s="1"/>
  <c r="AC155" i="19"/>
  <c r="B156" i="19"/>
  <c r="A155" i="19"/>
  <c r="K98" i="20" l="1"/>
  <c r="AC153" i="20"/>
  <c r="B154" i="20"/>
  <c r="H100" i="17"/>
  <c r="K100" i="17" s="1"/>
  <c r="AD74" i="17"/>
  <c r="D55" i="21" s="1"/>
  <c r="J98" i="20"/>
  <c r="U79" i="19"/>
  <c r="X79" i="19"/>
  <c r="Y79" i="19"/>
  <c r="L98" i="20"/>
  <c r="F99" i="20" s="1"/>
  <c r="Y74" i="17"/>
  <c r="B154" i="17"/>
  <c r="AC153" i="17"/>
  <c r="G75" i="18"/>
  <c r="J75" i="18" s="1"/>
  <c r="I75" i="18"/>
  <c r="U73" i="20"/>
  <c r="X73" i="20" s="1"/>
  <c r="AC156" i="19"/>
  <c r="B157" i="19"/>
  <c r="A156" i="19"/>
  <c r="H105" i="19"/>
  <c r="K105" i="19"/>
  <c r="L105" i="19"/>
  <c r="F106" i="19" s="1"/>
  <c r="C133" i="21"/>
  <c r="A132" i="21"/>
  <c r="B132" i="21" s="1"/>
  <c r="AA75" i="20" l="1"/>
  <c r="AA75" i="17"/>
  <c r="E76" i="18"/>
  <c r="AA75" i="19"/>
  <c r="AD75" i="19" s="1"/>
  <c r="E56" i="21" s="1"/>
  <c r="L100" i="17"/>
  <c r="F101" i="17" s="1"/>
  <c r="B158" i="19"/>
  <c r="AC157" i="19"/>
  <c r="A157" i="19"/>
  <c r="C134" i="21"/>
  <c r="A133" i="21"/>
  <c r="B133" i="21" s="1"/>
  <c r="J60" i="21"/>
  <c r="R80" i="19"/>
  <c r="AC154" i="17"/>
  <c r="B155" i="17"/>
  <c r="B155" i="20"/>
  <c r="AC154" i="20"/>
  <c r="K106" i="19"/>
  <c r="L106" i="19"/>
  <c r="F107" i="19" s="1"/>
  <c r="H106" i="19"/>
  <c r="Y73" i="20"/>
  <c r="R75" i="17"/>
  <c r="I55" i="21"/>
  <c r="K99" i="20"/>
  <c r="L99" i="20" s="1"/>
  <c r="F100" i="20" s="1"/>
  <c r="H99" i="20"/>
  <c r="H100" i="20" l="1"/>
  <c r="K100" i="20" s="1"/>
  <c r="L100" i="20" s="1"/>
  <c r="F101" i="20" s="1"/>
  <c r="J101" i="17"/>
  <c r="K101" i="17" s="1"/>
  <c r="L101" i="17" s="1"/>
  <c r="F102" i="17" s="1"/>
  <c r="H101" i="17"/>
  <c r="U80" i="19"/>
  <c r="Y80" i="19" s="1"/>
  <c r="X80" i="19"/>
  <c r="X75" i="17"/>
  <c r="Y75" i="17"/>
  <c r="U75" i="17"/>
  <c r="AC155" i="20"/>
  <c r="B156" i="20"/>
  <c r="C135" i="21"/>
  <c r="A134" i="21"/>
  <c r="B134" i="21" s="1"/>
  <c r="G76" i="18"/>
  <c r="I76" i="18" s="1"/>
  <c r="H107" i="19"/>
  <c r="L107" i="19" s="1"/>
  <c r="F108" i="19" s="1"/>
  <c r="J107" i="19"/>
  <c r="K107" i="19"/>
  <c r="K54" i="21"/>
  <c r="R74" i="20"/>
  <c r="AD73" i="20"/>
  <c r="F54" i="21" s="1"/>
  <c r="AC155" i="17"/>
  <c r="B156" i="17"/>
  <c r="AD75" i="17"/>
  <c r="D56" i="21" s="1"/>
  <c r="A158" i="19"/>
  <c r="AC158" i="19"/>
  <c r="B159" i="19"/>
  <c r="H101" i="20" l="1"/>
  <c r="J101" i="20" s="1"/>
  <c r="J61" i="21"/>
  <c r="R81" i="19"/>
  <c r="H108" i="19"/>
  <c r="K108" i="19" s="1"/>
  <c r="H102" i="17"/>
  <c r="K102" i="17" s="1"/>
  <c r="AC156" i="17"/>
  <c r="B157" i="17"/>
  <c r="C136" i="21"/>
  <c r="A135" i="21"/>
  <c r="B135" i="21" s="1"/>
  <c r="B160" i="19"/>
  <c r="AC159" i="19"/>
  <c r="A159" i="19"/>
  <c r="AC156" i="20"/>
  <c r="B157" i="20"/>
  <c r="I56" i="21"/>
  <c r="R76" i="17"/>
  <c r="X74" i="20"/>
  <c r="Y74" i="20"/>
  <c r="U74" i="20"/>
  <c r="J76" i="18"/>
  <c r="L101" i="20" l="1"/>
  <c r="F102" i="20" s="1"/>
  <c r="U76" i="17"/>
  <c r="X76" i="17" s="1"/>
  <c r="B161" i="19"/>
  <c r="AC160" i="19"/>
  <c r="A160" i="19"/>
  <c r="R75" i="20"/>
  <c r="K55" i="21"/>
  <c r="AD74" i="20"/>
  <c r="F55" i="21" s="1"/>
  <c r="U81" i="19"/>
  <c r="X81" i="19"/>
  <c r="Y81" i="19"/>
  <c r="L102" i="17"/>
  <c r="F103" i="17" s="1"/>
  <c r="AC157" i="20"/>
  <c r="B158" i="20"/>
  <c r="A136" i="21"/>
  <c r="B136" i="21" s="1"/>
  <c r="C137" i="21"/>
  <c r="L108" i="19"/>
  <c r="F109" i="19" s="1"/>
  <c r="K101" i="20"/>
  <c r="AA76" i="20"/>
  <c r="AA76" i="19"/>
  <c r="AD76" i="19" s="1"/>
  <c r="E57" i="21" s="1"/>
  <c r="E77" i="18"/>
  <c r="AA76" i="17"/>
  <c r="B158" i="17"/>
  <c r="AC157" i="17"/>
  <c r="H102" i="20" l="1"/>
  <c r="H109" i="19"/>
  <c r="K109" i="19" s="1"/>
  <c r="AC158" i="20"/>
  <c r="B159" i="20"/>
  <c r="R82" i="19"/>
  <c r="J62" i="21"/>
  <c r="AD76" i="17"/>
  <c r="D57" i="21" s="1"/>
  <c r="G77" i="18"/>
  <c r="I77" i="18" s="1"/>
  <c r="J77" i="18" s="1"/>
  <c r="H77" i="18"/>
  <c r="AC161" i="19"/>
  <c r="B162" i="19"/>
  <c r="A161" i="19"/>
  <c r="Y76" i="17"/>
  <c r="AC158" i="17"/>
  <c r="B159" i="17"/>
  <c r="C138" i="21"/>
  <c r="A137" i="21"/>
  <c r="B137" i="21" s="1"/>
  <c r="K103" i="17"/>
  <c r="H103" i="17"/>
  <c r="L103" i="17" s="1"/>
  <c r="F104" i="17" s="1"/>
  <c r="U75" i="20"/>
  <c r="X75" i="20" s="1"/>
  <c r="AA77" i="17" l="1"/>
  <c r="AA77" i="20"/>
  <c r="E78" i="18"/>
  <c r="AA77" i="19"/>
  <c r="AD77" i="19" s="1"/>
  <c r="E58" i="21" s="1"/>
  <c r="H104" i="17"/>
  <c r="J104" i="17" s="1"/>
  <c r="L109" i="19"/>
  <c r="F110" i="19" s="1"/>
  <c r="Y75" i="20"/>
  <c r="B160" i="17"/>
  <c r="AC159" i="17"/>
  <c r="C139" i="21"/>
  <c r="A138" i="21"/>
  <c r="B138" i="21" s="1"/>
  <c r="A162" i="19"/>
  <c r="AC162" i="19"/>
  <c r="B163" i="19"/>
  <c r="U82" i="19"/>
  <c r="Y82" i="19" s="1"/>
  <c r="X82" i="19"/>
  <c r="I57" i="21"/>
  <c r="R77" i="17"/>
  <c r="AC159" i="20"/>
  <c r="B160" i="20"/>
  <c r="K102" i="20"/>
  <c r="L102" i="20" s="1"/>
  <c r="F103" i="20" s="1"/>
  <c r="H103" i="20" l="1"/>
  <c r="K103" i="20" s="1"/>
  <c r="K104" i="17"/>
  <c r="L104" i="17"/>
  <c r="F105" i="17" s="1"/>
  <c r="R83" i="19"/>
  <c r="J63" i="21"/>
  <c r="A163" i="19"/>
  <c r="B164" i="19"/>
  <c r="AC163" i="19"/>
  <c r="X77" i="17"/>
  <c r="Y77" i="17"/>
  <c r="U77" i="17"/>
  <c r="G78" i="18"/>
  <c r="I78" i="18"/>
  <c r="J78" i="18" s="1"/>
  <c r="AC160" i="17"/>
  <c r="B161" i="17"/>
  <c r="K56" i="21"/>
  <c r="R76" i="20"/>
  <c r="AD75" i="20"/>
  <c r="F56" i="21" s="1"/>
  <c r="K110" i="19"/>
  <c r="L110" i="19"/>
  <c r="F111" i="19" s="1"/>
  <c r="H110" i="19"/>
  <c r="J110" i="19"/>
  <c r="C140" i="21"/>
  <c r="A139" i="21"/>
  <c r="B139" i="21" s="1"/>
  <c r="B161" i="20"/>
  <c r="AC160" i="20"/>
  <c r="E79" i="18" l="1"/>
  <c r="AA78" i="17"/>
  <c r="AA78" i="19"/>
  <c r="AD78" i="19" s="1"/>
  <c r="E59" i="21" s="1"/>
  <c r="AA78" i="20"/>
  <c r="B162" i="20"/>
  <c r="AC161" i="20"/>
  <c r="U83" i="19"/>
  <c r="X83" i="19"/>
  <c r="Y83" i="19"/>
  <c r="C141" i="21"/>
  <c r="A140" i="21"/>
  <c r="B140" i="21" s="1"/>
  <c r="A164" i="19"/>
  <c r="AC164" i="19"/>
  <c r="B165" i="19"/>
  <c r="U76" i="20"/>
  <c r="X76" i="20" s="1"/>
  <c r="L103" i="20"/>
  <c r="F104" i="20" s="1"/>
  <c r="H111" i="19"/>
  <c r="L111" i="19" s="1"/>
  <c r="F112" i="19" s="1"/>
  <c r="K111" i="19"/>
  <c r="R78" i="17"/>
  <c r="I58" i="21"/>
  <c r="H105" i="17"/>
  <c r="K105" i="17" s="1"/>
  <c r="L105" i="17" s="1"/>
  <c r="F106" i="17" s="1"/>
  <c r="AD77" i="17"/>
  <c r="D58" i="21" s="1"/>
  <c r="B162" i="17"/>
  <c r="AC161" i="17"/>
  <c r="H112" i="19" l="1"/>
  <c r="L112" i="19" s="1"/>
  <c r="F113" i="19" s="1"/>
  <c r="K112" i="19"/>
  <c r="H106" i="17"/>
  <c r="K106" i="17" s="1"/>
  <c r="B163" i="17"/>
  <c r="AC162" i="17"/>
  <c r="C142" i="21"/>
  <c r="A141" i="21"/>
  <c r="B141" i="21" s="1"/>
  <c r="H104" i="20"/>
  <c r="J104" i="20" s="1"/>
  <c r="AC162" i="20"/>
  <c r="B163" i="20"/>
  <c r="U78" i="17"/>
  <c r="X78" i="17" s="1"/>
  <c r="Y76" i="20"/>
  <c r="J64" i="21"/>
  <c r="R84" i="19"/>
  <c r="B166" i="19"/>
  <c r="AC165" i="19"/>
  <c r="A165" i="19"/>
  <c r="G79" i="18"/>
  <c r="I79" i="18" s="1"/>
  <c r="J79" i="18" s="1"/>
  <c r="AA79" i="17" l="1"/>
  <c r="AA79" i="20"/>
  <c r="E80" i="18"/>
  <c r="AA79" i="19"/>
  <c r="AD79" i="19" s="1"/>
  <c r="E60" i="21" s="1"/>
  <c r="H113" i="19"/>
  <c r="J113" i="19" s="1"/>
  <c r="U84" i="19"/>
  <c r="L106" i="17"/>
  <c r="F107" i="17" s="1"/>
  <c r="R77" i="20"/>
  <c r="K57" i="21"/>
  <c r="AD76" i="20"/>
  <c r="F57" i="21" s="1"/>
  <c r="L104" i="20"/>
  <c r="F105" i="20" s="1"/>
  <c r="AC163" i="20"/>
  <c r="B164" i="20"/>
  <c r="K104" i="20"/>
  <c r="A142" i="21"/>
  <c r="B142" i="21" s="1"/>
  <c r="C143" i="21"/>
  <c r="Y78" i="17"/>
  <c r="AC166" i="19"/>
  <c r="A166" i="19"/>
  <c r="B167" i="19"/>
  <c r="B164" i="17"/>
  <c r="AC163" i="17"/>
  <c r="H107" i="17" l="1"/>
  <c r="J107" i="17" s="1"/>
  <c r="X84" i="19"/>
  <c r="Y84" i="19" s="1"/>
  <c r="B165" i="20"/>
  <c r="AC164" i="20"/>
  <c r="I59" i="21"/>
  <c r="R79" i="17"/>
  <c r="AD78" i="17"/>
  <c r="D59" i="21" s="1"/>
  <c r="J80" i="18"/>
  <c r="G80" i="18"/>
  <c r="I80" i="18"/>
  <c r="H80" i="18"/>
  <c r="K105" i="20"/>
  <c r="L105" i="20"/>
  <c r="F106" i="20" s="1"/>
  <c r="H105" i="20"/>
  <c r="B165" i="17"/>
  <c r="AC164" i="17"/>
  <c r="K113" i="19"/>
  <c r="L113" i="19" s="1"/>
  <c r="F114" i="19" s="1"/>
  <c r="C144" i="21"/>
  <c r="A143" i="21"/>
  <c r="B143" i="21" s="1"/>
  <c r="AC167" i="19"/>
  <c r="B168" i="19"/>
  <c r="A167" i="19"/>
  <c r="X77" i="20"/>
  <c r="Y77" i="20"/>
  <c r="U77" i="20"/>
  <c r="R85" i="19" l="1"/>
  <c r="J65" i="21"/>
  <c r="H114" i="19"/>
  <c r="K114" i="19"/>
  <c r="L114" i="19" s="1"/>
  <c r="F115" i="19" s="1"/>
  <c r="C145" i="21"/>
  <c r="A144" i="21"/>
  <c r="B144" i="21" s="1"/>
  <c r="B169" i="19"/>
  <c r="AC168" i="19"/>
  <c r="A168" i="19"/>
  <c r="K107" i="17"/>
  <c r="H106" i="20"/>
  <c r="K106" i="20" s="1"/>
  <c r="L106" i="20" s="1"/>
  <c r="F107" i="20" s="1"/>
  <c r="U79" i="17"/>
  <c r="X79" i="17" s="1"/>
  <c r="L107" i="17"/>
  <c r="F108" i="17" s="1"/>
  <c r="B166" i="17"/>
  <c r="AC165" i="17"/>
  <c r="K58" i="21"/>
  <c r="R78" i="20"/>
  <c r="AD77" i="20"/>
  <c r="F58" i="21" s="1"/>
  <c r="E81" i="18"/>
  <c r="AA80" i="19"/>
  <c r="AD80" i="19" s="1"/>
  <c r="E61" i="21" s="1"/>
  <c r="AA80" i="20"/>
  <c r="AA80" i="17"/>
  <c r="B166" i="20"/>
  <c r="AC165" i="20"/>
  <c r="H107" i="20" l="1"/>
  <c r="J107" i="20" s="1"/>
  <c r="H115" i="19"/>
  <c r="L115" i="19" s="1"/>
  <c r="F116" i="19" s="1"/>
  <c r="K115" i="19"/>
  <c r="G81" i="18"/>
  <c r="I81" i="18" s="1"/>
  <c r="A145" i="21"/>
  <c r="B145" i="21" s="1"/>
  <c r="C146" i="21"/>
  <c r="Y79" i="17"/>
  <c r="AC169" i="19"/>
  <c r="B170" i="19"/>
  <c r="A169" i="19"/>
  <c r="H108" i="17"/>
  <c r="K108" i="17" s="1"/>
  <c r="L108" i="17" s="1"/>
  <c r="F109" i="17" s="1"/>
  <c r="B167" i="20"/>
  <c r="AC166" i="20"/>
  <c r="X78" i="20"/>
  <c r="Y78" i="20"/>
  <c r="U78" i="20"/>
  <c r="AC166" i="17"/>
  <c r="B167" i="17"/>
  <c r="U85" i="19"/>
  <c r="Y85" i="19" s="1"/>
  <c r="X85" i="19"/>
  <c r="H116" i="19" l="1"/>
  <c r="L116" i="19" s="1"/>
  <c r="F117" i="19" s="1"/>
  <c r="J116" i="19"/>
  <c r="K116" i="19"/>
  <c r="K109" i="17"/>
  <c r="L109" i="17"/>
  <c r="F110" i="17" s="1"/>
  <c r="H109" i="17"/>
  <c r="R86" i="19"/>
  <c r="J66" i="21"/>
  <c r="C147" i="21"/>
  <c r="A146" i="21"/>
  <c r="B146" i="21" s="1"/>
  <c r="AC167" i="20"/>
  <c r="B168" i="20"/>
  <c r="J81" i="18"/>
  <c r="K107" i="20"/>
  <c r="L107" i="20" s="1"/>
  <c r="F108" i="20" s="1"/>
  <c r="K59" i="21"/>
  <c r="R79" i="20"/>
  <c r="AD78" i="20"/>
  <c r="F59" i="21" s="1"/>
  <c r="AC167" i="17"/>
  <c r="B168" i="17"/>
  <c r="AC170" i="19"/>
  <c r="B171" i="19"/>
  <c r="A170" i="19"/>
  <c r="I60" i="21"/>
  <c r="R80" i="17"/>
  <c r="AD79" i="17"/>
  <c r="D60" i="21" s="1"/>
  <c r="H117" i="19" l="1"/>
  <c r="K117" i="19" s="1"/>
  <c r="L117" i="19" s="1"/>
  <c r="F118" i="19" s="1"/>
  <c r="H108" i="20"/>
  <c r="K108" i="20" s="1"/>
  <c r="H110" i="17"/>
  <c r="J110" i="17" s="1"/>
  <c r="X79" i="20"/>
  <c r="Y79" i="20"/>
  <c r="U79" i="20"/>
  <c r="AA81" i="20"/>
  <c r="AA81" i="17"/>
  <c r="AA81" i="19"/>
  <c r="AD81" i="19" s="1"/>
  <c r="E62" i="21" s="1"/>
  <c r="E82" i="18"/>
  <c r="AC168" i="20"/>
  <c r="B169" i="20"/>
  <c r="U86" i="19"/>
  <c r="X86" i="19"/>
  <c r="Y86" i="19" s="1"/>
  <c r="AC171" i="19"/>
  <c r="A171" i="19"/>
  <c r="B172" i="19"/>
  <c r="A147" i="21"/>
  <c r="B147" i="21" s="1"/>
  <c r="C148" i="21"/>
  <c r="B169" i="17"/>
  <c r="AC168" i="17"/>
  <c r="X80" i="17"/>
  <c r="Y80" i="17" s="1"/>
  <c r="U80" i="17"/>
  <c r="H118" i="19" l="1"/>
  <c r="K118" i="19" s="1"/>
  <c r="R81" i="17"/>
  <c r="I61" i="21"/>
  <c r="AD80" i="17"/>
  <c r="D61" i="21" s="1"/>
  <c r="R87" i="19"/>
  <c r="J67" i="21"/>
  <c r="L108" i="20"/>
  <c r="F109" i="20" s="1"/>
  <c r="C149" i="21"/>
  <c r="A148" i="21"/>
  <c r="B148" i="21" s="1"/>
  <c r="G82" i="18"/>
  <c r="I82" i="18"/>
  <c r="J82" i="18" s="1"/>
  <c r="K110" i="17"/>
  <c r="L110" i="17" s="1"/>
  <c r="F111" i="17" s="1"/>
  <c r="K60" i="21"/>
  <c r="R80" i="20"/>
  <c r="AD79" i="20"/>
  <c r="F60" i="21" s="1"/>
  <c r="B170" i="17"/>
  <c r="AC169" i="17"/>
  <c r="B173" i="19"/>
  <c r="A172" i="19"/>
  <c r="AC172" i="19"/>
  <c r="AC169" i="20"/>
  <c r="B170" i="20"/>
  <c r="H111" i="17" l="1"/>
  <c r="K111" i="17" s="1"/>
  <c r="AA82" i="19"/>
  <c r="AD82" i="19" s="1"/>
  <c r="E63" i="21" s="1"/>
  <c r="AA82" i="20"/>
  <c r="E83" i="18"/>
  <c r="AA82" i="17"/>
  <c r="A173" i="19"/>
  <c r="AC173" i="19"/>
  <c r="B174" i="19"/>
  <c r="K109" i="20"/>
  <c r="L109" i="20"/>
  <c r="F110" i="20" s="1"/>
  <c r="H109" i="20"/>
  <c r="AC170" i="17"/>
  <c r="B171" i="17"/>
  <c r="C150" i="21"/>
  <c r="A149" i="21"/>
  <c r="B149" i="21" s="1"/>
  <c r="X81" i="17"/>
  <c r="Y81" i="17" s="1"/>
  <c r="U81" i="17"/>
  <c r="U80" i="20"/>
  <c r="X80" i="20" s="1"/>
  <c r="L118" i="19"/>
  <c r="F119" i="19" s="1"/>
  <c r="AC170" i="20"/>
  <c r="B171" i="20"/>
  <c r="U87" i="19"/>
  <c r="X87" i="19"/>
  <c r="Y87" i="19"/>
  <c r="I62" i="21" l="1"/>
  <c r="R82" i="17"/>
  <c r="AD81" i="17"/>
  <c r="D62" i="21" s="1"/>
  <c r="H119" i="19"/>
  <c r="J119" i="19" s="1"/>
  <c r="G83" i="18"/>
  <c r="H83" i="18" s="1"/>
  <c r="I83" i="18"/>
  <c r="A150" i="21"/>
  <c r="B150" i="21" s="1"/>
  <c r="C151" i="21"/>
  <c r="J68" i="21"/>
  <c r="R88" i="19"/>
  <c r="B175" i="19"/>
  <c r="AC174" i="19"/>
  <c r="A174" i="19"/>
  <c r="Y80" i="20"/>
  <c r="B172" i="17"/>
  <c r="AC171" i="17"/>
  <c r="B172" i="20"/>
  <c r="AC171" i="20"/>
  <c r="L111" i="17"/>
  <c r="F112" i="17" s="1"/>
  <c r="H110" i="20"/>
  <c r="J83" i="18" l="1"/>
  <c r="AC172" i="17"/>
  <c r="B173" i="17"/>
  <c r="AC175" i="19"/>
  <c r="B176" i="19"/>
  <c r="A175" i="19"/>
  <c r="U88" i="19"/>
  <c r="Y88" i="19" s="1"/>
  <c r="X88" i="19"/>
  <c r="J110" i="20"/>
  <c r="K110" i="20" s="1"/>
  <c r="L110" i="20" s="1"/>
  <c r="F111" i="20" s="1"/>
  <c r="K61" i="21"/>
  <c r="R81" i="20"/>
  <c r="AD80" i="20"/>
  <c r="F61" i="21" s="1"/>
  <c r="A151" i="21"/>
  <c r="B151" i="21" s="1"/>
  <c r="C152" i="21"/>
  <c r="K119" i="19"/>
  <c r="L119" i="19" s="1"/>
  <c r="F120" i="19" s="1"/>
  <c r="U82" i="17"/>
  <c r="X82" i="17" s="1"/>
  <c r="AC172" i="20"/>
  <c r="B173" i="20"/>
  <c r="H112" i="17"/>
  <c r="H120" i="19" l="1"/>
  <c r="K120" i="19" s="1"/>
  <c r="R89" i="19"/>
  <c r="J69" i="21"/>
  <c r="K111" i="20"/>
  <c r="H111" i="20"/>
  <c r="L111" i="20" s="1"/>
  <c r="F112" i="20" s="1"/>
  <c r="AC173" i="20"/>
  <c r="B174" i="20"/>
  <c r="AA83" i="17"/>
  <c r="AA83" i="19"/>
  <c r="AD83" i="19" s="1"/>
  <c r="E64" i="21" s="1"/>
  <c r="E84" i="18"/>
  <c r="AA83" i="20"/>
  <c r="K112" i="17"/>
  <c r="L112" i="17" s="1"/>
  <c r="F113" i="17" s="1"/>
  <c r="Y82" i="17"/>
  <c r="X81" i="20"/>
  <c r="Y81" i="20"/>
  <c r="U81" i="20"/>
  <c r="A152" i="21"/>
  <c r="B152" i="21" s="1"/>
  <c r="C153" i="21"/>
  <c r="AC173" i="17"/>
  <c r="B174" i="17"/>
  <c r="AC176" i="19"/>
  <c r="A176" i="19"/>
  <c r="B177" i="19"/>
  <c r="H113" i="17" l="1"/>
  <c r="K112" i="20"/>
  <c r="L112" i="20"/>
  <c r="F113" i="20" s="1"/>
  <c r="H112" i="20"/>
  <c r="R83" i="17"/>
  <c r="I63" i="21"/>
  <c r="AD82" i="17"/>
  <c r="D63" i="21" s="1"/>
  <c r="R82" i="20"/>
  <c r="K62" i="21"/>
  <c r="AD81" i="20"/>
  <c r="F62" i="21" s="1"/>
  <c r="B175" i="17"/>
  <c r="AC174" i="17"/>
  <c r="AC174" i="20"/>
  <c r="B175" i="20"/>
  <c r="L120" i="19"/>
  <c r="F121" i="19" s="1"/>
  <c r="U89" i="19"/>
  <c r="X89" i="19"/>
  <c r="Y89" i="19"/>
  <c r="A153" i="21"/>
  <c r="B153" i="21" s="1"/>
  <c r="C154" i="21"/>
  <c r="AC177" i="19"/>
  <c r="B178" i="19"/>
  <c r="A177" i="19"/>
  <c r="G84" i="18"/>
  <c r="I84" i="18" s="1"/>
  <c r="J84" i="18" s="1"/>
  <c r="AA84" i="17" l="1"/>
  <c r="AA84" i="19"/>
  <c r="AD84" i="19" s="1"/>
  <c r="E65" i="21" s="1"/>
  <c r="AA84" i="20"/>
  <c r="E85" i="18"/>
  <c r="B179" i="19"/>
  <c r="AC178" i="19"/>
  <c r="A178" i="19"/>
  <c r="J113" i="20"/>
  <c r="K113" i="20"/>
  <c r="L113" i="20"/>
  <c r="F114" i="20" s="1"/>
  <c r="H113" i="20"/>
  <c r="J70" i="21"/>
  <c r="R90" i="19"/>
  <c r="U82" i="20"/>
  <c r="X82" i="20" s="1"/>
  <c r="B176" i="17"/>
  <c r="AC175" i="17"/>
  <c r="U83" i="17"/>
  <c r="X83" i="17" s="1"/>
  <c r="J113" i="17"/>
  <c r="K113" i="17" s="1"/>
  <c r="B176" i="20"/>
  <c r="AC175" i="20"/>
  <c r="C155" i="21"/>
  <c r="A154" i="21"/>
  <c r="B154" i="21" s="1"/>
  <c r="H121" i="19"/>
  <c r="L121" i="19" s="1"/>
  <c r="F122" i="19" s="1"/>
  <c r="K121" i="19"/>
  <c r="H122" i="19" l="1"/>
  <c r="K122" i="19" s="1"/>
  <c r="J122" i="19"/>
  <c r="Y82" i="20"/>
  <c r="Y83" i="17"/>
  <c r="H114" i="20"/>
  <c r="K114" i="20" s="1"/>
  <c r="L113" i="17"/>
  <c r="F114" i="17" s="1"/>
  <c r="J85" i="18"/>
  <c r="G85" i="18"/>
  <c r="I85" i="18"/>
  <c r="U90" i="19"/>
  <c r="X90" i="19"/>
  <c r="Y90" i="19"/>
  <c r="B180" i="19"/>
  <c r="A179" i="19"/>
  <c r="AC179" i="19"/>
  <c r="A155" i="21"/>
  <c r="B155" i="21" s="1"/>
  <c r="C156" i="21"/>
  <c r="B177" i="20"/>
  <c r="AC176" i="20"/>
  <c r="B177" i="17"/>
  <c r="AC176" i="17"/>
  <c r="AC177" i="20" l="1"/>
  <c r="B178" i="20"/>
  <c r="B181" i="19"/>
  <c r="AC180" i="19"/>
  <c r="A180" i="19"/>
  <c r="R91" i="19"/>
  <c r="J71" i="21"/>
  <c r="L114" i="20"/>
  <c r="F115" i="20" s="1"/>
  <c r="AA85" i="17"/>
  <c r="E86" i="18"/>
  <c r="AA85" i="19"/>
  <c r="AD85" i="19" s="1"/>
  <c r="E66" i="21" s="1"/>
  <c r="AA85" i="20"/>
  <c r="I64" i="21"/>
  <c r="T35" i="2" s="1"/>
  <c r="O9" i="21" s="1"/>
  <c r="R84" i="17"/>
  <c r="AJ74" i="21"/>
  <c r="AD83" i="17"/>
  <c r="D64" i="21" s="1"/>
  <c r="AC46" i="21" s="1"/>
  <c r="AJ70" i="21" s="1"/>
  <c r="AJ72" i="21" s="1"/>
  <c r="AJ77" i="21" s="1"/>
  <c r="K63" i="21"/>
  <c r="R83" i="20"/>
  <c r="AD82" i="20"/>
  <c r="F63" i="21" s="1"/>
  <c r="L122" i="19"/>
  <c r="F123" i="19" s="1"/>
  <c r="H114" i="17"/>
  <c r="A156" i="21"/>
  <c r="B156" i="21" s="1"/>
  <c r="C157" i="21"/>
  <c r="AC177" i="17"/>
  <c r="B178" i="17"/>
  <c r="K114" i="17" l="1"/>
  <c r="L114" i="17" s="1"/>
  <c r="F115" i="17" s="1"/>
  <c r="B182" i="19"/>
  <c r="AC181" i="19"/>
  <c r="A181" i="19"/>
  <c r="C158" i="21"/>
  <c r="A157" i="21"/>
  <c r="B157" i="21" s="1"/>
  <c r="U83" i="20"/>
  <c r="X83" i="20" s="1"/>
  <c r="U91" i="19"/>
  <c r="X91" i="19"/>
  <c r="Y91" i="19"/>
  <c r="G86" i="18"/>
  <c r="H86" i="18" s="1"/>
  <c r="J86" i="18" s="1"/>
  <c r="I86" i="18"/>
  <c r="B179" i="17"/>
  <c r="AC178" i="17"/>
  <c r="H123" i="19"/>
  <c r="L123" i="19" s="1"/>
  <c r="F124" i="19" s="1"/>
  <c r="K123" i="19"/>
  <c r="U84" i="17"/>
  <c r="X84" i="17" s="1"/>
  <c r="H115" i="20"/>
  <c r="K115" i="20" s="1"/>
  <c r="AC178" i="20"/>
  <c r="B179" i="20"/>
  <c r="Q9" i="21"/>
  <c r="R9" i="21"/>
  <c r="P9" i="21"/>
  <c r="H124" i="19" l="1"/>
  <c r="K124" i="19"/>
  <c r="L124" i="19"/>
  <c r="F125" i="19" s="1"/>
  <c r="AA86" i="17"/>
  <c r="AA86" i="20"/>
  <c r="E87" i="18"/>
  <c r="AA86" i="19"/>
  <c r="AD86" i="19" s="1"/>
  <c r="E67" i="21" s="1"/>
  <c r="H115" i="17"/>
  <c r="K115" i="17" s="1"/>
  <c r="Y83" i="20"/>
  <c r="L115" i="20"/>
  <c r="F116" i="20" s="1"/>
  <c r="AC182" i="19"/>
  <c r="B183" i="19"/>
  <c r="A182" i="19"/>
  <c r="AC179" i="20"/>
  <c r="B180" i="20"/>
  <c r="B180" i="17"/>
  <c r="AC179" i="17"/>
  <c r="C159" i="21"/>
  <c r="A158" i="21"/>
  <c r="B158" i="21" s="1"/>
  <c r="J72" i="21"/>
  <c r="R92" i="19"/>
  <c r="Y84" i="17"/>
  <c r="U92" i="19" l="1"/>
  <c r="X92" i="19"/>
  <c r="Y92" i="19"/>
  <c r="I65" i="21"/>
  <c r="R85" i="17"/>
  <c r="AD84" i="17"/>
  <c r="D65" i="21" s="1"/>
  <c r="G87" i="18"/>
  <c r="I87" i="18"/>
  <c r="J87" i="18" s="1"/>
  <c r="K64" i="21"/>
  <c r="R84" i="20"/>
  <c r="AD83" i="20"/>
  <c r="F64" i="21" s="1"/>
  <c r="H125" i="19"/>
  <c r="J125" i="19" s="1"/>
  <c r="H116" i="20"/>
  <c r="J116" i="20" s="1"/>
  <c r="B181" i="20"/>
  <c r="AC180" i="20"/>
  <c r="C160" i="21"/>
  <c r="A159" i="21"/>
  <c r="B159" i="21" s="1"/>
  <c r="AC183" i="19"/>
  <c r="B184" i="19"/>
  <c r="A183" i="19"/>
  <c r="L115" i="17"/>
  <c r="F116" i="17" s="1"/>
  <c r="B181" i="17"/>
  <c r="AC180" i="17"/>
  <c r="E88" i="18" l="1"/>
  <c r="AA87" i="17"/>
  <c r="AA87" i="19"/>
  <c r="AD87" i="19" s="1"/>
  <c r="E68" i="21" s="1"/>
  <c r="AA87" i="20"/>
  <c r="K116" i="20"/>
  <c r="L116" i="20" s="1"/>
  <c r="F117" i="20" s="1"/>
  <c r="C161" i="21"/>
  <c r="A160" i="21"/>
  <c r="B160" i="21" s="1"/>
  <c r="J116" i="17"/>
  <c r="K116" i="17"/>
  <c r="L116" i="17"/>
  <c r="F117" i="17" s="1"/>
  <c r="H116" i="17"/>
  <c r="J73" i="21"/>
  <c r="R93" i="19"/>
  <c r="AC181" i="17"/>
  <c r="B182" i="17"/>
  <c r="X84" i="20"/>
  <c r="U84" i="20"/>
  <c r="Y84" i="20" s="1"/>
  <c r="AC184" i="19"/>
  <c r="B185" i="19"/>
  <c r="A184" i="19"/>
  <c r="K125" i="19"/>
  <c r="L125" i="19" s="1"/>
  <c r="F126" i="19" s="1"/>
  <c r="U85" i="17"/>
  <c r="X85" i="17" s="1"/>
  <c r="AC181" i="20"/>
  <c r="B182" i="20"/>
  <c r="K65" i="21" l="1"/>
  <c r="R85" i="20"/>
  <c r="AD84" i="20"/>
  <c r="F65" i="21" s="1"/>
  <c r="H117" i="20"/>
  <c r="H126" i="19"/>
  <c r="L126" i="19" s="1"/>
  <c r="F127" i="19" s="1"/>
  <c r="K126" i="19"/>
  <c r="H117" i="17"/>
  <c r="B186" i="19"/>
  <c r="AC185" i="19"/>
  <c r="A185" i="19"/>
  <c r="U93" i="19"/>
  <c r="Y93" i="19" s="1"/>
  <c r="X93" i="19"/>
  <c r="B183" i="17"/>
  <c r="AC182" i="17"/>
  <c r="Y85" i="17"/>
  <c r="AC182" i="20"/>
  <c r="B183" i="20"/>
  <c r="C162" i="21"/>
  <c r="A161" i="21"/>
  <c r="B161" i="21" s="1"/>
  <c r="G88" i="18"/>
  <c r="J74" i="21" l="1"/>
  <c r="R94" i="19"/>
  <c r="H127" i="19"/>
  <c r="K127" i="19"/>
  <c r="L127" i="19"/>
  <c r="F128" i="19" s="1"/>
  <c r="K117" i="20"/>
  <c r="L117" i="20" s="1"/>
  <c r="F118" i="20" s="1"/>
  <c r="I88" i="18"/>
  <c r="J88" i="18" s="1"/>
  <c r="K117" i="17"/>
  <c r="L117" i="17" s="1"/>
  <c r="F118" i="17" s="1"/>
  <c r="I66" i="21"/>
  <c r="R86" i="17"/>
  <c r="AD85" i="17"/>
  <c r="D66" i="21" s="1"/>
  <c r="C163" i="21"/>
  <c r="A162" i="21"/>
  <c r="B162" i="21" s="1"/>
  <c r="A186" i="19"/>
  <c r="AC186" i="19"/>
  <c r="B187" i="19"/>
  <c r="U85" i="20"/>
  <c r="X85" i="20" s="1"/>
  <c r="AC183" i="17"/>
  <c r="B184" i="17"/>
  <c r="B184" i="20"/>
  <c r="AC183" i="20"/>
  <c r="H118" i="17" l="1"/>
  <c r="H118" i="20"/>
  <c r="K118" i="20" s="1"/>
  <c r="AA88" i="19"/>
  <c r="AD88" i="19" s="1"/>
  <c r="E69" i="21" s="1"/>
  <c r="AA88" i="17"/>
  <c r="AA88" i="20"/>
  <c r="E89" i="18"/>
  <c r="Y85" i="20"/>
  <c r="AC184" i="17"/>
  <c r="B185" i="17"/>
  <c r="U94" i="19"/>
  <c r="X94" i="19"/>
  <c r="Y94" i="19"/>
  <c r="K128" i="19"/>
  <c r="L128" i="19"/>
  <c r="F129" i="19" s="1"/>
  <c r="H128" i="19"/>
  <c r="J128" i="19"/>
  <c r="C164" i="21"/>
  <c r="A163" i="21"/>
  <c r="B163" i="21" s="1"/>
  <c r="AC184" i="20"/>
  <c r="B185" i="20"/>
  <c r="AC187" i="19"/>
  <c r="A187" i="19"/>
  <c r="B188" i="19"/>
  <c r="U86" i="17"/>
  <c r="X86" i="17" s="1"/>
  <c r="L118" i="20" l="1"/>
  <c r="F119" i="20" s="1"/>
  <c r="AC185" i="20"/>
  <c r="B186" i="20"/>
  <c r="Y86" i="17"/>
  <c r="J75" i="21"/>
  <c r="R95" i="19"/>
  <c r="C165" i="21"/>
  <c r="A164" i="21"/>
  <c r="B164" i="21" s="1"/>
  <c r="K118" i="17"/>
  <c r="L118" i="17" s="1"/>
  <c r="F119" i="17" s="1"/>
  <c r="H129" i="19"/>
  <c r="K129" i="19"/>
  <c r="L129" i="19"/>
  <c r="F130" i="19" s="1"/>
  <c r="R86" i="20"/>
  <c r="K66" i="21"/>
  <c r="AD85" i="20"/>
  <c r="F66" i="21" s="1"/>
  <c r="G89" i="18"/>
  <c r="H89" i="18" s="1"/>
  <c r="J89" i="18" s="1"/>
  <c r="I89" i="18"/>
  <c r="B189" i="19"/>
  <c r="AC188" i="19"/>
  <c r="A188" i="19"/>
  <c r="B186" i="17"/>
  <c r="AC185" i="17"/>
  <c r="AA89" i="20" l="1"/>
  <c r="AA89" i="17"/>
  <c r="AA89" i="19"/>
  <c r="AD89" i="19" s="1"/>
  <c r="E70" i="21" s="1"/>
  <c r="E90" i="18"/>
  <c r="H119" i="17"/>
  <c r="J119" i="17" s="1"/>
  <c r="U86" i="20"/>
  <c r="X86" i="20" s="1"/>
  <c r="A189" i="19"/>
  <c r="B190" i="19"/>
  <c r="AC189" i="19"/>
  <c r="C166" i="21"/>
  <c r="A165" i="21"/>
  <c r="B165" i="21" s="1"/>
  <c r="I67" i="21"/>
  <c r="R87" i="17"/>
  <c r="AD86" i="17"/>
  <c r="D67" i="21" s="1"/>
  <c r="B187" i="20"/>
  <c r="AC186" i="20"/>
  <c r="H130" i="19"/>
  <c r="K130" i="19"/>
  <c r="L130" i="19" s="1"/>
  <c r="F131" i="19" s="1"/>
  <c r="U95" i="19"/>
  <c r="Y95" i="19" s="1"/>
  <c r="X95" i="19"/>
  <c r="J119" i="20"/>
  <c r="H119" i="20"/>
  <c r="AC186" i="17"/>
  <c r="B187" i="17"/>
  <c r="K119" i="17" l="1"/>
  <c r="L119" i="17"/>
  <c r="F120" i="17" s="1"/>
  <c r="H131" i="19"/>
  <c r="J131" i="19"/>
  <c r="K131" i="19" s="1"/>
  <c r="L131" i="19" s="1"/>
  <c r="F132" i="19" s="1"/>
  <c r="J76" i="21"/>
  <c r="R96" i="19"/>
  <c r="K119" i="20"/>
  <c r="L119" i="20" s="1"/>
  <c r="F120" i="20" s="1"/>
  <c r="Y86" i="20"/>
  <c r="G90" i="18"/>
  <c r="U87" i="17"/>
  <c r="AC187" i="20"/>
  <c r="B188" i="20"/>
  <c r="AC187" i="17"/>
  <c r="B188" i="17"/>
  <c r="A166" i="21"/>
  <c r="B166" i="21" s="1"/>
  <c r="C167" i="21"/>
  <c r="A190" i="19"/>
  <c r="B191" i="19"/>
  <c r="AC190" i="19"/>
  <c r="H132" i="19" l="1"/>
  <c r="K132" i="19"/>
  <c r="L132" i="19"/>
  <c r="F133" i="19" s="1"/>
  <c r="J90" i="18"/>
  <c r="H120" i="20"/>
  <c r="K120" i="20" s="1"/>
  <c r="L120" i="20" s="1"/>
  <c r="F121" i="20" s="1"/>
  <c r="A167" i="21"/>
  <c r="B167" i="21" s="1"/>
  <c r="C168" i="21"/>
  <c r="X87" i="17"/>
  <c r="Y87" i="17" s="1"/>
  <c r="AC188" i="17"/>
  <c r="B189" i="17"/>
  <c r="H120" i="17"/>
  <c r="R87" i="20"/>
  <c r="K67" i="21"/>
  <c r="AD86" i="20"/>
  <c r="F67" i="21" s="1"/>
  <c r="U96" i="19"/>
  <c r="X96" i="19"/>
  <c r="Y96" i="19" s="1"/>
  <c r="A191" i="19"/>
  <c r="AC191" i="19"/>
  <c r="B192" i="19"/>
  <c r="I90" i="18"/>
  <c r="B189" i="20"/>
  <c r="AC188" i="20"/>
  <c r="R97" i="19" l="1"/>
  <c r="J77" i="21"/>
  <c r="H121" i="20"/>
  <c r="R88" i="17"/>
  <c r="I68" i="21"/>
  <c r="AD87" i="17"/>
  <c r="D68" i="21" s="1"/>
  <c r="U87" i="20"/>
  <c r="K120" i="17"/>
  <c r="L120" i="17" s="1"/>
  <c r="F121" i="17" s="1"/>
  <c r="H133" i="19"/>
  <c r="K133" i="19"/>
  <c r="L133" i="19"/>
  <c r="F134" i="19" s="1"/>
  <c r="AA90" i="17"/>
  <c r="AA90" i="19"/>
  <c r="AD90" i="19" s="1"/>
  <c r="E71" i="21" s="1"/>
  <c r="E91" i="18"/>
  <c r="AA90" i="20"/>
  <c r="A168" i="21"/>
  <c r="B168" i="21" s="1"/>
  <c r="C169" i="21"/>
  <c r="B190" i="20"/>
  <c r="AC189" i="20"/>
  <c r="B193" i="19"/>
  <c r="AC192" i="19"/>
  <c r="A192" i="19"/>
  <c r="B190" i="17"/>
  <c r="AC189" i="17"/>
  <c r="H121" i="17" l="1"/>
  <c r="K121" i="17" s="1"/>
  <c r="L121" i="20"/>
  <c r="F122" i="20" s="1"/>
  <c r="C170" i="21"/>
  <c r="A169" i="21"/>
  <c r="B169" i="21" s="1"/>
  <c r="K121" i="20"/>
  <c r="B191" i="17"/>
  <c r="AC190" i="17"/>
  <c r="Y97" i="19"/>
  <c r="U97" i="19"/>
  <c r="X97" i="19"/>
  <c r="B191" i="20"/>
  <c r="AC190" i="20"/>
  <c r="X87" i="20"/>
  <c r="Y87" i="20" s="1"/>
  <c r="L134" i="19"/>
  <c r="F135" i="19" s="1"/>
  <c r="H134" i="19"/>
  <c r="J134" i="19"/>
  <c r="K134" i="19"/>
  <c r="A193" i="19"/>
  <c r="AC193" i="19"/>
  <c r="B194" i="19"/>
  <c r="G91" i="18"/>
  <c r="I91" i="18"/>
  <c r="J91" i="18" s="1"/>
  <c r="X88" i="17"/>
  <c r="Y88" i="17"/>
  <c r="U88" i="17"/>
  <c r="E92" i="18" l="1"/>
  <c r="AA91" i="20"/>
  <c r="AA91" i="19"/>
  <c r="AD91" i="19" s="1"/>
  <c r="E72" i="21" s="1"/>
  <c r="AA91" i="17"/>
  <c r="R88" i="20"/>
  <c r="K68" i="21"/>
  <c r="AD87" i="20"/>
  <c r="F68" i="21" s="1"/>
  <c r="C171" i="21"/>
  <c r="A170" i="21"/>
  <c r="B170" i="21" s="1"/>
  <c r="J122" i="20"/>
  <c r="K122" i="20" s="1"/>
  <c r="H122" i="20"/>
  <c r="AC191" i="20"/>
  <c r="B192" i="20"/>
  <c r="H135" i="19"/>
  <c r="K135" i="19"/>
  <c r="L135" i="19"/>
  <c r="F136" i="19" s="1"/>
  <c r="L121" i="17"/>
  <c r="F122" i="17" s="1"/>
  <c r="I69" i="21"/>
  <c r="R89" i="17"/>
  <c r="AD88" i="17"/>
  <c r="D69" i="21" s="1"/>
  <c r="J78" i="21"/>
  <c r="R98" i="19"/>
  <c r="AC191" i="17"/>
  <c r="B192" i="17"/>
  <c r="AC194" i="19"/>
  <c r="B195" i="19"/>
  <c r="A194" i="19"/>
  <c r="U98" i="19" l="1"/>
  <c r="Y98" i="19" s="1"/>
  <c r="X98" i="19"/>
  <c r="L122" i="20"/>
  <c r="F123" i="20" s="1"/>
  <c r="B193" i="20"/>
  <c r="AC192" i="20"/>
  <c r="AC192" i="17"/>
  <c r="B193" i="17"/>
  <c r="A171" i="21"/>
  <c r="B171" i="21" s="1"/>
  <c r="C172" i="21"/>
  <c r="H136" i="19"/>
  <c r="K136" i="19"/>
  <c r="L136" i="19"/>
  <c r="F137" i="19" s="1"/>
  <c r="U88" i="20"/>
  <c r="X88" i="20" s="1"/>
  <c r="AC195" i="19"/>
  <c r="A195" i="19"/>
  <c r="B196" i="19"/>
  <c r="U89" i="17"/>
  <c r="X89" i="17" s="1"/>
  <c r="H122" i="17"/>
  <c r="J122" i="17" s="1"/>
  <c r="G92" i="18"/>
  <c r="I92" i="18" s="1"/>
  <c r="J79" i="21" l="1"/>
  <c r="R99" i="19"/>
  <c r="Y89" i="17"/>
  <c r="AC193" i="20"/>
  <c r="B194" i="20"/>
  <c r="A172" i="21"/>
  <c r="B172" i="21" s="1"/>
  <c r="C173" i="21"/>
  <c r="B194" i="17"/>
  <c r="AC193" i="17"/>
  <c r="Y88" i="20"/>
  <c r="K122" i="17"/>
  <c r="B197" i="19"/>
  <c r="AC196" i="19"/>
  <c r="A196" i="19"/>
  <c r="H92" i="18"/>
  <c r="H123" i="20"/>
  <c r="K123" i="20" s="1"/>
  <c r="H137" i="19"/>
  <c r="J137" i="19"/>
  <c r="L137" i="19" s="1"/>
  <c r="F138" i="19" s="1"/>
  <c r="K137" i="19"/>
  <c r="J92" i="18"/>
  <c r="L122" i="17"/>
  <c r="F123" i="17" s="1"/>
  <c r="H138" i="19" l="1"/>
  <c r="K138" i="19" s="1"/>
  <c r="L138" i="19" s="1"/>
  <c r="F139" i="19" s="1"/>
  <c r="AA92" i="19"/>
  <c r="AD92" i="19" s="1"/>
  <c r="E73" i="21" s="1"/>
  <c r="E93" i="18"/>
  <c r="AA92" i="20"/>
  <c r="AA92" i="17"/>
  <c r="I70" i="21"/>
  <c r="R90" i="17"/>
  <c r="AD89" i="17"/>
  <c r="D70" i="21" s="1"/>
  <c r="K123" i="17"/>
  <c r="L123" i="17"/>
  <c r="F124" i="17" s="1"/>
  <c r="H123" i="17"/>
  <c r="A197" i="19"/>
  <c r="B198" i="19"/>
  <c r="AC197" i="19"/>
  <c r="L123" i="20"/>
  <c r="F124" i="20" s="1"/>
  <c r="B195" i="20"/>
  <c r="AC194" i="20"/>
  <c r="R89" i="20"/>
  <c r="K69" i="21"/>
  <c r="AD88" i="20"/>
  <c r="F69" i="21" s="1"/>
  <c r="B195" i="17"/>
  <c r="AC194" i="17"/>
  <c r="U99" i="19"/>
  <c r="X99" i="19" s="1"/>
  <c r="C174" i="21"/>
  <c r="A173" i="21"/>
  <c r="B173" i="21" s="1"/>
  <c r="H139" i="19" l="1"/>
  <c r="K139" i="19"/>
  <c r="L139" i="19"/>
  <c r="F140" i="19" s="1"/>
  <c r="H124" i="20"/>
  <c r="K124" i="20" s="1"/>
  <c r="G93" i="18"/>
  <c r="I93" i="18"/>
  <c r="J93" i="18"/>
  <c r="C175" i="21"/>
  <c r="A174" i="21"/>
  <c r="B174" i="21" s="1"/>
  <c r="B196" i="20"/>
  <c r="AC195" i="20"/>
  <c r="Y99" i="19"/>
  <c r="B199" i="19"/>
  <c r="A198" i="19"/>
  <c r="AC198" i="19"/>
  <c r="U90" i="17"/>
  <c r="X90" i="17" s="1"/>
  <c r="H124" i="17"/>
  <c r="K124" i="17" s="1"/>
  <c r="B196" i="17"/>
  <c r="AC195" i="17"/>
  <c r="U89" i="20"/>
  <c r="A175" i="21" l="1"/>
  <c r="B175" i="21" s="1"/>
  <c r="C176" i="21"/>
  <c r="X89" i="20"/>
  <c r="Y89" i="20" s="1"/>
  <c r="J140" i="19"/>
  <c r="K140" i="19"/>
  <c r="H140" i="19"/>
  <c r="L140" i="19" s="1"/>
  <c r="F141" i="19" s="1"/>
  <c r="AC196" i="20"/>
  <c r="B197" i="20"/>
  <c r="L124" i="17"/>
  <c r="F125" i="17" s="1"/>
  <c r="AC199" i="19"/>
  <c r="B200" i="19"/>
  <c r="A199" i="19"/>
  <c r="R100" i="19"/>
  <c r="J80" i="21"/>
  <c r="Y90" i="17"/>
  <c r="L124" i="20"/>
  <c r="F125" i="20" s="1"/>
  <c r="AA93" i="17"/>
  <c r="AA93" i="19"/>
  <c r="AD93" i="19" s="1"/>
  <c r="E74" i="21" s="1"/>
  <c r="E94" i="18"/>
  <c r="AA93" i="20"/>
  <c r="B197" i="17"/>
  <c r="AC196" i="17"/>
  <c r="H141" i="19" l="1"/>
  <c r="L141" i="19" s="1"/>
  <c r="F142" i="19" s="1"/>
  <c r="K141" i="19"/>
  <c r="K70" i="21"/>
  <c r="R90" i="20"/>
  <c r="AD89" i="20"/>
  <c r="F70" i="21" s="1"/>
  <c r="H125" i="20"/>
  <c r="J125" i="17"/>
  <c r="K125" i="17"/>
  <c r="H125" i="17"/>
  <c r="L125" i="17" s="1"/>
  <c r="F126" i="17" s="1"/>
  <c r="G94" i="18"/>
  <c r="I94" i="18"/>
  <c r="J94" i="18"/>
  <c r="A176" i="21"/>
  <c r="B176" i="21" s="1"/>
  <c r="C177" i="21"/>
  <c r="AC197" i="17"/>
  <c r="B198" i="17"/>
  <c r="U100" i="19"/>
  <c r="I71" i="21"/>
  <c r="R91" i="17"/>
  <c r="AD90" i="17"/>
  <c r="D71" i="21" s="1"/>
  <c r="AC197" i="20"/>
  <c r="B198" i="20"/>
  <c r="AC200" i="19"/>
  <c r="B201" i="19"/>
  <c r="A200" i="19"/>
  <c r="H126" i="17" l="1"/>
  <c r="K126" i="17" s="1"/>
  <c r="H142" i="19"/>
  <c r="K142" i="19" s="1"/>
  <c r="B199" i="20"/>
  <c r="AC198" i="20"/>
  <c r="X100" i="19"/>
  <c r="Y100" i="19" s="1"/>
  <c r="X90" i="20"/>
  <c r="U90" i="20"/>
  <c r="Y90" i="20" s="1"/>
  <c r="AC201" i="19"/>
  <c r="A201" i="19"/>
  <c r="B202" i="19"/>
  <c r="J125" i="20"/>
  <c r="K125" i="20" s="1"/>
  <c r="B199" i="17"/>
  <c r="AC198" i="17"/>
  <c r="U91" i="17"/>
  <c r="AA94" i="20"/>
  <c r="AA94" i="19"/>
  <c r="AD94" i="19" s="1"/>
  <c r="E75" i="21" s="1"/>
  <c r="E95" i="18"/>
  <c r="AA94" i="17"/>
  <c r="C178" i="21"/>
  <c r="A177" i="21"/>
  <c r="B177" i="21" s="1"/>
  <c r="R101" i="19" l="1"/>
  <c r="J81" i="21"/>
  <c r="R91" i="20"/>
  <c r="K71" i="21"/>
  <c r="AD90" i="20"/>
  <c r="F71" i="21" s="1"/>
  <c r="L126" i="17"/>
  <c r="F127" i="17" s="1"/>
  <c r="AC202" i="19"/>
  <c r="B203" i="19"/>
  <c r="A202" i="19"/>
  <c r="AC199" i="20"/>
  <c r="B200" i="20"/>
  <c r="L125" i="20"/>
  <c r="F126" i="20" s="1"/>
  <c r="G95" i="18"/>
  <c r="H95" i="18" s="1"/>
  <c r="L142" i="19"/>
  <c r="F143" i="19" s="1"/>
  <c r="C179" i="21"/>
  <c r="A178" i="21"/>
  <c r="B178" i="21" s="1"/>
  <c r="X91" i="17"/>
  <c r="Y91" i="17" s="1"/>
  <c r="B200" i="17"/>
  <c r="AC199" i="17"/>
  <c r="R92" i="17" l="1"/>
  <c r="I72" i="21"/>
  <c r="AD91" i="17"/>
  <c r="D72" i="21" s="1"/>
  <c r="X91" i="20"/>
  <c r="Y91" i="20"/>
  <c r="U91" i="20"/>
  <c r="AC200" i="17"/>
  <c r="B201" i="17"/>
  <c r="I95" i="18"/>
  <c r="J95" i="18" s="1"/>
  <c r="B204" i="19"/>
  <c r="A203" i="19"/>
  <c r="AC203" i="19"/>
  <c r="AC200" i="20"/>
  <c r="B201" i="20"/>
  <c r="A179" i="21"/>
  <c r="B179" i="21" s="1"/>
  <c r="C180" i="21"/>
  <c r="J143" i="19"/>
  <c r="H143" i="19"/>
  <c r="K143" i="19" s="1"/>
  <c r="H126" i="20"/>
  <c r="H127" i="17"/>
  <c r="K127" i="17" s="1"/>
  <c r="U101" i="19"/>
  <c r="X101" i="19" s="1"/>
  <c r="E96" i="18" l="1"/>
  <c r="AA95" i="19"/>
  <c r="AD95" i="19" s="1"/>
  <c r="E76" i="21" s="1"/>
  <c r="AA95" i="17"/>
  <c r="AA95" i="20"/>
  <c r="K126" i="20"/>
  <c r="L126" i="20" s="1"/>
  <c r="F127" i="20" s="1"/>
  <c r="Y101" i="19"/>
  <c r="K72" i="21"/>
  <c r="R92" i="20"/>
  <c r="AD91" i="20"/>
  <c r="F72" i="21" s="1"/>
  <c r="B202" i="17"/>
  <c r="AC201" i="17"/>
  <c r="A180" i="21"/>
  <c r="B180" i="21" s="1"/>
  <c r="C181" i="21"/>
  <c r="AC204" i="19"/>
  <c r="B205" i="19"/>
  <c r="A204" i="19"/>
  <c r="B202" i="20"/>
  <c r="AC201" i="20"/>
  <c r="L127" i="17"/>
  <c r="F128" i="17" s="1"/>
  <c r="L143" i="19"/>
  <c r="F144" i="19" s="1"/>
  <c r="U92" i="17"/>
  <c r="H127" i="20" l="1"/>
  <c r="X92" i="17"/>
  <c r="Y92" i="17" s="1"/>
  <c r="AC202" i="20"/>
  <c r="B203" i="20"/>
  <c r="B203" i="17"/>
  <c r="AC202" i="17"/>
  <c r="K144" i="19"/>
  <c r="L144" i="19"/>
  <c r="F145" i="19" s="1"/>
  <c r="H144" i="19"/>
  <c r="A205" i="19"/>
  <c r="B206" i="19"/>
  <c r="AC205" i="19"/>
  <c r="X92" i="20"/>
  <c r="U92" i="20"/>
  <c r="Y92" i="20" s="1"/>
  <c r="H128" i="17"/>
  <c r="J128" i="17" s="1"/>
  <c r="A181" i="21"/>
  <c r="B181" i="21" s="1"/>
  <c r="C182" i="21"/>
  <c r="R102" i="19"/>
  <c r="J82" i="21"/>
  <c r="G96" i="18"/>
  <c r="I96" i="18" s="1"/>
  <c r="J96" i="18" s="1"/>
  <c r="R93" i="17" l="1"/>
  <c r="I73" i="21"/>
  <c r="AD92" i="17"/>
  <c r="D73" i="21" s="1"/>
  <c r="AA96" i="20"/>
  <c r="E97" i="18"/>
  <c r="AA96" i="19"/>
  <c r="AD96" i="19" s="1"/>
  <c r="E77" i="21" s="1"/>
  <c r="AA96" i="17"/>
  <c r="K73" i="21"/>
  <c r="R93" i="20"/>
  <c r="AD92" i="20"/>
  <c r="F73" i="21" s="1"/>
  <c r="K128" i="17"/>
  <c r="U102" i="19"/>
  <c r="X102" i="19" s="1"/>
  <c r="B204" i="17"/>
  <c r="AC203" i="17"/>
  <c r="H145" i="19"/>
  <c r="K145" i="19" s="1"/>
  <c r="A206" i="19"/>
  <c r="B207" i="19"/>
  <c r="AC206" i="19"/>
  <c r="L128" i="17"/>
  <c r="F129" i="17" s="1"/>
  <c r="C183" i="21"/>
  <c r="A182" i="21"/>
  <c r="B182" i="21" s="1"/>
  <c r="B204" i="20"/>
  <c r="AC203" i="20"/>
  <c r="K127" i="20"/>
  <c r="L127" i="20" s="1"/>
  <c r="F128" i="20" s="1"/>
  <c r="H128" i="20" l="1"/>
  <c r="J128" i="20" s="1"/>
  <c r="G97" i="18"/>
  <c r="I97" i="18" s="1"/>
  <c r="AC207" i="19"/>
  <c r="B208" i="19"/>
  <c r="A207" i="19"/>
  <c r="X93" i="20"/>
  <c r="U93" i="20"/>
  <c r="Y93" i="20" s="1"/>
  <c r="B205" i="17"/>
  <c r="AC204" i="17"/>
  <c r="L145" i="19"/>
  <c r="F146" i="19" s="1"/>
  <c r="Y102" i="19"/>
  <c r="H129" i="17"/>
  <c r="K129" i="17" s="1"/>
  <c r="AC204" i="20"/>
  <c r="B205" i="20"/>
  <c r="C184" i="21"/>
  <c r="A183" i="21"/>
  <c r="B183" i="21" s="1"/>
  <c r="U93" i="17"/>
  <c r="X93" i="17" s="1"/>
  <c r="K74" i="21" l="1"/>
  <c r="R94" i="20"/>
  <c r="AD93" i="20"/>
  <c r="F74" i="21" s="1"/>
  <c r="C185" i="21"/>
  <c r="A184" i="21"/>
  <c r="B184" i="21" s="1"/>
  <c r="AC205" i="20"/>
  <c r="B206" i="20"/>
  <c r="L129" i="17"/>
  <c r="F130" i="17" s="1"/>
  <c r="K128" i="20"/>
  <c r="R103" i="19"/>
  <c r="J83" i="21"/>
  <c r="H146" i="19"/>
  <c r="J146" i="19" s="1"/>
  <c r="Y93" i="17"/>
  <c r="A208" i="19"/>
  <c r="B209" i="19"/>
  <c r="AC208" i="19"/>
  <c r="AC205" i="17"/>
  <c r="B206" i="17"/>
  <c r="L128" i="20"/>
  <c r="F129" i="20" s="1"/>
  <c r="J97" i="18"/>
  <c r="A209" i="19" l="1"/>
  <c r="AC209" i="19"/>
  <c r="B210" i="19"/>
  <c r="H129" i="20"/>
  <c r="U103" i="19"/>
  <c r="X103" i="19" s="1"/>
  <c r="AC206" i="17"/>
  <c r="B207" i="17"/>
  <c r="H130" i="17"/>
  <c r="K130" i="17" s="1"/>
  <c r="L130" i="17" s="1"/>
  <c r="F131" i="17" s="1"/>
  <c r="U94" i="20"/>
  <c r="AA97" i="19"/>
  <c r="AD97" i="19" s="1"/>
  <c r="E78" i="21" s="1"/>
  <c r="E98" i="18"/>
  <c r="AA97" i="17"/>
  <c r="AA97" i="20"/>
  <c r="I74" i="21"/>
  <c r="R94" i="17"/>
  <c r="AD93" i="17"/>
  <c r="D74" i="21" s="1"/>
  <c r="C186" i="21"/>
  <c r="A185" i="21"/>
  <c r="B185" i="21" s="1"/>
  <c r="K146" i="19"/>
  <c r="L146" i="19" s="1"/>
  <c r="F147" i="19" s="1"/>
  <c r="AC206" i="20"/>
  <c r="B207" i="20"/>
  <c r="H131" i="17" l="1"/>
  <c r="J131" i="17" s="1"/>
  <c r="Y94" i="20"/>
  <c r="H147" i="19"/>
  <c r="L147" i="19" s="1"/>
  <c r="F148" i="19" s="1"/>
  <c r="K147" i="19"/>
  <c r="B208" i="20"/>
  <c r="AC207" i="20"/>
  <c r="K129" i="20"/>
  <c r="L129" i="20" s="1"/>
  <c r="F130" i="20" s="1"/>
  <c r="U94" i="17"/>
  <c r="X94" i="17" s="1"/>
  <c r="X94" i="20"/>
  <c r="AC210" i="19"/>
  <c r="A210" i="19"/>
  <c r="B211" i="19"/>
  <c r="Y103" i="19"/>
  <c r="AC207" i="17"/>
  <c r="B208" i="17"/>
  <c r="C187" i="21"/>
  <c r="A186" i="21"/>
  <c r="B186" i="21" s="1"/>
  <c r="G98" i="18"/>
  <c r="I98" i="18" s="1"/>
  <c r="H148" i="19" l="1"/>
  <c r="H130" i="20"/>
  <c r="B209" i="17"/>
  <c r="AC208" i="17"/>
  <c r="H98" i="18"/>
  <c r="J98" i="18" s="1"/>
  <c r="L131" i="17"/>
  <c r="F132" i="17" s="1"/>
  <c r="K75" i="21"/>
  <c r="R95" i="20"/>
  <c r="AD94" i="20"/>
  <c r="F75" i="21" s="1"/>
  <c r="Y94" i="17"/>
  <c r="K131" i="17"/>
  <c r="R104" i="19"/>
  <c r="J84" i="21"/>
  <c r="B209" i="20"/>
  <c r="AC208" i="20"/>
  <c r="A187" i="21"/>
  <c r="B187" i="21" s="1"/>
  <c r="C188" i="21"/>
  <c r="A211" i="19"/>
  <c r="B212" i="19"/>
  <c r="AC211" i="19"/>
  <c r="K130" i="20" l="1"/>
  <c r="L130" i="20" s="1"/>
  <c r="F131" i="20" s="1"/>
  <c r="B210" i="20"/>
  <c r="AC209" i="20"/>
  <c r="A188" i="21"/>
  <c r="B188" i="21" s="1"/>
  <c r="C189" i="21"/>
  <c r="E99" i="18"/>
  <c r="AA98" i="19"/>
  <c r="AD98" i="19" s="1"/>
  <c r="E79" i="21" s="1"/>
  <c r="AA98" i="20"/>
  <c r="AA98" i="17"/>
  <c r="K148" i="19"/>
  <c r="L148" i="19" s="1"/>
  <c r="F149" i="19" s="1"/>
  <c r="U95" i="20"/>
  <c r="A212" i="19"/>
  <c r="AC212" i="19"/>
  <c r="B213" i="19"/>
  <c r="U104" i="19"/>
  <c r="Y104" i="19" s="1"/>
  <c r="X104" i="19"/>
  <c r="H132" i="17"/>
  <c r="K132" i="17" s="1"/>
  <c r="I75" i="21"/>
  <c r="R95" i="17"/>
  <c r="AD94" i="17"/>
  <c r="D75" i="21" s="1"/>
  <c r="AC209" i="17"/>
  <c r="B210" i="17"/>
  <c r="J85" i="21" l="1"/>
  <c r="R105" i="19"/>
  <c r="H149" i="19"/>
  <c r="H131" i="20"/>
  <c r="J131" i="20" s="1"/>
  <c r="L132" i="17"/>
  <c r="F133" i="17" s="1"/>
  <c r="AC210" i="20"/>
  <c r="B211" i="20"/>
  <c r="AC213" i="19"/>
  <c r="B214" i="19"/>
  <c r="A213" i="19"/>
  <c r="B211" i="17"/>
  <c r="AC210" i="17"/>
  <c r="U95" i="17"/>
  <c r="X95" i="20"/>
  <c r="Y95" i="20" s="1"/>
  <c r="G99" i="18"/>
  <c r="I99" i="18"/>
  <c r="J99" i="18"/>
  <c r="C190" i="21"/>
  <c r="A189" i="21"/>
  <c r="B189" i="21" s="1"/>
  <c r="K76" i="21" l="1"/>
  <c r="R96" i="20"/>
  <c r="AD95" i="20"/>
  <c r="F76" i="21" s="1"/>
  <c r="A190" i="21"/>
  <c r="B190" i="21" s="1"/>
  <c r="C191" i="21"/>
  <c r="B215" i="19"/>
  <c r="A214" i="19"/>
  <c r="AC214" i="19"/>
  <c r="X95" i="17"/>
  <c r="Y95" i="17" s="1"/>
  <c r="AC211" i="20"/>
  <c r="B212" i="20"/>
  <c r="K131" i="20"/>
  <c r="J149" i="19"/>
  <c r="K149" i="19" s="1"/>
  <c r="AC211" i="17"/>
  <c r="B212" i="17"/>
  <c r="L131" i="20"/>
  <c r="F132" i="20" s="1"/>
  <c r="AA99" i="20"/>
  <c r="AA99" i="19"/>
  <c r="AD99" i="19" s="1"/>
  <c r="E80" i="21" s="1"/>
  <c r="AA99" i="17"/>
  <c r="E100" i="18"/>
  <c r="U105" i="19"/>
  <c r="Y105" i="19" s="1"/>
  <c r="X105" i="19"/>
  <c r="H133" i="17"/>
  <c r="J86" i="21" l="1"/>
  <c r="R106" i="19"/>
  <c r="AK74" i="21"/>
  <c r="R96" i="17"/>
  <c r="I76" i="21"/>
  <c r="T36" i="2" s="1"/>
  <c r="O10" i="21" s="1"/>
  <c r="AD95" i="17"/>
  <c r="D76" i="21" s="1"/>
  <c r="AC47" i="21" s="1"/>
  <c r="AK70" i="21" s="1"/>
  <c r="AK72" i="21" s="1"/>
  <c r="AK77" i="21" s="1"/>
  <c r="AC212" i="17"/>
  <c r="B213" i="17"/>
  <c r="G100" i="18"/>
  <c r="I100" i="18" s="1"/>
  <c r="K132" i="20"/>
  <c r="H132" i="20"/>
  <c r="L132" i="20" s="1"/>
  <c r="F133" i="20" s="1"/>
  <c r="K133" i="17"/>
  <c r="L133" i="17" s="1"/>
  <c r="F134" i="17" s="1"/>
  <c r="X96" i="20"/>
  <c r="Y96" i="20" s="1"/>
  <c r="U96" i="20"/>
  <c r="AC215" i="19"/>
  <c r="B216" i="19"/>
  <c r="A215" i="19"/>
  <c r="AC212" i="20"/>
  <c r="B213" i="20"/>
  <c r="A191" i="21"/>
  <c r="B191" i="21" s="1"/>
  <c r="C192" i="21"/>
  <c r="L149" i="19"/>
  <c r="F150" i="19" s="1"/>
  <c r="H134" i="17" l="1"/>
  <c r="J134" i="17" s="1"/>
  <c r="K133" i="20"/>
  <c r="L133" i="20"/>
  <c r="F134" i="20" s="1"/>
  <c r="H133" i="20"/>
  <c r="K77" i="21"/>
  <c r="R97" i="20"/>
  <c r="AD96" i="20"/>
  <c r="F77" i="21" s="1"/>
  <c r="J100" i="18"/>
  <c r="X96" i="17"/>
  <c r="U96" i="17"/>
  <c r="Y96" i="17" s="1"/>
  <c r="H150" i="19"/>
  <c r="K150" i="19"/>
  <c r="L150" i="19"/>
  <c r="F151" i="19" s="1"/>
  <c r="C193" i="21"/>
  <c r="A192" i="21"/>
  <c r="B192" i="21" s="1"/>
  <c r="B217" i="19"/>
  <c r="AC216" i="19"/>
  <c r="A216" i="19"/>
  <c r="R10" i="21"/>
  <c r="Q10" i="21"/>
  <c r="P10" i="21"/>
  <c r="AC213" i="17"/>
  <c r="B214" i="17"/>
  <c r="U106" i="19"/>
  <c r="B214" i="20"/>
  <c r="AC213" i="20"/>
  <c r="R97" i="17" l="1"/>
  <c r="I77" i="21"/>
  <c r="AD96" i="17"/>
  <c r="D77" i="21" s="1"/>
  <c r="L134" i="17"/>
  <c r="F135" i="17" s="1"/>
  <c r="X106" i="19"/>
  <c r="Y106" i="19" s="1"/>
  <c r="H134" i="20"/>
  <c r="J134" i="20" s="1"/>
  <c r="H151" i="19"/>
  <c r="L151" i="19" s="1"/>
  <c r="F152" i="19" s="1"/>
  <c r="K151" i="19"/>
  <c r="AC214" i="17"/>
  <c r="B215" i="17"/>
  <c r="B218" i="19"/>
  <c r="AC217" i="19"/>
  <c r="A217" i="19"/>
  <c r="K134" i="17"/>
  <c r="A193" i="21"/>
  <c r="B193" i="21" s="1"/>
  <c r="C194" i="21"/>
  <c r="AA100" i="19"/>
  <c r="AD100" i="19" s="1"/>
  <c r="E81" i="21" s="1"/>
  <c r="E101" i="18"/>
  <c r="AA100" i="17"/>
  <c r="AA100" i="20"/>
  <c r="U97" i="20"/>
  <c r="X97" i="20" s="1"/>
  <c r="Y97" i="20" s="1"/>
  <c r="AC214" i="20"/>
  <c r="B215" i="20"/>
  <c r="R107" i="19" l="1"/>
  <c r="J87" i="21"/>
  <c r="R98" i="20"/>
  <c r="K78" i="21"/>
  <c r="AD97" i="20"/>
  <c r="F78" i="21" s="1"/>
  <c r="H152" i="19"/>
  <c r="J152" i="19"/>
  <c r="L152" i="19" s="1"/>
  <c r="F153" i="19" s="1"/>
  <c r="K152" i="19"/>
  <c r="B216" i="20"/>
  <c r="AC215" i="20"/>
  <c r="G101" i="18"/>
  <c r="H101" i="18" s="1"/>
  <c r="K135" i="17"/>
  <c r="L135" i="17"/>
  <c r="F136" i="17" s="1"/>
  <c r="H135" i="17"/>
  <c r="A218" i="19"/>
  <c r="AC218" i="19"/>
  <c r="B219" i="19"/>
  <c r="A194" i="21"/>
  <c r="B194" i="21" s="1"/>
  <c r="C195" i="21"/>
  <c r="B216" i="17"/>
  <c r="AC215" i="17"/>
  <c r="K134" i="20"/>
  <c r="L134" i="20" s="1"/>
  <c r="F135" i="20" s="1"/>
  <c r="X97" i="17"/>
  <c r="Y97" i="17"/>
  <c r="U97" i="17"/>
  <c r="H135" i="20" l="1"/>
  <c r="H153" i="19"/>
  <c r="K153" i="19"/>
  <c r="L153" i="19" s="1"/>
  <c r="F154" i="19" s="1"/>
  <c r="H136" i="17"/>
  <c r="K136" i="17" s="1"/>
  <c r="U98" i="20"/>
  <c r="I78" i="21"/>
  <c r="R98" i="17"/>
  <c r="AD97" i="17"/>
  <c r="D78" i="21" s="1"/>
  <c r="I101" i="18"/>
  <c r="J101" i="18" s="1"/>
  <c r="AC216" i="20"/>
  <c r="B217" i="20"/>
  <c r="A219" i="19"/>
  <c r="B220" i="19"/>
  <c r="AC219" i="19"/>
  <c r="B217" i="17"/>
  <c r="AC216" i="17"/>
  <c r="C196" i="21"/>
  <c r="A195" i="21"/>
  <c r="B195" i="21" s="1"/>
  <c r="U107" i="19"/>
  <c r="X107" i="19"/>
  <c r="Y107" i="19"/>
  <c r="H154" i="19" l="1"/>
  <c r="K154" i="19" s="1"/>
  <c r="E102" i="18"/>
  <c r="AA101" i="17"/>
  <c r="AA101" i="19"/>
  <c r="AD101" i="19" s="1"/>
  <c r="E82" i="21" s="1"/>
  <c r="AA101" i="20"/>
  <c r="L135" i="20"/>
  <c r="F136" i="20" s="1"/>
  <c r="J88" i="21"/>
  <c r="R108" i="19"/>
  <c r="X98" i="20"/>
  <c r="Y98" i="20" s="1"/>
  <c r="B218" i="17"/>
  <c r="AC217" i="17"/>
  <c r="U98" i="17"/>
  <c r="X98" i="17" s="1"/>
  <c r="L136" i="17"/>
  <c r="F137" i="17" s="1"/>
  <c r="K135" i="20"/>
  <c r="B218" i="20"/>
  <c r="AC217" i="20"/>
  <c r="A220" i="19"/>
  <c r="AC220" i="19"/>
  <c r="B221" i="19"/>
  <c r="C197" i="21"/>
  <c r="A196" i="21"/>
  <c r="B196" i="21" s="1"/>
  <c r="R99" i="20" l="1"/>
  <c r="K79" i="21"/>
  <c r="AD98" i="20"/>
  <c r="F79" i="21" s="1"/>
  <c r="A221" i="19"/>
  <c r="AC221" i="19"/>
  <c r="B222" i="19"/>
  <c r="Y98" i="17"/>
  <c r="H137" i="17"/>
  <c r="G102" i="18"/>
  <c r="H136" i="20"/>
  <c r="K136" i="20" s="1"/>
  <c r="L154" i="19"/>
  <c r="F155" i="19" s="1"/>
  <c r="U108" i="19"/>
  <c r="X108" i="19" s="1"/>
  <c r="B219" i="20"/>
  <c r="AC218" i="20"/>
  <c r="A197" i="21"/>
  <c r="B197" i="21" s="1"/>
  <c r="C198" i="21"/>
  <c r="B219" i="17"/>
  <c r="AC218" i="17"/>
  <c r="H155" i="19" l="1"/>
  <c r="K155" i="19" s="1"/>
  <c r="J155" i="19"/>
  <c r="L136" i="20"/>
  <c r="F137" i="20" s="1"/>
  <c r="J137" i="17"/>
  <c r="L137" i="17" s="1"/>
  <c r="F138" i="17" s="1"/>
  <c r="B220" i="20"/>
  <c r="AC219" i="20"/>
  <c r="AC219" i="17"/>
  <c r="B220" i="17"/>
  <c r="K137" i="17"/>
  <c r="A222" i="19"/>
  <c r="B223" i="19"/>
  <c r="AC222" i="19"/>
  <c r="A198" i="21"/>
  <c r="B198" i="21" s="1"/>
  <c r="C199" i="21"/>
  <c r="Y108" i="19"/>
  <c r="I102" i="18"/>
  <c r="J102" i="18" s="1"/>
  <c r="R99" i="17"/>
  <c r="I79" i="21"/>
  <c r="AD98" i="17"/>
  <c r="D79" i="21" s="1"/>
  <c r="X99" i="20"/>
  <c r="Y99" i="20" s="1"/>
  <c r="U99" i="20"/>
  <c r="E103" i="18" l="1"/>
  <c r="AA102" i="17"/>
  <c r="AA102" i="20"/>
  <c r="AA102" i="19"/>
  <c r="AD102" i="19" s="1"/>
  <c r="E83" i="21" s="1"/>
  <c r="K80" i="21"/>
  <c r="R100" i="20"/>
  <c r="AD99" i="20"/>
  <c r="F80" i="21" s="1"/>
  <c r="H138" i="17"/>
  <c r="K138" i="17" s="1"/>
  <c r="B221" i="17"/>
  <c r="AC220" i="17"/>
  <c r="U99" i="17"/>
  <c r="X99" i="17" s="1"/>
  <c r="AC223" i="19"/>
  <c r="A223" i="19"/>
  <c r="B224" i="19"/>
  <c r="B221" i="20"/>
  <c r="AC220" i="20"/>
  <c r="L155" i="19"/>
  <c r="F156" i="19" s="1"/>
  <c r="A199" i="21"/>
  <c r="B199" i="21" s="1"/>
  <c r="C200" i="21"/>
  <c r="R109" i="19"/>
  <c r="J89" i="21"/>
  <c r="H137" i="20"/>
  <c r="J137" i="20" s="1"/>
  <c r="B222" i="17" l="1"/>
  <c r="AC221" i="17"/>
  <c r="H156" i="19"/>
  <c r="K156" i="19"/>
  <c r="L156" i="19"/>
  <c r="F157" i="19" s="1"/>
  <c r="L138" i="17"/>
  <c r="F139" i="17" s="1"/>
  <c r="U109" i="19"/>
  <c r="X109" i="19"/>
  <c r="Y109" i="19"/>
  <c r="C201" i="21"/>
  <c r="A200" i="21"/>
  <c r="B200" i="21" s="1"/>
  <c r="K137" i="20"/>
  <c r="L137" i="20"/>
  <c r="F138" i="20" s="1"/>
  <c r="Y99" i="17"/>
  <c r="B225" i="19"/>
  <c r="A224" i="19"/>
  <c r="AC224" i="19"/>
  <c r="U100" i="20"/>
  <c r="AC221" i="20"/>
  <c r="B222" i="20"/>
  <c r="G103" i="18"/>
  <c r="I103" i="18"/>
  <c r="J103" i="18" s="1"/>
  <c r="E104" i="18" l="1"/>
  <c r="AA103" i="17"/>
  <c r="AA103" i="19"/>
  <c r="AD103" i="19" s="1"/>
  <c r="E84" i="21" s="1"/>
  <c r="AA103" i="20"/>
  <c r="AC225" i="19"/>
  <c r="A225" i="19"/>
  <c r="B226" i="19"/>
  <c r="X100" i="20"/>
  <c r="Y100" i="20" s="1"/>
  <c r="R100" i="17"/>
  <c r="I80" i="21"/>
  <c r="AD99" i="17"/>
  <c r="D80" i="21" s="1"/>
  <c r="H139" i="17"/>
  <c r="K139" i="17" s="1"/>
  <c r="H157" i="19"/>
  <c r="K157" i="19"/>
  <c r="L157" i="19"/>
  <c r="F158" i="19" s="1"/>
  <c r="J90" i="21"/>
  <c r="R110" i="19"/>
  <c r="H138" i="20"/>
  <c r="K138" i="20" s="1"/>
  <c r="B223" i="20"/>
  <c r="AC222" i="20"/>
  <c r="A201" i="21"/>
  <c r="B201" i="21" s="1"/>
  <c r="C202" i="21"/>
  <c r="B223" i="17"/>
  <c r="AC222" i="17"/>
  <c r="R101" i="20" l="1"/>
  <c r="K81" i="21"/>
  <c r="AD100" i="20"/>
  <c r="F81" i="21" s="1"/>
  <c r="L138" i="20"/>
  <c r="F139" i="20" s="1"/>
  <c r="H158" i="19"/>
  <c r="J158" i="19"/>
  <c r="AC223" i="20"/>
  <c r="B224" i="20"/>
  <c r="AC223" i="17"/>
  <c r="B224" i="17"/>
  <c r="U100" i="17"/>
  <c r="L139" i="17"/>
  <c r="F140" i="17" s="1"/>
  <c r="A226" i="19"/>
  <c r="AC226" i="19"/>
  <c r="B227" i="19"/>
  <c r="G104" i="18"/>
  <c r="I104" i="18" s="1"/>
  <c r="J104" i="18" s="1"/>
  <c r="H104" i="18"/>
  <c r="A202" i="21"/>
  <c r="B202" i="21" s="1"/>
  <c r="C203" i="21"/>
  <c r="U110" i="19"/>
  <c r="X110" i="19"/>
  <c r="Y110" i="19"/>
  <c r="Y100" i="17" l="1"/>
  <c r="AA104" i="19"/>
  <c r="AD104" i="19" s="1"/>
  <c r="E85" i="21" s="1"/>
  <c r="E105" i="18"/>
  <c r="AA104" i="20"/>
  <c r="AA104" i="17"/>
  <c r="X100" i="17"/>
  <c r="H139" i="20"/>
  <c r="J91" i="21"/>
  <c r="R111" i="19"/>
  <c r="H140" i="17"/>
  <c r="A203" i="21"/>
  <c r="B203" i="21" s="1"/>
  <c r="C204" i="21"/>
  <c r="AC224" i="17"/>
  <c r="B225" i="17"/>
  <c r="B225" i="20"/>
  <c r="AC224" i="20"/>
  <c r="AC227" i="19"/>
  <c r="A227" i="19"/>
  <c r="B228" i="19"/>
  <c r="K158" i="19"/>
  <c r="L158" i="19" s="1"/>
  <c r="F159" i="19" s="1"/>
  <c r="U101" i="20"/>
  <c r="H159" i="19" l="1"/>
  <c r="L159" i="19" s="1"/>
  <c r="F160" i="19" s="1"/>
  <c r="K159" i="19"/>
  <c r="L139" i="20"/>
  <c r="F140" i="20" s="1"/>
  <c r="G105" i="18"/>
  <c r="I105" i="18"/>
  <c r="J105" i="18"/>
  <c r="U111" i="19"/>
  <c r="Y111" i="19" s="1"/>
  <c r="X111" i="19"/>
  <c r="X101" i="20"/>
  <c r="Y101" i="20" s="1"/>
  <c r="J140" i="17"/>
  <c r="B226" i="17"/>
  <c r="AC225" i="17"/>
  <c r="K139" i="20"/>
  <c r="I81" i="21"/>
  <c r="R101" i="17"/>
  <c r="AD100" i="17"/>
  <c r="D81" i="21" s="1"/>
  <c r="A204" i="21"/>
  <c r="B204" i="21" s="1"/>
  <c r="C205" i="21"/>
  <c r="AC225" i="20"/>
  <c r="B226" i="20"/>
  <c r="A228" i="19"/>
  <c r="AC228" i="19"/>
  <c r="B229" i="19"/>
  <c r="K82" i="21" l="1"/>
  <c r="R102" i="20"/>
  <c r="AD101" i="20"/>
  <c r="F82" i="21" s="1"/>
  <c r="R112" i="19"/>
  <c r="J92" i="21"/>
  <c r="H160" i="19"/>
  <c r="K160" i="19"/>
  <c r="L160" i="19"/>
  <c r="F161" i="19" s="1"/>
  <c r="B230" i="19"/>
  <c r="AC229" i="19"/>
  <c r="A229" i="19"/>
  <c r="H140" i="20"/>
  <c r="J140" i="20" s="1"/>
  <c r="B227" i="17"/>
  <c r="AC226" i="17"/>
  <c r="U101" i="17"/>
  <c r="E106" i="18"/>
  <c r="AA105" i="17"/>
  <c r="AA105" i="19"/>
  <c r="AD105" i="19" s="1"/>
  <c r="E86" i="21" s="1"/>
  <c r="AA105" i="20"/>
  <c r="AC226" i="20"/>
  <c r="B227" i="20"/>
  <c r="K140" i="17"/>
  <c r="L140" i="17" s="1"/>
  <c r="F141" i="17" s="1"/>
  <c r="A205" i="21"/>
  <c r="B205" i="21" s="1"/>
  <c r="C206" i="21"/>
  <c r="H141" i="17" l="1"/>
  <c r="K141" i="17" s="1"/>
  <c r="G106" i="18"/>
  <c r="A206" i="21"/>
  <c r="B206" i="21" s="1"/>
  <c r="C207" i="21"/>
  <c r="AC227" i="17"/>
  <c r="B228" i="17"/>
  <c r="Y112" i="19"/>
  <c r="U112" i="19"/>
  <c r="X112" i="19"/>
  <c r="H161" i="19"/>
  <c r="J161" i="19" s="1"/>
  <c r="U102" i="20"/>
  <c r="X102" i="20" s="1"/>
  <c r="AC230" i="19"/>
  <c r="A230" i="19"/>
  <c r="B231" i="19"/>
  <c r="K140" i="20"/>
  <c r="AC227" i="20"/>
  <c r="B228" i="20"/>
  <c r="L140" i="20"/>
  <c r="F141" i="20" s="1"/>
  <c r="X101" i="17"/>
  <c r="Y101" i="17" s="1"/>
  <c r="I82" i="21" l="1"/>
  <c r="R102" i="17"/>
  <c r="AD101" i="17"/>
  <c r="D82" i="21" s="1"/>
  <c r="K141" i="20"/>
  <c r="L141" i="20" s="1"/>
  <c r="F142" i="20" s="1"/>
  <c r="H141" i="20"/>
  <c r="I106" i="18"/>
  <c r="J106" i="18" s="1"/>
  <c r="C208" i="21"/>
  <c r="A207" i="21"/>
  <c r="B207" i="21" s="1"/>
  <c r="L161" i="19"/>
  <c r="F162" i="19" s="1"/>
  <c r="B229" i="20"/>
  <c r="AC228" i="20"/>
  <c r="K161" i="19"/>
  <c r="L141" i="17"/>
  <c r="F142" i="17" s="1"/>
  <c r="AC231" i="19"/>
  <c r="A231" i="19"/>
  <c r="B232" i="19"/>
  <c r="J93" i="21"/>
  <c r="R113" i="19"/>
  <c r="B229" i="17"/>
  <c r="AC228" i="17"/>
  <c r="Y102" i="20"/>
  <c r="AA106" i="20" l="1"/>
  <c r="AA106" i="17"/>
  <c r="E107" i="18"/>
  <c r="AA106" i="19"/>
  <c r="AD106" i="19" s="1"/>
  <c r="E87" i="21" s="1"/>
  <c r="K142" i="20"/>
  <c r="L142" i="20"/>
  <c r="F143" i="20" s="1"/>
  <c r="H142" i="20"/>
  <c r="B230" i="20"/>
  <c r="AC229" i="20"/>
  <c r="A232" i="19"/>
  <c r="B233" i="19"/>
  <c r="AC232" i="19"/>
  <c r="H142" i="17"/>
  <c r="K142" i="17" s="1"/>
  <c r="U102" i="17"/>
  <c r="X102" i="17" s="1"/>
  <c r="H162" i="19"/>
  <c r="K162" i="19"/>
  <c r="L162" i="19"/>
  <c r="F163" i="19" s="1"/>
  <c r="AC229" i="17"/>
  <c r="B230" i="17"/>
  <c r="X113" i="19"/>
  <c r="U113" i="19"/>
  <c r="Y113" i="19" s="1"/>
  <c r="K83" i="21"/>
  <c r="R103" i="20"/>
  <c r="AD102" i="20"/>
  <c r="F83" i="21" s="1"/>
  <c r="C209" i="21"/>
  <c r="A208" i="21"/>
  <c r="B208" i="21" s="1"/>
  <c r="R114" i="19" l="1"/>
  <c r="J94" i="21"/>
  <c r="A209" i="21"/>
  <c r="B209" i="21" s="1"/>
  <c r="C210" i="21"/>
  <c r="J143" i="20"/>
  <c r="K143" i="20"/>
  <c r="H143" i="20"/>
  <c r="L143" i="20" s="1"/>
  <c r="F144" i="20" s="1"/>
  <c r="AC233" i="19"/>
  <c r="A233" i="19"/>
  <c r="B234" i="19"/>
  <c r="U103" i="20"/>
  <c r="X103" i="20" s="1"/>
  <c r="Y103" i="20" s="1"/>
  <c r="G107" i="18"/>
  <c r="I107" i="18" s="1"/>
  <c r="H107" i="18"/>
  <c r="Y102" i="17"/>
  <c r="L142" i="17"/>
  <c r="F143" i="17" s="1"/>
  <c r="B231" i="20"/>
  <c r="AC230" i="20"/>
  <c r="AC230" i="17"/>
  <c r="B231" i="17"/>
  <c r="H163" i="19"/>
  <c r="K163" i="19"/>
  <c r="L163" i="19"/>
  <c r="F164" i="19" s="1"/>
  <c r="K84" i="21" l="1"/>
  <c r="R104" i="20"/>
  <c r="AD103" i="20"/>
  <c r="F84" i="21" s="1"/>
  <c r="H144" i="20"/>
  <c r="B235" i="19"/>
  <c r="AC234" i="19"/>
  <c r="A234" i="19"/>
  <c r="A210" i="21"/>
  <c r="B210" i="21" s="1"/>
  <c r="C211" i="21"/>
  <c r="B232" i="20"/>
  <c r="AC231" i="20"/>
  <c r="H143" i="17"/>
  <c r="H164" i="19"/>
  <c r="J107" i="18"/>
  <c r="AC231" i="17"/>
  <c r="B232" i="17"/>
  <c r="R103" i="17"/>
  <c r="I83" i="21"/>
  <c r="AD102" i="17"/>
  <c r="D83" i="21" s="1"/>
  <c r="U114" i="19"/>
  <c r="Y114" i="19" l="1"/>
  <c r="AC232" i="20"/>
  <c r="B233" i="20"/>
  <c r="X114" i="19"/>
  <c r="A211" i="21"/>
  <c r="B211" i="21" s="1"/>
  <c r="C212" i="21"/>
  <c r="J143" i="17"/>
  <c r="K143" i="17" s="1"/>
  <c r="L143" i="17" s="1"/>
  <c r="F144" i="17" s="1"/>
  <c r="U104" i="20"/>
  <c r="X104" i="20" s="1"/>
  <c r="Y104" i="20" s="1"/>
  <c r="AC232" i="17"/>
  <c r="B233" i="17"/>
  <c r="K144" i="20"/>
  <c r="L144" i="20" s="1"/>
  <c r="F145" i="20" s="1"/>
  <c r="AA107" i="20"/>
  <c r="AA107" i="17"/>
  <c r="E108" i="18"/>
  <c r="AA107" i="19"/>
  <c r="AD107" i="19" s="1"/>
  <c r="E88" i="21" s="1"/>
  <c r="J164" i="19"/>
  <c r="U103" i="17"/>
  <c r="X103" i="17" s="1"/>
  <c r="Y103" i="17" s="1"/>
  <c r="B236" i="19"/>
  <c r="A235" i="19"/>
  <c r="AC235" i="19"/>
  <c r="H145" i="20" l="1"/>
  <c r="K145" i="20" s="1"/>
  <c r="R105" i="20"/>
  <c r="K85" i="21"/>
  <c r="AD104" i="20"/>
  <c r="F85" i="21" s="1"/>
  <c r="I84" i="21"/>
  <c r="R104" i="17"/>
  <c r="AD103" i="17"/>
  <c r="D84" i="21" s="1"/>
  <c r="K144" i="17"/>
  <c r="L144" i="17"/>
  <c r="F145" i="17" s="1"/>
  <c r="H144" i="17"/>
  <c r="AC233" i="20"/>
  <c r="B234" i="20"/>
  <c r="A236" i="19"/>
  <c r="B237" i="19"/>
  <c r="AC236" i="19"/>
  <c r="C213" i="21"/>
  <c r="A212" i="21"/>
  <c r="B212" i="21" s="1"/>
  <c r="R115" i="19"/>
  <c r="J95" i="21"/>
  <c r="K164" i="19"/>
  <c r="L164" i="19" s="1"/>
  <c r="F165" i="19" s="1"/>
  <c r="AC233" i="17"/>
  <c r="B234" i="17"/>
  <c r="G108" i="18"/>
  <c r="I108" i="18" s="1"/>
  <c r="H165" i="19" l="1"/>
  <c r="K165" i="19"/>
  <c r="L165" i="19"/>
  <c r="F166" i="19" s="1"/>
  <c r="H145" i="17"/>
  <c r="K145" i="17" s="1"/>
  <c r="A237" i="19"/>
  <c r="AC237" i="19"/>
  <c r="B238" i="19"/>
  <c r="U115" i="19"/>
  <c r="X115" i="19" s="1"/>
  <c r="Y115" i="19" s="1"/>
  <c r="C214" i="21"/>
  <c r="A213" i="21"/>
  <c r="B213" i="21" s="1"/>
  <c r="U104" i="17"/>
  <c r="L145" i="20"/>
  <c r="F146" i="20" s="1"/>
  <c r="J108" i="18"/>
  <c r="AC234" i="20"/>
  <c r="B235" i="20"/>
  <c r="U105" i="20"/>
  <c r="X105" i="20" s="1"/>
  <c r="AC234" i="17"/>
  <c r="B235" i="17"/>
  <c r="R116" i="19" l="1"/>
  <c r="J96" i="21"/>
  <c r="J146" i="20"/>
  <c r="H146" i="20"/>
  <c r="Y105" i="20"/>
  <c r="L145" i="17"/>
  <c r="F146" i="17" s="1"/>
  <c r="X104" i="17"/>
  <c r="Y104" i="17" s="1"/>
  <c r="H166" i="19"/>
  <c r="AC235" i="17"/>
  <c r="B236" i="17"/>
  <c r="AC235" i="20"/>
  <c r="B236" i="20"/>
  <c r="B239" i="19"/>
  <c r="A238" i="19"/>
  <c r="AC238" i="19"/>
  <c r="AA108" i="19"/>
  <c r="AD108" i="19" s="1"/>
  <c r="E89" i="21" s="1"/>
  <c r="AA108" i="17"/>
  <c r="E109" i="18"/>
  <c r="AA108" i="20"/>
  <c r="C215" i="21"/>
  <c r="A214" i="21"/>
  <c r="B214" i="21" s="1"/>
  <c r="R105" i="17" l="1"/>
  <c r="I85" i="21"/>
  <c r="AD104" i="17"/>
  <c r="D85" i="21" s="1"/>
  <c r="AC239" i="19"/>
  <c r="A239" i="19"/>
  <c r="B240" i="19"/>
  <c r="K166" i="19"/>
  <c r="L166" i="19" s="1"/>
  <c r="F167" i="19" s="1"/>
  <c r="B237" i="17"/>
  <c r="AC236" i="17"/>
  <c r="AC236" i="20"/>
  <c r="B237" i="20"/>
  <c r="K146" i="20"/>
  <c r="L146" i="20" s="1"/>
  <c r="F147" i="20" s="1"/>
  <c r="R106" i="20"/>
  <c r="K86" i="21"/>
  <c r="AD105" i="20"/>
  <c r="F86" i="21" s="1"/>
  <c r="U116" i="19"/>
  <c r="X116" i="19"/>
  <c r="Y116" i="19" s="1"/>
  <c r="G109" i="18"/>
  <c r="I109" i="18" s="1"/>
  <c r="J109" i="18" s="1"/>
  <c r="H146" i="17"/>
  <c r="A215" i="21"/>
  <c r="B215" i="21" s="1"/>
  <c r="C216" i="21"/>
  <c r="H147" i="20" l="1"/>
  <c r="K147" i="20" s="1"/>
  <c r="E110" i="18"/>
  <c r="AA109" i="17"/>
  <c r="AA109" i="20"/>
  <c r="AA109" i="19"/>
  <c r="AD109" i="19" s="1"/>
  <c r="E90" i="21" s="1"/>
  <c r="J97" i="21"/>
  <c r="R117" i="19"/>
  <c r="K146" i="17"/>
  <c r="H167" i="19"/>
  <c r="J167" i="19"/>
  <c r="U105" i="17"/>
  <c r="X105" i="17" s="1"/>
  <c r="L146" i="17"/>
  <c r="F147" i="17" s="1"/>
  <c r="J146" i="17"/>
  <c r="B241" i="19"/>
  <c r="AC240" i="19"/>
  <c r="A240" i="19"/>
  <c r="X106" i="20"/>
  <c r="Y106" i="20" s="1"/>
  <c r="U106" i="20"/>
  <c r="AC237" i="17"/>
  <c r="B238" i="17"/>
  <c r="C217" i="21"/>
  <c r="A216" i="21"/>
  <c r="B216" i="21" s="1"/>
  <c r="AC237" i="20"/>
  <c r="B238" i="20"/>
  <c r="R107" i="20" l="1"/>
  <c r="K87" i="21"/>
  <c r="AD106" i="20"/>
  <c r="F87" i="21" s="1"/>
  <c r="H147" i="17"/>
  <c r="K147" i="17" s="1"/>
  <c r="L147" i="17" s="1"/>
  <c r="F148" i="17" s="1"/>
  <c r="AC238" i="17"/>
  <c r="B239" i="17"/>
  <c r="X117" i="19"/>
  <c r="U117" i="19"/>
  <c r="Y117" i="19" s="1"/>
  <c r="B242" i="19"/>
  <c r="AC241" i="19"/>
  <c r="A241" i="19"/>
  <c r="K167" i="19"/>
  <c r="L167" i="19" s="1"/>
  <c r="F168" i="19" s="1"/>
  <c r="L147" i="20"/>
  <c r="F148" i="20" s="1"/>
  <c r="A217" i="21"/>
  <c r="B217" i="21" s="1"/>
  <c r="C218" i="21"/>
  <c r="Y105" i="17"/>
  <c r="H110" i="18"/>
  <c r="J110" i="18" s="1"/>
  <c r="G110" i="18"/>
  <c r="I110" i="18"/>
  <c r="AC238" i="20"/>
  <c r="B239" i="20"/>
  <c r="E111" i="18" l="1"/>
  <c r="AA110" i="17"/>
  <c r="AA110" i="19"/>
  <c r="AD110" i="19" s="1"/>
  <c r="E91" i="21" s="1"/>
  <c r="AA110" i="20"/>
  <c r="H168" i="19"/>
  <c r="L168" i="19" s="1"/>
  <c r="F169" i="19" s="1"/>
  <c r="K168" i="19"/>
  <c r="H148" i="17"/>
  <c r="K148" i="17" s="1"/>
  <c r="R118" i="19"/>
  <c r="J98" i="21"/>
  <c r="B240" i="20"/>
  <c r="AC239" i="20"/>
  <c r="C219" i="21"/>
  <c r="A218" i="21"/>
  <c r="B218" i="21" s="1"/>
  <c r="B240" i="17"/>
  <c r="AC239" i="17"/>
  <c r="I86" i="21"/>
  <c r="R106" i="17"/>
  <c r="AD105" i="17"/>
  <c r="D86" i="21" s="1"/>
  <c r="A242" i="19"/>
  <c r="AC242" i="19"/>
  <c r="B243" i="19"/>
  <c r="H148" i="20"/>
  <c r="U107" i="20"/>
  <c r="H169" i="19" l="1"/>
  <c r="L169" i="19" s="1"/>
  <c r="F170" i="19" s="1"/>
  <c r="K169" i="19"/>
  <c r="L148" i="20"/>
  <c r="F149" i="20" s="1"/>
  <c r="A243" i="19"/>
  <c r="AC243" i="19"/>
  <c r="B244" i="19"/>
  <c r="AC240" i="17"/>
  <c r="B241" i="17"/>
  <c r="X107" i="20"/>
  <c r="Y107" i="20" s="1"/>
  <c r="L148" i="17"/>
  <c r="F149" i="17" s="1"/>
  <c r="U118" i="19"/>
  <c r="X118" i="19" s="1"/>
  <c r="C220" i="21"/>
  <c r="A219" i="21"/>
  <c r="B219" i="21" s="1"/>
  <c r="K148" i="20"/>
  <c r="U106" i="17"/>
  <c r="X106" i="17" s="1"/>
  <c r="B241" i="20"/>
  <c r="AC240" i="20"/>
  <c r="G111" i="18"/>
  <c r="I111" i="18" s="1"/>
  <c r="K88" i="21" l="1"/>
  <c r="R108" i="20"/>
  <c r="AD107" i="20"/>
  <c r="F88" i="21" s="1"/>
  <c r="H170" i="19"/>
  <c r="L170" i="19" s="1"/>
  <c r="F171" i="19" s="1"/>
  <c r="J170" i="19"/>
  <c r="K170" i="19"/>
  <c r="A220" i="21"/>
  <c r="B220" i="21" s="1"/>
  <c r="C221" i="21"/>
  <c r="Y106" i="17"/>
  <c r="Y118" i="19"/>
  <c r="H149" i="17"/>
  <c r="J149" i="17" s="1"/>
  <c r="AC241" i="17"/>
  <c r="B242" i="17"/>
  <c r="B245" i="19"/>
  <c r="A244" i="19"/>
  <c r="AC244" i="19"/>
  <c r="B242" i="20"/>
  <c r="AC241" i="20"/>
  <c r="J149" i="20"/>
  <c r="H149" i="20"/>
  <c r="K149" i="20" s="1"/>
  <c r="L149" i="20" s="1"/>
  <c r="F150" i="20" s="1"/>
  <c r="J111" i="18"/>
  <c r="H171" i="19" l="1"/>
  <c r="K171" i="19" s="1"/>
  <c r="K150" i="20"/>
  <c r="L150" i="20" s="1"/>
  <c r="F151" i="20" s="1"/>
  <c r="H150" i="20"/>
  <c r="B243" i="17"/>
  <c r="AC242" i="17"/>
  <c r="AC242" i="20"/>
  <c r="B243" i="20"/>
  <c r="AC245" i="19"/>
  <c r="A245" i="19"/>
  <c r="B246" i="19"/>
  <c r="U108" i="20"/>
  <c r="R119" i="19"/>
  <c r="J99" i="21"/>
  <c r="I87" i="21"/>
  <c r="R107" i="17"/>
  <c r="AD106" i="17"/>
  <c r="D87" i="21" s="1"/>
  <c r="AA111" i="17"/>
  <c r="E112" i="18"/>
  <c r="AA111" i="19"/>
  <c r="AD111" i="19" s="1"/>
  <c r="E92" i="21" s="1"/>
  <c r="AA111" i="20"/>
  <c r="A221" i="21"/>
  <c r="B221" i="21" s="1"/>
  <c r="C222" i="21"/>
  <c r="K149" i="17"/>
  <c r="L149" i="17" s="1"/>
  <c r="F150" i="17" s="1"/>
  <c r="H151" i="20" l="1"/>
  <c r="H150" i="17"/>
  <c r="U119" i="19"/>
  <c r="X119" i="19" s="1"/>
  <c r="U107" i="17"/>
  <c r="X107" i="17" s="1"/>
  <c r="Y107" i="17" s="1"/>
  <c r="X108" i="20"/>
  <c r="Y108" i="20" s="1"/>
  <c r="G112" i="18"/>
  <c r="I112" i="18"/>
  <c r="J112" i="18"/>
  <c r="B244" i="20"/>
  <c r="AC243" i="20"/>
  <c r="C223" i="21"/>
  <c r="A222" i="21"/>
  <c r="B222" i="21" s="1"/>
  <c r="B247" i="19"/>
  <c r="AC246" i="19"/>
  <c r="A246" i="19"/>
  <c r="B244" i="17"/>
  <c r="AC243" i="17"/>
  <c r="L171" i="19"/>
  <c r="F172" i="19" s="1"/>
  <c r="AL74" i="21" l="1"/>
  <c r="R108" i="17"/>
  <c r="I88" i="21"/>
  <c r="T37" i="2" s="1"/>
  <c r="O11" i="21" s="1"/>
  <c r="AD107" i="17"/>
  <c r="D88" i="21" s="1"/>
  <c r="AC48" i="21" s="1"/>
  <c r="AL70" i="21" s="1"/>
  <c r="AL72" i="21" s="1"/>
  <c r="AL77" i="21" s="1"/>
  <c r="K89" i="21"/>
  <c r="R109" i="20"/>
  <c r="AD108" i="20"/>
  <c r="F89" i="21" s="1"/>
  <c r="L151" i="20"/>
  <c r="F152" i="20" s="1"/>
  <c r="AA112" i="19"/>
  <c r="AD112" i="19" s="1"/>
  <c r="E93" i="21" s="1"/>
  <c r="AA112" i="20"/>
  <c r="E113" i="18"/>
  <c r="AA112" i="17"/>
  <c r="K150" i="17"/>
  <c r="L150" i="17" s="1"/>
  <c r="F151" i="17" s="1"/>
  <c r="B248" i="19"/>
  <c r="A247" i="19"/>
  <c r="AC247" i="19"/>
  <c r="A223" i="21"/>
  <c r="B223" i="21" s="1"/>
  <c r="C224" i="21"/>
  <c r="K151" i="20"/>
  <c r="H172" i="19"/>
  <c r="L172" i="19" s="1"/>
  <c r="F173" i="19" s="1"/>
  <c r="K172" i="19"/>
  <c r="Y119" i="19"/>
  <c r="AC244" i="17"/>
  <c r="B245" i="17"/>
  <c r="AC244" i="20"/>
  <c r="B245" i="20"/>
  <c r="H173" i="19" l="1"/>
  <c r="J173" i="19"/>
  <c r="K173" i="19"/>
  <c r="L173" i="19"/>
  <c r="F174" i="19" s="1"/>
  <c r="K151" i="17"/>
  <c r="L151" i="17"/>
  <c r="F152" i="17" s="1"/>
  <c r="H151" i="17"/>
  <c r="R120" i="19"/>
  <c r="J100" i="21"/>
  <c r="R11" i="21"/>
  <c r="Q11" i="21"/>
  <c r="P11" i="21"/>
  <c r="AC248" i="19"/>
  <c r="A248" i="19"/>
  <c r="B249" i="19"/>
  <c r="X108" i="17"/>
  <c r="Y108" i="17" s="1"/>
  <c r="U108" i="17"/>
  <c r="G113" i="18"/>
  <c r="H113" i="18"/>
  <c r="I113" i="18"/>
  <c r="J113" i="18" s="1"/>
  <c r="U109" i="20"/>
  <c r="X109" i="20" s="1"/>
  <c r="Y109" i="20" s="1"/>
  <c r="B246" i="20"/>
  <c r="AC245" i="20"/>
  <c r="J152" i="20"/>
  <c r="K152" i="20"/>
  <c r="H152" i="20"/>
  <c r="L152" i="20" s="1"/>
  <c r="F153" i="20" s="1"/>
  <c r="B246" i="17"/>
  <c r="AC245" i="17"/>
  <c r="A224" i="21"/>
  <c r="B224" i="21" s="1"/>
  <c r="C225" i="21"/>
  <c r="H153" i="20" l="1"/>
  <c r="K153" i="20" s="1"/>
  <c r="I89" i="21"/>
  <c r="R109" i="17"/>
  <c r="AD108" i="17"/>
  <c r="D89" i="21" s="1"/>
  <c r="R110" i="20"/>
  <c r="K90" i="21"/>
  <c r="AD109" i="20"/>
  <c r="F90" i="21" s="1"/>
  <c r="AA113" i="17"/>
  <c r="E114" i="18"/>
  <c r="AA113" i="20"/>
  <c r="AA113" i="19"/>
  <c r="AD113" i="19" s="1"/>
  <c r="E94" i="21" s="1"/>
  <c r="A225" i="21"/>
  <c r="B225" i="21" s="1"/>
  <c r="C226" i="21"/>
  <c r="J152" i="17"/>
  <c r="K152" i="17"/>
  <c r="L152" i="17"/>
  <c r="F153" i="17" s="1"/>
  <c r="H152" i="17"/>
  <c r="H174" i="19"/>
  <c r="K174" i="19"/>
  <c r="L174" i="19"/>
  <c r="F175" i="19" s="1"/>
  <c r="B247" i="20"/>
  <c r="AC246" i="20"/>
  <c r="U120" i="19"/>
  <c r="X120" i="19" s="1"/>
  <c r="A249" i="19"/>
  <c r="AC249" i="19"/>
  <c r="B250" i="19"/>
  <c r="B247" i="17"/>
  <c r="AC246" i="17"/>
  <c r="H153" i="17" l="1"/>
  <c r="K153" i="17" s="1"/>
  <c r="H175" i="19"/>
  <c r="K175" i="19"/>
  <c r="L175" i="19"/>
  <c r="F176" i="19" s="1"/>
  <c r="AC247" i="20"/>
  <c r="B248" i="20"/>
  <c r="U109" i="17"/>
  <c r="Y120" i="19"/>
  <c r="L153" i="20"/>
  <c r="F154" i="20" s="1"/>
  <c r="B251" i="19"/>
  <c r="AC250" i="19"/>
  <c r="A250" i="19"/>
  <c r="G114" i="18"/>
  <c r="J114" i="18" s="1"/>
  <c r="I114" i="18"/>
  <c r="C227" i="21"/>
  <c r="A226" i="21"/>
  <c r="B226" i="21" s="1"/>
  <c r="AC247" i="17"/>
  <c r="B248" i="17"/>
  <c r="U110" i="20"/>
  <c r="X110" i="20" s="1"/>
  <c r="AA114" i="20" l="1"/>
  <c r="AA114" i="19"/>
  <c r="AD114" i="19" s="1"/>
  <c r="E95" i="21" s="1"/>
  <c r="AA114" i="17"/>
  <c r="E115" i="18"/>
  <c r="H154" i="20"/>
  <c r="K154" i="20" s="1"/>
  <c r="L154" i="20" s="1"/>
  <c r="F155" i="20" s="1"/>
  <c r="A251" i="19"/>
  <c r="AC251" i="19"/>
  <c r="B252" i="19"/>
  <c r="X109" i="17"/>
  <c r="Y109" i="17" s="1"/>
  <c r="Y110" i="20"/>
  <c r="L153" i="17"/>
  <c r="F154" i="17" s="1"/>
  <c r="H176" i="19"/>
  <c r="C228" i="21"/>
  <c r="A227" i="21"/>
  <c r="B227" i="21" s="1"/>
  <c r="B249" i="20"/>
  <c r="AC248" i="20"/>
  <c r="R121" i="19"/>
  <c r="J101" i="21"/>
  <c r="B249" i="17"/>
  <c r="AC248" i="17"/>
  <c r="H155" i="20" l="1"/>
  <c r="I90" i="21"/>
  <c r="R110" i="17"/>
  <c r="AD109" i="17"/>
  <c r="D90" i="21" s="1"/>
  <c r="J176" i="19"/>
  <c r="L176" i="19" s="1"/>
  <c r="F177" i="19" s="1"/>
  <c r="AC252" i="19"/>
  <c r="B253" i="19"/>
  <c r="A252" i="19"/>
  <c r="B250" i="20"/>
  <c r="AC249" i="20"/>
  <c r="K176" i="19"/>
  <c r="I115" i="18"/>
  <c r="J115" i="18"/>
  <c r="G115" i="18"/>
  <c r="H154" i="17"/>
  <c r="U121" i="19"/>
  <c r="X121" i="19" s="1"/>
  <c r="AC249" i="17"/>
  <c r="B250" i="17"/>
  <c r="A228" i="21"/>
  <c r="B228" i="21" s="1"/>
  <c r="C229" i="21"/>
  <c r="R111" i="20"/>
  <c r="K91" i="21"/>
  <c r="AD110" i="20"/>
  <c r="F91" i="21" s="1"/>
  <c r="H177" i="19" l="1"/>
  <c r="K177" i="19"/>
  <c r="L177" i="19"/>
  <c r="F178" i="19" s="1"/>
  <c r="K155" i="20"/>
  <c r="C230" i="21"/>
  <c r="A229" i="21"/>
  <c r="B229" i="21" s="1"/>
  <c r="U111" i="20"/>
  <c r="K154" i="17"/>
  <c r="L154" i="17" s="1"/>
  <c r="F155" i="17" s="1"/>
  <c r="J155" i="20"/>
  <c r="L155" i="20" s="1"/>
  <c r="F156" i="20" s="1"/>
  <c r="AA115" i="19"/>
  <c r="AD115" i="19" s="1"/>
  <c r="E96" i="21" s="1"/>
  <c r="AA115" i="20"/>
  <c r="AA115" i="17"/>
  <c r="E116" i="18"/>
  <c r="Y121" i="19"/>
  <c r="A253" i="19"/>
  <c r="AC253" i="19"/>
  <c r="B254" i="19"/>
  <c r="B251" i="17"/>
  <c r="AC250" i="17"/>
  <c r="B251" i="20"/>
  <c r="AC250" i="20"/>
  <c r="U110" i="17"/>
  <c r="X110" i="17" s="1"/>
  <c r="H155" i="17" l="1"/>
  <c r="K156" i="20"/>
  <c r="L156" i="20"/>
  <c r="F157" i="20" s="1"/>
  <c r="H156" i="20"/>
  <c r="J102" i="21"/>
  <c r="R122" i="19"/>
  <c r="X111" i="20"/>
  <c r="Y111" i="20" s="1"/>
  <c r="H178" i="19"/>
  <c r="L178" i="19" s="1"/>
  <c r="F179" i="19" s="1"/>
  <c r="K178" i="19"/>
  <c r="Y110" i="17"/>
  <c r="B252" i="20"/>
  <c r="AC251" i="20"/>
  <c r="A230" i="21"/>
  <c r="B230" i="21" s="1"/>
  <c r="C231" i="21"/>
  <c r="G116" i="18"/>
  <c r="I116" i="18" s="1"/>
  <c r="B252" i="17"/>
  <c r="AC251" i="17"/>
  <c r="AC254" i="19"/>
  <c r="B255" i="19"/>
  <c r="A254" i="19"/>
  <c r="H179" i="19" l="1"/>
  <c r="J179" i="19" s="1"/>
  <c r="R112" i="20"/>
  <c r="K92" i="21"/>
  <c r="AD111" i="20"/>
  <c r="F92" i="21" s="1"/>
  <c r="H157" i="20"/>
  <c r="AC252" i="20"/>
  <c r="B253" i="20"/>
  <c r="H116" i="18"/>
  <c r="J155" i="17"/>
  <c r="L155" i="17" s="1"/>
  <c r="F156" i="17" s="1"/>
  <c r="I91" i="21"/>
  <c r="R111" i="17"/>
  <c r="AD110" i="17"/>
  <c r="D91" i="21" s="1"/>
  <c r="U122" i="19"/>
  <c r="X122" i="19" s="1"/>
  <c r="K155" i="17"/>
  <c r="AC255" i="19"/>
  <c r="A255" i="19"/>
  <c r="B256" i="19"/>
  <c r="J116" i="18"/>
  <c r="C232" i="21"/>
  <c r="A231" i="21"/>
  <c r="B231" i="21" s="1"/>
  <c r="AC252" i="17"/>
  <c r="B253" i="17"/>
  <c r="H156" i="17" l="1"/>
  <c r="L157" i="20"/>
  <c r="F158" i="20" s="1"/>
  <c r="B254" i="17"/>
  <c r="AC253" i="17"/>
  <c r="U112" i="20"/>
  <c r="K157" i="20"/>
  <c r="L179" i="19"/>
  <c r="F180" i="19" s="1"/>
  <c r="Y122" i="19"/>
  <c r="K179" i="19"/>
  <c r="U111" i="17"/>
  <c r="C233" i="21"/>
  <c r="A232" i="21"/>
  <c r="B232" i="21" s="1"/>
  <c r="AA116" i="17"/>
  <c r="E117" i="18"/>
  <c r="AA116" i="19"/>
  <c r="AD116" i="19" s="1"/>
  <c r="E97" i="21" s="1"/>
  <c r="AA116" i="20"/>
  <c r="AC256" i="19"/>
  <c r="A256" i="19"/>
  <c r="B257" i="19"/>
  <c r="AC253" i="20"/>
  <c r="B254" i="20"/>
  <c r="L156" i="17" l="1"/>
  <c r="F157" i="17" s="1"/>
  <c r="J158" i="20"/>
  <c r="H158" i="20"/>
  <c r="B255" i="17"/>
  <c r="AC254" i="17"/>
  <c r="B255" i="20"/>
  <c r="AC254" i="20"/>
  <c r="H180" i="19"/>
  <c r="G117" i="18"/>
  <c r="I117" i="18" s="1"/>
  <c r="J117" i="18" s="1"/>
  <c r="X111" i="17"/>
  <c r="Y111" i="17" s="1"/>
  <c r="X112" i="20"/>
  <c r="Y112" i="20" s="1"/>
  <c r="K156" i="17"/>
  <c r="J103" i="21"/>
  <c r="R123" i="19"/>
  <c r="C234" i="21"/>
  <c r="A233" i="21"/>
  <c r="B233" i="21" s="1"/>
  <c r="B258" i="19"/>
  <c r="AC257" i="19"/>
  <c r="A257" i="19"/>
  <c r="K93" i="21" l="1"/>
  <c r="R113" i="20"/>
  <c r="AD112" i="20"/>
  <c r="F93" i="21" s="1"/>
  <c r="R112" i="17"/>
  <c r="I92" i="21"/>
  <c r="AD111" i="17"/>
  <c r="D92" i="21" s="1"/>
  <c r="AA117" i="17"/>
  <c r="AA117" i="20"/>
  <c r="AA117" i="19"/>
  <c r="AD117" i="19" s="1"/>
  <c r="E98" i="21" s="1"/>
  <c r="E118" i="18"/>
  <c r="L158" i="20"/>
  <c r="F159" i="20" s="1"/>
  <c r="K158" i="20"/>
  <c r="C235" i="21"/>
  <c r="A234" i="21"/>
  <c r="B234" i="21" s="1"/>
  <c r="H157" i="17"/>
  <c r="K157" i="17" s="1"/>
  <c r="U123" i="19"/>
  <c r="X123" i="19"/>
  <c r="Y123" i="19"/>
  <c r="AC255" i="20"/>
  <c r="B256" i="20"/>
  <c r="K180" i="19"/>
  <c r="L180" i="19" s="1"/>
  <c r="F181" i="19" s="1"/>
  <c r="AC255" i="17"/>
  <c r="B256" i="17"/>
  <c r="A258" i="19"/>
  <c r="AC258" i="19"/>
  <c r="B259" i="19"/>
  <c r="H181" i="19" l="1"/>
  <c r="L181" i="19" s="1"/>
  <c r="F182" i="19" s="1"/>
  <c r="K181" i="19"/>
  <c r="L157" i="17"/>
  <c r="F158" i="17" s="1"/>
  <c r="B257" i="20"/>
  <c r="AC256" i="20"/>
  <c r="U112" i="17"/>
  <c r="X112" i="17" s="1"/>
  <c r="J104" i="21"/>
  <c r="R124" i="19"/>
  <c r="C236" i="21"/>
  <c r="A235" i="21"/>
  <c r="B235" i="21" s="1"/>
  <c r="U113" i="20"/>
  <c r="K159" i="20"/>
  <c r="H159" i="20"/>
  <c r="L159" i="20" s="1"/>
  <c r="F160" i="20" s="1"/>
  <c r="B260" i="19"/>
  <c r="A259" i="19"/>
  <c r="AC259" i="19"/>
  <c r="G118" i="18"/>
  <c r="B257" i="17"/>
  <c r="AC256" i="17"/>
  <c r="H160" i="20" l="1"/>
  <c r="H182" i="19"/>
  <c r="J182" i="19" s="1"/>
  <c r="A236" i="21"/>
  <c r="B236" i="21" s="1"/>
  <c r="C237" i="21"/>
  <c r="B258" i="20"/>
  <c r="AC257" i="20"/>
  <c r="U124" i="19"/>
  <c r="X124" i="19"/>
  <c r="Y124" i="19"/>
  <c r="H158" i="17"/>
  <c r="J158" i="17" s="1"/>
  <c r="X113" i="20"/>
  <c r="Y113" i="20" s="1"/>
  <c r="Y112" i="17"/>
  <c r="B258" i="17"/>
  <c r="AC257" i="17"/>
  <c r="AC260" i="19"/>
  <c r="B261" i="19"/>
  <c r="A260" i="19"/>
  <c r="I118" i="18"/>
  <c r="J118" i="18" s="1"/>
  <c r="K94" i="21" l="1"/>
  <c r="R114" i="20"/>
  <c r="AD113" i="20"/>
  <c r="F94" i="21" s="1"/>
  <c r="AA118" i="19"/>
  <c r="AD118" i="19" s="1"/>
  <c r="E99" i="21" s="1"/>
  <c r="E119" i="18"/>
  <c r="AA118" i="17"/>
  <c r="AA118" i="20"/>
  <c r="K158" i="17"/>
  <c r="L158" i="17"/>
  <c r="F159" i="17" s="1"/>
  <c r="L160" i="20"/>
  <c r="F161" i="20" s="1"/>
  <c r="J105" i="21"/>
  <c r="R125" i="19"/>
  <c r="AC258" i="20"/>
  <c r="B259" i="20"/>
  <c r="K160" i="20"/>
  <c r="AC258" i="17"/>
  <c r="B259" i="17"/>
  <c r="AC261" i="19"/>
  <c r="B262" i="19"/>
  <c r="A261" i="19"/>
  <c r="C238" i="21"/>
  <c r="A237" i="21"/>
  <c r="B237" i="21" s="1"/>
  <c r="I93" i="21"/>
  <c r="R113" i="17"/>
  <c r="AD112" i="17"/>
  <c r="D93" i="21" s="1"/>
  <c r="K182" i="19"/>
  <c r="L182" i="19" s="1"/>
  <c r="F183" i="19" s="1"/>
  <c r="H183" i="19" l="1"/>
  <c r="K183" i="19"/>
  <c r="L183" i="19" s="1"/>
  <c r="F184" i="19" s="1"/>
  <c r="AC259" i="17"/>
  <c r="B260" i="17"/>
  <c r="A238" i="21"/>
  <c r="B238" i="21" s="1"/>
  <c r="C239" i="21"/>
  <c r="H159" i="17"/>
  <c r="K159" i="17" s="1"/>
  <c r="H161" i="20"/>
  <c r="B260" i="20"/>
  <c r="AC259" i="20"/>
  <c r="U114" i="20"/>
  <c r="X114" i="20" s="1"/>
  <c r="Y114" i="20" s="1"/>
  <c r="U125" i="19"/>
  <c r="X125" i="19"/>
  <c r="Y125" i="19"/>
  <c r="G119" i="18"/>
  <c r="I119" i="18" s="1"/>
  <c r="U113" i="17"/>
  <c r="X113" i="17" s="1"/>
  <c r="A262" i="19"/>
  <c r="AC262" i="19"/>
  <c r="B263" i="19"/>
  <c r="K95" i="21" l="1"/>
  <c r="R115" i="20"/>
  <c r="AD114" i="20"/>
  <c r="F95" i="21" s="1"/>
  <c r="H184" i="19"/>
  <c r="K184" i="19"/>
  <c r="L184" i="19"/>
  <c r="F185" i="19" s="1"/>
  <c r="B264" i="19"/>
  <c r="A263" i="19"/>
  <c r="AC263" i="19"/>
  <c r="L159" i="17"/>
  <c r="F160" i="17" s="1"/>
  <c r="R126" i="19"/>
  <c r="J106" i="21"/>
  <c r="J161" i="20"/>
  <c r="K161" i="20" s="1"/>
  <c r="Y113" i="17"/>
  <c r="AC260" i="17"/>
  <c r="B261" i="17"/>
  <c r="B261" i="20"/>
  <c r="AC260" i="20"/>
  <c r="H119" i="18"/>
  <c r="J119" i="18" s="1"/>
  <c r="A239" i="21"/>
  <c r="B239" i="21" s="1"/>
  <c r="C240" i="21"/>
  <c r="AA119" i="17" l="1"/>
  <c r="E120" i="18"/>
  <c r="AA119" i="20"/>
  <c r="AA119" i="19"/>
  <c r="AD119" i="19" s="1"/>
  <c r="E100" i="21" s="1"/>
  <c r="C241" i="21"/>
  <c r="A240" i="21"/>
  <c r="B240" i="21" s="1"/>
  <c r="H185" i="19"/>
  <c r="L185" i="19" s="1"/>
  <c r="F186" i="19" s="1"/>
  <c r="J185" i="19"/>
  <c r="K185" i="19"/>
  <c r="K160" i="17"/>
  <c r="L160" i="17" s="1"/>
  <c r="F161" i="17" s="1"/>
  <c r="H160" i="17"/>
  <c r="R114" i="17"/>
  <c r="I94" i="21"/>
  <c r="AD113" i="17"/>
  <c r="D94" i="21" s="1"/>
  <c r="B262" i="20"/>
  <c r="AC261" i="20"/>
  <c r="B265" i="19"/>
  <c r="AC264" i="19"/>
  <c r="A264" i="19"/>
  <c r="U115" i="20"/>
  <c r="U126" i="19"/>
  <c r="X126" i="19" s="1"/>
  <c r="Y126" i="19" s="1"/>
  <c r="AC261" i="17"/>
  <c r="B262" i="17"/>
  <c r="L161" i="20"/>
  <c r="F162" i="20" s="1"/>
  <c r="H161" i="17" l="1"/>
  <c r="J107" i="21"/>
  <c r="R127" i="19"/>
  <c r="H186" i="19"/>
  <c r="K186" i="19"/>
  <c r="L186" i="19"/>
  <c r="F187" i="19" s="1"/>
  <c r="X115" i="20"/>
  <c r="Y115" i="20" s="1"/>
  <c r="K162" i="20"/>
  <c r="H162" i="20"/>
  <c r="L162" i="20" s="1"/>
  <c r="F163" i="20" s="1"/>
  <c r="AC262" i="20"/>
  <c r="B263" i="20"/>
  <c r="X114" i="17"/>
  <c r="U114" i="17"/>
  <c r="Y114" i="17" s="1"/>
  <c r="G120" i="18"/>
  <c r="I120" i="18" s="1"/>
  <c r="AC262" i="17"/>
  <c r="B263" i="17"/>
  <c r="C242" i="21"/>
  <c r="A241" i="21"/>
  <c r="B241" i="21" s="1"/>
  <c r="AC265" i="19"/>
  <c r="B266" i="19"/>
  <c r="A265" i="19"/>
  <c r="H163" i="20" l="1"/>
  <c r="R115" i="17"/>
  <c r="I95" i="21"/>
  <c r="AD114" i="17"/>
  <c r="D95" i="21" s="1"/>
  <c r="R116" i="20"/>
  <c r="K96" i="21"/>
  <c r="AD115" i="20"/>
  <c r="F96" i="21" s="1"/>
  <c r="H187" i="19"/>
  <c r="K187" i="19" s="1"/>
  <c r="AC263" i="20"/>
  <c r="B264" i="20"/>
  <c r="J120" i="18"/>
  <c r="J161" i="17"/>
  <c r="L161" i="17" s="1"/>
  <c r="F162" i="17" s="1"/>
  <c r="K161" i="17"/>
  <c r="A266" i="19"/>
  <c r="B267" i="19"/>
  <c r="AC266" i="19"/>
  <c r="A242" i="21"/>
  <c r="B242" i="21" s="1"/>
  <c r="C243" i="21"/>
  <c r="AC263" i="17"/>
  <c r="B264" i="17"/>
  <c r="U127" i="19"/>
  <c r="Y127" i="19" s="1"/>
  <c r="X127" i="19"/>
  <c r="R128" i="19" l="1"/>
  <c r="J108" i="21"/>
  <c r="H162" i="17"/>
  <c r="K162" i="17" s="1"/>
  <c r="L163" i="20"/>
  <c r="F164" i="20" s="1"/>
  <c r="U115" i="17"/>
  <c r="B265" i="20"/>
  <c r="AC264" i="20"/>
  <c r="L187" i="19"/>
  <c r="F188" i="19" s="1"/>
  <c r="E121" i="18"/>
  <c r="AA120" i="17"/>
  <c r="AA120" i="20"/>
  <c r="AA120" i="19"/>
  <c r="AD120" i="19" s="1"/>
  <c r="E101" i="21" s="1"/>
  <c r="AC267" i="19"/>
  <c r="B268" i="19"/>
  <c r="A267" i="19"/>
  <c r="K163" i="20"/>
  <c r="C244" i="21"/>
  <c r="A243" i="21"/>
  <c r="B243" i="21" s="1"/>
  <c r="B265" i="17"/>
  <c r="AC264" i="17"/>
  <c r="U116" i="20"/>
  <c r="X116" i="20" s="1"/>
  <c r="H188" i="19" l="1"/>
  <c r="J188" i="19"/>
  <c r="K188" i="19"/>
  <c r="L188" i="19"/>
  <c r="F189" i="19" s="1"/>
  <c r="L162" i="17"/>
  <c r="F163" i="17" s="1"/>
  <c r="AC265" i="17"/>
  <c r="B266" i="17"/>
  <c r="AC265" i="20"/>
  <c r="B266" i="20"/>
  <c r="C245" i="21"/>
  <c r="A244" i="21"/>
  <c r="B244" i="21" s="1"/>
  <c r="X115" i="17"/>
  <c r="Y115" i="17" s="1"/>
  <c r="B269" i="19"/>
  <c r="A268" i="19"/>
  <c r="AC268" i="19"/>
  <c r="J164" i="20"/>
  <c r="K164" i="20"/>
  <c r="H164" i="20"/>
  <c r="L164" i="20" s="1"/>
  <c r="F165" i="20" s="1"/>
  <c r="Y116" i="20"/>
  <c r="G121" i="18"/>
  <c r="U128" i="19"/>
  <c r="X128" i="19"/>
  <c r="Y128" i="19"/>
  <c r="H165" i="20" l="1"/>
  <c r="R116" i="17"/>
  <c r="I96" i="21"/>
  <c r="AD115" i="17"/>
  <c r="D96" i="21" s="1"/>
  <c r="H163" i="17"/>
  <c r="J109" i="21"/>
  <c r="R129" i="19"/>
  <c r="A245" i="21"/>
  <c r="B245" i="21" s="1"/>
  <c r="C246" i="21"/>
  <c r="R117" i="20"/>
  <c r="K97" i="21"/>
  <c r="AD116" i="20"/>
  <c r="F97" i="21" s="1"/>
  <c r="B267" i="20"/>
  <c r="AC266" i="20"/>
  <c r="AC269" i="19"/>
  <c r="B270" i="19"/>
  <c r="A269" i="19"/>
  <c r="H189" i="19"/>
  <c r="I121" i="18"/>
  <c r="J121" i="18" s="1"/>
  <c r="AC266" i="17"/>
  <c r="B267" i="17"/>
  <c r="AA121" i="17" l="1"/>
  <c r="E122" i="18"/>
  <c r="AA121" i="19"/>
  <c r="AD121" i="19" s="1"/>
  <c r="E102" i="21" s="1"/>
  <c r="AA121" i="20"/>
  <c r="U116" i="17"/>
  <c r="X116" i="17" s="1"/>
  <c r="K163" i="17"/>
  <c r="L163" i="17" s="1"/>
  <c r="F164" i="17" s="1"/>
  <c r="AC267" i="20"/>
  <c r="B268" i="20"/>
  <c r="K189" i="19"/>
  <c r="L189" i="19" s="1"/>
  <c r="F190" i="19" s="1"/>
  <c r="U117" i="20"/>
  <c r="X117" i="20" s="1"/>
  <c r="C247" i="21"/>
  <c r="A246" i="21"/>
  <c r="B246" i="21" s="1"/>
  <c r="K165" i="20"/>
  <c r="L165" i="20" s="1"/>
  <c r="F166" i="20" s="1"/>
  <c r="U129" i="19"/>
  <c r="X129" i="19"/>
  <c r="Y129" i="19" s="1"/>
  <c r="AC267" i="17"/>
  <c r="B268" i="17"/>
  <c r="A270" i="19"/>
  <c r="AC270" i="19"/>
  <c r="B271" i="19"/>
  <c r="H164" i="17" l="1"/>
  <c r="H190" i="19"/>
  <c r="R130" i="19"/>
  <c r="J110" i="21"/>
  <c r="H166" i="20"/>
  <c r="K166" i="20" s="1"/>
  <c r="G122" i="18"/>
  <c r="H122" i="18"/>
  <c r="Y117" i="20"/>
  <c r="C248" i="21"/>
  <c r="A247" i="21"/>
  <c r="B247" i="21" s="1"/>
  <c r="A271" i="19"/>
  <c r="B272" i="19"/>
  <c r="AC271" i="19"/>
  <c r="Y116" i="17"/>
  <c r="AC268" i="17"/>
  <c r="B269" i="17"/>
  <c r="B269" i="20"/>
  <c r="AC268" i="20"/>
  <c r="K98" i="21" l="1"/>
  <c r="R118" i="20"/>
  <c r="AD117" i="20"/>
  <c r="F98" i="21" s="1"/>
  <c r="L166" i="20"/>
  <c r="F167" i="20" s="1"/>
  <c r="B270" i="20"/>
  <c r="AC269" i="20"/>
  <c r="C249" i="21"/>
  <c r="A248" i="21"/>
  <c r="B248" i="21" s="1"/>
  <c r="U130" i="19"/>
  <c r="X130" i="19"/>
  <c r="Y130" i="19"/>
  <c r="J164" i="17"/>
  <c r="B273" i="19"/>
  <c r="AC272" i="19"/>
  <c r="A272" i="19"/>
  <c r="K190" i="19"/>
  <c r="L190" i="19" s="1"/>
  <c r="F191" i="19" s="1"/>
  <c r="AC269" i="17"/>
  <c r="B270" i="17"/>
  <c r="I122" i="18"/>
  <c r="J122" i="18" s="1"/>
  <c r="I97" i="21"/>
  <c r="R117" i="17"/>
  <c r="AD116" i="17"/>
  <c r="D97" i="21" s="1"/>
  <c r="H191" i="19" l="1"/>
  <c r="K191" i="19" s="1"/>
  <c r="L191" i="19" s="1"/>
  <c r="F192" i="19" s="1"/>
  <c r="J191" i="19"/>
  <c r="AA122" i="19"/>
  <c r="AD122" i="19" s="1"/>
  <c r="E103" i="21" s="1"/>
  <c r="AA122" i="17"/>
  <c r="AA122" i="20"/>
  <c r="E123" i="18"/>
  <c r="AC270" i="17"/>
  <c r="B271" i="17"/>
  <c r="R131" i="19"/>
  <c r="J111" i="21"/>
  <c r="K164" i="17"/>
  <c r="L164" i="17" s="1"/>
  <c r="F165" i="17" s="1"/>
  <c r="A273" i="19"/>
  <c r="AC273" i="19"/>
  <c r="B274" i="19"/>
  <c r="X118" i="20"/>
  <c r="U118" i="20"/>
  <c r="Y118" i="20" s="1"/>
  <c r="C250" i="21"/>
  <c r="A249" i="21"/>
  <c r="B249" i="21" s="1"/>
  <c r="AC270" i="20"/>
  <c r="B271" i="20"/>
  <c r="U117" i="17"/>
  <c r="X117" i="17" s="1"/>
  <c r="J167" i="20"/>
  <c r="K167" i="20" s="1"/>
  <c r="H167" i="20"/>
  <c r="K99" i="21" l="1"/>
  <c r="R119" i="20"/>
  <c r="AD118" i="20"/>
  <c r="F99" i="21" s="1"/>
  <c r="H165" i="17"/>
  <c r="H192" i="19"/>
  <c r="L192" i="19" s="1"/>
  <c r="F193" i="19" s="1"/>
  <c r="K192" i="19"/>
  <c r="B272" i="20"/>
  <c r="AC271" i="20"/>
  <c r="L167" i="20"/>
  <c r="F168" i="20" s="1"/>
  <c r="C251" i="21"/>
  <c r="A250" i="21"/>
  <c r="B250" i="21" s="1"/>
  <c r="G123" i="18"/>
  <c r="J123" i="18" s="1"/>
  <c r="I123" i="18"/>
  <c r="B272" i="17"/>
  <c r="AC271" i="17"/>
  <c r="Y117" i="17"/>
  <c r="U131" i="19"/>
  <c r="A274" i="19"/>
  <c r="AC274" i="19"/>
  <c r="B275" i="19"/>
  <c r="H193" i="19" l="1"/>
  <c r="K193" i="19" s="1"/>
  <c r="AA123" i="17"/>
  <c r="AA123" i="19"/>
  <c r="AD123" i="19" s="1"/>
  <c r="E104" i="21" s="1"/>
  <c r="AA123" i="20"/>
  <c r="E124" i="18"/>
  <c r="Y131" i="19"/>
  <c r="K165" i="17"/>
  <c r="L165" i="17" s="1"/>
  <c r="F166" i="17" s="1"/>
  <c r="AC272" i="17"/>
  <c r="B273" i="17"/>
  <c r="X131" i="19"/>
  <c r="B273" i="20"/>
  <c r="AC272" i="20"/>
  <c r="R118" i="17"/>
  <c r="I98" i="21"/>
  <c r="AD117" i="17"/>
  <c r="D98" i="21" s="1"/>
  <c r="U119" i="20"/>
  <c r="X119" i="20" s="1"/>
  <c r="H168" i="20"/>
  <c r="K168" i="20" s="1"/>
  <c r="A275" i="19"/>
  <c r="AC275" i="19"/>
  <c r="B276" i="19"/>
  <c r="A251" i="21"/>
  <c r="B251" i="21" s="1"/>
  <c r="C252" i="21"/>
  <c r="H166" i="17" l="1"/>
  <c r="L168" i="20"/>
  <c r="F169" i="20" s="1"/>
  <c r="AC273" i="17"/>
  <c r="B274" i="17"/>
  <c r="C253" i="21"/>
  <c r="A252" i="21"/>
  <c r="B252" i="21" s="1"/>
  <c r="U118" i="17"/>
  <c r="B277" i="19"/>
  <c r="A276" i="19"/>
  <c r="AC276" i="19"/>
  <c r="Y119" i="20"/>
  <c r="B274" i="20"/>
  <c r="AC273" i="20"/>
  <c r="J112" i="21"/>
  <c r="R132" i="19"/>
  <c r="L193" i="19"/>
  <c r="F194" i="19" s="1"/>
  <c r="I124" i="18"/>
  <c r="J124" i="18"/>
  <c r="G124" i="18"/>
  <c r="X118" i="17" l="1"/>
  <c r="Y118" i="17" s="1"/>
  <c r="AA124" i="19"/>
  <c r="AD124" i="19" s="1"/>
  <c r="E105" i="21" s="1"/>
  <c r="AA124" i="17"/>
  <c r="E125" i="18"/>
  <c r="AA124" i="20"/>
  <c r="B275" i="20"/>
  <c r="AC274" i="20"/>
  <c r="J194" i="19"/>
  <c r="K194" i="19"/>
  <c r="L194" i="19"/>
  <c r="F195" i="19" s="1"/>
  <c r="H194" i="19"/>
  <c r="H169" i="20"/>
  <c r="U132" i="19"/>
  <c r="X132" i="19" s="1"/>
  <c r="Y132" i="19" s="1"/>
  <c r="C254" i="21"/>
  <c r="A253" i="21"/>
  <c r="B253" i="21" s="1"/>
  <c r="K166" i="17"/>
  <c r="L166" i="17" s="1"/>
  <c r="F167" i="17" s="1"/>
  <c r="K100" i="21"/>
  <c r="R120" i="20"/>
  <c r="AD119" i="20"/>
  <c r="F100" i="21" s="1"/>
  <c r="B278" i="19"/>
  <c r="AC277" i="19"/>
  <c r="A277" i="19"/>
  <c r="B275" i="17"/>
  <c r="AC274" i="17"/>
  <c r="H167" i="17" l="1"/>
  <c r="J167" i="17" s="1"/>
  <c r="L169" i="20"/>
  <c r="F170" i="20" s="1"/>
  <c r="J113" i="21"/>
  <c r="R133" i="19"/>
  <c r="R119" i="17"/>
  <c r="I99" i="21"/>
  <c r="AD118" i="17"/>
  <c r="D99" i="21" s="1"/>
  <c r="H195" i="19"/>
  <c r="L195" i="19" s="1"/>
  <c r="F196" i="19" s="1"/>
  <c r="K195" i="19"/>
  <c r="K169" i="20"/>
  <c r="G125" i="18"/>
  <c r="I125" i="18" s="1"/>
  <c r="H125" i="18"/>
  <c r="J125" i="18" s="1"/>
  <c r="AC278" i="19"/>
  <c r="B279" i="19"/>
  <c r="A278" i="19"/>
  <c r="A254" i="21"/>
  <c r="B254" i="21" s="1"/>
  <c r="C255" i="21"/>
  <c r="AC275" i="20"/>
  <c r="B276" i="20"/>
  <c r="U120" i="20"/>
  <c r="X120" i="20" s="1"/>
  <c r="AC275" i="17"/>
  <c r="B276" i="17"/>
  <c r="E126" i="18" l="1"/>
  <c r="AA125" i="17"/>
  <c r="AA125" i="19"/>
  <c r="AD125" i="19" s="1"/>
  <c r="E106" i="21" s="1"/>
  <c r="AA125" i="20"/>
  <c r="H196" i="19"/>
  <c r="L196" i="19" s="1"/>
  <c r="F197" i="19" s="1"/>
  <c r="K196" i="19"/>
  <c r="C256" i="21"/>
  <c r="A255" i="21"/>
  <c r="B255" i="21" s="1"/>
  <c r="J170" i="20"/>
  <c r="H170" i="20"/>
  <c r="L167" i="17"/>
  <c r="F168" i="17" s="1"/>
  <c r="Y120" i="20"/>
  <c r="U119" i="17"/>
  <c r="K167" i="17"/>
  <c r="B277" i="17"/>
  <c r="AC276" i="17"/>
  <c r="AC279" i="19"/>
  <c r="A279" i="19"/>
  <c r="B280" i="19"/>
  <c r="AC276" i="20"/>
  <c r="B277" i="20"/>
  <c r="U133" i="19"/>
  <c r="X133" i="19"/>
  <c r="Y133" i="19"/>
  <c r="H197" i="19" l="1"/>
  <c r="J197" i="19"/>
  <c r="L170" i="20"/>
  <c r="F171" i="20" s="1"/>
  <c r="X119" i="17"/>
  <c r="Y119" i="17" s="1"/>
  <c r="R134" i="19"/>
  <c r="J114" i="21"/>
  <c r="K170" i="20"/>
  <c r="K101" i="21"/>
  <c r="R121" i="20"/>
  <c r="AD120" i="20"/>
  <c r="F101" i="21" s="1"/>
  <c r="AC277" i="17"/>
  <c r="B278" i="17"/>
  <c r="C257" i="21"/>
  <c r="A256" i="21"/>
  <c r="B256" i="21" s="1"/>
  <c r="AC280" i="19"/>
  <c r="B281" i="19"/>
  <c r="A280" i="19"/>
  <c r="B278" i="20"/>
  <c r="AC277" i="20"/>
  <c r="H168" i="17"/>
  <c r="K168" i="17" s="1"/>
  <c r="G126" i="18"/>
  <c r="I126" i="18"/>
  <c r="J126" i="18" s="1"/>
  <c r="AA126" i="19" l="1"/>
  <c r="AD126" i="19" s="1"/>
  <c r="E107" i="21" s="1"/>
  <c r="E127" i="18"/>
  <c r="AA126" i="17"/>
  <c r="AA126" i="20"/>
  <c r="AM74" i="21"/>
  <c r="R120" i="17"/>
  <c r="I100" i="21"/>
  <c r="T38" i="2" s="1"/>
  <c r="O12" i="21" s="1"/>
  <c r="AD119" i="17"/>
  <c r="D100" i="21" s="1"/>
  <c r="AC49" i="21" s="1"/>
  <c r="AM70" i="21" s="1"/>
  <c r="AM72" i="21" s="1"/>
  <c r="AM77" i="21" s="1"/>
  <c r="H171" i="20"/>
  <c r="K171" i="20" s="1"/>
  <c r="C258" i="21"/>
  <c r="A257" i="21"/>
  <c r="B257" i="21" s="1"/>
  <c r="K197" i="19"/>
  <c r="L197" i="19" s="1"/>
  <c r="F198" i="19" s="1"/>
  <c r="U134" i="19"/>
  <c r="X134" i="19"/>
  <c r="Y134" i="19"/>
  <c r="AC278" i="20"/>
  <c r="B279" i="20"/>
  <c r="B279" i="17"/>
  <c r="AC278" i="17"/>
  <c r="AC281" i="19"/>
  <c r="A281" i="19"/>
  <c r="B282" i="19"/>
  <c r="L168" i="17"/>
  <c r="F169" i="17" s="1"/>
  <c r="U121" i="20"/>
  <c r="H198" i="19" l="1"/>
  <c r="K198" i="19"/>
  <c r="L198" i="19" s="1"/>
  <c r="F199" i="19" s="1"/>
  <c r="R135" i="19"/>
  <c r="J115" i="21"/>
  <c r="U120" i="17"/>
  <c r="X120" i="17" s="1"/>
  <c r="L171" i="20"/>
  <c r="F172" i="20" s="1"/>
  <c r="A282" i="19"/>
  <c r="B283" i="19"/>
  <c r="AC282" i="19"/>
  <c r="A258" i="21"/>
  <c r="B258" i="21" s="1"/>
  <c r="C259" i="21"/>
  <c r="X121" i="20"/>
  <c r="Y121" i="20" s="1"/>
  <c r="B280" i="17"/>
  <c r="AC279" i="17"/>
  <c r="H169" i="17"/>
  <c r="B280" i="20"/>
  <c r="AC279" i="20"/>
  <c r="G127" i="18"/>
  <c r="P12" i="21"/>
  <c r="R12" i="21"/>
  <c r="Q12" i="21"/>
  <c r="R122" i="20" l="1"/>
  <c r="K102" i="21"/>
  <c r="AD121" i="20"/>
  <c r="F102" i="21" s="1"/>
  <c r="H199" i="19"/>
  <c r="K199" i="19" s="1"/>
  <c r="A259" i="21"/>
  <c r="B259" i="21" s="1"/>
  <c r="C260" i="21"/>
  <c r="AC280" i="20"/>
  <c r="B281" i="20"/>
  <c r="U135" i="19"/>
  <c r="X135" i="19" s="1"/>
  <c r="K169" i="17"/>
  <c r="L169" i="17" s="1"/>
  <c r="F170" i="17" s="1"/>
  <c r="K172" i="20"/>
  <c r="L172" i="20"/>
  <c r="F173" i="20" s="1"/>
  <c r="H172" i="20"/>
  <c r="I127" i="18"/>
  <c r="J127" i="18" s="1"/>
  <c r="Y120" i="17"/>
  <c r="B281" i="17"/>
  <c r="AC280" i="17"/>
  <c r="AC283" i="19"/>
  <c r="A283" i="19"/>
  <c r="B284" i="19"/>
  <c r="H170" i="17" l="1"/>
  <c r="AA127" i="20"/>
  <c r="AA127" i="17"/>
  <c r="E128" i="18"/>
  <c r="AA127" i="19"/>
  <c r="AD127" i="19" s="1"/>
  <c r="E108" i="21" s="1"/>
  <c r="H173" i="20"/>
  <c r="B282" i="17"/>
  <c r="AC281" i="17"/>
  <c r="U122" i="20"/>
  <c r="C261" i="21"/>
  <c r="A260" i="21"/>
  <c r="B260" i="21" s="1"/>
  <c r="I101" i="21"/>
  <c r="R121" i="17"/>
  <c r="AD120" i="17"/>
  <c r="D101" i="21" s="1"/>
  <c r="B285" i="19"/>
  <c r="A284" i="19"/>
  <c r="AC284" i="19"/>
  <c r="Y135" i="19"/>
  <c r="L199" i="19"/>
  <c r="F200" i="19" s="1"/>
  <c r="AC281" i="20"/>
  <c r="B282" i="20"/>
  <c r="A261" i="21" l="1"/>
  <c r="B261" i="21" s="1"/>
  <c r="C262" i="21"/>
  <c r="H200" i="19"/>
  <c r="J200" i="19" s="1"/>
  <c r="X122" i="20"/>
  <c r="Y122" i="20" s="1"/>
  <c r="J173" i="20"/>
  <c r="A285" i="19"/>
  <c r="B286" i="19"/>
  <c r="AC285" i="19"/>
  <c r="J170" i="17"/>
  <c r="K170" i="17" s="1"/>
  <c r="L170" i="17" s="1"/>
  <c r="F171" i="17" s="1"/>
  <c r="B283" i="20"/>
  <c r="AC282" i="20"/>
  <c r="U121" i="17"/>
  <c r="X121" i="17" s="1"/>
  <c r="R136" i="19"/>
  <c r="J116" i="21"/>
  <c r="AC282" i="17"/>
  <c r="B283" i="17"/>
  <c r="H128" i="18"/>
  <c r="G128" i="18"/>
  <c r="I128" i="18" s="1"/>
  <c r="J128" i="18" s="1"/>
  <c r="H171" i="17" l="1"/>
  <c r="K171" i="17" s="1"/>
  <c r="L171" i="17" s="1"/>
  <c r="F172" i="17" s="1"/>
  <c r="AA128" i="19"/>
  <c r="AD128" i="19" s="1"/>
  <c r="E109" i="21" s="1"/>
  <c r="AA128" i="17"/>
  <c r="E129" i="18"/>
  <c r="AA128" i="20"/>
  <c r="R123" i="20"/>
  <c r="K103" i="21"/>
  <c r="AD122" i="20"/>
  <c r="F103" i="21" s="1"/>
  <c r="Y121" i="17"/>
  <c r="AC283" i="17"/>
  <c r="B284" i="17"/>
  <c r="AC286" i="19"/>
  <c r="B287" i="19"/>
  <c r="A286" i="19"/>
  <c r="K200" i="19"/>
  <c r="L200" i="19" s="1"/>
  <c r="F201" i="19" s="1"/>
  <c r="K173" i="20"/>
  <c r="L173" i="20" s="1"/>
  <c r="F174" i="20" s="1"/>
  <c r="C263" i="21"/>
  <c r="A262" i="21"/>
  <c r="B262" i="21" s="1"/>
  <c r="U136" i="19"/>
  <c r="Y136" i="19" s="1"/>
  <c r="X136" i="19"/>
  <c r="AC283" i="20"/>
  <c r="B284" i="20"/>
  <c r="H201" i="19" l="1"/>
  <c r="L201" i="19" s="1"/>
  <c r="F202" i="19" s="1"/>
  <c r="K201" i="19"/>
  <c r="H174" i="20"/>
  <c r="J117" i="21"/>
  <c r="R137" i="19"/>
  <c r="H172" i="17"/>
  <c r="K172" i="17" s="1"/>
  <c r="G129" i="18"/>
  <c r="A287" i="19"/>
  <c r="B288" i="19"/>
  <c r="AC287" i="19"/>
  <c r="I102" i="21"/>
  <c r="R122" i="17"/>
  <c r="AD121" i="17"/>
  <c r="D102" i="21" s="1"/>
  <c r="C264" i="21"/>
  <c r="A263" i="21"/>
  <c r="B263" i="21" s="1"/>
  <c r="U123" i="20"/>
  <c r="X123" i="20" s="1"/>
  <c r="B285" i="20"/>
  <c r="AC284" i="20"/>
  <c r="B285" i="17"/>
  <c r="AC284" i="17"/>
  <c r="H202" i="19" l="1"/>
  <c r="K202" i="19"/>
  <c r="L202" i="19"/>
  <c r="F203" i="19" s="1"/>
  <c r="B286" i="20"/>
  <c r="AC285" i="20"/>
  <c r="B286" i="17"/>
  <c r="AC285" i="17"/>
  <c r="K174" i="20"/>
  <c r="L174" i="20" s="1"/>
  <c r="F175" i="20" s="1"/>
  <c r="L172" i="17"/>
  <c r="F173" i="17" s="1"/>
  <c r="AC288" i="19"/>
  <c r="A288" i="19"/>
  <c r="B289" i="19"/>
  <c r="U122" i="17"/>
  <c r="X122" i="17" s="1"/>
  <c r="I129" i="18"/>
  <c r="J129" i="18" s="1"/>
  <c r="U137" i="19"/>
  <c r="X137" i="19" s="1"/>
  <c r="A264" i="21"/>
  <c r="B264" i="21" s="1"/>
  <c r="C265" i="21"/>
  <c r="Y123" i="20"/>
  <c r="AA129" i="19" l="1"/>
  <c r="AD129" i="19" s="1"/>
  <c r="E110" i="21" s="1"/>
  <c r="AA129" i="17"/>
  <c r="AA129" i="20"/>
  <c r="E130" i="18"/>
  <c r="K175" i="20"/>
  <c r="L175" i="20"/>
  <c r="F176" i="20" s="1"/>
  <c r="H175" i="20"/>
  <c r="B287" i="20"/>
  <c r="AC286" i="20"/>
  <c r="J173" i="17"/>
  <c r="K173" i="17"/>
  <c r="L173" i="17"/>
  <c r="F174" i="17" s="1"/>
  <c r="H173" i="17"/>
  <c r="Y122" i="17"/>
  <c r="R124" i="20"/>
  <c r="K104" i="21"/>
  <c r="AD123" i="20"/>
  <c r="F104" i="21" s="1"/>
  <c r="H203" i="19"/>
  <c r="J203" i="19" s="1"/>
  <c r="AC286" i="17"/>
  <c r="B287" i="17"/>
  <c r="C266" i="21"/>
  <c r="A265" i="21"/>
  <c r="B265" i="21" s="1"/>
  <c r="Y137" i="19"/>
  <c r="B290" i="19"/>
  <c r="A289" i="19"/>
  <c r="AC289" i="19"/>
  <c r="AC287" i="17" l="1"/>
  <c r="B288" i="17"/>
  <c r="G130" i="18"/>
  <c r="J130" i="18" s="1"/>
  <c r="I130" i="18"/>
  <c r="K174" i="17"/>
  <c r="H174" i="17"/>
  <c r="L174" i="17" s="1"/>
  <c r="F175" i="17" s="1"/>
  <c r="AC290" i="19"/>
  <c r="B291" i="19"/>
  <c r="A290" i="19"/>
  <c r="C267" i="21"/>
  <c r="A266" i="21"/>
  <c r="B266" i="21" s="1"/>
  <c r="K203" i="19"/>
  <c r="L203" i="19" s="1"/>
  <c r="F204" i="19" s="1"/>
  <c r="I103" i="21"/>
  <c r="R123" i="17"/>
  <c r="AD122" i="17"/>
  <c r="D103" i="21" s="1"/>
  <c r="B288" i="20"/>
  <c r="AC287" i="20"/>
  <c r="J176" i="20"/>
  <c r="K176" i="20"/>
  <c r="H176" i="20"/>
  <c r="L176" i="20" s="1"/>
  <c r="F177" i="20" s="1"/>
  <c r="U124" i="20"/>
  <c r="X124" i="20" s="1"/>
  <c r="R138" i="19"/>
  <c r="J118" i="21"/>
  <c r="H204" i="19" l="1"/>
  <c r="K204" i="19"/>
  <c r="L204" i="19"/>
  <c r="F205" i="19" s="1"/>
  <c r="AA130" i="17"/>
  <c r="AA130" i="19"/>
  <c r="AD130" i="19" s="1"/>
  <c r="E111" i="21" s="1"/>
  <c r="AA130" i="20"/>
  <c r="E131" i="18"/>
  <c r="H175" i="17"/>
  <c r="K175" i="17" s="1"/>
  <c r="K177" i="20"/>
  <c r="L177" i="20"/>
  <c r="F178" i="20" s="1"/>
  <c r="H177" i="20"/>
  <c r="U123" i="17"/>
  <c r="Y124" i="20"/>
  <c r="B292" i="19"/>
  <c r="A291" i="19"/>
  <c r="AC291" i="19"/>
  <c r="AC288" i="17"/>
  <c r="B289" i="17"/>
  <c r="U138" i="19"/>
  <c r="X138" i="19" s="1"/>
  <c r="Y138" i="19" s="1"/>
  <c r="B289" i="20"/>
  <c r="AC288" i="20"/>
  <c r="C268" i="21"/>
  <c r="A267" i="21"/>
  <c r="B267" i="21" s="1"/>
  <c r="J119" i="21" l="1"/>
  <c r="R139" i="19"/>
  <c r="AC292" i="19"/>
  <c r="A292" i="19"/>
  <c r="B293" i="19"/>
  <c r="H178" i="20"/>
  <c r="K178" i="20" s="1"/>
  <c r="A268" i="21"/>
  <c r="B268" i="21" s="1"/>
  <c r="C269" i="21"/>
  <c r="L175" i="17"/>
  <c r="F176" i="17" s="1"/>
  <c r="AC289" i="20"/>
  <c r="B290" i="20"/>
  <c r="X123" i="17"/>
  <c r="Y123" i="17" s="1"/>
  <c r="R125" i="20"/>
  <c r="K105" i="21"/>
  <c r="AD124" i="20"/>
  <c r="F105" i="21" s="1"/>
  <c r="B290" i="17"/>
  <c r="AC289" i="17"/>
  <c r="K205" i="19"/>
  <c r="L205" i="19"/>
  <c r="F206" i="19" s="1"/>
  <c r="H205" i="19"/>
  <c r="G131" i="18"/>
  <c r="I131" i="18"/>
  <c r="H131" i="18"/>
  <c r="J131" i="18" s="1"/>
  <c r="I104" i="21" l="1"/>
  <c r="R124" i="17"/>
  <c r="AD123" i="17"/>
  <c r="D104" i="21" s="1"/>
  <c r="AA131" i="19"/>
  <c r="AD131" i="19" s="1"/>
  <c r="E112" i="21" s="1"/>
  <c r="AA131" i="17"/>
  <c r="AA131" i="20"/>
  <c r="E132" i="18"/>
  <c r="H206" i="19"/>
  <c r="L178" i="20"/>
  <c r="F179" i="20" s="1"/>
  <c r="U139" i="19"/>
  <c r="X139" i="19" s="1"/>
  <c r="U125" i="20"/>
  <c r="X125" i="20" s="1"/>
  <c r="AC290" i="17"/>
  <c r="B291" i="17"/>
  <c r="H176" i="17"/>
  <c r="B294" i="19"/>
  <c r="A293" i="19"/>
  <c r="AC293" i="19"/>
  <c r="AC290" i="20"/>
  <c r="B291" i="20"/>
  <c r="C270" i="21"/>
  <c r="A269" i="21"/>
  <c r="B269" i="21" s="1"/>
  <c r="J176" i="17" l="1"/>
  <c r="K176" i="17" s="1"/>
  <c r="L176" i="17" s="1"/>
  <c r="F177" i="17" s="1"/>
  <c r="Y125" i="20"/>
  <c r="Y139" i="19"/>
  <c r="A270" i="21"/>
  <c r="B270" i="21" s="1"/>
  <c r="C271" i="21"/>
  <c r="J179" i="20"/>
  <c r="K179" i="20"/>
  <c r="H179" i="20"/>
  <c r="L179" i="20" s="1"/>
  <c r="F180" i="20" s="1"/>
  <c r="AC291" i="20"/>
  <c r="B292" i="20"/>
  <c r="J206" i="19"/>
  <c r="K206" i="19" s="1"/>
  <c r="AC291" i="17"/>
  <c r="B292" i="17"/>
  <c r="U124" i="17"/>
  <c r="AC294" i="19"/>
  <c r="A294" i="19"/>
  <c r="B295" i="19"/>
  <c r="G132" i="18"/>
  <c r="I132" i="18"/>
  <c r="J132" i="18"/>
  <c r="H180" i="20" l="1"/>
  <c r="Y124" i="17"/>
  <c r="K177" i="17"/>
  <c r="L177" i="17" s="1"/>
  <c r="F178" i="17" s="1"/>
  <c r="H177" i="17"/>
  <c r="C272" i="21"/>
  <c r="A271" i="21"/>
  <c r="B271" i="21" s="1"/>
  <c r="B296" i="19"/>
  <c r="A295" i="19"/>
  <c r="AC295" i="19"/>
  <c r="R140" i="19"/>
  <c r="J120" i="21"/>
  <c r="L206" i="19"/>
  <c r="F207" i="19" s="1"/>
  <c r="AA132" i="17"/>
  <c r="AA132" i="20"/>
  <c r="E133" i="18"/>
  <c r="AA132" i="19"/>
  <c r="AD132" i="19" s="1"/>
  <c r="E113" i="21" s="1"/>
  <c r="X124" i="17"/>
  <c r="B293" i="20"/>
  <c r="AC292" i="20"/>
  <c r="B293" i="17"/>
  <c r="AC292" i="17"/>
  <c r="K106" i="21"/>
  <c r="R126" i="20"/>
  <c r="AD125" i="20"/>
  <c r="F106" i="21" s="1"/>
  <c r="H178" i="17" l="1"/>
  <c r="K178" i="17" s="1"/>
  <c r="I105" i="21"/>
  <c r="R125" i="17"/>
  <c r="AD124" i="17"/>
  <c r="D105" i="21" s="1"/>
  <c r="AC293" i="17"/>
  <c r="B294" i="17"/>
  <c r="B297" i="19"/>
  <c r="AC296" i="19"/>
  <c r="A296" i="19"/>
  <c r="B294" i="20"/>
  <c r="AC293" i="20"/>
  <c r="U126" i="20"/>
  <c r="X126" i="20" s="1"/>
  <c r="A272" i="21"/>
  <c r="B272" i="21" s="1"/>
  <c r="C273" i="21"/>
  <c r="K180" i="20"/>
  <c r="L180" i="20" s="1"/>
  <c r="F181" i="20" s="1"/>
  <c r="G133" i="18"/>
  <c r="I133" i="18" s="1"/>
  <c r="H207" i="19"/>
  <c r="K207" i="19"/>
  <c r="L207" i="19"/>
  <c r="F208" i="19" s="1"/>
  <c r="U140" i="19"/>
  <c r="X140" i="19" s="1"/>
  <c r="H181" i="20" l="1"/>
  <c r="K181" i="20" s="1"/>
  <c r="L181" i="20" s="1"/>
  <c r="F182" i="20" s="1"/>
  <c r="J133" i="18"/>
  <c r="B295" i="17"/>
  <c r="AC294" i="17"/>
  <c r="Y140" i="19"/>
  <c r="AC297" i="19"/>
  <c r="A297" i="19"/>
  <c r="B298" i="19"/>
  <c r="L178" i="17"/>
  <c r="F179" i="17" s="1"/>
  <c r="Y126" i="20"/>
  <c r="K208" i="19"/>
  <c r="H208" i="19"/>
  <c r="L208" i="19" s="1"/>
  <c r="F209" i="19" s="1"/>
  <c r="A273" i="21"/>
  <c r="B273" i="21" s="1"/>
  <c r="C274" i="21"/>
  <c r="B295" i="20"/>
  <c r="AC294" i="20"/>
  <c r="U125" i="17"/>
  <c r="X125" i="17" s="1"/>
  <c r="H209" i="19" l="1"/>
  <c r="J209" i="19"/>
  <c r="K209" i="19" s="1"/>
  <c r="L209" i="19" s="1"/>
  <c r="F210" i="19" s="1"/>
  <c r="J182" i="20"/>
  <c r="K182" i="20" s="1"/>
  <c r="L182" i="20" s="1"/>
  <c r="F183" i="20" s="1"/>
  <c r="H182" i="20"/>
  <c r="B296" i="17"/>
  <c r="AC295" i="17"/>
  <c r="R141" i="19"/>
  <c r="J121" i="21"/>
  <c r="A274" i="21"/>
  <c r="B274" i="21" s="1"/>
  <c r="C275" i="21"/>
  <c r="AA133" i="17"/>
  <c r="E134" i="18"/>
  <c r="AA133" i="19"/>
  <c r="AD133" i="19" s="1"/>
  <c r="E114" i="21" s="1"/>
  <c r="AA133" i="20"/>
  <c r="R127" i="20"/>
  <c r="K107" i="21"/>
  <c r="AD126" i="20"/>
  <c r="F107" i="21" s="1"/>
  <c r="J179" i="17"/>
  <c r="L179" i="17" s="1"/>
  <c r="F180" i="17" s="1"/>
  <c r="H179" i="17"/>
  <c r="K179" i="17" s="1"/>
  <c r="Y125" i="17"/>
  <c r="B296" i="20"/>
  <c r="AC295" i="20"/>
  <c r="AC298" i="19"/>
  <c r="B299" i="19"/>
  <c r="A298" i="19"/>
  <c r="K210" i="19" l="1"/>
  <c r="H210" i="19"/>
  <c r="L210" i="19" s="1"/>
  <c r="F211" i="19" s="1"/>
  <c r="H180" i="17"/>
  <c r="K183" i="20"/>
  <c r="H183" i="20"/>
  <c r="L183" i="20" s="1"/>
  <c r="F184" i="20" s="1"/>
  <c r="G134" i="18"/>
  <c r="I134" i="18"/>
  <c r="B300" i="19"/>
  <c r="AC299" i="19"/>
  <c r="A299" i="19"/>
  <c r="AC296" i="17"/>
  <c r="B297" i="17"/>
  <c r="U141" i="19"/>
  <c r="X141" i="19"/>
  <c r="Y141" i="19"/>
  <c r="AC296" i="20"/>
  <c r="B297" i="20"/>
  <c r="I106" i="21"/>
  <c r="R126" i="17"/>
  <c r="AD125" i="17"/>
  <c r="D106" i="21" s="1"/>
  <c r="C276" i="21"/>
  <c r="A275" i="21"/>
  <c r="B275" i="21" s="1"/>
  <c r="X127" i="20"/>
  <c r="U127" i="20"/>
  <c r="Y127" i="20" s="1"/>
  <c r="H184" i="20" l="1"/>
  <c r="K184" i="20" s="1"/>
  <c r="K108" i="21"/>
  <c r="R128" i="20"/>
  <c r="AD127" i="20"/>
  <c r="F108" i="21" s="1"/>
  <c r="H211" i="19"/>
  <c r="K211" i="19"/>
  <c r="L211" i="19"/>
  <c r="F212" i="19" s="1"/>
  <c r="K180" i="17"/>
  <c r="L180" i="17" s="1"/>
  <c r="F181" i="17" s="1"/>
  <c r="H134" i="18"/>
  <c r="J134" i="18" s="1"/>
  <c r="B298" i="20"/>
  <c r="AC297" i="20"/>
  <c r="AC297" i="17"/>
  <c r="B298" i="17"/>
  <c r="C277" i="21"/>
  <c r="A276" i="21"/>
  <c r="B276" i="21" s="1"/>
  <c r="R142" i="19"/>
  <c r="J122" i="21"/>
  <c r="U126" i="17"/>
  <c r="X126" i="17" s="1"/>
  <c r="A300" i="19"/>
  <c r="B301" i="19"/>
  <c r="AC300" i="19"/>
  <c r="AA134" i="19" l="1"/>
  <c r="AD134" i="19" s="1"/>
  <c r="E115" i="21" s="1"/>
  <c r="AA134" i="20"/>
  <c r="E135" i="18"/>
  <c r="AA134" i="17"/>
  <c r="K181" i="17"/>
  <c r="L181" i="17"/>
  <c r="F182" i="17" s="1"/>
  <c r="H181" i="17"/>
  <c r="Y126" i="17"/>
  <c r="U128" i="20"/>
  <c r="X128" i="20" s="1"/>
  <c r="H212" i="19"/>
  <c r="A301" i="19"/>
  <c r="B302" i="19"/>
  <c r="AC301" i="19"/>
  <c r="U142" i="19"/>
  <c r="Y142" i="19" s="1"/>
  <c r="X142" i="19"/>
  <c r="AC298" i="20"/>
  <c r="B299" i="20"/>
  <c r="L184" i="20"/>
  <c r="F185" i="20" s="1"/>
  <c r="A277" i="21"/>
  <c r="B277" i="21" s="1"/>
  <c r="C278" i="21"/>
  <c r="B299" i="17"/>
  <c r="AC298" i="17"/>
  <c r="J123" i="21" l="1"/>
  <c r="R143" i="19"/>
  <c r="J182" i="17"/>
  <c r="K182" i="17"/>
  <c r="L182" i="17"/>
  <c r="F183" i="17" s="1"/>
  <c r="H182" i="17"/>
  <c r="Y128" i="20"/>
  <c r="G135" i="18"/>
  <c r="I135" i="18"/>
  <c r="J135" i="18"/>
  <c r="B300" i="20"/>
  <c r="AC299" i="20"/>
  <c r="C279" i="21"/>
  <c r="A278" i="21"/>
  <c r="B278" i="21" s="1"/>
  <c r="J212" i="19"/>
  <c r="K212" i="19" s="1"/>
  <c r="R127" i="17"/>
  <c r="I107" i="21"/>
  <c r="AD126" i="17"/>
  <c r="D107" i="21" s="1"/>
  <c r="J185" i="20"/>
  <c r="K185" i="20"/>
  <c r="L185" i="20" s="1"/>
  <c r="F186" i="20" s="1"/>
  <c r="H185" i="20"/>
  <c r="AC302" i="19"/>
  <c r="B303" i="19"/>
  <c r="A302" i="19"/>
  <c r="AC299" i="17"/>
  <c r="B300" i="17"/>
  <c r="H186" i="20" l="1"/>
  <c r="K186" i="20" s="1"/>
  <c r="H183" i="17"/>
  <c r="B301" i="20"/>
  <c r="AC300" i="20"/>
  <c r="U143" i="19"/>
  <c r="AA135" i="19"/>
  <c r="AD135" i="19" s="1"/>
  <c r="E116" i="21" s="1"/>
  <c r="AA135" i="20"/>
  <c r="AA135" i="17"/>
  <c r="E136" i="18"/>
  <c r="B304" i="19"/>
  <c r="AC303" i="19"/>
  <c r="A303" i="19"/>
  <c r="R129" i="20"/>
  <c r="K109" i="21"/>
  <c r="AD128" i="20"/>
  <c r="F109" i="21" s="1"/>
  <c r="B301" i="17"/>
  <c r="AC300" i="17"/>
  <c r="U127" i="17"/>
  <c r="X127" i="17" s="1"/>
  <c r="Y127" i="17" s="1"/>
  <c r="A279" i="21"/>
  <c r="B279" i="21" s="1"/>
  <c r="C280" i="21"/>
  <c r="L212" i="19"/>
  <c r="F213" i="19" s="1"/>
  <c r="I108" i="21" l="1"/>
  <c r="R128" i="17"/>
  <c r="AD127" i="17"/>
  <c r="D108" i="21" s="1"/>
  <c r="Y143" i="19"/>
  <c r="H213" i="19"/>
  <c r="K213" i="19" s="1"/>
  <c r="B305" i="19"/>
  <c r="A304" i="19"/>
  <c r="AC304" i="19"/>
  <c r="K183" i="17"/>
  <c r="L183" i="17" s="1"/>
  <c r="F184" i="17" s="1"/>
  <c r="AC301" i="17"/>
  <c r="B302" i="17"/>
  <c r="X143" i="19"/>
  <c r="L186" i="20"/>
  <c r="F187" i="20" s="1"/>
  <c r="C281" i="21"/>
  <c r="A280" i="21"/>
  <c r="B280" i="21" s="1"/>
  <c r="G136" i="18"/>
  <c r="I136" i="18"/>
  <c r="J136" i="18" s="1"/>
  <c r="X129" i="20"/>
  <c r="Y129" i="20" s="1"/>
  <c r="U129" i="20"/>
  <c r="AC301" i="20"/>
  <c r="B302" i="20"/>
  <c r="R130" i="20" l="1"/>
  <c r="K110" i="21"/>
  <c r="AD129" i="20"/>
  <c r="F110" i="21" s="1"/>
  <c r="AA136" i="20"/>
  <c r="AA136" i="17"/>
  <c r="AA136" i="19"/>
  <c r="AD136" i="19" s="1"/>
  <c r="E117" i="21" s="1"/>
  <c r="E137" i="18"/>
  <c r="H184" i="17"/>
  <c r="J124" i="21"/>
  <c r="R144" i="19"/>
  <c r="B306" i="19"/>
  <c r="AC305" i="19"/>
  <c r="A305" i="19"/>
  <c r="U128" i="17"/>
  <c r="X128" i="17" s="1"/>
  <c r="C282" i="21"/>
  <c r="A281" i="21"/>
  <c r="B281" i="21" s="1"/>
  <c r="H187" i="20"/>
  <c r="AC302" i="20"/>
  <c r="B303" i="20"/>
  <c r="AC302" i="17"/>
  <c r="B303" i="17"/>
  <c r="L213" i="19"/>
  <c r="F214" i="19" s="1"/>
  <c r="U144" i="19" l="1"/>
  <c r="X144" i="19"/>
  <c r="Y144" i="19"/>
  <c r="Y128" i="17"/>
  <c r="K187" i="20"/>
  <c r="L187" i="20" s="1"/>
  <c r="F188" i="20" s="1"/>
  <c r="H214" i="19"/>
  <c r="K214" i="19" s="1"/>
  <c r="L214" i="19" s="1"/>
  <c r="F215" i="19" s="1"/>
  <c r="AC303" i="17"/>
  <c r="B304" i="17"/>
  <c r="K184" i="17"/>
  <c r="L184" i="17" s="1"/>
  <c r="F185" i="17" s="1"/>
  <c r="B304" i="20"/>
  <c r="AC303" i="20"/>
  <c r="C283" i="21"/>
  <c r="A282" i="21"/>
  <c r="B282" i="21" s="1"/>
  <c r="A306" i="19"/>
  <c r="AC306" i="19"/>
  <c r="B307" i="19"/>
  <c r="G137" i="18"/>
  <c r="I137" i="18" s="1"/>
  <c r="U130" i="20"/>
  <c r="X130" i="20" s="1"/>
  <c r="H188" i="20" l="1"/>
  <c r="H215" i="19"/>
  <c r="H185" i="17"/>
  <c r="J185" i="17" s="1"/>
  <c r="J125" i="21"/>
  <c r="R145" i="19"/>
  <c r="AC307" i="19"/>
  <c r="B308" i="19"/>
  <c r="A307" i="19"/>
  <c r="C284" i="21"/>
  <c r="A283" i="21"/>
  <c r="B283" i="21" s="1"/>
  <c r="Y130" i="20"/>
  <c r="B305" i="20"/>
  <c r="AC304" i="20"/>
  <c r="H137" i="18"/>
  <c r="J137" i="18" s="1"/>
  <c r="AC304" i="17"/>
  <c r="B305" i="17"/>
  <c r="R129" i="17"/>
  <c r="I109" i="21"/>
  <c r="AD128" i="17"/>
  <c r="D109" i="21" s="1"/>
  <c r="AA137" i="19" l="1"/>
  <c r="AD137" i="19" s="1"/>
  <c r="E118" i="21" s="1"/>
  <c r="E138" i="18"/>
  <c r="AA137" i="17"/>
  <c r="AA137" i="20"/>
  <c r="U129" i="17"/>
  <c r="K185" i="17"/>
  <c r="L185" i="17" s="1"/>
  <c r="F186" i="17" s="1"/>
  <c r="U145" i="19"/>
  <c r="X145" i="19"/>
  <c r="Y145" i="19" s="1"/>
  <c r="J215" i="19"/>
  <c r="K215" i="19" s="1"/>
  <c r="J188" i="20"/>
  <c r="AC308" i="19"/>
  <c r="A308" i="19"/>
  <c r="B309" i="19"/>
  <c r="AC305" i="20"/>
  <c r="B306" i="20"/>
  <c r="R131" i="20"/>
  <c r="K111" i="21"/>
  <c r="AD130" i="20"/>
  <c r="F111" i="21" s="1"/>
  <c r="AC305" i="17"/>
  <c r="B306" i="17"/>
  <c r="C285" i="21"/>
  <c r="A284" i="21"/>
  <c r="B284" i="21" s="1"/>
  <c r="H186" i="17" l="1"/>
  <c r="J126" i="21"/>
  <c r="R146" i="19"/>
  <c r="C286" i="21"/>
  <c r="A285" i="21"/>
  <c r="B285" i="21" s="1"/>
  <c r="K188" i="20"/>
  <c r="L188" i="20" s="1"/>
  <c r="F189" i="20" s="1"/>
  <c r="AC306" i="17"/>
  <c r="B307" i="17"/>
  <c r="A309" i="19"/>
  <c r="B310" i="19"/>
  <c r="AC309" i="19"/>
  <c r="X129" i="17"/>
  <c r="Y129" i="17" s="1"/>
  <c r="I138" i="18"/>
  <c r="J138" i="18"/>
  <c r="G138" i="18"/>
  <c r="U131" i="20"/>
  <c r="X131" i="20" s="1"/>
  <c r="B307" i="20"/>
  <c r="AC306" i="20"/>
  <c r="L215" i="19"/>
  <c r="F216" i="19" s="1"/>
  <c r="H189" i="20" l="1"/>
  <c r="K189" i="20" s="1"/>
  <c r="R130" i="17"/>
  <c r="I110" i="21"/>
  <c r="AD129" i="17"/>
  <c r="D110" i="21" s="1"/>
  <c r="E139" i="18"/>
  <c r="AA138" i="19"/>
  <c r="AD138" i="19" s="1"/>
  <c r="E119" i="21" s="1"/>
  <c r="AA138" i="20"/>
  <c r="AA138" i="17"/>
  <c r="B308" i="17"/>
  <c r="AC307" i="17"/>
  <c r="AC307" i="20"/>
  <c r="B308" i="20"/>
  <c r="H216" i="19"/>
  <c r="L216" i="19" s="1"/>
  <c r="F217" i="19" s="1"/>
  <c r="K216" i="19"/>
  <c r="K186" i="17"/>
  <c r="L186" i="17" s="1"/>
  <c r="F187" i="17" s="1"/>
  <c r="U146" i="19"/>
  <c r="X146" i="19"/>
  <c r="Y146" i="19"/>
  <c r="Y131" i="20"/>
  <c r="A310" i="19"/>
  <c r="B311" i="19"/>
  <c r="AC310" i="19"/>
  <c r="C287" i="21"/>
  <c r="A286" i="21"/>
  <c r="B286" i="21" s="1"/>
  <c r="H187" i="17" l="1"/>
  <c r="K187" i="17" s="1"/>
  <c r="H217" i="19"/>
  <c r="L217" i="19" s="1"/>
  <c r="F218" i="19" s="1"/>
  <c r="K217" i="19"/>
  <c r="U130" i="17"/>
  <c r="X130" i="17" s="1"/>
  <c r="R147" i="19"/>
  <c r="J127" i="21"/>
  <c r="A287" i="21"/>
  <c r="B287" i="21" s="1"/>
  <c r="C288" i="21"/>
  <c r="B309" i="20"/>
  <c r="AC308" i="20"/>
  <c r="G139" i="18"/>
  <c r="I139" i="18" s="1"/>
  <c r="J139" i="18" s="1"/>
  <c r="L189" i="20"/>
  <c r="F190" i="20" s="1"/>
  <c r="B309" i="17"/>
  <c r="AC308" i="17"/>
  <c r="K112" i="21"/>
  <c r="R132" i="20"/>
  <c r="AD131" i="20"/>
  <c r="F112" i="21" s="1"/>
  <c r="AC311" i="19"/>
  <c r="A311" i="19"/>
  <c r="B312" i="19"/>
  <c r="H218" i="19" l="1"/>
  <c r="K218" i="19" s="1"/>
  <c r="L218" i="19" s="1"/>
  <c r="F219" i="19" s="1"/>
  <c r="J218" i="19"/>
  <c r="AA139" i="20"/>
  <c r="AA139" i="17"/>
  <c r="AA139" i="19"/>
  <c r="AD139" i="19" s="1"/>
  <c r="E120" i="21" s="1"/>
  <c r="E140" i="18"/>
  <c r="H190" i="20"/>
  <c r="U147" i="19"/>
  <c r="AC309" i="17"/>
  <c r="B310" i="17"/>
  <c r="Y130" i="17"/>
  <c r="L187" i="17"/>
  <c r="F188" i="17" s="1"/>
  <c r="B313" i="19"/>
  <c r="AC312" i="19"/>
  <c r="A312" i="19"/>
  <c r="AC309" i="20"/>
  <c r="B310" i="20"/>
  <c r="C289" i="21"/>
  <c r="A288" i="21"/>
  <c r="B288" i="21" s="1"/>
  <c r="U132" i="20"/>
  <c r="Y147" i="19" l="1"/>
  <c r="H219" i="19"/>
  <c r="K219" i="19" s="1"/>
  <c r="B311" i="20"/>
  <c r="AC310" i="20"/>
  <c r="C290" i="21"/>
  <c r="A289" i="21"/>
  <c r="B289" i="21" s="1"/>
  <c r="K190" i="20"/>
  <c r="L190" i="20" s="1"/>
  <c r="F191" i="20" s="1"/>
  <c r="H188" i="17"/>
  <c r="J188" i="17" s="1"/>
  <c r="I111" i="21"/>
  <c r="R131" i="17"/>
  <c r="AD130" i="17"/>
  <c r="D111" i="21" s="1"/>
  <c r="X132" i="20"/>
  <c r="Y132" i="20" s="1"/>
  <c r="X147" i="19"/>
  <c r="G140" i="18"/>
  <c r="H140" i="18" s="1"/>
  <c r="AC310" i="17"/>
  <c r="B311" i="17"/>
  <c r="A313" i="19"/>
  <c r="B314" i="19"/>
  <c r="AC313" i="19"/>
  <c r="R133" i="20" l="1"/>
  <c r="K113" i="21"/>
  <c r="AD132" i="20"/>
  <c r="F113" i="21" s="1"/>
  <c r="J191" i="20"/>
  <c r="H191" i="20"/>
  <c r="K191" i="20" s="1"/>
  <c r="R148" i="19"/>
  <c r="J128" i="21"/>
  <c r="L219" i="19"/>
  <c r="F220" i="19" s="1"/>
  <c r="B315" i="19"/>
  <c r="A314" i="19"/>
  <c r="AC314" i="19"/>
  <c r="B312" i="17"/>
  <c r="AC311" i="17"/>
  <c r="K188" i="17"/>
  <c r="L188" i="17" s="1"/>
  <c r="F189" i="17" s="1"/>
  <c r="A290" i="21"/>
  <c r="B290" i="21" s="1"/>
  <c r="C291" i="21"/>
  <c r="B312" i="20"/>
  <c r="AC311" i="20"/>
  <c r="J140" i="18"/>
  <c r="X131" i="17"/>
  <c r="Y131" i="17"/>
  <c r="U131" i="17"/>
  <c r="I140" i="18"/>
  <c r="L191" i="20" l="1"/>
  <c r="F192" i="20" s="1"/>
  <c r="H189" i="17"/>
  <c r="AN74" i="21"/>
  <c r="I112" i="21"/>
  <c r="T39" i="2" s="1"/>
  <c r="O13" i="21" s="1"/>
  <c r="R132" i="17"/>
  <c r="AD131" i="17"/>
  <c r="D112" i="21" s="1"/>
  <c r="AC50" i="21" s="1"/>
  <c r="AN70" i="21" s="1"/>
  <c r="AN72" i="21" s="1"/>
  <c r="B316" i="19"/>
  <c r="AC315" i="19"/>
  <c r="A315" i="19"/>
  <c r="L220" i="19"/>
  <c r="F221" i="19" s="1"/>
  <c r="H220" i="19"/>
  <c r="K220" i="19"/>
  <c r="E141" i="18"/>
  <c r="AA140" i="20"/>
  <c r="AA140" i="17"/>
  <c r="AA140" i="19"/>
  <c r="AD140" i="19" s="1"/>
  <c r="E121" i="21" s="1"/>
  <c r="U148" i="19"/>
  <c r="X148" i="19"/>
  <c r="Y148" i="19" s="1"/>
  <c r="B313" i="20"/>
  <c r="AC312" i="20"/>
  <c r="B313" i="17"/>
  <c r="AC312" i="17"/>
  <c r="C292" i="21"/>
  <c r="A291" i="21"/>
  <c r="B291" i="21" s="1"/>
  <c r="U133" i="20"/>
  <c r="X133" i="20" s="1"/>
  <c r="J129" i="21" l="1"/>
  <c r="R149" i="19"/>
  <c r="Q13" i="21"/>
  <c r="R13" i="21"/>
  <c r="Y133" i="20"/>
  <c r="B314" i="17"/>
  <c r="AC313" i="17"/>
  <c r="AC313" i="20"/>
  <c r="B314" i="20"/>
  <c r="A316" i="19"/>
  <c r="B317" i="19"/>
  <c r="AC316" i="19"/>
  <c r="K189" i="17"/>
  <c r="L189" i="17" s="1"/>
  <c r="F190" i="17" s="1"/>
  <c r="AN77" i="21"/>
  <c r="P13" i="21" s="1"/>
  <c r="H221" i="19"/>
  <c r="J221" i="19" s="1"/>
  <c r="G141" i="18"/>
  <c r="J141" i="18" s="1"/>
  <c r="I141" i="18"/>
  <c r="A292" i="21"/>
  <c r="B292" i="21" s="1"/>
  <c r="C293" i="21"/>
  <c r="U132" i="17"/>
  <c r="X132" i="17" s="1"/>
  <c r="H192" i="20"/>
  <c r="K192" i="20" s="1"/>
  <c r="AA141" i="19" l="1"/>
  <c r="AD141" i="19" s="1"/>
  <c r="E122" i="21" s="1"/>
  <c r="E142" i="18"/>
  <c r="AA141" i="20"/>
  <c r="AA141" i="17"/>
  <c r="K190" i="17"/>
  <c r="L190" i="17"/>
  <c r="F191" i="17" s="1"/>
  <c r="H190" i="17"/>
  <c r="Y132" i="17"/>
  <c r="U149" i="19"/>
  <c r="Y149" i="19" s="1"/>
  <c r="X149" i="19"/>
  <c r="C294" i="21"/>
  <c r="A293" i="21"/>
  <c r="B293" i="21" s="1"/>
  <c r="L192" i="20"/>
  <c r="F193" i="20" s="1"/>
  <c r="A317" i="19"/>
  <c r="AC317" i="19"/>
  <c r="B318" i="19"/>
  <c r="AC314" i="17"/>
  <c r="B315" i="17"/>
  <c r="AC314" i="20"/>
  <c r="B315" i="20"/>
  <c r="K221" i="19"/>
  <c r="L221" i="19" s="1"/>
  <c r="F222" i="19" s="1"/>
  <c r="R134" i="20"/>
  <c r="K114" i="21"/>
  <c r="AD133" i="20"/>
  <c r="F114" i="21" s="1"/>
  <c r="H222" i="19" l="1"/>
  <c r="K222" i="19"/>
  <c r="L222" i="19"/>
  <c r="F223" i="19" s="1"/>
  <c r="R150" i="19"/>
  <c r="J130" i="21"/>
  <c r="H191" i="17"/>
  <c r="X134" i="20"/>
  <c r="Y134" i="20"/>
  <c r="U134" i="20"/>
  <c r="B316" i="20"/>
  <c r="AC315" i="20"/>
  <c r="A318" i="19"/>
  <c r="AC318" i="19"/>
  <c r="B319" i="19"/>
  <c r="H193" i="20"/>
  <c r="AC315" i="17"/>
  <c r="B316" i="17"/>
  <c r="R133" i="17"/>
  <c r="I113" i="21"/>
  <c r="AD132" i="17"/>
  <c r="D113" i="21" s="1"/>
  <c r="G142" i="18"/>
  <c r="I142" i="18"/>
  <c r="J142" i="18" s="1"/>
  <c r="C295" i="21"/>
  <c r="A294" i="21"/>
  <c r="B294" i="21" s="1"/>
  <c r="AA142" i="20" l="1"/>
  <c r="AA142" i="19"/>
  <c r="AD142" i="19" s="1"/>
  <c r="E123" i="21" s="1"/>
  <c r="E143" i="18"/>
  <c r="AA142" i="17"/>
  <c r="L191" i="17"/>
  <c r="F192" i="17" s="1"/>
  <c r="L193" i="20"/>
  <c r="F194" i="20" s="1"/>
  <c r="U150" i="19"/>
  <c r="X150" i="19"/>
  <c r="Y150" i="19"/>
  <c r="K115" i="21"/>
  <c r="R135" i="20"/>
  <c r="AD134" i="20"/>
  <c r="F115" i="21" s="1"/>
  <c r="K193" i="20"/>
  <c r="H223" i="19"/>
  <c r="K223" i="19"/>
  <c r="L223" i="19"/>
  <c r="F224" i="19" s="1"/>
  <c r="AC316" i="20"/>
  <c r="B317" i="20"/>
  <c r="J191" i="17"/>
  <c r="K191" i="17" s="1"/>
  <c r="B317" i="17"/>
  <c r="AC316" i="17"/>
  <c r="A295" i="21"/>
  <c r="B295" i="21" s="1"/>
  <c r="C296" i="21"/>
  <c r="U133" i="17"/>
  <c r="X133" i="17" s="1"/>
  <c r="Y133" i="17" s="1"/>
  <c r="B320" i="19"/>
  <c r="A319" i="19"/>
  <c r="AC319" i="19"/>
  <c r="R134" i="17" l="1"/>
  <c r="I114" i="21"/>
  <c r="AD133" i="17"/>
  <c r="D114" i="21" s="1"/>
  <c r="U135" i="20"/>
  <c r="H194" i="20"/>
  <c r="J194" i="20" s="1"/>
  <c r="B318" i="20"/>
  <c r="AC317" i="20"/>
  <c r="H224" i="19"/>
  <c r="R151" i="19"/>
  <c r="J131" i="21"/>
  <c r="G143" i="18"/>
  <c r="H143" i="18" s="1"/>
  <c r="AC317" i="17"/>
  <c r="B318" i="17"/>
  <c r="C297" i="21"/>
  <c r="A296" i="21"/>
  <c r="B296" i="21" s="1"/>
  <c r="H192" i="17"/>
  <c r="AC320" i="19"/>
  <c r="A320" i="19"/>
  <c r="B321" i="19"/>
  <c r="Y135" i="20" l="1"/>
  <c r="U151" i="19"/>
  <c r="Y151" i="19" s="1"/>
  <c r="X151" i="19"/>
  <c r="X135" i="20"/>
  <c r="A321" i="19"/>
  <c r="B322" i="19"/>
  <c r="AC321" i="19"/>
  <c r="J224" i="19"/>
  <c r="K224" i="19" s="1"/>
  <c r="L224" i="19" s="1"/>
  <c r="F225" i="19" s="1"/>
  <c r="L194" i="20"/>
  <c r="F195" i="20" s="1"/>
  <c r="K192" i="17"/>
  <c r="L192" i="17" s="1"/>
  <c r="F193" i="17" s="1"/>
  <c r="C298" i="21"/>
  <c r="A297" i="21"/>
  <c r="B297" i="21" s="1"/>
  <c r="I143" i="18"/>
  <c r="J143" i="18" s="1"/>
  <c r="K194" i="20"/>
  <c r="AC318" i="20"/>
  <c r="B319" i="20"/>
  <c r="AC318" i="17"/>
  <c r="B319" i="17"/>
  <c r="X134" i="17"/>
  <c r="U134" i="17"/>
  <c r="Y134" i="17" s="1"/>
  <c r="H193" i="17" l="1"/>
  <c r="K193" i="17" s="1"/>
  <c r="I115" i="21"/>
  <c r="R135" i="17"/>
  <c r="AD134" i="17"/>
  <c r="D115" i="21" s="1"/>
  <c r="J132" i="21"/>
  <c r="R152" i="19"/>
  <c r="H225" i="19"/>
  <c r="K225" i="19" s="1"/>
  <c r="L225" i="19" s="1"/>
  <c r="F226" i="19" s="1"/>
  <c r="E144" i="18"/>
  <c r="AA143" i="20"/>
  <c r="AA143" i="17"/>
  <c r="AA143" i="19"/>
  <c r="AD143" i="19" s="1"/>
  <c r="E124" i="21" s="1"/>
  <c r="B320" i="20"/>
  <c r="AC319" i="20"/>
  <c r="K195" i="20"/>
  <c r="H195" i="20"/>
  <c r="L195" i="20" s="1"/>
  <c r="F196" i="20" s="1"/>
  <c r="B320" i="17"/>
  <c r="AC319" i="17"/>
  <c r="K116" i="21"/>
  <c r="R136" i="20"/>
  <c r="AD135" i="20"/>
  <c r="F116" i="21" s="1"/>
  <c r="A298" i="21"/>
  <c r="B298" i="21" s="1"/>
  <c r="C299" i="21"/>
  <c r="A322" i="19"/>
  <c r="AC322" i="19"/>
  <c r="B323" i="19"/>
  <c r="H196" i="20" l="1"/>
  <c r="K196" i="20" s="1"/>
  <c r="H226" i="19"/>
  <c r="K226" i="19"/>
  <c r="L226" i="19"/>
  <c r="F227" i="19" s="1"/>
  <c r="AC323" i="19"/>
  <c r="B324" i="19"/>
  <c r="A323" i="19"/>
  <c r="U135" i="17"/>
  <c r="X135" i="17" s="1"/>
  <c r="B321" i="17"/>
  <c r="AC320" i="17"/>
  <c r="U152" i="19"/>
  <c r="X152" i="19"/>
  <c r="Y152" i="19"/>
  <c r="L193" i="17"/>
  <c r="F194" i="17" s="1"/>
  <c r="U136" i="20"/>
  <c r="G144" i="18"/>
  <c r="I144" i="18" s="1"/>
  <c r="AC320" i="20"/>
  <c r="B321" i="20"/>
  <c r="A299" i="21"/>
  <c r="B299" i="21" s="1"/>
  <c r="C300" i="21"/>
  <c r="C301" i="21" l="1"/>
  <c r="A300" i="21"/>
  <c r="B300" i="21" s="1"/>
  <c r="Y135" i="17"/>
  <c r="J144" i="18"/>
  <c r="AC321" i="20"/>
  <c r="B322" i="20"/>
  <c r="X136" i="20"/>
  <c r="Y136" i="20" s="1"/>
  <c r="AC324" i="19"/>
  <c r="B325" i="19"/>
  <c r="A324" i="19"/>
  <c r="L196" i="20"/>
  <c r="F197" i="20" s="1"/>
  <c r="R153" i="19"/>
  <c r="J133" i="21"/>
  <c r="H227" i="19"/>
  <c r="J227" i="19"/>
  <c r="K227" i="19"/>
  <c r="L227" i="19"/>
  <c r="F228" i="19" s="1"/>
  <c r="H194" i="17"/>
  <c r="J194" i="17" s="1"/>
  <c r="AC321" i="17"/>
  <c r="B322" i="17"/>
  <c r="R137" i="20" l="1"/>
  <c r="K117" i="21"/>
  <c r="AD136" i="20"/>
  <c r="F117" i="21" s="1"/>
  <c r="B323" i="17"/>
  <c r="AC322" i="17"/>
  <c r="AA144" i="19"/>
  <c r="AD144" i="19" s="1"/>
  <c r="E125" i="21" s="1"/>
  <c r="AA144" i="20"/>
  <c r="E145" i="18"/>
  <c r="AA144" i="17"/>
  <c r="J197" i="20"/>
  <c r="K197" i="20" s="1"/>
  <c r="L197" i="20" s="1"/>
  <c r="F198" i="20" s="1"/>
  <c r="H197" i="20"/>
  <c r="H228" i="19"/>
  <c r="K228" i="19"/>
  <c r="L228" i="19"/>
  <c r="F229" i="19" s="1"/>
  <c r="AC325" i="19"/>
  <c r="A325" i="19"/>
  <c r="B326" i="19"/>
  <c r="I116" i="21"/>
  <c r="R136" i="17"/>
  <c r="AD135" i="17"/>
  <c r="D116" i="21" s="1"/>
  <c r="K194" i="17"/>
  <c r="L194" i="17" s="1"/>
  <c r="F195" i="17" s="1"/>
  <c r="A301" i="21"/>
  <c r="B301" i="21" s="1"/>
  <c r="C302" i="21"/>
  <c r="U153" i="19"/>
  <c r="X153" i="19"/>
  <c r="Y153" i="19"/>
  <c r="AC322" i="20"/>
  <c r="B323" i="20"/>
  <c r="H198" i="20" l="1"/>
  <c r="K198" i="20" s="1"/>
  <c r="H195" i="17"/>
  <c r="H229" i="19"/>
  <c r="K229" i="19"/>
  <c r="L229" i="19" s="1"/>
  <c r="F230" i="19" s="1"/>
  <c r="AC323" i="17"/>
  <c r="B324" i="17"/>
  <c r="A302" i="21"/>
  <c r="B302" i="21" s="1"/>
  <c r="C303" i="21"/>
  <c r="G145" i="18"/>
  <c r="I145" i="18"/>
  <c r="J145" i="18"/>
  <c r="J134" i="21"/>
  <c r="R154" i="19"/>
  <c r="U136" i="17"/>
  <c r="X136" i="17" s="1"/>
  <c r="A326" i="19"/>
  <c r="AC326" i="19"/>
  <c r="B327" i="19"/>
  <c r="B324" i="20"/>
  <c r="AC323" i="20"/>
  <c r="X137" i="20"/>
  <c r="Y137" i="20"/>
  <c r="U137" i="20"/>
  <c r="H230" i="19" l="1"/>
  <c r="J230" i="19"/>
  <c r="K230" i="19"/>
  <c r="L230" i="19"/>
  <c r="F231" i="19" s="1"/>
  <c r="K118" i="21"/>
  <c r="R138" i="20"/>
  <c r="AD137" i="20"/>
  <c r="F118" i="21" s="1"/>
  <c r="U154" i="19"/>
  <c r="K195" i="17"/>
  <c r="L195" i="17" s="1"/>
  <c r="F196" i="17" s="1"/>
  <c r="AC324" i="17"/>
  <c r="B325" i="17"/>
  <c r="AA145" i="19"/>
  <c r="AD145" i="19" s="1"/>
  <c r="E126" i="21" s="1"/>
  <c r="AA145" i="17"/>
  <c r="E146" i="18"/>
  <c r="AA145" i="20"/>
  <c r="B325" i="20"/>
  <c r="AC324" i="20"/>
  <c r="L198" i="20"/>
  <c r="F199" i="20" s="1"/>
  <c r="Y136" i="17"/>
  <c r="B328" i="19"/>
  <c r="A327" i="19"/>
  <c r="AC327" i="19"/>
  <c r="A303" i="21"/>
  <c r="B303" i="21" s="1"/>
  <c r="C304" i="21"/>
  <c r="H196" i="17" l="1"/>
  <c r="K196" i="17" s="1"/>
  <c r="Y154" i="19"/>
  <c r="B329" i="19"/>
  <c r="AC328" i="19"/>
  <c r="A328" i="19"/>
  <c r="H231" i="19"/>
  <c r="K231" i="19"/>
  <c r="L231" i="19"/>
  <c r="F232" i="19" s="1"/>
  <c r="K199" i="20"/>
  <c r="H199" i="20"/>
  <c r="L199" i="20" s="1"/>
  <c r="F200" i="20" s="1"/>
  <c r="X154" i="19"/>
  <c r="G146" i="18"/>
  <c r="H146" i="18" s="1"/>
  <c r="R137" i="17"/>
  <c r="I117" i="21"/>
  <c r="AD136" i="17"/>
  <c r="D117" i="21" s="1"/>
  <c r="A304" i="21"/>
  <c r="B304" i="21" s="1"/>
  <c r="C305" i="21"/>
  <c r="B326" i="17"/>
  <c r="AC325" i="17"/>
  <c r="AC325" i="20"/>
  <c r="B326" i="20"/>
  <c r="X138" i="20"/>
  <c r="U138" i="20"/>
  <c r="Y138" i="20" s="1"/>
  <c r="K119" i="21" l="1"/>
  <c r="R139" i="20"/>
  <c r="AD138" i="20"/>
  <c r="F119" i="21" s="1"/>
  <c r="J200" i="20"/>
  <c r="K200" i="20"/>
  <c r="L200" i="20"/>
  <c r="F201" i="20" s="1"/>
  <c r="H200" i="20"/>
  <c r="R155" i="19"/>
  <c r="J135" i="21"/>
  <c r="B330" i="19"/>
  <c r="AC329" i="19"/>
  <c r="A329" i="19"/>
  <c r="U137" i="17"/>
  <c r="X137" i="17" s="1"/>
  <c r="H232" i="19"/>
  <c r="K232" i="19"/>
  <c r="L232" i="19"/>
  <c r="F233" i="19" s="1"/>
  <c r="L196" i="17"/>
  <c r="F197" i="17" s="1"/>
  <c r="B327" i="20"/>
  <c r="AC326" i="20"/>
  <c r="I146" i="18"/>
  <c r="J146" i="18" s="1"/>
  <c r="AC326" i="17"/>
  <c r="B327" i="17"/>
  <c r="C306" i="21"/>
  <c r="A305" i="21"/>
  <c r="B305" i="21" s="1"/>
  <c r="AA146" i="19" l="1"/>
  <c r="AD146" i="19" s="1"/>
  <c r="E127" i="21" s="1"/>
  <c r="AA146" i="20"/>
  <c r="AA146" i="17"/>
  <c r="E147" i="18"/>
  <c r="B331" i="19"/>
  <c r="AC330" i="19"/>
  <c r="A330" i="19"/>
  <c r="H201" i="20"/>
  <c r="K201" i="20" s="1"/>
  <c r="AC327" i="20"/>
  <c r="B328" i="20"/>
  <c r="C307" i="21"/>
  <c r="A306" i="21"/>
  <c r="B306" i="21" s="1"/>
  <c r="Y137" i="17"/>
  <c r="U155" i="19"/>
  <c r="Y155" i="19" s="1"/>
  <c r="X155" i="19"/>
  <c r="U139" i="20"/>
  <c r="X139" i="20" s="1"/>
  <c r="J233" i="19"/>
  <c r="K233" i="19"/>
  <c r="L233" i="19"/>
  <c r="F234" i="19" s="1"/>
  <c r="H233" i="19"/>
  <c r="H197" i="17"/>
  <c r="B328" i="17"/>
  <c r="AC327" i="17"/>
  <c r="J136" i="21" l="1"/>
  <c r="R156" i="19"/>
  <c r="G147" i="18"/>
  <c r="J147" i="18" s="1"/>
  <c r="I147" i="18"/>
  <c r="H234" i="19"/>
  <c r="K234" i="19" s="1"/>
  <c r="J197" i="17"/>
  <c r="R138" i="17"/>
  <c r="I118" i="21"/>
  <c r="AD137" i="17"/>
  <c r="D118" i="21" s="1"/>
  <c r="L201" i="20"/>
  <c r="F202" i="20" s="1"/>
  <c r="Y139" i="20"/>
  <c r="B329" i="17"/>
  <c r="AC328" i="17"/>
  <c r="B329" i="20"/>
  <c r="AC328" i="20"/>
  <c r="A331" i="19"/>
  <c r="AC331" i="19"/>
  <c r="B332" i="19"/>
  <c r="A307" i="21"/>
  <c r="B307" i="21" s="1"/>
  <c r="C308" i="21"/>
  <c r="AA147" i="20" l="1"/>
  <c r="AA147" i="19"/>
  <c r="AD147" i="19" s="1"/>
  <c r="E128" i="21" s="1"/>
  <c r="E148" i="18"/>
  <c r="AA147" i="17"/>
  <c r="K120" i="21"/>
  <c r="R140" i="20"/>
  <c r="AD139" i="20"/>
  <c r="F120" i="21" s="1"/>
  <c r="A308" i="21"/>
  <c r="B308" i="21" s="1"/>
  <c r="C309" i="21"/>
  <c r="K197" i="17"/>
  <c r="L197" i="17" s="1"/>
  <c r="F198" i="17" s="1"/>
  <c r="X138" i="17"/>
  <c r="U138" i="17"/>
  <c r="Y138" i="17" s="1"/>
  <c r="H202" i="20"/>
  <c r="L234" i="19"/>
  <c r="F235" i="19" s="1"/>
  <c r="U156" i="19"/>
  <c r="Y156" i="19" s="1"/>
  <c r="X156" i="19"/>
  <c r="AC329" i="20"/>
  <c r="B330" i="20"/>
  <c r="AC332" i="19"/>
  <c r="A332" i="19"/>
  <c r="B333" i="19"/>
  <c r="AC329" i="17"/>
  <c r="B330" i="17"/>
  <c r="J137" i="21" l="1"/>
  <c r="R157" i="19"/>
  <c r="R139" i="17"/>
  <c r="I119" i="21"/>
  <c r="AD138" i="17"/>
  <c r="D119" i="21" s="1"/>
  <c r="K198" i="17"/>
  <c r="H198" i="17"/>
  <c r="L198" i="17" s="1"/>
  <c r="F199" i="17" s="1"/>
  <c r="G148" i="18"/>
  <c r="I148" i="18" s="1"/>
  <c r="C310" i="21"/>
  <c r="A309" i="21"/>
  <c r="B309" i="21" s="1"/>
  <c r="K202" i="20"/>
  <c r="L202" i="20" s="1"/>
  <c r="F203" i="20" s="1"/>
  <c r="A333" i="19"/>
  <c r="B334" i="19"/>
  <c r="AC333" i="19"/>
  <c r="H235" i="19"/>
  <c r="B331" i="20"/>
  <c r="AC330" i="20"/>
  <c r="AC330" i="17"/>
  <c r="B331" i="17"/>
  <c r="U140" i="20"/>
  <c r="H203" i="20" l="1"/>
  <c r="J203" i="20" s="1"/>
  <c r="Y140" i="20"/>
  <c r="H199" i="17"/>
  <c r="K199" i="17" s="1"/>
  <c r="X140" i="20"/>
  <c r="K235" i="19"/>
  <c r="L235" i="19" s="1"/>
  <c r="F236" i="19" s="1"/>
  <c r="U139" i="17"/>
  <c r="X139" i="17" s="1"/>
  <c r="Y139" i="17" s="1"/>
  <c r="AC334" i="19"/>
  <c r="A334" i="19"/>
  <c r="B335" i="19"/>
  <c r="B332" i="17"/>
  <c r="AC331" i="17"/>
  <c r="A310" i="21"/>
  <c r="B310" i="21" s="1"/>
  <c r="C311" i="21"/>
  <c r="U157" i="19"/>
  <c r="X157" i="19"/>
  <c r="Y157" i="19" s="1"/>
  <c r="B332" i="20"/>
  <c r="AC331" i="20"/>
  <c r="J148" i="18"/>
  <c r="I120" i="21" l="1"/>
  <c r="R140" i="17"/>
  <c r="AD139" i="17"/>
  <c r="D120" i="21" s="1"/>
  <c r="J138" i="21"/>
  <c r="R158" i="19"/>
  <c r="L236" i="19"/>
  <c r="F237" i="19" s="1"/>
  <c r="H236" i="19"/>
  <c r="J236" i="19"/>
  <c r="K236" i="19"/>
  <c r="AC332" i="17"/>
  <c r="B333" i="17"/>
  <c r="E149" i="18"/>
  <c r="AA148" i="19"/>
  <c r="AD148" i="19" s="1"/>
  <c r="E129" i="21" s="1"/>
  <c r="AA148" i="20"/>
  <c r="AA148" i="17"/>
  <c r="L199" i="17"/>
  <c r="F200" i="17" s="1"/>
  <c r="K203" i="20"/>
  <c r="L203" i="20" s="1"/>
  <c r="F204" i="20" s="1"/>
  <c r="R141" i="20"/>
  <c r="K121" i="21"/>
  <c r="AD140" i="20"/>
  <c r="F121" i="21" s="1"/>
  <c r="B336" i="19"/>
  <c r="AC335" i="19"/>
  <c r="A335" i="19"/>
  <c r="A311" i="21"/>
  <c r="B311" i="21" s="1"/>
  <c r="C312" i="21"/>
  <c r="B333" i="20"/>
  <c r="AC332" i="20"/>
  <c r="H204" i="20" l="1"/>
  <c r="K204" i="20" s="1"/>
  <c r="A336" i="19"/>
  <c r="B337" i="19"/>
  <c r="AC336" i="19"/>
  <c r="H200" i="17"/>
  <c r="J200" i="17" s="1"/>
  <c r="I149" i="18"/>
  <c r="H149" i="18"/>
  <c r="G149" i="18"/>
  <c r="J149" i="18" s="1"/>
  <c r="AC333" i="17"/>
  <c r="B334" i="17"/>
  <c r="A312" i="21"/>
  <c r="B312" i="21" s="1"/>
  <c r="C313" i="21"/>
  <c r="U140" i="17"/>
  <c r="X140" i="17" s="1"/>
  <c r="H237" i="19"/>
  <c r="K237" i="19" s="1"/>
  <c r="L237" i="19" s="1"/>
  <c r="F238" i="19" s="1"/>
  <c r="U158" i="19"/>
  <c r="X158" i="19" s="1"/>
  <c r="AC333" i="20"/>
  <c r="B334" i="20"/>
  <c r="U141" i="20"/>
  <c r="X141" i="20" s="1"/>
  <c r="E150" i="18" l="1"/>
  <c r="AA149" i="20"/>
  <c r="AA149" i="17"/>
  <c r="AA149" i="19"/>
  <c r="AD149" i="19" s="1"/>
  <c r="E130" i="21" s="1"/>
  <c r="H238" i="19"/>
  <c r="Y140" i="17"/>
  <c r="A313" i="21"/>
  <c r="B313" i="21" s="1"/>
  <c r="C314" i="21"/>
  <c r="AC337" i="19"/>
  <c r="B338" i="19"/>
  <c r="A337" i="19"/>
  <c r="Y158" i="19"/>
  <c r="Y141" i="20"/>
  <c r="K200" i="17"/>
  <c r="L200" i="17" s="1"/>
  <c r="F201" i="17" s="1"/>
  <c r="L204" i="20"/>
  <c r="F205" i="20" s="1"/>
  <c r="B335" i="20"/>
  <c r="AC334" i="20"/>
  <c r="B335" i="17"/>
  <c r="AC334" i="17"/>
  <c r="H201" i="17" l="1"/>
  <c r="K201" i="17" s="1"/>
  <c r="AC335" i="20"/>
  <c r="B336" i="20"/>
  <c r="H205" i="20"/>
  <c r="K205" i="20" s="1"/>
  <c r="K122" i="21"/>
  <c r="R142" i="20"/>
  <c r="AD141" i="20"/>
  <c r="F122" i="21" s="1"/>
  <c r="J139" i="21"/>
  <c r="R159" i="19"/>
  <c r="AC338" i="19"/>
  <c r="A338" i="19"/>
  <c r="B339" i="19"/>
  <c r="K238" i="19"/>
  <c r="L238" i="19" s="1"/>
  <c r="F239" i="19" s="1"/>
  <c r="C315" i="21"/>
  <c r="A314" i="21"/>
  <c r="B314" i="21" s="1"/>
  <c r="B336" i="17"/>
  <c r="AC335" i="17"/>
  <c r="I121" i="21"/>
  <c r="R141" i="17"/>
  <c r="AD140" i="17"/>
  <c r="D121" i="21" s="1"/>
  <c r="G150" i="18"/>
  <c r="H239" i="19" l="1"/>
  <c r="L239" i="19" s="1"/>
  <c r="F240" i="19" s="1"/>
  <c r="J239" i="19"/>
  <c r="K239" i="19"/>
  <c r="I150" i="18"/>
  <c r="J150" i="18" s="1"/>
  <c r="L205" i="20"/>
  <c r="F206" i="20" s="1"/>
  <c r="U141" i="17"/>
  <c r="X142" i="20"/>
  <c r="Y142" i="20" s="1"/>
  <c r="U142" i="20"/>
  <c r="AC336" i="17"/>
  <c r="B337" i="17"/>
  <c r="C316" i="21"/>
  <c r="A315" i="21"/>
  <c r="B315" i="21" s="1"/>
  <c r="X159" i="19"/>
  <c r="U159" i="19"/>
  <c r="Y159" i="19" s="1"/>
  <c r="L201" i="17"/>
  <c r="F202" i="17" s="1"/>
  <c r="AC339" i="19"/>
  <c r="B340" i="19"/>
  <c r="A339" i="19"/>
  <c r="B337" i="20"/>
  <c r="AC336" i="20"/>
  <c r="R160" i="19" l="1"/>
  <c r="J140" i="21"/>
  <c r="AA150" i="17"/>
  <c r="AA150" i="20"/>
  <c r="E151" i="18"/>
  <c r="AA150" i="19"/>
  <c r="AD150" i="19" s="1"/>
  <c r="E131" i="21" s="1"/>
  <c r="R143" i="20"/>
  <c r="K123" i="21"/>
  <c r="AD142" i="20"/>
  <c r="F123" i="21" s="1"/>
  <c r="H240" i="19"/>
  <c r="L240" i="19" s="1"/>
  <c r="F241" i="19" s="1"/>
  <c r="K240" i="19"/>
  <c r="AC340" i="19"/>
  <c r="B341" i="19"/>
  <c r="A340" i="19"/>
  <c r="B338" i="17"/>
  <c r="AC337" i="17"/>
  <c r="A316" i="21"/>
  <c r="B316" i="21" s="1"/>
  <c r="C317" i="21"/>
  <c r="H202" i="17"/>
  <c r="K202" i="17" s="1"/>
  <c r="X141" i="17"/>
  <c r="Y141" i="17" s="1"/>
  <c r="AC337" i="20"/>
  <c r="B338" i="20"/>
  <c r="H206" i="20"/>
  <c r="I122" i="21" l="1"/>
  <c r="R142" i="17"/>
  <c r="AD141" i="17"/>
  <c r="D122" i="21" s="1"/>
  <c r="K241" i="19"/>
  <c r="L241" i="19"/>
  <c r="F242" i="19" s="1"/>
  <c r="H241" i="19"/>
  <c r="G151" i="18"/>
  <c r="J151" i="18" s="1"/>
  <c r="I151" i="18"/>
  <c r="J206" i="20"/>
  <c r="K206" i="20" s="1"/>
  <c r="L202" i="17"/>
  <c r="F203" i="17" s="1"/>
  <c r="AC338" i="17"/>
  <c r="B339" i="17"/>
  <c r="C318" i="21"/>
  <c r="A317" i="21"/>
  <c r="B317" i="21" s="1"/>
  <c r="U143" i="20"/>
  <c r="X143" i="20" s="1"/>
  <c r="AC341" i="19"/>
  <c r="A341" i="19"/>
  <c r="B342" i="19"/>
  <c r="AC338" i="20"/>
  <c r="B339" i="20"/>
  <c r="U160" i="19"/>
  <c r="X160" i="19"/>
  <c r="Y160" i="19"/>
  <c r="AA151" i="17" l="1"/>
  <c r="AA151" i="19"/>
  <c r="AD151" i="19" s="1"/>
  <c r="E132" i="21" s="1"/>
  <c r="E152" i="18"/>
  <c r="AA151" i="20"/>
  <c r="H242" i="19"/>
  <c r="J242" i="19" s="1"/>
  <c r="R161" i="19"/>
  <c r="J141" i="21"/>
  <c r="L206" i="20"/>
  <c r="F207" i="20" s="1"/>
  <c r="U142" i="17"/>
  <c r="X142" i="17" s="1"/>
  <c r="Y142" i="17" s="1"/>
  <c r="B340" i="20"/>
  <c r="AC339" i="20"/>
  <c r="Y143" i="20"/>
  <c r="C319" i="21"/>
  <c r="A318" i="21"/>
  <c r="B318" i="21" s="1"/>
  <c r="B340" i="17"/>
  <c r="AC339" i="17"/>
  <c r="AC342" i="19"/>
  <c r="B343" i="19"/>
  <c r="A342" i="19"/>
  <c r="H203" i="17"/>
  <c r="I123" i="21" l="1"/>
  <c r="R143" i="17"/>
  <c r="AD142" i="17"/>
  <c r="D123" i="21" s="1"/>
  <c r="K203" i="17"/>
  <c r="R144" i="20"/>
  <c r="K124" i="21"/>
  <c r="AD143" i="20"/>
  <c r="F124" i="21" s="1"/>
  <c r="J203" i="17"/>
  <c r="L203" i="17" s="1"/>
  <c r="F204" i="17" s="1"/>
  <c r="B341" i="20"/>
  <c r="AC340" i="20"/>
  <c r="U161" i="19"/>
  <c r="Y161" i="19" s="1"/>
  <c r="X161" i="19"/>
  <c r="G152" i="18"/>
  <c r="I152" i="18" s="1"/>
  <c r="C320" i="21"/>
  <c r="A319" i="21"/>
  <c r="B319" i="21" s="1"/>
  <c r="B344" i="19"/>
  <c r="AC343" i="19"/>
  <c r="A343" i="19"/>
  <c r="B341" i="17"/>
  <c r="AC340" i="17"/>
  <c r="K242" i="19"/>
  <c r="L242" i="19" s="1"/>
  <c r="F243" i="19" s="1"/>
  <c r="H207" i="20"/>
  <c r="H204" i="17" l="1"/>
  <c r="R162" i="19"/>
  <c r="J142" i="21"/>
  <c r="L207" i="20"/>
  <c r="F208" i="20" s="1"/>
  <c r="H243" i="19"/>
  <c r="K243" i="19" s="1"/>
  <c r="K207" i="20"/>
  <c r="X143" i="17"/>
  <c r="Y143" i="17"/>
  <c r="U143" i="17"/>
  <c r="B342" i="20"/>
  <c r="AC341" i="20"/>
  <c r="H152" i="18"/>
  <c r="J152" i="18"/>
  <c r="AC344" i="19"/>
  <c r="B345" i="19"/>
  <c r="A344" i="19"/>
  <c r="C321" i="21"/>
  <c r="A320" i="21"/>
  <c r="B320" i="21" s="1"/>
  <c r="B342" i="17"/>
  <c r="AC341" i="17"/>
  <c r="U144" i="20"/>
  <c r="AO74" i="21" l="1"/>
  <c r="R144" i="17"/>
  <c r="I124" i="21"/>
  <c r="T40" i="2" s="1"/>
  <c r="O14" i="21" s="1"/>
  <c r="AD143" i="17"/>
  <c r="D124" i="21" s="1"/>
  <c r="AC51" i="21" s="1"/>
  <c r="AO70" i="21" s="1"/>
  <c r="AO72" i="21" s="1"/>
  <c r="AO77" i="21" s="1"/>
  <c r="AA152" i="19"/>
  <c r="AD152" i="19" s="1"/>
  <c r="E133" i="21" s="1"/>
  <c r="E153" i="18"/>
  <c r="AA152" i="20"/>
  <c r="AA152" i="17"/>
  <c r="B343" i="17"/>
  <c r="AC342" i="17"/>
  <c r="U162" i="19"/>
  <c r="B343" i="20"/>
  <c r="AC342" i="20"/>
  <c r="L243" i="19"/>
  <c r="F244" i="19" s="1"/>
  <c r="K204" i="17"/>
  <c r="L204" i="17" s="1"/>
  <c r="F205" i="17" s="1"/>
  <c r="H208" i="20"/>
  <c r="K208" i="20" s="1"/>
  <c r="A321" i="21"/>
  <c r="B321" i="21" s="1"/>
  <c r="C322" i="21"/>
  <c r="X144" i="20"/>
  <c r="Y144" i="20" s="1"/>
  <c r="AC345" i="19"/>
  <c r="B346" i="19"/>
  <c r="A345" i="19"/>
  <c r="H205" i="17" l="1"/>
  <c r="K205" i="17" s="1"/>
  <c r="R145" i="20"/>
  <c r="K125" i="21"/>
  <c r="AD144" i="20"/>
  <c r="F125" i="21" s="1"/>
  <c r="U144" i="17"/>
  <c r="X144" i="17" s="1"/>
  <c r="Q14" i="21"/>
  <c r="P14" i="21"/>
  <c r="R14" i="21"/>
  <c r="AC346" i="19"/>
  <c r="A346" i="19"/>
  <c r="B347" i="19"/>
  <c r="H244" i="19"/>
  <c r="K244" i="19" s="1"/>
  <c r="B344" i="17"/>
  <c r="AC343" i="17"/>
  <c r="AC343" i="20"/>
  <c r="B344" i="20"/>
  <c r="X162" i="19"/>
  <c r="Y162" i="19" s="1"/>
  <c r="G153" i="18"/>
  <c r="I153" i="18" s="1"/>
  <c r="J153" i="18" s="1"/>
  <c r="C323" i="21"/>
  <c r="A322" i="21"/>
  <c r="B322" i="21" s="1"/>
  <c r="L208" i="20"/>
  <c r="F209" i="20" s="1"/>
  <c r="R163" i="19" l="1"/>
  <c r="J143" i="21"/>
  <c r="E154" i="18"/>
  <c r="AA153" i="19"/>
  <c r="AD153" i="19" s="1"/>
  <c r="E134" i="21" s="1"/>
  <c r="AA153" i="20"/>
  <c r="AA153" i="17"/>
  <c r="AC344" i="20"/>
  <c r="B345" i="20"/>
  <c r="B348" i="19"/>
  <c r="A347" i="19"/>
  <c r="AC347" i="19"/>
  <c r="Y144" i="17"/>
  <c r="L205" i="17"/>
  <c r="F206" i="17" s="1"/>
  <c r="A323" i="21"/>
  <c r="B323" i="21" s="1"/>
  <c r="C324" i="21"/>
  <c r="U145" i="20"/>
  <c r="AC344" i="17"/>
  <c r="B345" i="17"/>
  <c r="L244" i="19"/>
  <c r="F245" i="19" s="1"/>
  <c r="J209" i="20"/>
  <c r="K209" i="20"/>
  <c r="L209" i="20"/>
  <c r="F210" i="20" s="1"/>
  <c r="H209" i="20"/>
  <c r="I125" i="21" l="1"/>
  <c r="R145" i="17"/>
  <c r="AD144" i="17"/>
  <c r="D125" i="21" s="1"/>
  <c r="A324" i="21"/>
  <c r="B324" i="21" s="1"/>
  <c r="C325" i="21"/>
  <c r="G154" i="18"/>
  <c r="K210" i="20"/>
  <c r="L210" i="20" s="1"/>
  <c r="F211" i="20" s="1"/>
  <c r="H210" i="20"/>
  <c r="X145" i="20"/>
  <c r="Y145" i="20" s="1"/>
  <c r="H245" i="19"/>
  <c r="K245" i="19" s="1"/>
  <c r="J245" i="19"/>
  <c r="L245" i="19" s="1"/>
  <c r="F246" i="19" s="1"/>
  <c r="AC345" i="20"/>
  <c r="B346" i="20"/>
  <c r="B349" i="19"/>
  <c r="AC348" i="19"/>
  <c r="A348" i="19"/>
  <c r="AC345" i="17"/>
  <c r="B346" i="17"/>
  <c r="H206" i="17"/>
  <c r="U163" i="19"/>
  <c r="X163" i="19"/>
  <c r="Y163" i="19" s="1"/>
  <c r="H246" i="19" l="1"/>
  <c r="J144" i="21"/>
  <c r="R164" i="19"/>
  <c r="K126" i="21"/>
  <c r="R146" i="20"/>
  <c r="AD145" i="20"/>
  <c r="F126" i="21" s="1"/>
  <c r="K206" i="17"/>
  <c r="K211" i="20"/>
  <c r="L211" i="20"/>
  <c r="F212" i="20" s="1"/>
  <c r="H211" i="20"/>
  <c r="AC349" i="19"/>
  <c r="B350" i="19"/>
  <c r="A349" i="19"/>
  <c r="L206" i="17"/>
  <c r="F207" i="17" s="1"/>
  <c r="I154" i="18"/>
  <c r="J154" i="18" s="1"/>
  <c r="U145" i="17"/>
  <c r="B347" i="17"/>
  <c r="AC346" i="17"/>
  <c r="AC346" i="20"/>
  <c r="B347" i="20"/>
  <c r="J206" i="17"/>
  <c r="C326" i="21"/>
  <c r="A325" i="21"/>
  <c r="B325" i="21" s="1"/>
  <c r="AA154" i="19" l="1"/>
  <c r="AD154" i="19" s="1"/>
  <c r="E135" i="21" s="1"/>
  <c r="AA154" i="20"/>
  <c r="AA154" i="17"/>
  <c r="E155" i="18"/>
  <c r="L246" i="19"/>
  <c r="F247" i="19" s="1"/>
  <c r="A350" i="19"/>
  <c r="B351" i="19"/>
  <c r="AC350" i="19"/>
  <c r="K246" i="19"/>
  <c r="J212" i="20"/>
  <c r="K212" i="20" s="1"/>
  <c r="H212" i="20"/>
  <c r="L212" i="20" s="1"/>
  <c r="F213" i="20" s="1"/>
  <c r="AC347" i="17"/>
  <c r="B348" i="17"/>
  <c r="X146" i="20"/>
  <c r="Y146" i="20" s="1"/>
  <c r="U146" i="20"/>
  <c r="U164" i="19"/>
  <c r="X164" i="19"/>
  <c r="Y164" i="19"/>
  <c r="K207" i="17"/>
  <c r="L207" i="17"/>
  <c r="F208" i="17" s="1"/>
  <c r="H207" i="17"/>
  <c r="C327" i="21"/>
  <c r="A326" i="21"/>
  <c r="B326" i="21" s="1"/>
  <c r="X145" i="17"/>
  <c r="Y145" i="17" s="1"/>
  <c r="AC347" i="20"/>
  <c r="B348" i="20"/>
  <c r="H213" i="20" l="1"/>
  <c r="K213" i="20" s="1"/>
  <c r="R146" i="17"/>
  <c r="I126" i="21"/>
  <c r="AD145" i="17"/>
  <c r="D126" i="21" s="1"/>
  <c r="K127" i="21"/>
  <c r="R147" i="20"/>
  <c r="AD146" i="20"/>
  <c r="F127" i="21" s="1"/>
  <c r="J145" i="21"/>
  <c r="R165" i="19"/>
  <c r="H208" i="17"/>
  <c r="K208" i="17" s="1"/>
  <c r="H155" i="18"/>
  <c r="J155" i="18" s="1"/>
  <c r="G155" i="18"/>
  <c r="I155" i="18"/>
  <c r="AC348" i="17"/>
  <c r="B349" i="17"/>
  <c r="A327" i="21"/>
  <c r="B327" i="21" s="1"/>
  <c r="C328" i="21"/>
  <c r="B349" i="20"/>
  <c r="AC348" i="20"/>
  <c r="H247" i="19"/>
  <c r="K247" i="19"/>
  <c r="L247" i="19"/>
  <c r="F248" i="19" s="1"/>
  <c r="AC351" i="19"/>
  <c r="A351" i="19"/>
  <c r="B352" i="19"/>
  <c r="AA155" i="19" l="1"/>
  <c r="AD155" i="19" s="1"/>
  <c r="E136" i="21" s="1"/>
  <c r="AA155" i="17"/>
  <c r="AA155" i="20"/>
  <c r="E156" i="18"/>
  <c r="X146" i="17"/>
  <c r="Y146" i="17"/>
  <c r="U146" i="17"/>
  <c r="C329" i="21"/>
  <c r="A328" i="21"/>
  <c r="B328" i="21" s="1"/>
  <c r="H248" i="19"/>
  <c r="J248" i="19" s="1"/>
  <c r="U165" i="19"/>
  <c r="Y165" i="19" s="1"/>
  <c r="X165" i="19"/>
  <c r="AC349" i="17"/>
  <c r="B350" i="17"/>
  <c r="L208" i="17"/>
  <c r="F209" i="17" s="1"/>
  <c r="U147" i="20"/>
  <c r="X147" i="20" s="1"/>
  <c r="L213" i="20"/>
  <c r="F214" i="20" s="1"/>
  <c r="A352" i="19"/>
  <c r="B353" i="19"/>
  <c r="AC352" i="19"/>
  <c r="AC349" i="20"/>
  <c r="B350" i="20"/>
  <c r="R166" i="19" l="1"/>
  <c r="J146" i="21"/>
  <c r="L248" i="19"/>
  <c r="F249" i="19" s="1"/>
  <c r="I127" i="21"/>
  <c r="R147" i="17"/>
  <c r="AD146" i="17"/>
  <c r="D127" i="21" s="1"/>
  <c r="K248" i="19"/>
  <c r="G156" i="18"/>
  <c r="I156" i="18"/>
  <c r="J156" i="18"/>
  <c r="B351" i="20"/>
  <c r="AC350" i="20"/>
  <c r="B351" i="17"/>
  <c r="AC350" i="17"/>
  <c r="A329" i="21"/>
  <c r="B329" i="21" s="1"/>
  <c r="C330" i="21"/>
  <c r="H214" i="20"/>
  <c r="K214" i="20" s="1"/>
  <c r="Y147" i="20"/>
  <c r="AC353" i="19"/>
  <c r="B354" i="19"/>
  <c r="A353" i="19"/>
  <c r="H209" i="17"/>
  <c r="J209" i="17" s="1"/>
  <c r="K209" i="17" s="1"/>
  <c r="C331" i="21" l="1"/>
  <c r="A330" i="21"/>
  <c r="B330" i="21" s="1"/>
  <c r="H249" i="19"/>
  <c r="K249" i="19" s="1"/>
  <c r="AC354" i="19"/>
  <c r="B355" i="19"/>
  <c r="A354" i="19"/>
  <c r="AC351" i="20"/>
  <c r="B352" i="20"/>
  <c r="X147" i="17"/>
  <c r="Y147" i="17"/>
  <c r="U147" i="17"/>
  <c r="K128" i="21"/>
  <c r="R148" i="20"/>
  <c r="AD147" i="20"/>
  <c r="F128" i="21" s="1"/>
  <c r="AA156" i="19"/>
  <c r="AD156" i="19" s="1"/>
  <c r="E137" i="21" s="1"/>
  <c r="E157" i="18"/>
  <c r="AA156" i="20"/>
  <c r="AA156" i="17"/>
  <c r="B352" i="17"/>
  <c r="AC351" i="17"/>
  <c r="L209" i="17"/>
  <c r="F210" i="17" s="1"/>
  <c r="L214" i="20"/>
  <c r="F215" i="20" s="1"/>
  <c r="U166" i="19"/>
  <c r="X166" i="19"/>
  <c r="Y166" i="19"/>
  <c r="H210" i="17" l="1"/>
  <c r="L249" i="19"/>
  <c r="F250" i="19" s="1"/>
  <c r="G157" i="18"/>
  <c r="I157" i="18" s="1"/>
  <c r="J157" i="18" s="1"/>
  <c r="J147" i="21"/>
  <c r="R167" i="19"/>
  <c r="U148" i="20"/>
  <c r="X148" i="20" s="1"/>
  <c r="H215" i="20"/>
  <c r="R148" i="17"/>
  <c r="I128" i="21"/>
  <c r="AD147" i="17"/>
  <c r="D128" i="21" s="1"/>
  <c r="B353" i="20"/>
  <c r="AC352" i="20"/>
  <c r="AC352" i="17"/>
  <c r="B353" i="17"/>
  <c r="AC355" i="19"/>
  <c r="B356" i="19"/>
  <c r="A355" i="19"/>
  <c r="C332" i="21"/>
  <c r="A331" i="21"/>
  <c r="B331" i="21" s="1"/>
  <c r="AA157" i="17" l="1"/>
  <c r="E158" i="18"/>
  <c r="AA157" i="20"/>
  <c r="AA157" i="19"/>
  <c r="AD157" i="19" s="1"/>
  <c r="E138" i="21" s="1"/>
  <c r="L210" i="17"/>
  <c r="F211" i="17" s="1"/>
  <c r="U148" i="17"/>
  <c r="X148" i="17" s="1"/>
  <c r="U167" i="19"/>
  <c r="X167" i="19" s="1"/>
  <c r="A332" i="21"/>
  <c r="B332" i="21" s="1"/>
  <c r="C333" i="21"/>
  <c r="Y148" i="20"/>
  <c r="H250" i="19"/>
  <c r="K250" i="19" s="1"/>
  <c r="L250" i="19" s="1"/>
  <c r="F251" i="19" s="1"/>
  <c r="B354" i="20"/>
  <c r="AC353" i="20"/>
  <c r="K210" i="17"/>
  <c r="B354" i="17"/>
  <c r="AC353" i="17"/>
  <c r="B357" i="19"/>
  <c r="A356" i="19"/>
  <c r="AC356" i="19"/>
  <c r="J215" i="20"/>
  <c r="K215" i="20"/>
  <c r="L215" i="20" s="1"/>
  <c r="F216" i="20" s="1"/>
  <c r="H251" i="19" l="1"/>
  <c r="J251" i="19" s="1"/>
  <c r="K216" i="20"/>
  <c r="L216" i="20" s="1"/>
  <c r="F217" i="20" s="1"/>
  <c r="H216" i="20"/>
  <c r="A357" i="19"/>
  <c r="AC357" i="19"/>
  <c r="B358" i="19"/>
  <c r="Y167" i="19"/>
  <c r="B355" i="17"/>
  <c r="AC354" i="17"/>
  <c r="R149" i="20"/>
  <c r="K129" i="21"/>
  <c r="AD148" i="20"/>
  <c r="F129" i="21" s="1"/>
  <c r="A333" i="21"/>
  <c r="B333" i="21" s="1"/>
  <c r="C334" i="21"/>
  <c r="Y148" i="17"/>
  <c r="G158" i="18"/>
  <c r="I158" i="18"/>
  <c r="H158" i="18"/>
  <c r="J158" i="18"/>
  <c r="H211" i="17"/>
  <c r="K211" i="17" s="1"/>
  <c r="B355" i="20"/>
  <c r="AC354" i="20"/>
  <c r="H217" i="20" l="1"/>
  <c r="K217" i="20" s="1"/>
  <c r="E159" i="18"/>
  <c r="AA158" i="17"/>
  <c r="AA158" i="20"/>
  <c r="AA158" i="19"/>
  <c r="AD158" i="19" s="1"/>
  <c r="E139" i="21" s="1"/>
  <c r="AC355" i="20"/>
  <c r="B356" i="20"/>
  <c r="U149" i="20"/>
  <c r="X149" i="20" s="1"/>
  <c r="J148" i="21"/>
  <c r="R168" i="19"/>
  <c r="L211" i="17"/>
  <c r="F212" i="17" s="1"/>
  <c r="R149" i="17"/>
  <c r="I129" i="21"/>
  <c r="AD148" i="17"/>
  <c r="D129" i="21" s="1"/>
  <c r="K251" i="19"/>
  <c r="L251" i="19" s="1"/>
  <c r="F252" i="19" s="1"/>
  <c r="A358" i="19"/>
  <c r="AC358" i="19"/>
  <c r="B359" i="19"/>
  <c r="C335" i="21"/>
  <c r="A334" i="21"/>
  <c r="B334" i="21" s="1"/>
  <c r="AC355" i="17"/>
  <c r="B356" i="17"/>
  <c r="H252" i="19" l="1"/>
  <c r="K252" i="19"/>
  <c r="L252" i="19"/>
  <c r="F253" i="19" s="1"/>
  <c r="G159" i="18"/>
  <c r="U149" i="17"/>
  <c r="AC356" i="17"/>
  <c r="B357" i="17"/>
  <c r="AC356" i="20"/>
  <c r="B357" i="20"/>
  <c r="C336" i="21"/>
  <c r="A335" i="21"/>
  <c r="B335" i="21" s="1"/>
  <c r="AC359" i="19"/>
  <c r="A359" i="19"/>
  <c r="B360" i="19"/>
  <c r="Y149" i="20"/>
  <c r="L217" i="20"/>
  <c r="F218" i="20" s="1"/>
  <c r="H212" i="17"/>
  <c r="J212" i="17" s="1"/>
  <c r="U168" i="19"/>
  <c r="X168" i="19" s="1"/>
  <c r="Y168" i="19" s="1"/>
  <c r="R169" i="19" l="1"/>
  <c r="J149" i="21"/>
  <c r="K212" i="17"/>
  <c r="L212" i="17"/>
  <c r="F213" i="17" s="1"/>
  <c r="J159" i="18"/>
  <c r="B358" i="17"/>
  <c r="AC357" i="17"/>
  <c r="I159" i="18"/>
  <c r="H253" i="19"/>
  <c r="K253" i="19"/>
  <c r="L253" i="19"/>
  <c r="F254" i="19" s="1"/>
  <c r="H218" i="20"/>
  <c r="X149" i="17"/>
  <c r="Y149" i="17" s="1"/>
  <c r="C337" i="21"/>
  <c r="A336" i="21"/>
  <c r="B336" i="21" s="1"/>
  <c r="R150" i="20"/>
  <c r="K130" i="21"/>
  <c r="AD149" i="20"/>
  <c r="F130" i="21" s="1"/>
  <c r="B358" i="20"/>
  <c r="AC357" i="20"/>
  <c r="AC360" i="19"/>
  <c r="A360" i="19"/>
  <c r="B361" i="19"/>
  <c r="I130" i="21" l="1"/>
  <c r="R150" i="17"/>
  <c r="AD149" i="17"/>
  <c r="D130" i="21" s="1"/>
  <c r="E160" i="18"/>
  <c r="AA159" i="17"/>
  <c r="AA159" i="19"/>
  <c r="AD159" i="19" s="1"/>
  <c r="E140" i="21" s="1"/>
  <c r="AA159" i="20"/>
  <c r="H254" i="19"/>
  <c r="J254" i="19"/>
  <c r="L254" i="19" s="1"/>
  <c r="F255" i="19" s="1"/>
  <c r="K254" i="19"/>
  <c r="A337" i="21"/>
  <c r="B337" i="21" s="1"/>
  <c r="C338" i="21"/>
  <c r="U150" i="20"/>
  <c r="U169" i="19"/>
  <c r="X169" i="19"/>
  <c r="Y169" i="19"/>
  <c r="AC358" i="20"/>
  <c r="B359" i="20"/>
  <c r="H213" i="17"/>
  <c r="K213" i="17" s="1"/>
  <c r="L213" i="17" s="1"/>
  <c r="F214" i="17" s="1"/>
  <c r="A361" i="19"/>
  <c r="B362" i="19"/>
  <c r="AC361" i="19"/>
  <c r="J218" i="20"/>
  <c r="K218" i="20" s="1"/>
  <c r="AC358" i="17"/>
  <c r="B359" i="17"/>
  <c r="H255" i="19" l="1"/>
  <c r="K255" i="19"/>
  <c r="L255" i="19"/>
  <c r="F256" i="19" s="1"/>
  <c r="K214" i="17"/>
  <c r="L214" i="17"/>
  <c r="F215" i="17" s="1"/>
  <c r="H214" i="17"/>
  <c r="J150" i="21"/>
  <c r="R170" i="19"/>
  <c r="X150" i="20"/>
  <c r="Y150" i="20" s="1"/>
  <c r="X150" i="17"/>
  <c r="U150" i="17"/>
  <c r="Y150" i="17" s="1"/>
  <c r="L218" i="20"/>
  <c r="F219" i="20" s="1"/>
  <c r="AC359" i="17"/>
  <c r="B360" i="17"/>
  <c r="C339" i="21"/>
  <c r="A338" i="21"/>
  <c r="B338" i="21" s="1"/>
  <c r="AC359" i="20"/>
  <c r="B360" i="20"/>
  <c r="G160" i="18"/>
  <c r="B363" i="19"/>
  <c r="AC362" i="19"/>
  <c r="A362" i="19"/>
  <c r="I131" i="21" l="1"/>
  <c r="R151" i="17"/>
  <c r="AD150" i="17"/>
  <c r="D131" i="21" s="1"/>
  <c r="R151" i="20"/>
  <c r="K131" i="21"/>
  <c r="AD150" i="20"/>
  <c r="F131" i="21" s="1"/>
  <c r="C340" i="21"/>
  <c r="A339" i="21"/>
  <c r="B339" i="21" s="1"/>
  <c r="B361" i="17"/>
  <c r="AC360" i="17"/>
  <c r="B361" i="20"/>
  <c r="AC360" i="20"/>
  <c r="H215" i="17"/>
  <c r="J215" i="17" s="1"/>
  <c r="K256" i="19"/>
  <c r="H256" i="19"/>
  <c r="L256" i="19" s="1"/>
  <c r="F257" i="19" s="1"/>
  <c r="AC363" i="19"/>
  <c r="B364" i="19"/>
  <c r="A363" i="19"/>
  <c r="I160" i="18"/>
  <c r="J160" i="18" s="1"/>
  <c r="U170" i="19"/>
  <c r="Y170" i="19" s="1"/>
  <c r="X170" i="19"/>
  <c r="H219" i="20"/>
  <c r="K219" i="20" s="1"/>
  <c r="J151" i="21" l="1"/>
  <c r="R171" i="19"/>
  <c r="H257" i="19"/>
  <c r="J257" i="19"/>
  <c r="K257" i="19"/>
  <c r="L257" i="19"/>
  <c r="F258" i="19" s="1"/>
  <c r="AA160" i="17"/>
  <c r="AA160" i="20"/>
  <c r="E161" i="18"/>
  <c r="AA160" i="19"/>
  <c r="AD160" i="19" s="1"/>
  <c r="E141" i="21" s="1"/>
  <c r="L219" i="20"/>
  <c r="F220" i="20" s="1"/>
  <c r="B365" i="19"/>
  <c r="AC364" i="19"/>
  <c r="A364" i="19"/>
  <c r="L215" i="17"/>
  <c r="F216" i="17" s="1"/>
  <c r="B362" i="20"/>
  <c r="AC361" i="20"/>
  <c r="AC361" i="17"/>
  <c r="B362" i="17"/>
  <c r="K215" i="17"/>
  <c r="A340" i="21"/>
  <c r="B340" i="21" s="1"/>
  <c r="C341" i="21"/>
  <c r="X151" i="17"/>
  <c r="Y151" i="17"/>
  <c r="U151" i="17"/>
  <c r="U151" i="20"/>
  <c r="X151" i="20" s="1"/>
  <c r="H258" i="19" l="1"/>
  <c r="L258" i="19" s="1"/>
  <c r="F259" i="19" s="1"/>
  <c r="K258" i="19"/>
  <c r="AC362" i="20"/>
  <c r="B363" i="20"/>
  <c r="K220" i="20"/>
  <c r="H220" i="20"/>
  <c r="L220" i="20" s="1"/>
  <c r="F221" i="20" s="1"/>
  <c r="G161" i="18"/>
  <c r="J161" i="18" s="1"/>
  <c r="I161" i="18"/>
  <c r="H161" i="18"/>
  <c r="I132" i="21"/>
  <c r="R152" i="17"/>
  <c r="AD151" i="17"/>
  <c r="D132" i="21" s="1"/>
  <c r="Y151" i="20"/>
  <c r="Y171" i="19"/>
  <c r="U171" i="19"/>
  <c r="X171" i="19"/>
  <c r="AC365" i="19"/>
  <c r="B366" i="19"/>
  <c r="A365" i="19"/>
  <c r="C342" i="21"/>
  <c r="A341" i="21"/>
  <c r="B341" i="21" s="1"/>
  <c r="H216" i="17"/>
  <c r="K216" i="17" s="1"/>
  <c r="B363" i="17"/>
  <c r="AC362" i="17"/>
  <c r="H221" i="20" l="1"/>
  <c r="J221" i="20" s="1"/>
  <c r="AA161" i="17"/>
  <c r="AA161" i="20"/>
  <c r="AA161" i="19"/>
  <c r="AD161" i="19" s="1"/>
  <c r="E142" i="21" s="1"/>
  <c r="E162" i="18"/>
  <c r="H259" i="19"/>
  <c r="K259" i="19"/>
  <c r="L259" i="19" s="1"/>
  <c r="F260" i="19" s="1"/>
  <c r="J152" i="21"/>
  <c r="R172" i="19"/>
  <c r="A366" i="19"/>
  <c r="AC366" i="19"/>
  <c r="B367" i="19"/>
  <c r="AC363" i="20"/>
  <c r="B364" i="20"/>
  <c r="C343" i="21"/>
  <c r="A342" i="21"/>
  <c r="B342" i="21" s="1"/>
  <c r="U152" i="17"/>
  <c r="X152" i="17" s="1"/>
  <c r="B364" i="17"/>
  <c r="AC363" i="17"/>
  <c r="K132" i="21"/>
  <c r="R152" i="20"/>
  <c r="AD151" i="20"/>
  <c r="F132" i="21" s="1"/>
  <c r="L216" i="17"/>
  <c r="F217" i="17" s="1"/>
  <c r="H260" i="19" l="1"/>
  <c r="B368" i="19"/>
  <c r="A367" i="19"/>
  <c r="AC367" i="19"/>
  <c r="AC364" i="20"/>
  <c r="B365" i="20"/>
  <c r="K221" i="20"/>
  <c r="L221" i="20" s="1"/>
  <c r="F222" i="20" s="1"/>
  <c r="K217" i="17"/>
  <c r="H217" i="17"/>
  <c r="L217" i="17" s="1"/>
  <c r="F218" i="17" s="1"/>
  <c r="U152" i="20"/>
  <c r="X152" i="20" s="1"/>
  <c r="G162" i="18"/>
  <c r="I162" i="18"/>
  <c r="J162" i="18"/>
  <c r="AC364" i="17"/>
  <c r="B365" i="17"/>
  <c r="Y152" i="17"/>
  <c r="A343" i="21"/>
  <c r="B343" i="21" s="1"/>
  <c r="C344" i="21"/>
  <c r="U172" i="19"/>
  <c r="X172" i="19"/>
  <c r="Y172" i="19"/>
  <c r="H218" i="17" l="1"/>
  <c r="J218" i="17" s="1"/>
  <c r="K222" i="20"/>
  <c r="L222" i="20"/>
  <c r="F223" i="20" s="1"/>
  <c r="H222" i="20"/>
  <c r="Y152" i="20"/>
  <c r="J260" i="19"/>
  <c r="K260" i="19" s="1"/>
  <c r="L260" i="19" s="1"/>
  <c r="F261" i="19" s="1"/>
  <c r="A344" i="21"/>
  <c r="B344" i="21" s="1"/>
  <c r="C345" i="21"/>
  <c r="AA162" i="19"/>
  <c r="AD162" i="19" s="1"/>
  <c r="E143" i="21" s="1"/>
  <c r="E163" i="18"/>
  <c r="AA162" i="20"/>
  <c r="AA162" i="17"/>
  <c r="AC365" i="17"/>
  <c r="B366" i="17"/>
  <c r="R173" i="19"/>
  <c r="J153" i="21"/>
  <c r="A368" i="19"/>
  <c r="B369" i="19"/>
  <c r="AC368" i="19"/>
  <c r="AC365" i="20"/>
  <c r="B366" i="20"/>
  <c r="R153" i="17"/>
  <c r="I133" i="21"/>
  <c r="AD152" i="17"/>
  <c r="D133" i="21" s="1"/>
  <c r="H261" i="19" l="1"/>
  <c r="K261" i="19"/>
  <c r="L261" i="19"/>
  <c r="F262" i="19" s="1"/>
  <c r="H223" i="20"/>
  <c r="K223" i="20" s="1"/>
  <c r="U153" i="17"/>
  <c r="R153" i="20"/>
  <c r="K133" i="21"/>
  <c r="AD152" i="20"/>
  <c r="F133" i="21" s="1"/>
  <c r="B367" i="20"/>
  <c r="AC366" i="20"/>
  <c r="X173" i="19"/>
  <c r="Y173" i="19" s="1"/>
  <c r="U173" i="19"/>
  <c r="G163" i="18"/>
  <c r="I163" i="18"/>
  <c r="J163" i="18" s="1"/>
  <c r="K218" i="17"/>
  <c r="L218" i="17" s="1"/>
  <c r="F219" i="17" s="1"/>
  <c r="A345" i="21"/>
  <c r="B345" i="21" s="1"/>
  <c r="C346" i="21"/>
  <c r="AC369" i="19"/>
  <c r="A369" i="19"/>
  <c r="B370" i="19"/>
  <c r="AC366" i="17"/>
  <c r="B367" i="17"/>
  <c r="J154" i="21" l="1"/>
  <c r="R174" i="19"/>
  <c r="H219" i="17"/>
  <c r="AA163" i="20"/>
  <c r="AA163" i="17"/>
  <c r="AA163" i="19"/>
  <c r="AD163" i="19" s="1"/>
  <c r="E144" i="21" s="1"/>
  <c r="E164" i="18"/>
  <c r="L223" i="20"/>
  <c r="F224" i="20" s="1"/>
  <c r="H262" i="19"/>
  <c r="K262" i="19" s="1"/>
  <c r="X153" i="17"/>
  <c r="Y153" i="17" s="1"/>
  <c r="A370" i="19"/>
  <c r="B371" i="19"/>
  <c r="AC370" i="19"/>
  <c r="U153" i="20"/>
  <c r="X153" i="20" s="1"/>
  <c r="AC367" i="20"/>
  <c r="B368" i="20"/>
  <c r="AC367" i="17"/>
  <c r="B368" i="17"/>
  <c r="C347" i="21"/>
  <c r="A346" i="21"/>
  <c r="B346" i="21" s="1"/>
  <c r="I134" i="21" l="1"/>
  <c r="R154" i="17"/>
  <c r="AD153" i="17"/>
  <c r="D134" i="21" s="1"/>
  <c r="K219" i="17"/>
  <c r="L219" i="17" s="1"/>
  <c r="F220" i="17" s="1"/>
  <c r="B369" i="20"/>
  <c r="AC368" i="20"/>
  <c r="G164" i="18"/>
  <c r="H164" i="18" s="1"/>
  <c r="J164" i="18" s="1"/>
  <c r="I164" i="18"/>
  <c r="U174" i="19"/>
  <c r="X174" i="19" s="1"/>
  <c r="B372" i="19"/>
  <c r="A371" i="19"/>
  <c r="AC371" i="19"/>
  <c r="C348" i="21"/>
  <c r="A347" i="21"/>
  <c r="B347" i="21" s="1"/>
  <c r="H224" i="20"/>
  <c r="Y153" i="20"/>
  <c r="L262" i="19"/>
  <c r="F263" i="19" s="1"/>
  <c r="B369" i="17"/>
  <c r="AC368" i="17"/>
  <c r="H220" i="17" l="1"/>
  <c r="K220" i="17" s="1"/>
  <c r="AA164" i="17"/>
  <c r="AA164" i="19"/>
  <c r="AD164" i="19" s="1"/>
  <c r="E145" i="21" s="1"/>
  <c r="E165" i="18"/>
  <c r="AA164" i="20"/>
  <c r="B370" i="20"/>
  <c r="AC369" i="20"/>
  <c r="R154" i="20"/>
  <c r="K134" i="21"/>
  <c r="AD153" i="20"/>
  <c r="F134" i="21" s="1"/>
  <c r="A372" i="19"/>
  <c r="B373" i="19"/>
  <c r="AC372" i="19"/>
  <c r="A348" i="21"/>
  <c r="B348" i="21" s="1"/>
  <c r="C349" i="21"/>
  <c r="AC369" i="17"/>
  <c r="B370" i="17"/>
  <c r="J224" i="20"/>
  <c r="Y174" i="19"/>
  <c r="X154" i="17"/>
  <c r="Y154" i="17"/>
  <c r="U154" i="17"/>
  <c r="H263" i="19"/>
  <c r="J263" i="19"/>
  <c r="K263" i="19"/>
  <c r="L263" i="19" s="1"/>
  <c r="F264" i="19" s="1"/>
  <c r="H264" i="19" l="1"/>
  <c r="K264" i="19" s="1"/>
  <c r="C350" i="21"/>
  <c r="A349" i="21"/>
  <c r="B349" i="21" s="1"/>
  <c r="K224" i="20"/>
  <c r="L224" i="20" s="1"/>
  <c r="F225" i="20" s="1"/>
  <c r="A373" i="19"/>
  <c r="B374" i="19"/>
  <c r="AC373" i="19"/>
  <c r="AC370" i="20"/>
  <c r="B371" i="20"/>
  <c r="R155" i="17"/>
  <c r="I135" i="21"/>
  <c r="AD154" i="17"/>
  <c r="D135" i="21" s="1"/>
  <c r="L220" i="17"/>
  <c r="F221" i="17" s="1"/>
  <c r="U154" i="20"/>
  <c r="R175" i="19"/>
  <c r="J155" i="21"/>
  <c r="AC370" i="17"/>
  <c r="B371" i="17"/>
  <c r="G165" i="18"/>
  <c r="I165" i="18" s="1"/>
  <c r="H225" i="20" l="1"/>
  <c r="K225" i="20" s="1"/>
  <c r="U175" i="19"/>
  <c r="X175" i="19" s="1"/>
  <c r="H221" i="17"/>
  <c r="J221" i="17" s="1"/>
  <c r="L264" i="19"/>
  <c r="F265" i="19" s="1"/>
  <c r="B372" i="20"/>
  <c r="AC371" i="20"/>
  <c r="A350" i="21"/>
  <c r="B350" i="21" s="1"/>
  <c r="C351" i="21"/>
  <c r="J165" i="18"/>
  <c r="B375" i="19"/>
  <c r="AC374" i="19"/>
  <c r="A374" i="19"/>
  <c r="X154" i="20"/>
  <c r="Y154" i="20" s="1"/>
  <c r="AC371" i="17"/>
  <c r="B372" i="17"/>
  <c r="U155" i="17"/>
  <c r="X155" i="17" s="1"/>
  <c r="Y155" i="17" s="1"/>
  <c r="I136" i="21" l="1"/>
  <c r="T41" i="2" s="1"/>
  <c r="O15" i="21" s="1"/>
  <c r="R156" i="17"/>
  <c r="AP74" i="21"/>
  <c r="AD155" i="17"/>
  <c r="D136" i="21" s="1"/>
  <c r="AC52" i="21" s="1"/>
  <c r="AP70" i="21" s="1"/>
  <c r="AP72" i="21" s="1"/>
  <c r="AP77" i="21" s="1"/>
  <c r="R155" i="20"/>
  <c r="K135" i="21"/>
  <c r="AD154" i="20"/>
  <c r="F135" i="21" s="1"/>
  <c r="A351" i="21"/>
  <c r="B351" i="21" s="1"/>
  <c r="C352" i="21"/>
  <c r="H265" i="19"/>
  <c r="K265" i="19"/>
  <c r="L265" i="19"/>
  <c r="F266" i="19" s="1"/>
  <c r="L225" i="20"/>
  <c r="F226" i="20" s="1"/>
  <c r="B373" i="17"/>
  <c r="AC372" i="17"/>
  <c r="Y175" i="19"/>
  <c r="K221" i="17"/>
  <c r="L221" i="17" s="1"/>
  <c r="F222" i="17" s="1"/>
  <c r="AC375" i="19"/>
  <c r="A375" i="19"/>
  <c r="B376" i="19"/>
  <c r="AA165" i="17"/>
  <c r="E166" i="18"/>
  <c r="AA165" i="19"/>
  <c r="AD165" i="19" s="1"/>
  <c r="E146" i="21" s="1"/>
  <c r="AA165" i="20"/>
  <c r="B373" i="20"/>
  <c r="AC372" i="20"/>
  <c r="H222" i="17" l="1"/>
  <c r="K222" i="17" s="1"/>
  <c r="U155" i="20"/>
  <c r="H266" i="19"/>
  <c r="J266" i="19"/>
  <c r="K266" i="19"/>
  <c r="L266" i="19" s="1"/>
  <c r="F267" i="19" s="1"/>
  <c r="B377" i="19"/>
  <c r="A376" i="19"/>
  <c r="AC376" i="19"/>
  <c r="C353" i="21"/>
  <c r="A352" i="21"/>
  <c r="B352" i="21" s="1"/>
  <c r="K226" i="20"/>
  <c r="L226" i="20" s="1"/>
  <c r="F227" i="20" s="1"/>
  <c r="H226" i="20"/>
  <c r="G166" i="18"/>
  <c r="I166" i="18" s="1"/>
  <c r="R176" i="19"/>
  <c r="J156" i="21"/>
  <c r="AC373" i="20"/>
  <c r="B374" i="20"/>
  <c r="AC373" i="17"/>
  <c r="B374" i="17"/>
  <c r="X156" i="17"/>
  <c r="U156" i="17"/>
  <c r="Y156" i="17" s="1"/>
  <c r="P15" i="21"/>
  <c r="R15" i="21"/>
  <c r="Q15" i="21"/>
  <c r="H227" i="20" l="1"/>
  <c r="J227" i="20" s="1"/>
  <c r="K267" i="19"/>
  <c r="H267" i="19"/>
  <c r="L267" i="19" s="1"/>
  <c r="F268" i="19" s="1"/>
  <c r="R157" i="17"/>
  <c r="I137" i="21"/>
  <c r="AD156" i="17"/>
  <c r="D137" i="21" s="1"/>
  <c r="X155" i="20"/>
  <c r="Y155" i="20" s="1"/>
  <c r="AC377" i="19"/>
  <c r="B378" i="19"/>
  <c r="A377" i="19"/>
  <c r="U176" i="19"/>
  <c r="X176" i="19" s="1"/>
  <c r="AC374" i="17"/>
  <c r="B375" i="17"/>
  <c r="B375" i="20"/>
  <c r="AC374" i="20"/>
  <c r="J166" i="18"/>
  <c r="A353" i="21"/>
  <c r="B353" i="21" s="1"/>
  <c r="C354" i="21"/>
  <c r="L222" i="17"/>
  <c r="F223" i="17" s="1"/>
  <c r="H268" i="19" l="1"/>
  <c r="L268" i="19" s="1"/>
  <c r="F269" i="19" s="1"/>
  <c r="K268" i="19"/>
  <c r="K136" i="21"/>
  <c r="R156" i="20"/>
  <c r="AD155" i="20"/>
  <c r="F136" i="21" s="1"/>
  <c r="U157" i="17"/>
  <c r="X157" i="17" s="1"/>
  <c r="Y176" i="19"/>
  <c r="H223" i="17"/>
  <c r="K223" i="17" s="1"/>
  <c r="L223" i="17" s="1"/>
  <c r="F224" i="17" s="1"/>
  <c r="B379" i="19"/>
  <c r="A378" i="19"/>
  <c r="AC378" i="19"/>
  <c r="K227" i="20"/>
  <c r="L227" i="20" s="1"/>
  <c r="F228" i="20" s="1"/>
  <c r="AA166" i="19"/>
  <c r="AD166" i="19" s="1"/>
  <c r="E147" i="21" s="1"/>
  <c r="E167" i="18"/>
  <c r="AA166" i="20"/>
  <c r="AA166" i="17"/>
  <c r="AC375" i="20"/>
  <c r="B376" i="20"/>
  <c r="AC375" i="17"/>
  <c r="B376" i="17"/>
  <c r="C355" i="21"/>
  <c r="A354" i="21"/>
  <c r="B354" i="21" s="1"/>
  <c r="H224" i="17" l="1"/>
  <c r="K228" i="20"/>
  <c r="L228" i="20" s="1"/>
  <c r="F229" i="20" s="1"/>
  <c r="H228" i="20"/>
  <c r="H269" i="19"/>
  <c r="X156" i="20"/>
  <c r="U156" i="20"/>
  <c r="Y156" i="20" s="1"/>
  <c r="AC376" i="20"/>
  <c r="B377" i="20"/>
  <c r="AC376" i="17"/>
  <c r="B377" i="17"/>
  <c r="G167" i="18"/>
  <c r="I167" i="18" s="1"/>
  <c r="H167" i="18"/>
  <c r="Y157" i="17"/>
  <c r="J157" i="21"/>
  <c r="R177" i="19"/>
  <c r="C356" i="21"/>
  <c r="A355" i="21"/>
  <c r="B355" i="21" s="1"/>
  <c r="B380" i="19"/>
  <c r="AC379" i="19"/>
  <c r="A379" i="19"/>
  <c r="H229" i="20" l="1"/>
  <c r="K229" i="20" s="1"/>
  <c r="K137" i="21"/>
  <c r="R157" i="20"/>
  <c r="AD156" i="20"/>
  <c r="F137" i="21" s="1"/>
  <c r="C357" i="21"/>
  <c r="A356" i="21"/>
  <c r="B356" i="21" s="1"/>
  <c r="K269" i="19"/>
  <c r="J224" i="17"/>
  <c r="I138" i="21"/>
  <c r="R158" i="17"/>
  <c r="AD157" i="17"/>
  <c r="D138" i="21" s="1"/>
  <c r="AC377" i="20"/>
  <c r="B378" i="20"/>
  <c r="U177" i="19"/>
  <c r="X177" i="19" s="1"/>
  <c r="J269" i="19"/>
  <c r="L269" i="19" s="1"/>
  <c r="F270" i="19" s="1"/>
  <c r="B381" i="19"/>
  <c r="AC380" i="19"/>
  <c r="A380" i="19"/>
  <c r="J167" i="18"/>
  <c r="AC377" i="17"/>
  <c r="B378" i="17"/>
  <c r="H270" i="19" l="1"/>
  <c r="K270" i="19"/>
  <c r="L270" i="19"/>
  <c r="F271" i="19" s="1"/>
  <c r="AC378" i="20"/>
  <c r="B379" i="20"/>
  <c r="AC378" i="17"/>
  <c r="B379" i="17"/>
  <c r="E168" i="18"/>
  <c r="AA167" i="19"/>
  <c r="AD167" i="19" s="1"/>
  <c r="E148" i="21" s="1"/>
  <c r="AA167" i="17"/>
  <c r="AA167" i="20"/>
  <c r="Y177" i="19"/>
  <c r="U158" i="17"/>
  <c r="K224" i="17"/>
  <c r="L224" i="17" s="1"/>
  <c r="F225" i="17" s="1"/>
  <c r="L229" i="20"/>
  <c r="F230" i="20" s="1"/>
  <c r="AC381" i="19"/>
  <c r="B382" i="19"/>
  <c r="A381" i="19"/>
  <c r="U157" i="20"/>
  <c r="X157" i="20" s="1"/>
  <c r="C358" i="21"/>
  <c r="A357" i="21"/>
  <c r="B357" i="21" s="1"/>
  <c r="H225" i="17" l="1"/>
  <c r="Y158" i="17"/>
  <c r="Y157" i="20"/>
  <c r="X158" i="17"/>
  <c r="B380" i="17"/>
  <c r="AC379" i="17"/>
  <c r="J230" i="20"/>
  <c r="L230" i="20" s="1"/>
  <c r="F231" i="20" s="1"/>
  <c r="K230" i="20"/>
  <c r="H230" i="20"/>
  <c r="AC379" i="20"/>
  <c r="B380" i="20"/>
  <c r="K271" i="19"/>
  <c r="L271" i="19"/>
  <c r="F272" i="19" s="1"/>
  <c r="H271" i="19"/>
  <c r="G168" i="18"/>
  <c r="I168" i="18"/>
  <c r="J168" i="18" s="1"/>
  <c r="A382" i="19"/>
  <c r="AC382" i="19"/>
  <c r="B383" i="19"/>
  <c r="C359" i="21"/>
  <c r="A358" i="21"/>
  <c r="B358" i="21" s="1"/>
  <c r="J158" i="21"/>
  <c r="R178" i="19"/>
  <c r="E169" i="18" l="1"/>
  <c r="AA168" i="19"/>
  <c r="AD168" i="19" s="1"/>
  <c r="E149" i="21" s="1"/>
  <c r="AA168" i="17"/>
  <c r="AA168" i="20"/>
  <c r="K231" i="20"/>
  <c r="L231" i="20" s="1"/>
  <c r="F232" i="20" s="1"/>
  <c r="H231" i="20"/>
  <c r="U178" i="19"/>
  <c r="X178" i="19" s="1"/>
  <c r="H272" i="19"/>
  <c r="J272" i="19" s="1"/>
  <c r="K138" i="21"/>
  <c r="R158" i="20"/>
  <c r="AD157" i="20"/>
  <c r="F138" i="21" s="1"/>
  <c r="R159" i="17"/>
  <c r="I139" i="21"/>
  <c r="AD158" i="17"/>
  <c r="D139" i="21" s="1"/>
  <c r="C360" i="21"/>
  <c r="A359" i="21"/>
  <c r="B359" i="21" s="1"/>
  <c r="AC380" i="17"/>
  <c r="B381" i="17"/>
  <c r="K225" i="17"/>
  <c r="L225" i="17" s="1"/>
  <c r="F226" i="17" s="1"/>
  <c r="B381" i="20"/>
  <c r="AC380" i="20"/>
  <c r="AC383" i="19"/>
  <c r="B384" i="19"/>
  <c r="A383" i="19"/>
  <c r="H232" i="20" l="1"/>
  <c r="K232" i="20" s="1"/>
  <c r="H226" i="17"/>
  <c r="B385" i="19"/>
  <c r="A384" i="19"/>
  <c r="AC384" i="19"/>
  <c r="X158" i="20"/>
  <c r="Y158" i="20" s="1"/>
  <c r="U158" i="20"/>
  <c r="AC381" i="20"/>
  <c r="B382" i="20"/>
  <c r="L272" i="19"/>
  <c r="F273" i="19" s="1"/>
  <c r="Y178" i="19"/>
  <c r="K272" i="19"/>
  <c r="C361" i="21"/>
  <c r="A360" i="21"/>
  <c r="B360" i="21" s="1"/>
  <c r="AC381" i="17"/>
  <c r="B382" i="17"/>
  <c r="X159" i="17"/>
  <c r="U159" i="17"/>
  <c r="Y159" i="17" s="1"/>
  <c r="G169" i="18"/>
  <c r="J169" i="18" s="1"/>
  <c r="I169" i="18"/>
  <c r="R160" i="17" l="1"/>
  <c r="I140" i="21"/>
  <c r="AD159" i="17"/>
  <c r="D140" i="21" s="1"/>
  <c r="R159" i="20"/>
  <c r="K139" i="21"/>
  <c r="AD158" i="20"/>
  <c r="F139" i="21" s="1"/>
  <c r="AA169" i="17"/>
  <c r="AA169" i="20"/>
  <c r="AA169" i="19"/>
  <c r="AD169" i="19" s="1"/>
  <c r="E150" i="21" s="1"/>
  <c r="E170" i="18"/>
  <c r="K226" i="17"/>
  <c r="L226" i="17" s="1"/>
  <c r="F227" i="17" s="1"/>
  <c r="H273" i="19"/>
  <c r="K273" i="19"/>
  <c r="L273" i="19"/>
  <c r="F274" i="19" s="1"/>
  <c r="R179" i="19"/>
  <c r="J159" i="21"/>
  <c r="C362" i="21"/>
  <c r="A361" i="21"/>
  <c r="B361" i="21" s="1"/>
  <c r="B386" i="19"/>
  <c r="AC385" i="19"/>
  <c r="A385" i="19"/>
  <c r="L232" i="20"/>
  <c r="F233" i="20" s="1"/>
  <c r="B383" i="17"/>
  <c r="AC382" i="17"/>
  <c r="B383" i="20"/>
  <c r="AC382" i="20"/>
  <c r="H227" i="17" l="1"/>
  <c r="J227" i="17" s="1"/>
  <c r="X159" i="20"/>
  <c r="Y159" i="20"/>
  <c r="U159" i="20"/>
  <c r="C363" i="21"/>
  <c r="A362" i="21"/>
  <c r="B362" i="21" s="1"/>
  <c r="U179" i="19"/>
  <c r="AC386" i="19"/>
  <c r="B387" i="19"/>
  <c r="A386" i="19"/>
  <c r="AC383" i="17"/>
  <c r="B384" i="17"/>
  <c r="H233" i="20"/>
  <c r="J233" i="20" s="1"/>
  <c r="G170" i="18"/>
  <c r="H274" i="19"/>
  <c r="K274" i="19" s="1"/>
  <c r="AC383" i="20"/>
  <c r="B384" i="20"/>
  <c r="U160" i="17"/>
  <c r="X160" i="17" s="1"/>
  <c r="Y179" i="19" l="1"/>
  <c r="R160" i="20"/>
  <c r="K140" i="21"/>
  <c r="AD159" i="20"/>
  <c r="F140" i="21" s="1"/>
  <c r="L233" i="20"/>
  <c r="F234" i="20" s="1"/>
  <c r="X179" i="19"/>
  <c r="L274" i="19"/>
  <c r="F275" i="19" s="1"/>
  <c r="K233" i="20"/>
  <c r="AC387" i="19"/>
  <c r="A387" i="19"/>
  <c r="B388" i="19"/>
  <c r="A363" i="21"/>
  <c r="B363" i="21" s="1"/>
  <c r="C364" i="21"/>
  <c r="L227" i="17"/>
  <c r="F228" i="17" s="1"/>
  <c r="I170" i="18"/>
  <c r="B385" i="20"/>
  <c r="AC384" i="20"/>
  <c r="H170" i="18"/>
  <c r="J170" i="18" s="1"/>
  <c r="K227" i="17"/>
  <c r="Y160" i="17"/>
  <c r="AC384" i="17"/>
  <c r="B385" i="17"/>
  <c r="AA170" i="19" l="1"/>
  <c r="AD170" i="19" s="1"/>
  <c r="E151" i="21" s="1"/>
  <c r="AA170" i="17"/>
  <c r="E171" i="18"/>
  <c r="AA170" i="20"/>
  <c r="A388" i="19"/>
  <c r="B389" i="19"/>
  <c r="AC388" i="19"/>
  <c r="B386" i="20"/>
  <c r="AC385" i="20"/>
  <c r="U160" i="20"/>
  <c r="B386" i="17"/>
  <c r="AC385" i="17"/>
  <c r="R161" i="17"/>
  <c r="I141" i="21"/>
  <c r="AD160" i="17"/>
  <c r="D141" i="21" s="1"/>
  <c r="A364" i="21"/>
  <c r="B364" i="21" s="1"/>
  <c r="C365" i="21"/>
  <c r="H275" i="19"/>
  <c r="J275" i="19"/>
  <c r="K275" i="19"/>
  <c r="L275" i="19"/>
  <c r="F276" i="19" s="1"/>
  <c r="R180" i="19"/>
  <c r="J160" i="21"/>
  <c r="H234" i="20"/>
  <c r="K234" i="20" s="1"/>
  <c r="K228" i="17"/>
  <c r="L228" i="17" s="1"/>
  <c r="F229" i="17" s="1"/>
  <c r="H228" i="17"/>
  <c r="H229" i="17" l="1"/>
  <c r="K229" i="17" s="1"/>
  <c r="U180" i="19"/>
  <c r="Y180" i="19" s="1"/>
  <c r="X180" i="19"/>
  <c r="AC389" i="19"/>
  <c r="B390" i="19"/>
  <c r="A389" i="19"/>
  <c r="X160" i="20"/>
  <c r="Y160" i="20" s="1"/>
  <c r="U161" i="17"/>
  <c r="X161" i="17" s="1"/>
  <c r="G171" i="18"/>
  <c r="L234" i="20"/>
  <c r="F235" i="20" s="1"/>
  <c r="B387" i="20"/>
  <c r="AC386" i="20"/>
  <c r="K276" i="19"/>
  <c r="L276" i="19"/>
  <c r="F277" i="19" s="1"/>
  <c r="H276" i="19"/>
  <c r="A365" i="21"/>
  <c r="B365" i="21" s="1"/>
  <c r="C366" i="21"/>
  <c r="AC386" i="17"/>
  <c r="B387" i="17"/>
  <c r="J161" i="21" l="1"/>
  <c r="R181" i="19"/>
  <c r="R161" i="20"/>
  <c r="K141" i="21"/>
  <c r="AD160" i="20"/>
  <c r="F141" i="21" s="1"/>
  <c r="A390" i="19"/>
  <c r="AC390" i="19"/>
  <c r="B391" i="19"/>
  <c r="C367" i="21"/>
  <c r="A366" i="21"/>
  <c r="B366" i="21" s="1"/>
  <c r="L229" i="17"/>
  <c r="F230" i="17" s="1"/>
  <c r="H277" i="19"/>
  <c r="K277" i="19"/>
  <c r="L277" i="19"/>
  <c r="F278" i="19" s="1"/>
  <c r="I171" i="18"/>
  <c r="J171" i="18" s="1"/>
  <c r="B388" i="20"/>
  <c r="AC387" i="20"/>
  <c r="Y161" i="17"/>
  <c r="AC387" i="17"/>
  <c r="B388" i="17"/>
  <c r="H235" i="20"/>
  <c r="AA171" i="20" l="1"/>
  <c r="AA171" i="17"/>
  <c r="AA171" i="19"/>
  <c r="AD171" i="19" s="1"/>
  <c r="E152" i="21" s="1"/>
  <c r="E172" i="18"/>
  <c r="K235" i="20"/>
  <c r="L235" i="20" s="1"/>
  <c r="F236" i="20" s="1"/>
  <c r="H230" i="17"/>
  <c r="A367" i="21"/>
  <c r="B367" i="21" s="1"/>
  <c r="C368" i="21"/>
  <c r="B389" i="17"/>
  <c r="AC388" i="17"/>
  <c r="U181" i="19"/>
  <c r="X181" i="19" s="1"/>
  <c r="B389" i="20"/>
  <c r="AC388" i="20"/>
  <c r="U161" i="20"/>
  <c r="K278" i="19"/>
  <c r="L278" i="19" s="1"/>
  <c r="F279" i="19" s="1"/>
  <c r="H278" i="19"/>
  <c r="J278" i="19"/>
  <c r="A391" i="19"/>
  <c r="AC391" i="19"/>
  <c r="B392" i="19"/>
  <c r="R162" i="17"/>
  <c r="I142" i="21"/>
  <c r="AD161" i="17"/>
  <c r="D142" i="21" s="1"/>
  <c r="H236" i="20" l="1"/>
  <c r="J236" i="20" s="1"/>
  <c r="L279" i="19"/>
  <c r="F280" i="19" s="1"/>
  <c r="H279" i="19"/>
  <c r="K279" i="19"/>
  <c r="AC389" i="20"/>
  <c r="B390" i="20"/>
  <c r="C369" i="21"/>
  <c r="A368" i="21"/>
  <c r="B368" i="21" s="1"/>
  <c r="B393" i="19"/>
  <c r="A392" i="19"/>
  <c r="AC392" i="19"/>
  <c r="I172" i="18"/>
  <c r="J172" i="18"/>
  <c r="G172" i="18"/>
  <c r="Y181" i="19"/>
  <c r="X161" i="20"/>
  <c r="Y161" i="20" s="1"/>
  <c r="J230" i="17"/>
  <c r="K230" i="17" s="1"/>
  <c r="U162" i="17"/>
  <c r="X162" i="17" s="1"/>
  <c r="B390" i="17"/>
  <c r="AC389" i="17"/>
  <c r="K142" i="21" l="1"/>
  <c r="R162" i="20"/>
  <c r="AD161" i="20"/>
  <c r="F142" i="21" s="1"/>
  <c r="B391" i="17"/>
  <c r="AC390" i="17"/>
  <c r="H280" i="19"/>
  <c r="K280" i="19" s="1"/>
  <c r="R182" i="19"/>
  <c r="J162" i="21"/>
  <c r="K236" i="20"/>
  <c r="L236" i="20" s="1"/>
  <c r="F237" i="20" s="1"/>
  <c r="B394" i="19"/>
  <c r="A393" i="19"/>
  <c r="AC393" i="19"/>
  <c r="AA172" i="19"/>
  <c r="AD172" i="19" s="1"/>
  <c r="E153" i="21" s="1"/>
  <c r="AA172" i="20"/>
  <c r="E173" i="18"/>
  <c r="AA172" i="17"/>
  <c r="A369" i="21"/>
  <c r="B369" i="21" s="1"/>
  <c r="C370" i="21"/>
  <c r="B391" i="20"/>
  <c r="AC390" i="20"/>
  <c r="Y162" i="17"/>
  <c r="L230" i="17"/>
  <c r="F231" i="17" s="1"/>
  <c r="H237" i="20" l="1"/>
  <c r="K237" i="20" s="1"/>
  <c r="AC391" i="17"/>
  <c r="B392" i="17"/>
  <c r="I143" i="21"/>
  <c r="R163" i="17"/>
  <c r="AD162" i="17"/>
  <c r="D143" i="21" s="1"/>
  <c r="G173" i="18"/>
  <c r="H173" i="18" s="1"/>
  <c r="I173" i="18"/>
  <c r="L280" i="19"/>
  <c r="F281" i="19" s="1"/>
  <c r="U162" i="20"/>
  <c r="B392" i="20"/>
  <c r="AC391" i="20"/>
  <c r="U182" i="19"/>
  <c r="X182" i="19" s="1"/>
  <c r="Y182" i="19" s="1"/>
  <c r="C371" i="21"/>
  <c r="A370" i="21"/>
  <c r="B370" i="21" s="1"/>
  <c r="H231" i="17"/>
  <c r="AC394" i="19"/>
  <c r="A394" i="19"/>
  <c r="B395" i="19"/>
  <c r="J163" i="21" l="1"/>
  <c r="R183" i="19"/>
  <c r="AC392" i="17"/>
  <c r="B393" i="17"/>
  <c r="J173" i="18"/>
  <c r="L237" i="20"/>
  <c r="F238" i="20" s="1"/>
  <c r="AC392" i="20"/>
  <c r="B393" i="20"/>
  <c r="C372" i="21"/>
  <c r="A371" i="21"/>
  <c r="B371" i="21" s="1"/>
  <c r="X162" i="20"/>
  <c r="Y162" i="20" s="1"/>
  <c r="K231" i="17"/>
  <c r="L231" i="17" s="1"/>
  <c r="F232" i="17" s="1"/>
  <c r="H281" i="19"/>
  <c r="J281" i="19" s="1"/>
  <c r="A395" i="19"/>
  <c r="AC395" i="19"/>
  <c r="B396" i="19"/>
  <c r="U163" i="17"/>
  <c r="H232" i="17" l="1"/>
  <c r="K232" i="17" s="1"/>
  <c r="Y163" i="17"/>
  <c r="K143" i="21"/>
  <c r="R163" i="20"/>
  <c r="AD162" i="20"/>
  <c r="F143" i="21" s="1"/>
  <c r="X163" i="17"/>
  <c r="AC393" i="17"/>
  <c r="B394" i="17"/>
  <c r="A372" i="21"/>
  <c r="B372" i="21" s="1"/>
  <c r="C373" i="21"/>
  <c r="AC396" i="19"/>
  <c r="B397" i="19"/>
  <c r="A396" i="19"/>
  <c r="K281" i="19"/>
  <c r="L281" i="19" s="1"/>
  <c r="F282" i="19" s="1"/>
  <c r="U183" i="19"/>
  <c r="X183" i="19" s="1"/>
  <c r="AC393" i="20"/>
  <c r="B394" i="20"/>
  <c r="K238" i="20"/>
  <c r="L238" i="20" s="1"/>
  <c r="F239" i="20" s="1"/>
  <c r="H238" i="20"/>
  <c r="AA173" i="17"/>
  <c r="AA173" i="19"/>
  <c r="AD173" i="19" s="1"/>
  <c r="E154" i="21" s="1"/>
  <c r="E174" i="18"/>
  <c r="AA173" i="20"/>
  <c r="H282" i="19" l="1"/>
  <c r="K282" i="19"/>
  <c r="L282" i="19"/>
  <c r="F283" i="19" s="1"/>
  <c r="J239" i="20"/>
  <c r="H239" i="20"/>
  <c r="U163" i="20"/>
  <c r="I144" i="21"/>
  <c r="R164" i="17"/>
  <c r="AD163" i="17"/>
  <c r="D144" i="21" s="1"/>
  <c r="AC394" i="20"/>
  <c r="B395" i="20"/>
  <c r="Y183" i="19"/>
  <c r="L232" i="17"/>
  <c r="F233" i="17" s="1"/>
  <c r="B395" i="17"/>
  <c r="AC394" i="17"/>
  <c r="G174" i="18"/>
  <c r="I174" i="18" s="1"/>
  <c r="AC397" i="19"/>
  <c r="A397" i="19"/>
  <c r="B398" i="19"/>
  <c r="C374" i="21"/>
  <c r="A373" i="21"/>
  <c r="B373" i="21" s="1"/>
  <c r="U164" i="17" l="1"/>
  <c r="X164" i="17" s="1"/>
  <c r="A374" i="21"/>
  <c r="B374" i="21" s="1"/>
  <c r="C375" i="21"/>
  <c r="K239" i="20"/>
  <c r="L239" i="20" s="1"/>
  <c r="F240" i="20" s="1"/>
  <c r="X163" i="20"/>
  <c r="Y163" i="20" s="1"/>
  <c r="H283" i="19"/>
  <c r="K283" i="19" s="1"/>
  <c r="R184" i="19"/>
  <c r="J164" i="21"/>
  <c r="J174" i="18"/>
  <c r="B399" i="19"/>
  <c r="AC398" i="19"/>
  <c r="A398" i="19"/>
  <c r="AC395" i="20"/>
  <c r="B396" i="20"/>
  <c r="AC395" i="17"/>
  <c r="B396" i="17"/>
  <c r="J233" i="17"/>
  <c r="H233" i="17"/>
  <c r="K233" i="17" s="1"/>
  <c r="H240" i="20" l="1"/>
  <c r="L233" i="17"/>
  <c r="F234" i="17" s="1"/>
  <c r="K144" i="21"/>
  <c r="R164" i="20"/>
  <c r="AD163" i="20"/>
  <c r="F144" i="21" s="1"/>
  <c r="Y164" i="17"/>
  <c r="L283" i="19"/>
  <c r="F284" i="19" s="1"/>
  <c r="B397" i="17"/>
  <c r="AC396" i="17"/>
  <c r="B397" i="20"/>
  <c r="AC396" i="20"/>
  <c r="B400" i="19"/>
  <c r="A399" i="19"/>
  <c r="AC399" i="19"/>
  <c r="AA174" i="20"/>
  <c r="AA174" i="17"/>
  <c r="AA174" i="19"/>
  <c r="AD174" i="19" s="1"/>
  <c r="E155" i="21" s="1"/>
  <c r="E175" i="18"/>
  <c r="U184" i="19"/>
  <c r="Y184" i="19" s="1"/>
  <c r="X184" i="19"/>
  <c r="A375" i="21"/>
  <c r="B375" i="21" s="1"/>
  <c r="C376" i="21"/>
  <c r="J165" i="21" l="1"/>
  <c r="R185" i="19"/>
  <c r="AC397" i="20"/>
  <c r="B398" i="20"/>
  <c r="B398" i="17"/>
  <c r="AC397" i="17"/>
  <c r="H284" i="19"/>
  <c r="L284" i="19" s="1"/>
  <c r="F285" i="19" s="1"/>
  <c r="J284" i="19"/>
  <c r="K284" i="19"/>
  <c r="G175" i="18"/>
  <c r="I175" i="18"/>
  <c r="J175" i="18"/>
  <c r="B401" i="19"/>
  <c r="AC400" i="19"/>
  <c r="A400" i="19"/>
  <c r="I145" i="21"/>
  <c r="R165" i="17"/>
  <c r="AD164" i="17"/>
  <c r="D145" i="21" s="1"/>
  <c r="K240" i="20"/>
  <c r="L240" i="20" s="1"/>
  <c r="F241" i="20" s="1"/>
  <c r="X164" i="20"/>
  <c r="Y164" i="20" s="1"/>
  <c r="U164" i="20"/>
  <c r="H234" i="17"/>
  <c r="A376" i="21"/>
  <c r="B376" i="21" s="1"/>
  <c r="C377" i="21"/>
  <c r="R165" i="20" l="1"/>
  <c r="K145" i="21"/>
  <c r="AD164" i="20"/>
  <c r="F145" i="21" s="1"/>
  <c r="L234" i="17"/>
  <c r="F235" i="17" s="1"/>
  <c r="K241" i="20"/>
  <c r="L241" i="20" s="1"/>
  <c r="F242" i="20" s="1"/>
  <c r="H241" i="20"/>
  <c r="H285" i="19"/>
  <c r="K285" i="19"/>
  <c r="L285" i="19" s="1"/>
  <c r="F286" i="19" s="1"/>
  <c r="AC398" i="20"/>
  <c r="B399" i="20"/>
  <c r="K234" i="17"/>
  <c r="U185" i="19"/>
  <c r="X185" i="19"/>
  <c r="Y185" i="19"/>
  <c r="AC401" i="19"/>
  <c r="B402" i="19"/>
  <c r="A401" i="19"/>
  <c r="AA175" i="19"/>
  <c r="AD175" i="19" s="1"/>
  <c r="E156" i="21" s="1"/>
  <c r="E176" i="18"/>
  <c r="AA175" i="20"/>
  <c r="AA175" i="17"/>
  <c r="X165" i="17"/>
  <c r="U165" i="17"/>
  <c r="Y165" i="17" s="1"/>
  <c r="C378" i="21"/>
  <c r="A377" i="21"/>
  <c r="B377" i="21" s="1"/>
  <c r="B399" i="17"/>
  <c r="AC398" i="17"/>
  <c r="R166" i="17" l="1"/>
  <c r="I146" i="21"/>
  <c r="AD165" i="17"/>
  <c r="D146" i="21" s="1"/>
  <c r="J242" i="20"/>
  <c r="L242" i="20" s="1"/>
  <c r="F243" i="20" s="1"/>
  <c r="K242" i="20"/>
  <c r="H242" i="20"/>
  <c r="H286" i="19"/>
  <c r="K286" i="19" s="1"/>
  <c r="L286" i="19" s="1"/>
  <c r="F287" i="19" s="1"/>
  <c r="H235" i="17"/>
  <c r="K235" i="17" s="1"/>
  <c r="AC399" i="20"/>
  <c r="B400" i="20"/>
  <c r="G176" i="18"/>
  <c r="I176" i="18" s="1"/>
  <c r="A402" i="19"/>
  <c r="AC402" i="19"/>
  <c r="B403" i="19"/>
  <c r="AC399" i="17"/>
  <c r="B400" i="17"/>
  <c r="J166" i="21"/>
  <c r="R186" i="19"/>
  <c r="C379" i="21"/>
  <c r="A378" i="21"/>
  <c r="B378" i="21" s="1"/>
  <c r="U165" i="20"/>
  <c r="X165" i="20" s="1"/>
  <c r="H243" i="20" l="1"/>
  <c r="K243" i="20" s="1"/>
  <c r="H287" i="19"/>
  <c r="C380" i="21"/>
  <c r="A379" i="21"/>
  <c r="B379" i="21" s="1"/>
  <c r="AC403" i="19"/>
  <c r="A403" i="19"/>
  <c r="B404" i="19"/>
  <c r="B401" i="20"/>
  <c r="AC400" i="20"/>
  <c r="U186" i="19"/>
  <c r="X186" i="19"/>
  <c r="Y186" i="19"/>
  <c r="Y165" i="20"/>
  <c r="L235" i="17"/>
  <c r="F236" i="17" s="1"/>
  <c r="H176" i="18"/>
  <c r="J176" i="18" s="1"/>
  <c r="AC400" i="17"/>
  <c r="B401" i="17"/>
  <c r="X166" i="17"/>
  <c r="U166" i="17"/>
  <c r="Y166" i="17" s="1"/>
  <c r="AA176" i="20" l="1"/>
  <c r="AA176" i="17"/>
  <c r="E177" i="18"/>
  <c r="AA176" i="19"/>
  <c r="AD176" i="19" s="1"/>
  <c r="E157" i="21" s="1"/>
  <c r="I147" i="21"/>
  <c r="R167" i="17"/>
  <c r="AD166" i="17"/>
  <c r="D147" i="21" s="1"/>
  <c r="R166" i="20"/>
  <c r="K146" i="21"/>
  <c r="AD165" i="20"/>
  <c r="F146" i="21" s="1"/>
  <c r="AC401" i="17"/>
  <c r="B402" i="17"/>
  <c r="H236" i="17"/>
  <c r="C381" i="21"/>
  <c r="A380" i="21"/>
  <c r="B380" i="21" s="1"/>
  <c r="L243" i="20"/>
  <c r="F244" i="20" s="1"/>
  <c r="B405" i="19"/>
  <c r="A404" i="19"/>
  <c r="AC404" i="19"/>
  <c r="J167" i="21"/>
  <c r="R187" i="19"/>
  <c r="J287" i="19"/>
  <c r="K287" i="19" s="1"/>
  <c r="B402" i="20"/>
  <c r="AC401" i="20"/>
  <c r="J236" i="17" l="1"/>
  <c r="K236" i="17" s="1"/>
  <c r="L236" i="17" s="1"/>
  <c r="F237" i="17" s="1"/>
  <c r="G177" i="18"/>
  <c r="J177" i="18" s="1"/>
  <c r="I177" i="18"/>
  <c r="L287" i="19"/>
  <c r="F288" i="19" s="1"/>
  <c r="B403" i="20"/>
  <c r="AC402" i="20"/>
  <c r="K244" i="20"/>
  <c r="L244" i="20"/>
  <c r="F245" i="20" s="1"/>
  <c r="H244" i="20"/>
  <c r="U187" i="19"/>
  <c r="X187" i="19"/>
  <c r="Y187" i="19"/>
  <c r="A405" i="19"/>
  <c r="B406" i="19"/>
  <c r="AC405" i="19"/>
  <c r="U166" i="20"/>
  <c r="B403" i="17"/>
  <c r="AC402" i="17"/>
  <c r="A381" i="21"/>
  <c r="B381" i="21" s="1"/>
  <c r="C382" i="21"/>
  <c r="U167" i="17"/>
  <c r="X167" i="17" s="1"/>
  <c r="AA177" i="17" l="1"/>
  <c r="AA177" i="20"/>
  <c r="AA177" i="19"/>
  <c r="AD177" i="19" s="1"/>
  <c r="E158" i="21" s="1"/>
  <c r="E178" i="18"/>
  <c r="H237" i="17"/>
  <c r="K237" i="17" s="1"/>
  <c r="L237" i="17" s="1"/>
  <c r="F238" i="17" s="1"/>
  <c r="AC403" i="17"/>
  <c r="B404" i="17"/>
  <c r="X166" i="20"/>
  <c r="Y166" i="20" s="1"/>
  <c r="A382" i="21"/>
  <c r="B382" i="21" s="1"/>
  <c r="C383" i="21"/>
  <c r="Y167" i="17"/>
  <c r="AC403" i="20"/>
  <c r="B404" i="20"/>
  <c r="J245" i="20"/>
  <c r="H245" i="20"/>
  <c r="K245" i="20" s="1"/>
  <c r="L245" i="20" s="1"/>
  <c r="F246" i="20" s="1"/>
  <c r="J168" i="21"/>
  <c r="R188" i="19"/>
  <c r="A406" i="19"/>
  <c r="B407" i="19"/>
  <c r="AC406" i="19"/>
  <c r="H288" i="19"/>
  <c r="K288" i="19" s="1"/>
  <c r="H246" i="20" l="1"/>
  <c r="H238" i="17"/>
  <c r="K147" i="21"/>
  <c r="R167" i="20"/>
  <c r="AD166" i="20"/>
  <c r="F147" i="21" s="1"/>
  <c r="AC407" i="19"/>
  <c r="B408" i="19"/>
  <c r="A407" i="19"/>
  <c r="L288" i="19"/>
  <c r="F289" i="19" s="1"/>
  <c r="G178" i="18"/>
  <c r="I178" i="18" s="1"/>
  <c r="U188" i="19"/>
  <c r="X188" i="19" s="1"/>
  <c r="AC404" i="20"/>
  <c r="B405" i="20"/>
  <c r="AC404" i="17"/>
  <c r="B405" i="17"/>
  <c r="I148" i="21"/>
  <c r="T42" i="2" s="1"/>
  <c r="R168" i="17"/>
  <c r="AQ74" i="21"/>
  <c r="AD167" i="17"/>
  <c r="D148" i="21" s="1"/>
  <c r="AC53" i="21" s="1"/>
  <c r="AQ70" i="21" s="1"/>
  <c r="AQ72" i="21" s="1"/>
  <c r="AQ77" i="21" s="1"/>
  <c r="C384" i="21"/>
  <c r="A383" i="21"/>
  <c r="B383" i="21" s="1"/>
  <c r="AC408" i="19" l="1"/>
  <c r="A408" i="19"/>
  <c r="B409" i="19"/>
  <c r="C385" i="21"/>
  <c r="A384" i="21"/>
  <c r="B384" i="21" s="1"/>
  <c r="J178" i="18"/>
  <c r="K238" i="17"/>
  <c r="L238" i="17" s="1"/>
  <c r="F239" i="17" s="1"/>
  <c r="Y188" i="19"/>
  <c r="X167" i="20"/>
  <c r="Y167" i="20"/>
  <c r="U167" i="20"/>
  <c r="K246" i="20"/>
  <c r="L246" i="20" s="1"/>
  <c r="F247" i="20" s="1"/>
  <c r="AC405" i="20"/>
  <c r="B406" i="20"/>
  <c r="X168" i="17"/>
  <c r="Y168" i="17"/>
  <c r="U168" i="17"/>
  <c r="AC405" i="17"/>
  <c r="B406" i="17"/>
  <c r="H289" i="19"/>
  <c r="K289" i="19"/>
  <c r="L289" i="19"/>
  <c r="F290" i="19" s="1"/>
  <c r="H247" i="20" l="1"/>
  <c r="K247" i="20" s="1"/>
  <c r="J239" i="17"/>
  <c r="H239" i="17"/>
  <c r="C386" i="21"/>
  <c r="A385" i="21"/>
  <c r="B385" i="21" s="1"/>
  <c r="R169" i="17"/>
  <c r="I149" i="21"/>
  <c r="AD168" i="17"/>
  <c r="D149" i="21" s="1"/>
  <c r="A409" i="19"/>
  <c r="B410" i="19"/>
  <c r="AC409" i="19"/>
  <c r="R168" i="20"/>
  <c r="K148" i="21"/>
  <c r="AD167" i="20"/>
  <c r="F148" i="21" s="1"/>
  <c r="J169" i="21"/>
  <c r="R189" i="19"/>
  <c r="AC406" i="17"/>
  <c r="B407" i="17"/>
  <c r="E179" i="18"/>
  <c r="AA178" i="17"/>
  <c r="AA178" i="19"/>
  <c r="AD178" i="19" s="1"/>
  <c r="E159" i="21" s="1"/>
  <c r="AA178" i="20"/>
  <c r="H290" i="19"/>
  <c r="J290" i="19" s="1"/>
  <c r="B407" i="20"/>
  <c r="AC406" i="20"/>
  <c r="U169" i="17" l="1"/>
  <c r="X169" i="17" s="1"/>
  <c r="K239" i="17"/>
  <c r="L239" i="17" s="1"/>
  <c r="F240" i="17" s="1"/>
  <c r="AC407" i="17"/>
  <c r="B408" i="17"/>
  <c r="U168" i="20"/>
  <c r="X168" i="20" s="1"/>
  <c r="U189" i="19"/>
  <c r="X189" i="19"/>
  <c r="Y189" i="19"/>
  <c r="B411" i="19"/>
  <c r="AC410" i="19"/>
  <c r="A410" i="19"/>
  <c r="A386" i="21"/>
  <c r="B386" i="21" s="1"/>
  <c r="C387" i="21"/>
  <c r="L247" i="20"/>
  <c r="F248" i="20" s="1"/>
  <c r="G179" i="18"/>
  <c r="K290" i="19"/>
  <c r="L290" i="19" s="1"/>
  <c r="F291" i="19" s="1"/>
  <c r="AC407" i="20"/>
  <c r="B408" i="20"/>
  <c r="H291" i="19" l="1"/>
  <c r="L291" i="19" s="1"/>
  <c r="F292" i="19" s="1"/>
  <c r="K291" i="19"/>
  <c r="K240" i="17"/>
  <c r="L240" i="17" s="1"/>
  <c r="F241" i="17" s="1"/>
  <c r="H240" i="17"/>
  <c r="I179" i="18"/>
  <c r="B409" i="17"/>
  <c r="AC408" i="17"/>
  <c r="Y169" i="17"/>
  <c r="B409" i="20"/>
  <c r="AC408" i="20"/>
  <c r="H248" i="20"/>
  <c r="AC411" i="19"/>
  <c r="A411" i="19"/>
  <c r="B412" i="19"/>
  <c r="Y168" i="20"/>
  <c r="R190" i="19"/>
  <c r="J170" i="21"/>
  <c r="A387" i="21"/>
  <c r="B387" i="21" s="1"/>
  <c r="C388" i="21"/>
  <c r="H179" i="18"/>
  <c r="J179" i="18" s="1"/>
  <c r="AA179" i="17" l="1"/>
  <c r="AA179" i="20"/>
  <c r="AA179" i="19"/>
  <c r="AD179" i="19" s="1"/>
  <c r="E160" i="21" s="1"/>
  <c r="E180" i="18"/>
  <c r="K241" i="17"/>
  <c r="H241" i="17"/>
  <c r="L241" i="17" s="1"/>
  <c r="F242" i="17" s="1"/>
  <c r="H292" i="19"/>
  <c r="K292" i="19"/>
  <c r="L292" i="19"/>
  <c r="F293" i="19" s="1"/>
  <c r="I150" i="21"/>
  <c r="R170" i="17"/>
  <c r="AD169" i="17"/>
  <c r="D150" i="21" s="1"/>
  <c r="J248" i="20"/>
  <c r="B410" i="20"/>
  <c r="AC409" i="20"/>
  <c r="K248" i="20"/>
  <c r="L248" i="20" s="1"/>
  <c r="F249" i="20" s="1"/>
  <c r="K149" i="21"/>
  <c r="R169" i="20"/>
  <c r="AD168" i="20"/>
  <c r="F149" i="21" s="1"/>
  <c r="U190" i="19"/>
  <c r="X190" i="19"/>
  <c r="Y190" i="19" s="1"/>
  <c r="AC409" i="17"/>
  <c r="B410" i="17"/>
  <c r="B413" i="19"/>
  <c r="AC412" i="19"/>
  <c r="A412" i="19"/>
  <c r="A388" i="21"/>
  <c r="B388" i="21" s="1"/>
  <c r="C389" i="21"/>
  <c r="H242" i="17" l="1"/>
  <c r="K249" i="20"/>
  <c r="L249" i="20"/>
  <c r="F250" i="20" s="1"/>
  <c r="H249" i="20"/>
  <c r="J171" i="21"/>
  <c r="R191" i="19"/>
  <c r="G180" i="18"/>
  <c r="I180" i="18" s="1"/>
  <c r="J180" i="18" s="1"/>
  <c r="H293" i="19"/>
  <c r="J293" i="19"/>
  <c r="L293" i="19" s="1"/>
  <c r="F294" i="19" s="1"/>
  <c r="K293" i="19"/>
  <c r="B411" i="20"/>
  <c r="AC410" i="20"/>
  <c r="AC410" i="17"/>
  <c r="B411" i="17"/>
  <c r="U169" i="20"/>
  <c r="X169" i="20" s="1"/>
  <c r="AC413" i="19"/>
  <c r="A413" i="19"/>
  <c r="B414" i="19"/>
  <c r="A389" i="21"/>
  <c r="B389" i="21" s="1"/>
  <c r="C390" i="21"/>
  <c r="X170" i="17"/>
  <c r="U170" i="17"/>
  <c r="Y170" i="17" s="1"/>
  <c r="I151" i="21" l="1"/>
  <c r="R171" i="17"/>
  <c r="AD170" i="17"/>
  <c r="D151" i="21" s="1"/>
  <c r="H294" i="19"/>
  <c r="K294" i="19"/>
  <c r="L294" i="19"/>
  <c r="F295" i="19" s="1"/>
  <c r="AA180" i="17"/>
  <c r="E181" i="18"/>
  <c r="AA180" i="20"/>
  <c r="AA180" i="19"/>
  <c r="AD180" i="19" s="1"/>
  <c r="E161" i="21" s="1"/>
  <c r="K242" i="17"/>
  <c r="A390" i="21"/>
  <c r="B390" i="21" s="1"/>
  <c r="C391" i="21"/>
  <c r="Y169" i="20"/>
  <c r="U191" i="19"/>
  <c r="X191" i="19"/>
  <c r="Y191" i="19"/>
  <c r="L242" i="17"/>
  <c r="F243" i="17" s="1"/>
  <c r="B412" i="17"/>
  <c r="AC411" i="17"/>
  <c r="J242" i="17"/>
  <c r="H250" i="20"/>
  <c r="AC411" i="20"/>
  <c r="B412" i="20"/>
  <c r="B415" i="19"/>
  <c r="AC414" i="19"/>
  <c r="A414" i="19"/>
  <c r="H295" i="19" l="1"/>
  <c r="L295" i="19" s="1"/>
  <c r="F296" i="19" s="1"/>
  <c r="K295" i="19"/>
  <c r="K250" i="20"/>
  <c r="L250" i="20" s="1"/>
  <c r="F251" i="20" s="1"/>
  <c r="R192" i="19"/>
  <c r="J172" i="21"/>
  <c r="H243" i="17"/>
  <c r="K243" i="17" s="1"/>
  <c r="AC412" i="20"/>
  <c r="B413" i="20"/>
  <c r="R170" i="20"/>
  <c r="K150" i="21"/>
  <c r="AD169" i="20"/>
  <c r="F150" i="21" s="1"/>
  <c r="G181" i="18"/>
  <c r="J181" i="18" s="1"/>
  <c r="I181" i="18"/>
  <c r="U171" i="17"/>
  <c r="A415" i="19"/>
  <c r="AC415" i="19"/>
  <c r="B416" i="19"/>
  <c r="AC412" i="17"/>
  <c r="B413" i="17"/>
  <c r="C392" i="21"/>
  <c r="A391" i="21"/>
  <c r="B391" i="21" s="1"/>
  <c r="AA181" i="19" l="1"/>
  <c r="AD181" i="19" s="1"/>
  <c r="E162" i="21" s="1"/>
  <c r="E182" i="18"/>
  <c r="AA181" i="17"/>
  <c r="AA181" i="20"/>
  <c r="Y171" i="17"/>
  <c r="J251" i="20"/>
  <c r="H251" i="20"/>
  <c r="K251" i="20" s="1"/>
  <c r="H296" i="19"/>
  <c r="X171" i="17"/>
  <c r="C393" i="21"/>
  <c r="A392" i="21"/>
  <c r="B392" i="21" s="1"/>
  <c r="X170" i="20"/>
  <c r="Y170" i="20"/>
  <c r="U170" i="20"/>
  <c r="U192" i="19"/>
  <c r="X192" i="19"/>
  <c r="Y192" i="19"/>
  <c r="L243" i="17"/>
  <c r="F244" i="17" s="1"/>
  <c r="B414" i="17"/>
  <c r="AC413" i="17"/>
  <c r="A416" i="19"/>
  <c r="B417" i="19"/>
  <c r="AC416" i="19"/>
  <c r="AC413" i="20"/>
  <c r="B414" i="20"/>
  <c r="H244" i="17" l="1"/>
  <c r="K244" i="17" s="1"/>
  <c r="R171" i="20"/>
  <c r="K151" i="21"/>
  <c r="AD170" i="20"/>
  <c r="F151" i="21" s="1"/>
  <c r="B415" i="17"/>
  <c r="AC414" i="17"/>
  <c r="A417" i="19"/>
  <c r="AC417" i="19"/>
  <c r="B418" i="19"/>
  <c r="L251" i="20"/>
  <c r="F252" i="20" s="1"/>
  <c r="G182" i="18"/>
  <c r="H182" i="18" s="1"/>
  <c r="B415" i="20"/>
  <c r="AC414" i="20"/>
  <c r="I152" i="21"/>
  <c r="R172" i="17"/>
  <c r="AD171" i="17"/>
  <c r="D152" i="21" s="1"/>
  <c r="R193" i="19"/>
  <c r="J173" i="21"/>
  <c r="J296" i="19"/>
  <c r="C394" i="21"/>
  <c r="A393" i="21"/>
  <c r="B393" i="21" s="1"/>
  <c r="U172" i="17" l="1"/>
  <c r="X172" i="17" s="1"/>
  <c r="C395" i="21"/>
  <c r="A394" i="21"/>
  <c r="B394" i="21" s="1"/>
  <c r="U171" i="20"/>
  <c r="X171" i="20" s="1"/>
  <c r="Y171" i="20" s="1"/>
  <c r="B416" i="17"/>
  <c r="AC415" i="17"/>
  <c r="L244" i="17"/>
  <c r="F245" i="17" s="1"/>
  <c r="AC415" i="20"/>
  <c r="B416" i="20"/>
  <c r="U193" i="19"/>
  <c r="X193" i="19" s="1"/>
  <c r="Y193" i="19" s="1"/>
  <c r="I182" i="18"/>
  <c r="J182" i="18" s="1"/>
  <c r="A418" i="19"/>
  <c r="B419" i="19"/>
  <c r="AC418" i="19"/>
  <c r="K296" i="19"/>
  <c r="L296" i="19" s="1"/>
  <c r="F297" i="19" s="1"/>
  <c r="K252" i="20"/>
  <c r="L252" i="20" s="1"/>
  <c r="F253" i="20" s="1"/>
  <c r="H252" i="20"/>
  <c r="E183" i="18" l="1"/>
  <c r="AA182" i="19"/>
  <c r="AD182" i="19" s="1"/>
  <c r="E163" i="21" s="1"/>
  <c r="AA182" i="17"/>
  <c r="AA182" i="20"/>
  <c r="K152" i="21"/>
  <c r="R172" i="20"/>
  <c r="AD171" i="20"/>
  <c r="F152" i="21" s="1"/>
  <c r="H253" i="20"/>
  <c r="K253" i="20" s="1"/>
  <c r="J174" i="21"/>
  <c r="R194" i="19"/>
  <c r="H297" i="19"/>
  <c r="K297" i="19" s="1"/>
  <c r="J245" i="17"/>
  <c r="L245" i="17" s="1"/>
  <c r="F246" i="17" s="1"/>
  <c r="K245" i="17"/>
  <c r="H245" i="17"/>
  <c r="C396" i="21"/>
  <c r="A395" i="21"/>
  <c r="B395" i="21" s="1"/>
  <c r="AC416" i="20"/>
  <c r="B417" i="20"/>
  <c r="Y172" i="17"/>
  <c r="AC416" i="17"/>
  <c r="B417" i="17"/>
  <c r="A419" i="19"/>
  <c r="AC419" i="19"/>
  <c r="B420" i="19"/>
  <c r="H246" i="17" l="1"/>
  <c r="I153" i="21"/>
  <c r="R173" i="17"/>
  <c r="AD172" i="17"/>
  <c r="D153" i="21" s="1"/>
  <c r="U172" i="20"/>
  <c r="X172" i="20" s="1"/>
  <c r="AC417" i="20"/>
  <c r="B418" i="20"/>
  <c r="C397" i="21"/>
  <c r="A396" i="21"/>
  <c r="B396" i="21" s="1"/>
  <c r="L297" i="19"/>
  <c r="F298" i="19" s="1"/>
  <c r="L253" i="20"/>
  <c r="F254" i="20" s="1"/>
  <c r="U194" i="19"/>
  <c r="X194" i="19" s="1"/>
  <c r="A420" i="19"/>
  <c r="AC420" i="19"/>
  <c r="B421" i="19"/>
  <c r="B418" i="17"/>
  <c r="AC417" i="17"/>
  <c r="G183" i="18"/>
  <c r="I183" i="18"/>
  <c r="J183" i="18"/>
  <c r="AC418" i="20" l="1"/>
  <c r="B419" i="20"/>
  <c r="AC418" i="17"/>
  <c r="B419" i="17"/>
  <c r="B422" i="19"/>
  <c r="A421" i="19"/>
  <c r="AC421" i="19"/>
  <c r="Y172" i="20"/>
  <c r="U173" i="17"/>
  <c r="X173" i="17" s="1"/>
  <c r="AA183" i="19"/>
  <c r="AD183" i="19" s="1"/>
  <c r="E164" i="21" s="1"/>
  <c r="E184" i="18"/>
  <c r="AA183" i="20"/>
  <c r="AA183" i="17"/>
  <c r="Y194" i="19"/>
  <c r="C398" i="21"/>
  <c r="A397" i="21"/>
  <c r="B397" i="21" s="1"/>
  <c r="K246" i="17"/>
  <c r="L246" i="17" s="1"/>
  <c r="F247" i="17" s="1"/>
  <c r="H254" i="20"/>
  <c r="H298" i="19"/>
  <c r="K298" i="19" s="1"/>
  <c r="H247" i="17" l="1"/>
  <c r="J254" i="20"/>
  <c r="A422" i="19"/>
  <c r="AC422" i="19"/>
  <c r="B423" i="19"/>
  <c r="Y173" i="17"/>
  <c r="K153" i="21"/>
  <c r="R173" i="20"/>
  <c r="AD172" i="20"/>
  <c r="F153" i="21" s="1"/>
  <c r="AC419" i="20"/>
  <c r="B420" i="20"/>
  <c r="A398" i="21"/>
  <c r="B398" i="21" s="1"/>
  <c r="C399" i="21"/>
  <c r="J175" i="21"/>
  <c r="R195" i="19"/>
  <c r="L298" i="19"/>
  <c r="F299" i="19" s="1"/>
  <c r="G184" i="18"/>
  <c r="AC419" i="17"/>
  <c r="B420" i="17"/>
  <c r="K254" i="20" l="1"/>
  <c r="L254" i="20" s="1"/>
  <c r="F255" i="20" s="1"/>
  <c r="U173" i="20"/>
  <c r="X173" i="20" s="1"/>
  <c r="I184" i="18"/>
  <c r="J184" i="18" s="1"/>
  <c r="R174" i="17"/>
  <c r="I154" i="21"/>
  <c r="AD173" i="17"/>
  <c r="D154" i="21" s="1"/>
  <c r="K247" i="17"/>
  <c r="L247" i="17" s="1"/>
  <c r="F248" i="17" s="1"/>
  <c r="B424" i="19"/>
  <c r="A423" i="19"/>
  <c r="AC423" i="19"/>
  <c r="A399" i="21"/>
  <c r="B399" i="21" s="1"/>
  <c r="C400" i="21"/>
  <c r="B421" i="20"/>
  <c r="AC420" i="20"/>
  <c r="H299" i="19"/>
  <c r="K299" i="19" s="1"/>
  <c r="J299" i="19"/>
  <c r="L299" i="19" s="1"/>
  <c r="F300" i="19" s="1"/>
  <c r="AC420" i="17"/>
  <c r="B421" i="17"/>
  <c r="U195" i="19"/>
  <c r="X195" i="19"/>
  <c r="Y195" i="19" s="1"/>
  <c r="E185" i="18" l="1"/>
  <c r="AA184" i="19"/>
  <c r="AD184" i="19" s="1"/>
  <c r="E165" i="21" s="1"/>
  <c r="AA184" i="20"/>
  <c r="AA184" i="17"/>
  <c r="H300" i="19"/>
  <c r="R196" i="19"/>
  <c r="J176" i="21"/>
  <c r="J248" i="17"/>
  <c r="L248" i="17" s="1"/>
  <c r="F249" i="17" s="1"/>
  <c r="K248" i="17"/>
  <c r="H248" i="17"/>
  <c r="H255" i="20"/>
  <c r="A400" i="21"/>
  <c r="B400" i="21" s="1"/>
  <c r="C401" i="21"/>
  <c r="B422" i="20"/>
  <c r="AC421" i="20"/>
  <c r="U174" i="17"/>
  <c r="B422" i="17"/>
  <c r="AC421" i="17"/>
  <c r="B425" i="19"/>
  <c r="AC424" i="19"/>
  <c r="A424" i="19"/>
  <c r="Y173" i="20"/>
  <c r="H249" i="17" l="1"/>
  <c r="C402" i="21"/>
  <c r="A401" i="21"/>
  <c r="B401" i="21" s="1"/>
  <c r="K300" i="19"/>
  <c r="L300" i="19" s="1"/>
  <c r="F301" i="19" s="1"/>
  <c r="X174" i="17"/>
  <c r="Y174" i="17" s="1"/>
  <c r="K255" i="20"/>
  <c r="L255" i="20" s="1"/>
  <c r="F256" i="20" s="1"/>
  <c r="K154" i="21"/>
  <c r="R174" i="20"/>
  <c r="AD173" i="20"/>
  <c r="F154" i="21" s="1"/>
  <c r="X196" i="19"/>
  <c r="Y196" i="19"/>
  <c r="U196" i="19"/>
  <c r="B423" i="17"/>
  <c r="AC422" i="17"/>
  <c r="B426" i="19"/>
  <c r="A425" i="19"/>
  <c r="AC425" i="19"/>
  <c r="B423" i="20"/>
  <c r="AC422" i="20"/>
  <c r="G185" i="18"/>
  <c r="H185" i="18" s="1"/>
  <c r="J185" i="18" s="1"/>
  <c r="I185" i="18"/>
  <c r="AA185" i="19" l="1"/>
  <c r="AD185" i="19" s="1"/>
  <c r="E166" i="21" s="1"/>
  <c r="AA185" i="20"/>
  <c r="E186" i="18"/>
  <c r="AA185" i="17"/>
  <c r="K256" i="20"/>
  <c r="L256" i="20"/>
  <c r="F257" i="20" s="1"/>
  <c r="H256" i="20"/>
  <c r="I155" i="21"/>
  <c r="R175" i="17"/>
  <c r="AD174" i="17"/>
  <c r="D155" i="21" s="1"/>
  <c r="H301" i="19"/>
  <c r="L301" i="19" s="1"/>
  <c r="F302" i="19" s="1"/>
  <c r="K301" i="19"/>
  <c r="K249" i="17"/>
  <c r="L249" i="17" s="1"/>
  <c r="F250" i="17" s="1"/>
  <c r="J177" i="21"/>
  <c r="R197" i="19"/>
  <c r="AC423" i="17"/>
  <c r="B424" i="17"/>
  <c r="A426" i="19"/>
  <c r="B427" i="19"/>
  <c r="AC426" i="19"/>
  <c r="X174" i="20"/>
  <c r="Y174" i="20"/>
  <c r="U174" i="20"/>
  <c r="AC423" i="20"/>
  <c r="B424" i="20"/>
  <c r="C403" i="21"/>
  <c r="A402" i="21"/>
  <c r="B402" i="21" s="1"/>
  <c r="H302" i="19" l="1"/>
  <c r="J302" i="19"/>
  <c r="K302" i="19" s="1"/>
  <c r="K250" i="17"/>
  <c r="L250" i="17"/>
  <c r="F251" i="17" s="1"/>
  <c r="H250" i="17"/>
  <c r="H257" i="20"/>
  <c r="A403" i="21"/>
  <c r="B403" i="21" s="1"/>
  <c r="C404" i="21"/>
  <c r="AC427" i="19"/>
  <c r="B428" i="19"/>
  <c r="A427" i="19"/>
  <c r="U175" i="17"/>
  <c r="X175" i="17" s="1"/>
  <c r="Y175" i="17" s="1"/>
  <c r="G186" i="18"/>
  <c r="I186" i="18" s="1"/>
  <c r="R175" i="20"/>
  <c r="K155" i="21"/>
  <c r="AD174" i="20"/>
  <c r="F155" i="21" s="1"/>
  <c r="U197" i="19"/>
  <c r="X197" i="19" s="1"/>
  <c r="B425" i="20"/>
  <c r="AC424" i="20"/>
  <c r="AC424" i="17"/>
  <c r="B425" i="17"/>
  <c r="I156" i="21" l="1"/>
  <c r="R176" i="17"/>
  <c r="AD175" i="17"/>
  <c r="D156" i="21" s="1"/>
  <c r="Y197" i="19"/>
  <c r="AC425" i="17"/>
  <c r="B426" i="17"/>
  <c r="H251" i="17"/>
  <c r="J186" i="18"/>
  <c r="L302" i="19"/>
  <c r="F303" i="19" s="1"/>
  <c r="U175" i="20"/>
  <c r="X175" i="20" s="1"/>
  <c r="B429" i="19"/>
  <c r="AC428" i="19"/>
  <c r="A428" i="19"/>
  <c r="A404" i="21"/>
  <c r="B404" i="21" s="1"/>
  <c r="C405" i="21"/>
  <c r="J257" i="20"/>
  <c r="AC425" i="20"/>
  <c r="B426" i="20"/>
  <c r="AA186" i="19" l="1"/>
  <c r="AD186" i="19" s="1"/>
  <c r="E167" i="21" s="1"/>
  <c r="AA186" i="20"/>
  <c r="AA186" i="17"/>
  <c r="E187" i="18"/>
  <c r="A405" i="21"/>
  <c r="B405" i="21" s="1"/>
  <c r="C406" i="21"/>
  <c r="H303" i="19"/>
  <c r="K303" i="19" s="1"/>
  <c r="J251" i="17"/>
  <c r="K251" i="17" s="1"/>
  <c r="U176" i="17"/>
  <c r="A429" i="19"/>
  <c r="AC429" i="19"/>
  <c r="B430" i="19"/>
  <c r="J178" i="21"/>
  <c r="R198" i="19"/>
  <c r="Y175" i="20"/>
  <c r="K257" i="20"/>
  <c r="L257" i="20" s="1"/>
  <c r="F258" i="20" s="1"/>
  <c r="AC426" i="20"/>
  <c r="B427" i="20"/>
  <c r="B427" i="17"/>
  <c r="AC426" i="17"/>
  <c r="H258" i="20" l="1"/>
  <c r="K258" i="20" s="1"/>
  <c r="Y176" i="17"/>
  <c r="G187" i="18"/>
  <c r="I187" i="18" s="1"/>
  <c r="R176" i="20"/>
  <c r="K156" i="21"/>
  <c r="AD175" i="20"/>
  <c r="F156" i="21" s="1"/>
  <c r="A406" i="21"/>
  <c r="B406" i="21" s="1"/>
  <c r="C407" i="21"/>
  <c r="L303" i="19"/>
  <c r="F304" i="19" s="1"/>
  <c r="U198" i="19"/>
  <c r="B428" i="17"/>
  <c r="AC427" i="17"/>
  <c r="X176" i="17"/>
  <c r="L251" i="17"/>
  <c r="F252" i="17" s="1"/>
  <c r="AC427" i="20"/>
  <c r="B428" i="20"/>
  <c r="A430" i="19"/>
  <c r="AC430" i="19"/>
  <c r="B431" i="19"/>
  <c r="B429" i="20" l="1"/>
  <c r="AC428" i="20"/>
  <c r="B429" i="17"/>
  <c r="AC428" i="17"/>
  <c r="X198" i="19"/>
  <c r="Y198" i="19" s="1"/>
  <c r="H252" i="17"/>
  <c r="B432" i="19"/>
  <c r="A431" i="19"/>
  <c r="AC431" i="19"/>
  <c r="H304" i="19"/>
  <c r="K304" i="19"/>
  <c r="L304" i="19"/>
  <c r="F305" i="19" s="1"/>
  <c r="J187" i="18"/>
  <c r="L258" i="20"/>
  <c r="F259" i="20" s="1"/>
  <c r="I157" i="21"/>
  <c r="R177" i="17"/>
  <c r="AD176" i="17"/>
  <c r="D157" i="21" s="1"/>
  <c r="U176" i="20"/>
  <c r="X176" i="20" s="1"/>
  <c r="A407" i="21"/>
  <c r="B407" i="21" s="1"/>
  <c r="C408" i="21"/>
  <c r="J179" i="21" l="1"/>
  <c r="R199" i="19"/>
  <c r="AA187" i="17"/>
  <c r="AA187" i="19"/>
  <c r="AD187" i="19" s="1"/>
  <c r="E168" i="21" s="1"/>
  <c r="AA187" i="20"/>
  <c r="E188" i="18"/>
  <c r="H259" i="20"/>
  <c r="K259" i="20" s="1"/>
  <c r="Y176" i="20"/>
  <c r="AC432" i="19"/>
  <c r="B433" i="19"/>
  <c r="A432" i="19"/>
  <c r="K252" i="17"/>
  <c r="L252" i="17" s="1"/>
  <c r="F253" i="17" s="1"/>
  <c r="B430" i="20"/>
  <c r="AC429" i="20"/>
  <c r="AC429" i="17"/>
  <c r="B430" i="17"/>
  <c r="H305" i="19"/>
  <c r="C409" i="21"/>
  <c r="A408" i="21"/>
  <c r="B408" i="21" s="1"/>
  <c r="U177" i="17"/>
  <c r="H253" i="17" l="1"/>
  <c r="K253" i="17" s="1"/>
  <c r="A409" i="21"/>
  <c r="B409" i="21" s="1"/>
  <c r="C410" i="21"/>
  <c r="R177" i="20"/>
  <c r="K157" i="21"/>
  <c r="AD176" i="20"/>
  <c r="F157" i="21" s="1"/>
  <c r="K305" i="19"/>
  <c r="L305" i="19" s="1"/>
  <c r="F306" i="19" s="1"/>
  <c r="L259" i="20"/>
  <c r="F260" i="20" s="1"/>
  <c r="U199" i="19"/>
  <c r="Y199" i="19" s="1"/>
  <c r="X199" i="19"/>
  <c r="AC430" i="20"/>
  <c r="B431" i="20"/>
  <c r="J305" i="19"/>
  <c r="X177" i="17"/>
  <c r="Y177" i="17" s="1"/>
  <c r="AC430" i="17"/>
  <c r="B431" i="17"/>
  <c r="AC433" i="19"/>
  <c r="B434" i="19"/>
  <c r="A433" i="19"/>
  <c r="G188" i="18"/>
  <c r="R200" i="19" l="1"/>
  <c r="J180" i="21"/>
  <c r="R178" i="17"/>
  <c r="I158" i="21"/>
  <c r="AD177" i="17"/>
  <c r="D158" i="21" s="1"/>
  <c r="J188" i="18"/>
  <c r="H306" i="19"/>
  <c r="K306" i="19"/>
  <c r="L306" i="19"/>
  <c r="F307" i="19" s="1"/>
  <c r="H188" i="18"/>
  <c r="B432" i="17"/>
  <c r="AC431" i="17"/>
  <c r="I188" i="18"/>
  <c r="U177" i="20"/>
  <c r="X177" i="20" s="1"/>
  <c r="L253" i="17"/>
  <c r="F254" i="17" s="1"/>
  <c r="A434" i="19"/>
  <c r="B435" i="19"/>
  <c r="AC434" i="19"/>
  <c r="AC431" i="20"/>
  <c r="B432" i="20"/>
  <c r="J260" i="20"/>
  <c r="K260" i="20"/>
  <c r="H260" i="20"/>
  <c r="L260" i="20" s="1"/>
  <c r="F261" i="20" s="1"/>
  <c r="C411" i="21"/>
  <c r="A410" i="21"/>
  <c r="B410" i="21" s="1"/>
  <c r="H261" i="20" l="1"/>
  <c r="K261" i="20" s="1"/>
  <c r="AA188" i="19"/>
  <c r="AD188" i="19" s="1"/>
  <c r="E169" i="21" s="1"/>
  <c r="AA188" i="20"/>
  <c r="AA188" i="17"/>
  <c r="E189" i="18"/>
  <c r="B433" i="17"/>
  <c r="AC432" i="17"/>
  <c r="B433" i="20"/>
  <c r="AC432" i="20"/>
  <c r="K307" i="19"/>
  <c r="H307" i="19"/>
  <c r="L307" i="19" s="1"/>
  <c r="F308" i="19" s="1"/>
  <c r="U178" i="17"/>
  <c r="Y177" i="20"/>
  <c r="H254" i="17"/>
  <c r="J254" i="17" s="1"/>
  <c r="C412" i="21"/>
  <c r="A411" i="21"/>
  <c r="B411" i="21" s="1"/>
  <c r="B436" i="19"/>
  <c r="A435" i="19"/>
  <c r="AC435" i="19"/>
  <c r="U200" i="19"/>
  <c r="X200" i="19"/>
  <c r="Y200" i="19" s="1"/>
  <c r="H308" i="19" l="1"/>
  <c r="J308" i="19" s="1"/>
  <c r="R201" i="19"/>
  <c r="J181" i="21"/>
  <c r="A412" i="21"/>
  <c r="B412" i="21" s="1"/>
  <c r="C413" i="21"/>
  <c r="X178" i="17"/>
  <c r="Y178" i="17" s="1"/>
  <c r="R178" i="20"/>
  <c r="K158" i="21"/>
  <c r="AD177" i="20"/>
  <c r="F158" i="21" s="1"/>
  <c r="AC433" i="20"/>
  <c r="B434" i="20"/>
  <c r="K254" i="17"/>
  <c r="L254" i="17" s="1"/>
  <c r="F255" i="17" s="1"/>
  <c r="AC433" i="17"/>
  <c r="B434" i="17"/>
  <c r="L261" i="20"/>
  <c r="F262" i="20" s="1"/>
  <c r="A436" i="19"/>
  <c r="AC436" i="19"/>
  <c r="B437" i="19"/>
  <c r="G189" i="18"/>
  <c r="I189" i="18" s="1"/>
  <c r="I159" i="21" l="1"/>
  <c r="R179" i="17"/>
  <c r="AD178" i="17"/>
  <c r="D159" i="21" s="1"/>
  <c r="H255" i="17"/>
  <c r="A413" i="21"/>
  <c r="B413" i="21" s="1"/>
  <c r="C414" i="21"/>
  <c r="K308" i="19"/>
  <c r="L308" i="19" s="1"/>
  <c r="F309" i="19" s="1"/>
  <c r="AC434" i="20"/>
  <c r="B435" i="20"/>
  <c r="J189" i="18"/>
  <c r="U201" i="19"/>
  <c r="X201" i="19"/>
  <c r="Y201" i="19" s="1"/>
  <c r="X178" i="20"/>
  <c r="Y178" i="20"/>
  <c r="U178" i="20"/>
  <c r="H262" i="20"/>
  <c r="K262" i="20" s="1"/>
  <c r="AC437" i="19"/>
  <c r="A437" i="19"/>
  <c r="B438" i="19"/>
  <c r="B435" i="17"/>
  <c r="AC434" i="17"/>
  <c r="J182" i="21" l="1"/>
  <c r="R202" i="19"/>
  <c r="H309" i="19"/>
  <c r="K309" i="19"/>
  <c r="L309" i="19"/>
  <c r="F310" i="19" s="1"/>
  <c r="K255" i="17"/>
  <c r="L255" i="17" s="1"/>
  <c r="F256" i="17" s="1"/>
  <c r="K159" i="21"/>
  <c r="R179" i="20"/>
  <c r="AD178" i="20"/>
  <c r="F159" i="21" s="1"/>
  <c r="L262" i="20"/>
  <c r="F263" i="20" s="1"/>
  <c r="X179" i="17"/>
  <c r="U179" i="17"/>
  <c r="Y179" i="17" s="1"/>
  <c r="AC435" i="20"/>
  <c r="B436" i="20"/>
  <c r="A414" i="21"/>
  <c r="B414" i="21" s="1"/>
  <c r="C415" i="21"/>
  <c r="AC435" i="17"/>
  <c r="B436" i="17"/>
  <c r="AC438" i="19"/>
  <c r="A438" i="19"/>
  <c r="B439" i="19"/>
  <c r="AA189" i="17"/>
  <c r="E190" i="18"/>
  <c r="AA189" i="20"/>
  <c r="AA189" i="19"/>
  <c r="AD189" i="19" s="1"/>
  <c r="E170" i="21" s="1"/>
  <c r="I160" i="21" l="1"/>
  <c r="T43" i="2" s="1"/>
  <c r="O17" i="21" s="1"/>
  <c r="AR74" i="21"/>
  <c r="R180" i="17"/>
  <c r="AD179" i="17"/>
  <c r="D160" i="21" s="1"/>
  <c r="AC54" i="21" s="1"/>
  <c r="AR70" i="21" s="1"/>
  <c r="AR72" i="21" s="1"/>
  <c r="AR77" i="21" s="1"/>
  <c r="H256" i="17"/>
  <c r="C416" i="21"/>
  <c r="A415" i="21"/>
  <c r="B415" i="21" s="1"/>
  <c r="H310" i="19"/>
  <c r="K310" i="19"/>
  <c r="L310" i="19"/>
  <c r="F311" i="19" s="1"/>
  <c r="X202" i="19"/>
  <c r="Y202" i="19" s="1"/>
  <c r="U202" i="19"/>
  <c r="B440" i="19"/>
  <c r="AC439" i="19"/>
  <c r="A439" i="19"/>
  <c r="J263" i="20"/>
  <c r="H263" i="20"/>
  <c r="K263" i="20" s="1"/>
  <c r="AC436" i="20"/>
  <c r="B437" i="20"/>
  <c r="U179" i="20"/>
  <c r="X179" i="20" s="1"/>
  <c r="B437" i="17"/>
  <c r="AC436" i="17"/>
  <c r="G190" i="18"/>
  <c r="I190" i="18"/>
  <c r="J190" i="18"/>
  <c r="R203" i="19" l="1"/>
  <c r="J183" i="21"/>
  <c r="AC437" i="20"/>
  <c r="B438" i="20"/>
  <c r="K256" i="17"/>
  <c r="L256" i="17" s="1"/>
  <c r="F257" i="17" s="1"/>
  <c r="L263" i="20"/>
  <c r="F264" i="20" s="1"/>
  <c r="U180" i="17"/>
  <c r="X180" i="17" s="1"/>
  <c r="AC437" i="17"/>
  <c r="B438" i="17"/>
  <c r="H311" i="19"/>
  <c r="J311" i="19"/>
  <c r="L311" i="19" s="1"/>
  <c r="F312" i="19" s="1"/>
  <c r="K311" i="19"/>
  <c r="AA190" i="19"/>
  <c r="AD190" i="19" s="1"/>
  <c r="E171" i="21" s="1"/>
  <c r="E191" i="18"/>
  <c r="AA190" i="17"/>
  <c r="AA190" i="20"/>
  <c r="Y179" i="20"/>
  <c r="AC440" i="19"/>
  <c r="B441" i="19"/>
  <c r="A440" i="19"/>
  <c r="A416" i="21"/>
  <c r="B416" i="21" s="1"/>
  <c r="C417" i="21"/>
  <c r="P17" i="21"/>
  <c r="R17" i="21"/>
  <c r="Q17" i="21"/>
  <c r="H312" i="19" l="1"/>
  <c r="K312" i="19"/>
  <c r="L312" i="19"/>
  <c r="F313" i="19" s="1"/>
  <c r="J257" i="17"/>
  <c r="K257" i="17"/>
  <c r="L257" i="17"/>
  <c r="F258" i="17" s="1"/>
  <c r="H257" i="17"/>
  <c r="AC438" i="17"/>
  <c r="B439" i="17"/>
  <c r="Y180" i="17"/>
  <c r="R180" i="20"/>
  <c r="K160" i="21"/>
  <c r="AD179" i="20"/>
  <c r="F160" i="21" s="1"/>
  <c r="A417" i="21"/>
  <c r="B417" i="21" s="1"/>
  <c r="C418" i="21"/>
  <c r="X203" i="19"/>
  <c r="Y203" i="19"/>
  <c r="U203" i="19"/>
  <c r="G191" i="18"/>
  <c r="I191" i="18"/>
  <c r="H191" i="18"/>
  <c r="J191" i="18"/>
  <c r="AC441" i="19"/>
  <c r="A441" i="19"/>
  <c r="B442" i="19"/>
  <c r="AC438" i="20"/>
  <c r="B439" i="20"/>
  <c r="K264" i="20"/>
  <c r="H264" i="20"/>
  <c r="L264" i="20" s="1"/>
  <c r="F265" i="20" s="1"/>
  <c r="H265" i="20" l="1"/>
  <c r="K265" i="20" s="1"/>
  <c r="AA191" i="20"/>
  <c r="AA191" i="19"/>
  <c r="AD191" i="19" s="1"/>
  <c r="E172" i="21" s="1"/>
  <c r="E192" i="18"/>
  <c r="AA191" i="17"/>
  <c r="H258" i="17"/>
  <c r="K258" i="17" s="1"/>
  <c r="I161" i="21"/>
  <c r="R181" i="17"/>
  <c r="AD180" i="17"/>
  <c r="D161" i="21" s="1"/>
  <c r="R204" i="19"/>
  <c r="J184" i="21"/>
  <c r="C419" i="21"/>
  <c r="A418" i="21"/>
  <c r="B418" i="21" s="1"/>
  <c r="AC439" i="17"/>
  <c r="B440" i="17"/>
  <c r="H313" i="19"/>
  <c r="K313" i="19" s="1"/>
  <c r="X180" i="20"/>
  <c r="Y180" i="20"/>
  <c r="U180" i="20"/>
  <c r="B440" i="20"/>
  <c r="AC439" i="20"/>
  <c r="A442" i="19"/>
  <c r="AC442" i="19"/>
  <c r="B443" i="19"/>
  <c r="R181" i="20" l="1"/>
  <c r="K161" i="21"/>
  <c r="AD180" i="20"/>
  <c r="F161" i="21" s="1"/>
  <c r="L258" i="17"/>
  <c r="F259" i="17" s="1"/>
  <c r="B444" i="19"/>
  <c r="A443" i="19"/>
  <c r="AC443" i="19"/>
  <c r="U181" i="17"/>
  <c r="X181" i="17" s="1"/>
  <c r="L313" i="19"/>
  <c r="F314" i="19" s="1"/>
  <c r="AC440" i="20"/>
  <c r="B441" i="20"/>
  <c r="U204" i="19"/>
  <c r="Y204" i="19" s="1"/>
  <c r="X204" i="19"/>
  <c r="L265" i="20"/>
  <c r="F266" i="20" s="1"/>
  <c r="G192" i="18"/>
  <c r="I192" i="18" s="1"/>
  <c r="J192" i="18" s="1"/>
  <c r="C420" i="21"/>
  <c r="A419" i="21"/>
  <c r="B419" i="21" s="1"/>
  <c r="AC440" i="17"/>
  <c r="B441" i="17"/>
  <c r="J185" i="21" l="1"/>
  <c r="R205" i="19"/>
  <c r="AA192" i="20"/>
  <c r="E193" i="18"/>
  <c r="AA192" i="17"/>
  <c r="AA192" i="19"/>
  <c r="AD192" i="19" s="1"/>
  <c r="E173" i="21" s="1"/>
  <c r="H314" i="19"/>
  <c r="K314" i="19" s="1"/>
  <c r="L314" i="19" s="1"/>
  <c r="F315" i="19" s="1"/>
  <c r="J314" i="19"/>
  <c r="Y181" i="17"/>
  <c r="K259" i="17"/>
  <c r="H259" i="17"/>
  <c r="L259" i="17" s="1"/>
  <c r="F260" i="17" s="1"/>
  <c r="C421" i="21"/>
  <c r="A420" i="21"/>
  <c r="B420" i="21" s="1"/>
  <c r="J266" i="20"/>
  <c r="H266" i="20"/>
  <c r="K266" i="20" s="1"/>
  <c r="A444" i="19"/>
  <c r="B445" i="19"/>
  <c r="AC444" i="19"/>
  <c r="AC441" i="20"/>
  <c r="B442" i="20"/>
  <c r="AC441" i="17"/>
  <c r="B442" i="17"/>
  <c r="U181" i="20"/>
  <c r="X181" i="20" s="1"/>
  <c r="L266" i="20" l="1"/>
  <c r="F267" i="20" s="1"/>
  <c r="H260" i="17"/>
  <c r="J260" i="17" s="1"/>
  <c r="H315" i="19"/>
  <c r="K315" i="19" s="1"/>
  <c r="G193" i="18"/>
  <c r="I193" i="18"/>
  <c r="J193" i="18"/>
  <c r="Y181" i="20"/>
  <c r="AC442" i="17"/>
  <c r="B443" i="17"/>
  <c r="I162" i="21"/>
  <c r="R182" i="17"/>
  <c r="AD181" i="17"/>
  <c r="D162" i="21" s="1"/>
  <c r="AC445" i="19"/>
  <c r="A445" i="19"/>
  <c r="B446" i="19"/>
  <c r="A421" i="21"/>
  <c r="B421" i="21" s="1"/>
  <c r="C422" i="21"/>
  <c r="U205" i="19"/>
  <c r="X205" i="19"/>
  <c r="Y205" i="19"/>
  <c r="B443" i="20"/>
  <c r="AC442" i="20"/>
  <c r="K162" i="21" l="1"/>
  <c r="R182" i="20"/>
  <c r="AD181" i="20"/>
  <c r="F162" i="21" s="1"/>
  <c r="AC443" i="20"/>
  <c r="B444" i="20"/>
  <c r="K260" i="17"/>
  <c r="L260" i="17" s="1"/>
  <c r="F261" i="17" s="1"/>
  <c r="R206" i="19"/>
  <c r="J186" i="21"/>
  <c r="L315" i="19"/>
  <c r="F316" i="19" s="1"/>
  <c r="A422" i="21"/>
  <c r="B422" i="21" s="1"/>
  <c r="C423" i="21"/>
  <c r="U182" i="17"/>
  <c r="X182" i="17" s="1"/>
  <c r="AA193" i="19"/>
  <c r="AD193" i="19" s="1"/>
  <c r="E174" i="21" s="1"/>
  <c r="AA193" i="20"/>
  <c r="E194" i="18"/>
  <c r="AA193" i="17"/>
  <c r="A446" i="19"/>
  <c r="B447" i="19"/>
  <c r="AC446" i="19"/>
  <c r="B444" i="17"/>
  <c r="AC443" i="17"/>
  <c r="H267" i="20"/>
  <c r="K267" i="20" s="1"/>
  <c r="H261" i="17" l="1"/>
  <c r="AC444" i="17"/>
  <c r="B445" i="17"/>
  <c r="AC444" i="20"/>
  <c r="B445" i="20"/>
  <c r="U182" i="20"/>
  <c r="C424" i="21"/>
  <c r="A423" i="21"/>
  <c r="B423" i="21" s="1"/>
  <c r="B448" i="19"/>
  <c r="A447" i="19"/>
  <c r="AC447" i="19"/>
  <c r="L267" i="20"/>
  <c r="F268" i="20" s="1"/>
  <c r="Y182" i="17"/>
  <c r="U206" i="19"/>
  <c r="X206" i="19" s="1"/>
  <c r="G194" i="18"/>
  <c r="H194" i="18"/>
  <c r="H316" i="19"/>
  <c r="K316" i="19" s="1"/>
  <c r="J194" i="18" l="1"/>
  <c r="AC445" i="17"/>
  <c r="B446" i="17"/>
  <c r="L316" i="19"/>
  <c r="F317" i="19" s="1"/>
  <c r="R183" i="17"/>
  <c r="I163" i="21"/>
  <c r="AD182" i="17"/>
  <c r="D163" i="21" s="1"/>
  <c r="Y206" i="19"/>
  <c r="X182" i="20"/>
  <c r="Y182" i="20" s="1"/>
  <c r="K261" i="17"/>
  <c r="L261" i="17" s="1"/>
  <c r="F262" i="17" s="1"/>
  <c r="I194" i="18"/>
  <c r="C425" i="21"/>
  <c r="A424" i="21"/>
  <c r="B424" i="21" s="1"/>
  <c r="H268" i="20"/>
  <c r="B449" i="19"/>
  <c r="A448" i="19"/>
  <c r="AC448" i="19"/>
  <c r="AC445" i="20"/>
  <c r="B446" i="20"/>
  <c r="H262" i="17" l="1"/>
  <c r="K262" i="17" s="1"/>
  <c r="R183" i="20"/>
  <c r="K163" i="21"/>
  <c r="AD182" i="20"/>
  <c r="F163" i="21" s="1"/>
  <c r="AC446" i="20"/>
  <c r="B447" i="20"/>
  <c r="AC446" i="17"/>
  <c r="B447" i="17"/>
  <c r="K268" i="20"/>
  <c r="L268" i="20" s="1"/>
  <c r="F269" i="20" s="1"/>
  <c r="J187" i="21"/>
  <c r="R207" i="19"/>
  <c r="AA194" i="19"/>
  <c r="AD194" i="19" s="1"/>
  <c r="E175" i="21" s="1"/>
  <c r="AA194" i="17"/>
  <c r="E195" i="18"/>
  <c r="AA194" i="20"/>
  <c r="H317" i="19"/>
  <c r="J317" i="19"/>
  <c r="K317" i="19"/>
  <c r="L317" i="19"/>
  <c r="F318" i="19" s="1"/>
  <c r="A425" i="21"/>
  <c r="B425" i="21" s="1"/>
  <c r="C426" i="21"/>
  <c r="AC449" i="19"/>
  <c r="A449" i="19"/>
  <c r="B450" i="19"/>
  <c r="U183" i="17"/>
  <c r="H269" i="20" l="1"/>
  <c r="J269" i="20" s="1"/>
  <c r="Y183" i="17"/>
  <c r="X183" i="20"/>
  <c r="U183" i="20"/>
  <c r="Y183" i="20" s="1"/>
  <c r="A426" i="21"/>
  <c r="B426" i="21" s="1"/>
  <c r="C427" i="21"/>
  <c r="AC447" i="17"/>
  <c r="B448" i="17"/>
  <c r="X183" i="17"/>
  <c r="AC450" i="19"/>
  <c r="B451" i="19"/>
  <c r="A450" i="19"/>
  <c r="B448" i="20"/>
  <c r="AC447" i="20"/>
  <c r="U207" i="19"/>
  <c r="X207" i="19" s="1"/>
  <c r="L262" i="17"/>
  <c r="F263" i="17" s="1"/>
  <c r="G195" i="18"/>
  <c r="I195" i="18"/>
  <c r="J195" i="18"/>
  <c r="H318" i="19"/>
  <c r="K318" i="19" s="1"/>
  <c r="K164" i="21" l="1"/>
  <c r="R184" i="20"/>
  <c r="AD183" i="20"/>
  <c r="F164" i="21" s="1"/>
  <c r="L318" i="19"/>
  <c r="F319" i="19" s="1"/>
  <c r="J263" i="17"/>
  <c r="K263" i="17"/>
  <c r="H263" i="17"/>
  <c r="L263" i="17" s="1"/>
  <c r="F264" i="17" s="1"/>
  <c r="B449" i="20"/>
  <c r="AC448" i="20"/>
  <c r="R184" i="17"/>
  <c r="I164" i="21"/>
  <c r="AD183" i="17"/>
  <c r="D164" i="21" s="1"/>
  <c r="Y207" i="19"/>
  <c r="C428" i="21"/>
  <c r="A427" i="21"/>
  <c r="B427" i="21" s="1"/>
  <c r="K269" i="20"/>
  <c r="L269" i="20" s="1"/>
  <c r="F270" i="20" s="1"/>
  <c r="B449" i="17"/>
  <c r="AC448" i="17"/>
  <c r="AA195" i="17"/>
  <c r="AA195" i="19"/>
  <c r="AD195" i="19" s="1"/>
  <c r="E176" i="21" s="1"/>
  <c r="AA195" i="20"/>
  <c r="E196" i="18"/>
  <c r="A451" i="19"/>
  <c r="B452" i="19"/>
  <c r="AC451" i="19"/>
  <c r="H270" i="20" l="1"/>
  <c r="K270" i="20" s="1"/>
  <c r="H264" i="17"/>
  <c r="H319" i="19"/>
  <c r="L319" i="19" s="1"/>
  <c r="F320" i="19" s="1"/>
  <c r="K319" i="19"/>
  <c r="U184" i="17"/>
  <c r="A428" i="21"/>
  <c r="B428" i="21" s="1"/>
  <c r="C429" i="21"/>
  <c r="U184" i="20"/>
  <c r="G196" i="18"/>
  <c r="I196" i="18"/>
  <c r="J196" i="18"/>
  <c r="R208" i="19"/>
  <c r="J188" i="21"/>
  <c r="B450" i="20"/>
  <c r="AC449" i="20"/>
  <c r="A452" i="19"/>
  <c r="B453" i="19"/>
  <c r="AC452" i="19"/>
  <c r="B450" i="17"/>
  <c r="AC449" i="17"/>
  <c r="H320" i="19" l="1"/>
  <c r="K320" i="19" s="1"/>
  <c r="J320" i="19"/>
  <c r="L320" i="19" s="1"/>
  <c r="F321" i="19" s="1"/>
  <c r="AC450" i="17"/>
  <c r="B451" i="17"/>
  <c r="K264" i="17"/>
  <c r="L264" i="17" s="1"/>
  <c r="F265" i="17" s="1"/>
  <c r="AA196" i="20"/>
  <c r="E197" i="18"/>
  <c r="AA196" i="19"/>
  <c r="AD196" i="19" s="1"/>
  <c r="E177" i="21" s="1"/>
  <c r="AA196" i="17"/>
  <c r="X184" i="20"/>
  <c r="Y184" i="20" s="1"/>
  <c r="X184" i="17"/>
  <c r="Y184" i="17" s="1"/>
  <c r="L270" i="20"/>
  <c r="F271" i="20" s="1"/>
  <c r="X208" i="19"/>
  <c r="Y208" i="19" s="1"/>
  <c r="U208" i="19"/>
  <c r="AC453" i="19"/>
  <c r="B454" i="19"/>
  <c r="A453" i="19"/>
  <c r="C430" i="21"/>
  <c r="A429" i="21"/>
  <c r="B429" i="21" s="1"/>
  <c r="AC450" i="20"/>
  <c r="B451" i="20"/>
  <c r="H265" i="17" l="1"/>
  <c r="K265" i="17" s="1"/>
  <c r="H321" i="19"/>
  <c r="K321" i="19"/>
  <c r="L321" i="19"/>
  <c r="F322" i="19" s="1"/>
  <c r="I165" i="21"/>
  <c r="R185" i="17"/>
  <c r="AD184" i="17"/>
  <c r="D165" i="21" s="1"/>
  <c r="R185" i="20"/>
  <c r="K165" i="21"/>
  <c r="AD184" i="20"/>
  <c r="F165" i="21" s="1"/>
  <c r="R209" i="19"/>
  <c r="J189" i="21"/>
  <c r="A430" i="21"/>
  <c r="B430" i="21" s="1"/>
  <c r="C431" i="21"/>
  <c r="B452" i="20"/>
  <c r="AC451" i="20"/>
  <c r="AC451" i="17"/>
  <c r="B452" i="17"/>
  <c r="G197" i="18"/>
  <c r="H197" i="18" s="1"/>
  <c r="I197" i="18"/>
  <c r="H271" i="20"/>
  <c r="K271" i="20" s="1"/>
  <c r="A454" i="19"/>
  <c r="AC454" i="19"/>
  <c r="B455" i="19"/>
  <c r="C432" i="21" l="1"/>
  <c r="A431" i="21"/>
  <c r="B431" i="21" s="1"/>
  <c r="H322" i="19"/>
  <c r="L322" i="19" s="1"/>
  <c r="F323" i="19" s="1"/>
  <c r="K322" i="19"/>
  <c r="X185" i="20"/>
  <c r="U185" i="20"/>
  <c r="Y185" i="20" s="1"/>
  <c r="B453" i="17"/>
  <c r="AC452" i="17"/>
  <c r="L271" i="20"/>
  <c r="F272" i="20" s="1"/>
  <c r="X185" i="17"/>
  <c r="U185" i="17"/>
  <c r="Y185" i="17" s="1"/>
  <c r="L265" i="17"/>
  <c r="F266" i="17" s="1"/>
  <c r="B453" i="20"/>
  <c r="AC452" i="20"/>
  <c r="J197" i="18"/>
  <c r="AC455" i="19"/>
  <c r="A455" i="19"/>
  <c r="B456" i="19"/>
  <c r="U209" i="19"/>
  <c r="X209" i="19"/>
  <c r="Y209" i="19" s="1"/>
  <c r="K166" i="21" l="1"/>
  <c r="R186" i="20"/>
  <c r="AD185" i="20"/>
  <c r="F166" i="21" s="1"/>
  <c r="I166" i="21"/>
  <c r="R186" i="17"/>
  <c r="AD185" i="17"/>
  <c r="D166" i="21" s="1"/>
  <c r="H323" i="19"/>
  <c r="J323" i="19"/>
  <c r="K323" i="19"/>
  <c r="L323" i="19"/>
  <c r="F324" i="19" s="1"/>
  <c r="R210" i="19"/>
  <c r="J190" i="21"/>
  <c r="E198" i="18"/>
  <c r="AA197" i="19"/>
  <c r="AD197" i="19" s="1"/>
  <c r="E178" i="21" s="1"/>
  <c r="AA197" i="17"/>
  <c r="AA197" i="20"/>
  <c r="J272" i="20"/>
  <c r="H272" i="20"/>
  <c r="K272" i="20" s="1"/>
  <c r="L272" i="20" s="1"/>
  <c r="F273" i="20" s="1"/>
  <c r="AC456" i="19"/>
  <c r="A456" i="19"/>
  <c r="B457" i="19"/>
  <c r="AC453" i="20"/>
  <c r="B454" i="20"/>
  <c r="H266" i="17"/>
  <c r="J266" i="17" s="1"/>
  <c r="B454" i="17"/>
  <c r="AC453" i="17"/>
  <c r="C433" i="21"/>
  <c r="A432" i="21"/>
  <c r="B432" i="21" s="1"/>
  <c r="H273" i="20" l="1"/>
  <c r="U186" i="17"/>
  <c r="X186" i="17" s="1"/>
  <c r="A457" i="19"/>
  <c r="AC457" i="19"/>
  <c r="B458" i="19"/>
  <c r="H324" i="19"/>
  <c r="K324" i="19" s="1"/>
  <c r="AC454" i="17"/>
  <c r="B455" i="17"/>
  <c r="K266" i="17"/>
  <c r="L266" i="17" s="1"/>
  <c r="F267" i="17" s="1"/>
  <c r="A433" i="21"/>
  <c r="B433" i="21" s="1"/>
  <c r="C434" i="21"/>
  <c r="U186" i="20"/>
  <c r="U210" i="19"/>
  <c r="X210" i="19" s="1"/>
  <c r="B455" i="20"/>
  <c r="AC454" i="20"/>
  <c r="I198" i="18"/>
  <c r="J198" i="18"/>
  <c r="G198" i="18"/>
  <c r="H267" i="17" l="1"/>
  <c r="K267" i="17" s="1"/>
  <c r="L273" i="20"/>
  <c r="F274" i="20" s="1"/>
  <c r="Y186" i="17"/>
  <c r="E199" i="18"/>
  <c r="AA198" i="20"/>
  <c r="AA198" i="17"/>
  <c r="AA198" i="19"/>
  <c r="AD198" i="19" s="1"/>
  <c r="E179" i="21" s="1"/>
  <c r="X186" i="20"/>
  <c r="Y186" i="20" s="1"/>
  <c r="B459" i="19"/>
  <c r="AC458" i="19"/>
  <c r="A458" i="19"/>
  <c r="AC455" i="17"/>
  <c r="B456" i="17"/>
  <c r="Y210" i="19"/>
  <c r="C435" i="21"/>
  <c r="A434" i="21"/>
  <c r="B434" i="21" s="1"/>
  <c r="K273" i="20"/>
  <c r="L324" i="19"/>
  <c r="F325" i="19" s="1"/>
  <c r="AC455" i="20"/>
  <c r="B456" i="20"/>
  <c r="K167" i="21" l="1"/>
  <c r="R187" i="20"/>
  <c r="AD186" i="20"/>
  <c r="F167" i="21" s="1"/>
  <c r="R187" i="17"/>
  <c r="I167" i="21"/>
  <c r="AD186" i="17"/>
  <c r="D167" i="21" s="1"/>
  <c r="R211" i="19"/>
  <c r="J191" i="21"/>
  <c r="L267" i="17"/>
  <c r="F268" i="17" s="1"/>
  <c r="A459" i="19"/>
  <c r="AC459" i="19"/>
  <c r="B460" i="19"/>
  <c r="AC456" i="17"/>
  <c r="B457" i="17"/>
  <c r="H325" i="19"/>
  <c r="K325" i="19"/>
  <c r="L325" i="19"/>
  <c r="F326" i="19" s="1"/>
  <c r="C436" i="21"/>
  <c r="A435" i="21"/>
  <c r="B435" i="21" s="1"/>
  <c r="AC456" i="20"/>
  <c r="B457" i="20"/>
  <c r="K274" i="20"/>
  <c r="H274" i="20"/>
  <c r="L274" i="20" s="1"/>
  <c r="F275" i="20" s="1"/>
  <c r="G199" i="18"/>
  <c r="I199" i="18" s="1"/>
  <c r="H275" i="20" l="1"/>
  <c r="J275" i="20" s="1"/>
  <c r="H326" i="19"/>
  <c r="K326" i="19" s="1"/>
  <c r="J326" i="19"/>
  <c r="J199" i="18"/>
  <c r="U187" i="17"/>
  <c r="X187" i="17" s="1"/>
  <c r="U187" i="20"/>
  <c r="X187" i="20" s="1"/>
  <c r="AC457" i="20"/>
  <c r="B458" i="20"/>
  <c r="H268" i="17"/>
  <c r="K268" i="17" s="1"/>
  <c r="L268" i="17" s="1"/>
  <c r="F269" i="17" s="1"/>
  <c r="B458" i="17"/>
  <c r="AC457" i="17"/>
  <c r="A436" i="21"/>
  <c r="B436" i="21" s="1"/>
  <c r="C437" i="21"/>
  <c r="B461" i="19"/>
  <c r="AC460" i="19"/>
  <c r="A460" i="19"/>
  <c r="U211" i="19"/>
  <c r="X211" i="19"/>
  <c r="Y211" i="19" s="1"/>
  <c r="J192" i="21" l="1"/>
  <c r="R212" i="19"/>
  <c r="H269" i="17"/>
  <c r="AC458" i="20"/>
  <c r="B459" i="20"/>
  <c r="L275" i="20"/>
  <c r="F276" i="20" s="1"/>
  <c r="Y187" i="17"/>
  <c r="Y187" i="20"/>
  <c r="L326" i="19"/>
  <c r="F327" i="19" s="1"/>
  <c r="K275" i="20"/>
  <c r="C438" i="21"/>
  <c r="A437" i="21"/>
  <c r="B437" i="21" s="1"/>
  <c r="B459" i="17"/>
  <c r="AC458" i="17"/>
  <c r="AA199" i="17"/>
  <c r="AA199" i="20"/>
  <c r="AA199" i="19"/>
  <c r="AD199" i="19" s="1"/>
  <c r="E180" i="21" s="1"/>
  <c r="E200" i="18"/>
  <c r="B462" i="19"/>
  <c r="AC461" i="19"/>
  <c r="A461" i="19"/>
  <c r="J269" i="17" l="1"/>
  <c r="K269" i="17" s="1"/>
  <c r="L269" i="17" s="1"/>
  <c r="F270" i="17" s="1"/>
  <c r="H327" i="19"/>
  <c r="K327" i="19" s="1"/>
  <c r="AC459" i="17"/>
  <c r="B460" i="17"/>
  <c r="G200" i="18"/>
  <c r="H200" i="18" s="1"/>
  <c r="H276" i="20"/>
  <c r="K276" i="20" s="1"/>
  <c r="C439" i="21"/>
  <c r="A438" i="21"/>
  <c r="B438" i="21" s="1"/>
  <c r="AC459" i="20"/>
  <c r="B460" i="20"/>
  <c r="U212" i="19"/>
  <c r="X212" i="19"/>
  <c r="Y212" i="19"/>
  <c r="K168" i="21"/>
  <c r="R188" i="20"/>
  <c r="AD187" i="20"/>
  <c r="F168" i="21" s="1"/>
  <c r="B463" i="19"/>
  <c r="A462" i="19"/>
  <c r="AC462" i="19"/>
  <c r="R188" i="17"/>
  <c r="I168" i="21"/>
  <c r="AD187" i="17"/>
  <c r="D168" i="21" s="1"/>
  <c r="H270" i="17" l="1"/>
  <c r="K270" i="17" s="1"/>
  <c r="X188" i="17"/>
  <c r="Y188" i="17"/>
  <c r="U188" i="17"/>
  <c r="I200" i="18"/>
  <c r="J200" i="18" s="1"/>
  <c r="L327" i="19"/>
  <c r="F328" i="19" s="1"/>
  <c r="L276" i="20"/>
  <c r="F277" i="20" s="1"/>
  <c r="B461" i="17"/>
  <c r="AC460" i="17"/>
  <c r="R213" i="19"/>
  <c r="J193" i="21"/>
  <c r="A439" i="21"/>
  <c r="B439" i="21" s="1"/>
  <c r="C440" i="21"/>
  <c r="AC463" i="19"/>
  <c r="A463" i="19"/>
  <c r="B464" i="19"/>
  <c r="B461" i="20"/>
  <c r="AC460" i="20"/>
  <c r="U188" i="20"/>
  <c r="AA200" i="17" l="1"/>
  <c r="AA200" i="20"/>
  <c r="AA200" i="19"/>
  <c r="AD200" i="19" s="1"/>
  <c r="E181" i="21" s="1"/>
  <c r="E201" i="18"/>
  <c r="X188" i="20"/>
  <c r="Y188" i="20" s="1"/>
  <c r="A440" i="21"/>
  <c r="B440" i="21" s="1"/>
  <c r="C441" i="21"/>
  <c r="L270" i="17"/>
  <c r="F271" i="17" s="1"/>
  <c r="R189" i="17"/>
  <c r="I169" i="21"/>
  <c r="AD188" i="17"/>
  <c r="D169" i="21" s="1"/>
  <c r="B462" i="17"/>
  <c r="AC461" i="17"/>
  <c r="AC461" i="20"/>
  <c r="B462" i="20"/>
  <c r="K277" i="20"/>
  <c r="L277" i="20"/>
  <c r="F278" i="20" s="1"/>
  <c r="H277" i="20"/>
  <c r="H328" i="19"/>
  <c r="K328" i="19"/>
  <c r="L328" i="19"/>
  <c r="F329" i="19" s="1"/>
  <c r="AC464" i="19"/>
  <c r="A464" i="19"/>
  <c r="B465" i="19"/>
  <c r="U213" i="19"/>
  <c r="Y213" i="19" s="1"/>
  <c r="X213" i="19"/>
  <c r="K169" i="21" l="1"/>
  <c r="R189" i="20"/>
  <c r="AD188" i="20"/>
  <c r="F169" i="21" s="1"/>
  <c r="R214" i="19"/>
  <c r="J194" i="21"/>
  <c r="AC462" i="20"/>
  <c r="B463" i="20"/>
  <c r="U189" i="17"/>
  <c r="G201" i="18"/>
  <c r="I201" i="18" s="1"/>
  <c r="J201" i="18" s="1"/>
  <c r="H271" i="17"/>
  <c r="K271" i="17" s="1"/>
  <c r="J329" i="19"/>
  <c r="L329" i="19" s="1"/>
  <c r="F330" i="19" s="1"/>
  <c r="H329" i="19"/>
  <c r="K329" i="19" s="1"/>
  <c r="C442" i="21"/>
  <c r="A441" i="21"/>
  <c r="B441" i="21" s="1"/>
  <c r="H278" i="20"/>
  <c r="J278" i="20" s="1"/>
  <c r="K278" i="20" s="1"/>
  <c r="B466" i="19"/>
  <c r="A465" i="19"/>
  <c r="AC465" i="19"/>
  <c r="B463" i="17"/>
  <c r="AC462" i="17"/>
  <c r="H330" i="19" l="1"/>
  <c r="K330" i="19" s="1"/>
  <c r="AA201" i="17"/>
  <c r="E202" i="18"/>
  <c r="AA201" i="20"/>
  <c r="AA201" i="19"/>
  <c r="AD201" i="19" s="1"/>
  <c r="E182" i="21" s="1"/>
  <c r="U214" i="19"/>
  <c r="X214" i="19"/>
  <c r="Y214" i="19"/>
  <c r="L271" i="17"/>
  <c r="F272" i="17" s="1"/>
  <c r="B467" i="19"/>
  <c r="A466" i="19"/>
  <c r="AC466" i="19"/>
  <c r="X189" i="17"/>
  <c r="Y189" i="17" s="1"/>
  <c r="X189" i="20"/>
  <c r="Y189" i="20"/>
  <c r="U189" i="20"/>
  <c r="A442" i="21"/>
  <c r="B442" i="21" s="1"/>
  <c r="C443" i="21"/>
  <c r="L278" i="20"/>
  <c r="F279" i="20" s="1"/>
  <c r="B464" i="17"/>
  <c r="AC463" i="17"/>
  <c r="B464" i="20"/>
  <c r="AC463" i="20"/>
  <c r="I170" i="21" l="1"/>
  <c r="R190" i="17"/>
  <c r="AD189" i="17"/>
  <c r="D170" i="21" s="1"/>
  <c r="AC464" i="17"/>
  <c r="B465" i="17"/>
  <c r="H272" i="17"/>
  <c r="J272" i="17" s="1"/>
  <c r="K279" i="20"/>
  <c r="L279" i="20"/>
  <c r="F280" i="20" s="1"/>
  <c r="H279" i="20"/>
  <c r="R190" i="20"/>
  <c r="K170" i="21"/>
  <c r="AD189" i="20"/>
  <c r="F170" i="21" s="1"/>
  <c r="J195" i="21"/>
  <c r="R215" i="19"/>
  <c r="L330" i="19"/>
  <c r="F331" i="19" s="1"/>
  <c r="G202" i="18"/>
  <c r="I202" i="18" s="1"/>
  <c r="C444" i="21"/>
  <c r="A443" i="21"/>
  <c r="B443" i="21" s="1"/>
  <c r="AC464" i="20"/>
  <c r="B465" i="20"/>
  <c r="B468" i="19"/>
  <c r="AC467" i="19"/>
  <c r="A467" i="19"/>
  <c r="A468" i="19" l="1"/>
  <c r="B469" i="19"/>
  <c r="AC468" i="19"/>
  <c r="U215" i="19"/>
  <c r="X215" i="19" s="1"/>
  <c r="Y215" i="19" s="1"/>
  <c r="J202" i="18"/>
  <c r="C445" i="21"/>
  <c r="A444" i="21"/>
  <c r="B444" i="21" s="1"/>
  <c r="B466" i="17"/>
  <c r="AC465" i="17"/>
  <c r="U190" i="20"/>
  <c r="U190" i="17"/>
  <c r="H280" i="20"/>
  <c r="K280" i="20" s="1"/>
  <c r="B466" i="20"/>
  <c r="AC465" i="20"/>
  <c r="K272" i="17"/>
  <c r="L272" i="17" s="1"/>
  <c r="F273" i="17" s="1"/>
  <c r="H331" i="19"/>
  <c r="K331" i="19"/>
  <c r="L331" i="19"/>
  <c r="F332" i="19" s="1"/>
  <c r="J196" i="21" l="1"/>
  <c r="R216" i="19"/>
  <c r="Y190" i="17"/>
  <c r="Y190" i="20"/>
  <c r="K273" i="17"/>
  <c r="L273" i="17" s="1"/>
  <c r="F274" i="17" s="1"/>
  <c r="H273" i="17"/>
  <c r="AC466" i="17"/>
  <c r="B467" i="17"/>
  <c r="B467" i="20"/>
  <c r="AC466" i="20"/>
  <c r="C446" i="21"/>
  <c r="A445" i="21"/>
  <c r="B445" i="21" s="1"/>
  <c r="X190" i="17"/>
  <c r="H332" i="19"/>
  <c r="L280" i="20"/>
  <c r="F281" i="20" s="1"/>
  <c r="X190" i="20"/>
  <c r="A469" i="19"/>
  <c r="AC469" i="19"/>
  <c r="B470" i="19"/>
  <c r="AA202" i="19"/>
  <c r="AD202" i="19" s="1"/>
  <c r="E183" i="21" s="1"/>
  <c r="E203" i="18"/>
  <c r="AA202" i="20"/>
  <c r="AA202" i="17"/>
  <c r="H274" i="17" l="1"/>
  <c r="K274" i="17" s="1"/>
  <c r="C447" i="21"/>
  <c r="A446" i="21"/>
  <c r="B446" i="21" s="1"/>
  <c r="K171" i="21"/>
  <c r="R191" i="20"/>
  <c r="AD190" i="20"/>
  <c r="F171" i="21" s="1"/>
  <c r="AC467" i="17"/>
  <c r="B468" i="17"/>
  <c r="R191" i="17"/>
  <c r="I171" i="21"/>
  <c r="AD190" i="17"/>
  <c r="D171" i="21" s="1"/>
  <c r="AC467" i="20"/>
  <c r="B468" i="20"/>
  <c r="J332" i="19"/>
  <c r="U216" i="19"/>
  <c r="Y216" i="19" s="1"/>
  <c r="X216" i="19"/>
  <c r="B471" i="19"/>
  <c r="AC470" i="19"/>
  <c r="A470" i="19"/>
  <c r="G203" i="18"/>
  <c r="H203" i="18" s="1"/>
  <c r="I203" i="18"/>
  <c r="H281" i="20"/>
  <c r="R217" i="19" l="1"/>
  <c r="J197" i="21"/>
  <c r="A447" i="21"/>
  <c r="B447" i="21" s="1"/>
  <c r="C448" i="21"/>
  <c r="B469" i="17"/>
  <c r="AC468" i="17"/>
  <c r="B469" i="20"/>
  <c r="AC468" i="20"/>
  <c r="J203" i="18"/>
  <c r="L274" i="17"/>
  <c r="F275" i="17" s="1"/>
  <c r="B472" i="19"/>
  <c r="AC471" i="19"/>
  <c r="A471" i="19"/>
  <c r="U191" i="20"/>
  <c r="X191" i="20" s="1"/>
  <c r="J281" i="20"/>
  <c r="K281" i="20" s="1"/>
  <c r="U191" i="17"/>
  <c r="X191" i="17" s="1"/>
  <c r="K332" i="19"/>
  <c r="L332" i="19" s="1"/>
  <c r="F333" i="19" s="1"/>
  <c r="H333" i="19" l="1"/>
  <c r="K333" i="19" s="1"/>
  <c r="Y191" i="20"/>
  <c r="J275" i="17"/>
  <c r="K275" i="17"/>
  <c r="H275" i="17"/>
  <c r="L275" i="17" s="1"/>
  <c r="F276" i="17" s="1"/>
  <c r="AA203" i="19"/>
  <c r="AD203" i="19" s="1"/>
  <c r="E184" i="21" s="1"/>
  <c r="AA203" i="20"/>
  <c r="E204" i="18"/>
  <c r="AA203" i="17"/>
  <c r="A448" i="21"/>
  <c r="B448" i="21" s="1"/>
  <c r="C449" i="21"/>
  <c r="Y191" i="17"/>
  <c r="U217" i="19"/>
  <c r="AC469" i="17"/>
  <c r="B470" i="17"/>
  <c r="AC469" i="20"/>
  <c r="B470" i="20"/>
  <c r="B473" i="19"/>
  <c r="AC472" i="19"/>
  <c r="A472" i="19"/>
  <c r="L281" i="20"/>
  <c r="F282" i="20" s="1"/>
  <c r="H276" i="17" l="1"/>
  <c r="K276" i="17" s="1"/>
  <c r="Y217" i="19"/>
  <c r="B474" i="19"/>
  <c r="AC473" i="19"/>
  <c r="A473" i="19"/>
  <c r="K172" i="21"/>
  <c r="R192" i="20"/>
  <c r="AD191" i="20"/>
  <c r="F172" i="21" s="1"/>
  <c r="H282" i="20"/>
  <c r="K282" i="20" s="1"/>
  <c r="L282" i="20" s="1"/>
  <c r="F283" i="20" s="1"/>
  <c r="AC470" i="17"/>
  <c r="B471" i="17"/>
  <c r="A449" i="21"/>
  <c r="B449" i="21" s="1"/>
  <c r="C450" i="21"/>
  <c r="L333" i="19"/>
  <c r="F334" i="19" s="1"/>
  <c r="X217" i="19"/>
  <c r="G204" i="18"/>
  <c r="J204" i="18" s="1"/>
  <c r="I204" i="18"/>
  <c r="B471" i="20"/>
  <c r="AC470" i="20"/>
  <c r="AS74" i="21"/>
  <c r="I172" i="21"/>
  <c r="T44" i="2" s="1"/>
  <c r="R192" i="17"/>
  <c r="AD191" i="17"/>
  <c r="D172" i="21" s="1"/>
  <c r="AC55" i="21" s="1"/>
  <c r="AS70" i="21" s="1"/>
  <c r="AS72" i="21" s="1"/>
  <c r="AS77" i="21" s="1"/>
  <c r="AA204" i="19" l="1"/>
  <c r="AD204" i="19" s="1"/>
  <c r="E185" i="21" s="1"/>
  <c r="AA204" i="17"/>
  <c r="E205" i="18"/>
  <c r="AA204" i="20"/>
  <c r="K283" i="20"/>
  <c r="L283" i="20" s="1"/>
  <c r="F284" i="20" s="1"/>
  <c r="H283" i="20"/>
  <c r="C451" i="21"/>
  <c r="A450" i="21"/>
  <c r="B450" i="21" s="1"/>
  <c r="J198" i="21"/>
  <c r="R218" i="19"/>
  <c r="U192" i="17"/>
  <c r="X192" i="17" s="1"/>
  <c r="Y192" i="17" s="1"/>
  <c r="U192" i="20"/>
  <c r="X192" i="20" s="1"/>
  <c r="L276" i="17"/>
  <c r="F277" i="17" s="1"/>
  <c r="A474" i="19"/>
  <c r="B475" i="19"/>
  <c r="AC474" i="19"/>
  <c r="AC471" i="17"/>
  <c r="B472" i="17"/>
  <c r="AC471" i="20"/>
  <c r="B472" i="20"/>
  <c r="H334" i="19"/>
  <c r="K334" i="19"/>
  <c r="L334" i="19"/>
  <c r="F335" i="19" s="1"/>
  <c r="R193" i="17" l="1"/>
  <c r="I173" i="21"/>
  <c r="AD192" i="17"/>
  <c r="D173" i="21" s="1"/>
  <c r="J284" i="20"/>
  <c r="L284" i="20" s="1"/>
  <c r="F285" i="20" s="1"/>
  <c r="K284" i="20"/>
  <c r="H284" i="20"/>
  <c r="G205" i="18"/>
  <c r="I205" i="18"/>
  <c r="J205" i="18"/>
  <c r="K277" i="17"/>
  <c r="H277" i="17"/>
  <c r="L277" i="17" s="1"/>
  <c r="F278" i="17" s="1"/>
  <c r="U218" i="19"/>
  <c r="X218" i="19"/>
  <c r="Y218" i="19"/>
  <c r="C452" i="21"/>
  <c r="A451" i="21"/>
  <c r="B451" i="21" s="1"/>
  <c r="B473" i="17"/>
  <c r="AC472" i="17"/>
  <c r="H335" i="19"/>
  <c r="Y192" i="20"/>
  <c r="B476" i="19"/>
  <c r="AC475" i="19"/>
  <c r="A475" i="19"/>
  <c r="AC472" i="20"/>
  <c r="B473" i="20"/>
  <c r="H278" i="17" l="1"/>
  <c r="K285" i="20"/>
  <c r="L285" i="20" s="1"/>
  <c r="F286" i="20" s="1"/>
  <c r="H285" i="20"/>
  <c r="E206" i="18"/>
  <c r="AA205" i="17"/>
  <c r="AA205" i="19"/>
  <c r="AD205" i="19" s="1"/>
  <c r="E186" i="21" s="1"/>
  <c r="AA205" i="20"/>
  <c r="A476" i="19"/>
  <c r="B477" i="19"/>
  <c r="AC476" i="19"/>
  <c r="C453" i="21"/>
  <c r="A452" i="21"/>
  <c r="B452" i="21" s="1"/>
  <c r="J199" i="21"/>
  <c r="R219" i="19"/>
  <c r="K173" i="21"/>
  <c r="R193" i="20"/>
  <c r="AD192" i="20"/>
  <c r="F173" i="21" s="1"/>
  <c r="J335" i="19"/>
  <c r="K335" i="19" s="1"/>
  <c r="B474" i="17"/>
  <c r="AC473" i="17"/>
  <c r="B474" i="20"/>
  <c r="AC473" i="20"/>
  <c r="U193" i="17"/>
  <c r="X193" i="17" s="1"/>
  <c r="H286" i="20" l="1"/>
  <c r="K286" i="20" s="1"/>
  <c r="K278" i="17"/>
  <c r="Y193" i="17"/>
  <c r="AC474" i="17"/>
  <c r="B475" i="17"/>
  <c r="I206" i="18"/>
  <c r="H206" i="18"/>
  <c r="J206" i="18" s="1"/>
  <c r="G206" i="18"/>
  <c r="J278" i="17"/>
  <c r="L278" i="17" s="1"/>
  <c r="F279" i="17" s="1"/>
  <c r="A477" i="19"/>
  <c r="B478" i="19"/>
  <c r="AC477" i="19"/>
  <c r="L335" i="19"/>
  <c r="F336" i="19" s="1"/>
  <c r="A453" i="21"/>
  <c r="B453" i="21" s="1"/>
  <c r="C454" i="21"/>
  <c r="U193" i="20"/>
  <c r="AC474" i="20"/>
  <c r="B475" i="20"/>
  <c r="U219" i="19"/>
  <c r="X219" i="19" s="1"/>
  <c r="H279" i="17" l="1"/>
  <c r="Y193" i="20"/>
  <c r="AA206" i="17"/>
  <c r="AA206" i="20"/>
  <c r="E207" i="18"/>
  <c r="AA206" i="19"/>
  <c r="AD206" i="19" s="1"/>
  <c r="E187" i="21" s="1"/>
  <c r="A478" i="19"/>
  <c r="AC478" i="19"/>
  <c r="B479" i="19"/>
  <c r="AC475" i="17"/>
  <c r="B476" i="17"/>
  <c r="Y219" i="19"/>
  <c r="L286" i="20"/>
  <c r="F287" i="20" s="1"/>
  <c r="H336" i="19"/>
  <c r="L336" i="19" s="1"/>
  <c r="F337" i="19" s="1"/>
  <c r="K336" i="19"/>
  <c r="X193" i="20"/>
  <c r="I174" i="21"/>
  <c r="R194" i="17"/>
  <c r="AD193" i="17"/>
  <c r="D174" i="21" s="1"/>
  <c r="C455" i="21"/>
  <c r="A454" i="21"/>
  <c r="B454" i="21" s="1"/>
  <c r="AC475" i="20"/>
  <c r="B476" i="20"/>
  <c r="H337" i="19" l="1"/>
  <c r="K337" i="19"/>
  <c r="L337" i="19" s="1"/>
  <c r="F338" i="19" s="1"/>
  <c r="K174" i="21"/>
  <c r="R194" i="20"/>
  <c r="AD193" i="20"/>
  <c r="F174" i="21" s="1"/>
  <c r="C456" i="21"/>
  <c r="A455" i="21"/>
  <c r="B455" i="21" s="1"/>
  <c r="B480" i="19"/>
  <c r="AC479" i="19"/>
  <c r="A479" i="19"/>
  <c r="H287" i="20"/>
  <c r="K279" i="17"/>
  <c r="L279" i="17" s="1"/>
  <c r="F280" i="17" s="1"/>
  <c r="U194" i="17"/>
  <c r="AC476" i="20"/>
  <c r="B477" i="20"/>
  <c r="J200" i="21"/>
  <c r="R220" i="19"/>
  <c r="AC476" i="17"/>
  <c r="B477" i="17"/>
  <c r="G207" i="18"/>
  <c r="J207" i="18" s="1"/>
  <c r="I207" i="18"/>
  <c r="H338" i="19" l="1"/>
  <c r="J338" i="19" s="1"/>
  <c r="K280" i="17"/>
  <c r="L280" i="17" s="1"/>
  <c r="F281" i="17" s="1"/>
  <c r="H280" i="17"/>
  <c r="AA207" i="17"/>
  <c r="AA207" i="20"/>
  <c r="AA207" i="19"/>
  <c r="AD207" i="19" s="1"/>
  <c r="E188" i="21" s="1"/>
  <c r="E208" i="18"/>
  <c r="J287" i="20"/>
  <c r="K287" i="20" s="1"/>
  <c r="B481" i="19"/>
  <c r="A480" i="19"/>
  <c r="AC480" i="19"/>
  <c r="X194" i="17"/>
  <c r="Y194" i="17" s="1"/>
  <c r="U220" i="19"/>
  <c r="X220" i="19" s="1"/>
  <c r="C457" i="21"/>
  <c r="A456" i="21"/>
  <c r="B456" i="21" s="1"/>
  <c r="B478" i="20"/>
  <c r="AC477" i="20"/>
  <c r="U194" i="20"/>
  <c r="X194" i="20" s="1"/>
  <c r="B478" i="17"/>
  <c r="AC477" i="17"/>
  <c r="I175" i="21" l="1"/>
  <c r="R195" i="17"/>
  <c r="AD194" i="17"/>
  <c r="D175" i="21" s="1"/>
  <c r="J281" i="17"/>
  <c r="K281" i="17"/>
  <c r="L281" i="17"/>
  <c r="F282" i="17" s="1"/>
  <c r="H281" i="17"/>
  <c r="AC481" i="19"/>
  <c r="A481" i="19"/>
  <c r="B482" i="19"/>
  <c r="Y220" i="19"/>
  <c r="L287" i="20"/>
  <c r="F288" i="20" s="1"/>
  <c r="K338" i="19"/>
  <c r="L338" i="19" s="1"/>
  <c r="F339" i="19" s="1"/>
  <c r="B479" i="17"/>
  <c r="AC478" i="17"/>
  <c r="G208" i="18"/>
  <c r="C458" i="21"/>
  <c r="A457" i="21"/>
  <c r="B457" i="21" s="1"/>
  <c r="Y194" i="20"/>
  <c r="AC478" i="20"/>
  <c r="B479" i="20"/>
  <c r="H339" i="19" l="1"/>
  <c r="L339" i="19" s="1"/>
  <c r="F340" i="19" s="1"/>
  <c r="K339" i="19"/>
  <c r="K282" i="17"/>
  <c r="L282" i="17"/>
  <c r="F283" i="17" s="1"/>
  <c r="H282" i="17"/>
  <c r="C459" i="21"/>
  <c r="A458" i="21"/>
  <c r="B458" i="21" s="1"/>
  <c r="AC479" i="20"/>
  <c r="B480" i="20"/>
  <c r="I208" i="18"/>
  <c r="J208" i="18" s="1"/>
  <c r="H288" i="20"/>
  <c r="U195" i="17"/>
  <c r="X195" i="17" s="1"/>
  <c r="AC482" i="19"/>
  <c r="A482" i="19"/>
  <c r="B483" i="19"/>
  <c r="R195" i="20"/>
  <c r="K175" i="21"/>
  <c r="AD194" i="20"/>
  <c r="F175" i="21" s="1"/>
  <c r="B480" i="17"/>
  <c r="AC479" i="17"/>
  <c r="R221" i="19"/>
  <c r="J201" i="21"/>
  <c r="AA208" i="20" l="1"/>
  <c r="AA208" i="17"/>
  <c r="AA208" i="19"/>
  <c r="AD208" i="19" s="1"/>
  <c r="E189" i="21" s="1"/>
  <c r="E209" i="18"/>
  <c r="H340" i="19"/>
  <c r="K340" i="19" s="1"/>
  <c r="L340" i="19" s="1"/>
  <c r="F341" i="19" s="1"/>
  <c r="H283" i="17"/>
  <c r="AC480" i="20"/>
  <c r="B481" i="20"/>
  <c r="K288" i="20"/>
  <c r="L288" i="20" s="1"/>
  <c r="F289" i="20" s="1"/>
  <c r="C460" i="21"/>
  <c r="A459" i="21"/>
  <c r="B459" i="21" s="1"/>
  <c r="Y195" i="17"/>
  <c r="X195" i="20"/>
  <c r="Y195" i="20" s="1"/>
  <c r="U195" i="20"/>
  <c r="U221" i="19"/>
  <c r="X221" i="19" s="1"/>
  <c r="B484" i="19"/>
  <c r="AC483" i="19"/>
  <c r="A483" i="19"/>
  <c r="B481" i="17"/>
  <c r="AC480" i="17"/>
  <c r="H341" i="19" l="1"/>
  <c r="J341" i="19" s="1"/>
  <c r="K289" i="20"/>
  <c r="H289" i="20"/>
  <c r="L289" i="20" s="1"/>
  <c r="F290" i="20" s="1"/>
  <c r="R196" i="20"/>
  <c r="K176" i="21"/>
  <c r="AD195" i="20"/>
  <c r="F176" i="21" s="1"/>
  <c r="R196" i="17"/>
  <c r="I176" i="21"/>
  <c r="AD195" i="17"/>
  <c r="D176" i="21" s="1"/>
  <c r="AC481" i="17"/>
  <c r="B482" i="17"/>
  <c r="C461" i="21"/>
  <c r="A460" i="21"/>
  <c r="B460" i="21" s="1"/>
  <c r="K283" i="17"/>
  <c r="L283" i="17" s="1"/>
  <c r="F284" i="17" s="1"/>
  <c r="A484" i="19"/>
  <c r="B485" i="19"/>
  <c r="AC484" i="19"/>
  <c r="G209" i="18"/>
  <c r="H209" i="18" s="1"/>
  <c r="I209" i="18"/>
  <c r="Y221" i="19"/>
  <c r="AC481" i="20"/>
  <c r="B482" i="20"/>
  <c r="H290" i="20" l="1"/>
  <c r="J290" i="20" s="1"/>
  <c r="H284" i="17"/>
  <c r="J284" i="17" s="1"/>
  <c r="B483" i="17"/>
  <c r="AC482" i="17"/>
  <c r="A461" i="21"/>
  <c r="B461" i="21" s="1"/>
  <c r="C462" i="21"/>
  <c r="U196" i="20"/>
  <c r="X196" i="20" s="1"/>
  <c r="K341" i="19"/>
  <c r="L341" i="19" s="1"/>
  <c r="F342" i="19" s="1"/>
  <c r="A485" i="19"/>
  <c r="B486" i="19"/>
  <c r="AC485" i="19"/>
  <c r="J209" i="18"/>
  <c r="J202" i="21"/>
  <c r="R222" i="19"/>
  <c r="AC482" i="20"/>
  <c r="B483" i="20"/>
  <c r="U196" i="17"/>
  <c r="H342" i="19" l="1"/>
  <c r="K342" i="19" s="1"/>
  <c r="K284" i="17"/>
  <c r="L284" i="17"/>
  <c r="F285" i="17" s="1"/>
  <c r="AA209" i="20"/>
  <c r="E210" i="18"/>
  <c r="AA209" i="17"/>
  <c r="AA209" i="19"/>
  <c r="AD209" i="19" s="1"/>
  <c r="E190" i="21" s="1"/>
  <c r="Y196" i="20"/>
  <c r="B484" i="17"/>
  <c r="AC483" i="17"/>
  <c r="L290" i="20"/>
  <c r="F291" i="20" s="1"/>
  <c r="U222" i="19"/>
  <c r="X222" i="19"/>
  <c r="Y222" i="19"/>
  <c r="X196" i="17"/>
  <c r="Y196" i="17" s="1"/>
  <c r="K290" i="20"/>
  <c r="AC483" i="20"/>
  <c r="B484" i="20"/>
  <c r="AC486" i="19"/>
  <c r="A486" i="19"/>
  <c r="B487" i="19"/>
  <c r="A462" i="21"/>
  <c r="B462" i="21" s="1"/>
  <c r="C463" i="21"/>
  <c r="R197" i="17" l="1"/>
  <c r="I177" i="21"/>
  <c r="AD196" i="17"/>
  <c r="D177" i="21" s="1"/>
  <c r="B488" i="19"/>
  <c r="AC487" i="19"/>
  <c r="A487" i="19"/>
  <c r="K177" i="21"/>
  <c r="R197" i="20"/>
  <c r="AD196" i="20"/>
  <c r="F177" i="21" s="1"/>
  <c r="A463" i="21"/>
  <c r="B463" i="21" s="1"/>
  <c r="C464" i="21"/>
  <c r="H291" i="20"/>
  <c r="G210" i="18"/>
  <c r="I210" i="18"/>
  <c r="J210" i="18"/>
  <c r="L342" i="19"/>
  <c r="F343" i="19" s="1"/>
  <c r="AC484" i="17"/>
  <c r="B485" i="17"/>
  <c r="R223" i="19"/>
  <c r="J203" i="21"/>
  <c r="K285" i="17"/>
  <c r="H285" i="17"/>
  <c r="L285" i="17" s="1"/>
  <c r="F286" i="17" s="1"/>
  <c r="B485" i="20"/>
  <c r="AC484" i="20"/>
  <c r="H286" i="17" l="1"/>
  <c r="AA210" i="19"/>
  <c r="AD210" i="19" s="1"/>
  <c r="E191" i="21" s="1"/>
  <c r="AA210" i="20"/>
  <c r="E211" i="18"/>
  <c r="AA210" i="17"/>
  <c r="A464" i="21"/>
  <c r="B464" i="21" s="1"/>
  <c r="C465" i="21"/>
  <c r="X223" i="19"/>
  <c r="Y223" i="19"/>
  <c r="U223" i="19"/>
  <c r="A488" i="19"/>
  <c r="B489" i="19"/>
  <c r="AC488" i="19"/>
  <c r="AC485" i="20"/>
  <c r="B486" i="20"/>
  <c r="B486" i="17"/>
  <c r="AC485" i="17"/>
  <c r="U197" i="20"/>
  <c r="K291" i="20"/>
  <c r="L291" i="20" s="1"/>
  <c r="F292" i="20" s="1"/>
  <c r="H343" i="19"/>
  <c r="K343" i="19"/>
  <c r="L343" i="19"/>
  <c r="F344" i="19" s="1"/>
  <c r="U197" i="17"/>
  <c r="H292" i="20" l="1"/>
  <c r="R224" i="19"/>
  <c r="J204" i="21"/>
  <c r="X197" i="17"/>
  <c r="Y197" i="17" s="1"/>
  <c r="AC486" i="20"/>
  <c r="B487" i="20"/>
  <c r="X197" i="20"/>
  <c r="Y197" i="20" s="1"/>
  <c r="C466" i="21"/>
  <c r="A465" i="21"/>
  <c r="B465" i="21" s="1"/>
  <c r="J344" i="19"/>
  <c r="K344" i="19"/>
  <c r="L344" i="19"/>
  <c r="F345" i="19" s="1"/>
  <c r="H344" i="19"/>
  <c r="A489" i="19"/>
  <c r="B490" i="19"/>
  <c r="AC489" i="19"/>
  <c r="K286" i="17"/>
  <c r="L286" i="17" s="1"/>
  <c r="F287" i="17" s="1"/>
  <c r="AC486" i="17"/>
  <c r="B487" i="17"/>
  <c r="G211" i="18"/>
  <c r="I211" i="18"/>
  <c r="J211" i="18"/>
  <c r="R198" i="17" l="1"/>
  <c r="I178" i="21"/>
  <c r="AD197" i="17"/>
  <c r="D178" i="21" s="1"/>
  <c r="J287" i="17"/>
  <c r="H287" i="17"/>
  <c r="K178" i="21"/>
  <c r="R198" i="20"/>
  <c r="AD197" i="20"/>
  <c r="F178" i="21" s="1"/>
  <c r="AC487" i="20"/>
  <c r="B488" i="20"/>
  <c r="AA211" i="20"/>
  <c r="AA211" i="19"/>
  <c r="AD211" i="19" s="1"/>
  <c r="E192" i="21" s="1"/>
  <c r="AA211" i="17"/>
  <c r="E212" i="18"/>
  <c r="K292" i="20"/>
  <c r="L292" i="20" s="1"/>
  <c r="F293" i="20" s="1"/>
  <c r="AC490" i="19"/>
  <c r="A490" i="19"/>
  <c r="B491" i="19"/>
  <c r="H345" i="19"/>
  <c r="K345" i="19"/>
  <c r="L345" i="19"/>
  <c r="F346" i="19" s="1"/>
  <c r="AC487" i="17"/>
  <c r="B488" i="17"/>
  <c r="C467" i="21"/>
  <c r="A466" i="21"/>
  <c r="B466" i="21" s="1"/>
  <c r="U224" i="19"/>
  <c r="H293" i="20" l="1"/>
  <c r="Y224" i="19"/>
  <c r="H346" i="19"/>
  <c r="K346" i="19"/>
  <c r="L346" i="19"/>
  <c r="F347" i="19" s="1"/>
  <c r="X224" i="19"/>
  <c r="G212" i="18"/>
  <c r="H212" i="18" s="1"/>
  <c r="K287" i="17"/>
  <c r="L287" i="17" s="1"/>
  <c r="F288" i="17" s="1"/>
  <c r="A467" i="21"/>
  <c r="B467" i="21" s="1"/>
  <c r="C468" i="21"/>
  <c r="A491" i="19"/>
  <c r="B492" i="19"/>
  <c r="AC491" i="19"/>
  <c r="U198" i="20"/>
  <c r="B489" i="17"/>
  <c r="AC488" i="17"/>
  <c r="AC488" i="20"/>
  <c r="B489" i="20"/>
  <c r="U198" i="17"/>
  <c r="X198" i="17" s="1"/>
  <c r="Y198" i="17" s="1"/>
  <c r="H288" i="17" l="1"/>
  <c r="K288" i="17" s="1"/>
  <c r="L288" i="17" s="1"/>
  <c r="F289" i="17" s="1"/>
  <c r="R199" i="17"/>
  <c r="I179" i="21"/>
  <c r="AD198" i="17"/>
  <c r="D179" i="21" s="1"/>
  <c r="R225" i="19"/>
  <c r="J205" i="21"/>
  <c r="J212" i="18"/>
  <c r="X198" i="20"/>
  <c r="Y198" i="20" s="1"/>
  <c r="AC489" i="20"/>
  <c r="B490" i="20"/>
  <c r="C469" i="21"/>
  <c r="A468" i="21"/>
  <c r="B468" i="21" s="1"/>
  <c r="J347" i="19"/>
  <c r="H347" i="19"/>
  <c r="J293" i="20"/>
  <c r="K293" i="20" s="1"/>
  <c r="B493" i="19"/>
  <c r="AC492" i="19"/>
  <c r="A492" i="19"/>
  <c r="I212" i="18"/>
  <c r="AC489" i="17"/>
  <c r="B490" i="17"/>
  <c r="K179" i="21" l="1"/>
  <c r="R199" i="20"/>
  <c r="AD198" i="20"/>
  <c r="F179" i="21" s="1"/>
  <c r="K289" i="17"/>
  <c r="L289" i="17"/>
  <c r="F290" i="17" s="1"/>
  <c r="H289" i="17"/>
  <c r="AA212" i="20"/>
  <c r="AA212" i="19"/>
  <c r="AD212" i="19" s="1"/>
  <c r="E193" i="21" s="1"/>
  <c r="E213" i="18"/>
  <c r="AA212" i="17"/>
  <c r="U199" i="17"/>
  <c r="AC490" i="17"/>
  <c r="B491" i="17"/>
  <c r="C470" i="21"/>
  <c r="A469" i="21"/>
  <c r="B469" i="21" s="1"/>
  <c r="AC493" i="19"/>
  <c r="B494" i="19"/>
  <c r="A493" i="19"/>
  <c r="B491" i="20"/>
  <c r="AC490" i="20"/>
  <c r="U225" i="19"/>
  <c r="X225" i="19" s="1"/>
  <c r="K347" i="19"/>
  <c r="L347" i="19" s="1"/>
  <c r="F348" i="19" s="1"/>
  <c r="L293" i="20"/>
  <c r="F294" i="20" s="1"/>
  <c r="H348" i="19" l="1"/>
  <c r="K348" i="19"/>
  <c r="L348" i="19"/>
  <c r="F349" i="19" s="1"/>
  <c r="J290" i="17"/>
  <c r="H290" i="17"/>
  <c r="K290" i="17" s="1"/>
  <c r="L290" i="17" s="1"/>
  <c r="F291" i="17" s="1"/>
  <c r="X199" i="17"/>
  <c r="Y199" i="17" s="1"/>
  <c r="C471" i="21"/>
  <c r="A470" i="21"/>
  <c r="B470" i="21" s="1"/>
  <c r="H294" i="20"/>
  <c r="K294" i="20" s="1"/>
  <c r="B492" i="20"/>
  <c r="AC491" i="20"/>
  <c r="AC491" i="17"/>
  <c r="B492" i="17"/>
  <c r="G213" i="18"/>
  <c r="I213" i="18"/>
  <c r="J213" i="18" s="1"/>
  <c r="X199" i="20"/>
  <c r="U199" i="20"/>
  <c r="Y199" i="20" s="1"/>
  <c r="Y225" i="19"/>
  <c r="A494" i="19"/>
  <c r="AC494" i="19"/>
  <c r="B495" i="19"/>
  <c r="R200" i="17" l="1"/>
  <c r="I180" i="21"/>
  <c r="AD199" i="17"/>
  <c r="D180" i="21" s="1"/>
  <c r="K180" i="21"/>
  <c r="R200" i="20"/>
  <c r="AD199" i="20"/>
  <c r="F180" i="21" s="1"/>
  <c r="H291" i="17"/>
  <c r="K291" i="17" s="1"/>
  <c r="E214" i="18"/>
  <c r="AA213" i="20"/>
  <c r="AA213" i="17"/>
  <c r="AA213" i="19"/>
  <c r="AD213" i="19" s="1"/>
  <c r="E194" i="21" s="1"/>
  <c r="A495" i="19"/>
  <c r="B496" i="19"/>
  <c r="AC495" i="19"/>
  <c r="AC492" i="20"/>
  <c r="B493" i="20"/>
  <c r="H349" i="19"/>
  <c r="K349" i="19"/>
  <c r="L349" i="19" s="1"/>
  <c r="F350" i="19" s="1"/>
  <c r="L294" i="20"/>
  <c r="F295" i="20" s="1"/>
  <c r="A471" i="21"/>
  <c r="B471" i="21" s="1"/>
  <c r="C472" i="21"/>
  <c r="J206" i="21"/>
  <c r="R226" i="19"/>
  <c r="AC492" i="17"/>
  <c r="B493" i="17"/>
  <c r="H350" i="19" l="1"/>
  <c r="K350" i="19" s="1"/>
  <c r="L350" i="19" s="1"/>
  <c r="F351" i="19" s="1"/>
  <c r="J350" i="19"/>
  <c r="B494" i="20"/>
  <c r="AC493" i="20"/>
  <c r="U200" i="20"/>
  <c r="X200" i="20" s="1"/>
  <c r="B494" i="17"/>
  <c r="AC493" i="17"/>
  <c r="H295" i="20"/>
  <c r="K295" i="20" s="1"/>
  <c r="I214" i="18"/>
  <c r="J214" i="18"/>
  <c r="G214" i="18"/>
  <c r="A472" i="21"/>
  <c r="B472" i="21" s="1"/>
  <c r="C473" i="21"/>
  <c r="B497" i="19"/>
  <c r="A496" i="19"/>
  <c r="AC496" i="19"/>
  <c r="U226" i="19"/>
  <c r="X226" i="19"/>
  <c r="Y226" i="19"/>
  <c r="L291" i="17"/>
  <c r="F292" i="17" s="1"/>
  <c r="X200" i="17"/>
  <c r="Y200" i="17"/>
  <c r="U200" i="17"/>
  <c r="K351" i="19" l="1"/>
  <c r="H351" i="19"/>
  <c r="L351" i="19" s="1"/>
  <c r="F352" i="19" s="1"/>
  <c r="AC494" i="20"/>
  <c r="B495" i="20"/>
  <c r="AA214" i="17"/>
  <c r="AA214" i="19"/>
  <c r="AD214" i="19" s="1"/>
  <c r="E195" i="21" s="1"/>
  <c r="AA214" i="20"/>
  <c r="E215" i="18"/>
  <c r="H292" i="17"/>
  <c r="K292" i="17" s="1"/>
  <c r="A497" i="19"/>
  <c r="AC497" i="19"/>
  <c r="B498" i="19"/>
  <c r="AC494" i="17"/>
  <c r="B495" i="17"/>
  <c r="R227" i="19"/>
  <c r="J207" i="21"/>
  <c r="A473" i="21"/>
  <c r="B473" i="21" s="1"/>
  <c r="C474" i="21"/>
  <c r="L295" i="20"/>
  <c r="F296" i="20" s="1"/>
  <c r="Y200" i="20"/>
  <c r="I181" i="21"/>
  <c r="R201" i="17"/>
  <c r="AD200" i="17"/>
  <c r="D181" i="21" s="1"/>
  <c r="H352" i="19" l="1"/>
  <c r="K352" i="19" s="1"/>
  <c r="L352" i="19" s="1"/>
  <c r="F353" i="19" s="1"/>
  <c r="B496" i="17"/>
  <c r="AC495" i="17"/>
  <c r="AC495" i="20"/>
  <c r="B496" i="20"/>
  <c r="U227" i="19"/>
  <c r="X227" i="19" s="1"/>
  <c r="Y227" i="19" s="1"/>
  <c r="K181" i="21"/>
  <c r="R201" i="20"/>
  <c r="AD200" i="20"/>
  <c r="F181" i="21" s="1"/>
  <c r="L292" i="17"/>
  <c r="F293" i="17" s="1"/>
  <c r="H296" i="20"/>
  <c r="J296" i="20" s="1"/>
  <c r="A474" i="21"/>
  <c r="B474" i="21" s="1"/>
  <c r="C475" i="21"/>
  <c r="A498" i="19"/>
  <c r="B499" i="19"/>
  <c r="AC498" i="19"/>
  <c r="H215" i="18"/>
  <c r="J215" i="18" s="1"/>
  <c r="I215" i="18"/>
  <c r="G215" i="18"/>
  <c r="U201" i="17"/>
  <c r="X201" i="17" s="1"/>
  <c r="J208" i="21" l="1"/>
  <c r="R228" i="19"/>
  <c r="AA215" i="17"/>
  <c r="AA215" i="20"/>
  <c r="E216" i="18"/>
  <c r="AA215" i="19"/>
  <c r="AD215" i="19" s="1"/>
  <c r="E196" i="21" s="1"/>
  <c r="H353" i="19"/>
  <c r="K353" i="19" s="1"/>
  <c r="J353" i="19"/>
  <c r="L353" i="19" s="1"/>
  <c r="F354" i="19" s="1"/>
  <c r="X201" i="20"/>
  <c r="Y201" i="20"/>
  <c r="U201" i="20"/>
  <c r="B497" i="17"/>
  <c r="AC496" i="17"/>
  <c r="Y201" i="17"/>
  <c r="A499" i="19"/>
  <c r="B500" i="19"/>
  <c r="AC499" i="19"/>
  <c r="K296" i="20"/>
  <c r="L296" i="20" s="1"/>
  <c r="F297" i="20" s="1"/>
  <c r="C476" i="21"/>
  <c r="A475" i="21"/>
  <c r="B475" i="21" s="1"/>
  <c r="H293" i="17"/>
  <c r="B497" i="20"/>
  <c r="AC496" i="20"/>
  <c r="H354" i="19" l="1"/>
  <c r="K354" i="19"/>
  <c r="L354" i="19"/>
  <c r="F355" i="19" s="1"/>
  <c r="K297" i="20"/>
  <c r="L297" i="20"/>
  <c r="F298" i="20" s="1"/>
  <c r="H297" i="20"/>
  <c r="A476" i="21"/>
  <c r="B476" i="21" s="1"/>
  <c r="C477" i="21"/>
  <c r="R202" i="20"/>
  <c r="K182" i="21"/>
  <c r="AD201" i="20"/>
  <c r="F182" i="21" s="1"/>
  <c r="B498" i="17"/>
  <c r="AC497" i="17"/>
  <c r="R202" i="17"/>
  <c r="I182" i="21"/>
  <c r="AD201" i="17"/>
  <c r="D182" i="21" s="1"/>
  <c r="G216" i="18"/>
  <c r="I216" i="18"/>
  <c r="J216" i="18"/>
  <c r="J293" i="17"/>
  <c r="U228" i="19"/>
  <c r="B498" i="20"/>
  <c r="AC497" i="20"/>
  <c r="AC500" i="19"/>
  <c r="A500" i="19"/>
  <c r="B501" i="19"/>
  <c r="H355" i="19" l="1"/>
  <c r="L355" i="19" s="1"/>
  <c r="F356" i="19" s="1"/>
  <c r="K355" i="19"/>
  <c r="AA216" i="17"/>
  <c r="AA216" i="19"/>
  <c r="AD216" i="19" s="1"/>
  <c r="E197" i="21" s="1"/>
  <c r="E217" i="18"/>
  <c r="AA216" i="20"/>
  <c r="A477" i="21"/>
  <c r="B477" i="21" s="1"/>
  <c r="C478" i="21"/>
  <c r="X228" i="19"/>
  <c r="Y228" i="19" s="1"/>
  <c r="U202" i="17"/>
  <c r="X202" i="17" s="1"/>
  <c r="H298" i="20"/>
  <c r="U202" i="20"/>
  <c r="X202" i="20" s="1"/>
  <c r="B499" i="20"/>
  <c r="AC498" i="20"/>
  <c r="A501" i="19"/>
  <c r="B502" i="19"/>
  <c r="AC501" i="19"/>
  <c r="B499" i="17"/>
  <c r="AC498" i="17"/>
  <c r="K293" i="17"/>
  <c r="L293" i="17" s="1"/>
  <c r="F294" i="17" s="1"/>
  <c r="H294" i="17" l="1"/>
  <c r="K294" i="17" s="1"/>
  <c r="J209" i="21"/>
  <c r="R229" i="19"/>
  <c r="H356" i="19"/>
  <c r="K298" i="20"/>
  <c r="L298" i="20" s="1"/>
  <c r="F299" i="20" s="1"/>
  <c r="A478" i="21"/>
  <c r="B478" i="21" s="1"/>
  <c r="C479" i="21"/>
  <c r="AC499" i="20"/>
  <c r="B500" i="20"/>
  <c r="Y202" i="17"/>
  <c r="G217" i="18"/>
  <c r="I217" i="18" s="1"/>
  <c r="AC499" i="17"/>
  <c r="B500" i="17"/>
  <c r="Y202" i="20"/>
  <c r="A502" i="19"/>
  <c r="B503" i="19"/>
  <c r="AC502" i="19"/>
  <c r="H299" i="20" l="1"/>
  <c r="R203" i="20"/>
  <c r="K183" i="21"/>
  <c r="AD202" i="20"/>
  <c r="F183" i="21" s="1"/>
  <c r="AC500" i="20"/>
  <c r="B501" i="20"/>
  <c r="I183" i="21"/>
  <c r="R203" i="17"/>
  <c r="AD202" i="17"/>
  <c r="D183" i="21" s="1"/>
  <c r="U229" i="19"/>
  <c r="X229" i="19"/>
  <c r="Y229" i="19"/>
  <c r="B501" i="17"/>
  <c r="AC500" i="17"/>
  <c r="J356" i="19"/>
  <c r="K356" i="19" s="1"/>
  <c r="L356" i="19" s="1"/>
  <c r="F357" i="19" s="1"/>
  <c r="A479" i="21"/>
  <c r="B479" i="21" s="1"/>
  <c r="C480" i="21"/>
  <c r="AC503" i="19"/>
  <c r="B504" i="19"/>
  <c r="A503" i="19"/>
  <c r="J217" i="18"/>
  <c r="L294" i="17"/>
  <c r="F295" i="17" s="1"/>
  <c r="H357" i="19" l="1"/>
  <c r="L357" i="19" s="1"/>
  <c r="F358" i="19" s="1"/>
  <c r="K357" i="19"/>
  <c r="J210" i="21"/>
  <c r="R230" i="19"/>
  <c r="AC501" i="20"/>
  <c r="B502" i="20"/>
  <c r="U203" i="20"/>
  <c r="X203" i="20" s="1"/>
  <c r="U203" i="17"/>
  <c r="A504" i="19"/>
  <c r="B505" i="19"/>
  <c r="AC504" i="19"/>
  <c r="H295" i="17"/>
  <c r="J299" i="20"/>
  <c r="B502" i="17"/>
  <c r="AC501" i="17"/>
  <c r="C481" i="21"/>
  <c r="A480" i="21"/>
  <c r="B480" i="21" s="1"/>
  <c r="E218" i="18"/>
  <c r="AA217" i="17"/>
  <c r="AA217" i="19"/>
  <c r="AD217" i="19" s="1"/>
  <c r="E198" i="21" s="1"/>
  <c r="AA217" i="20"/>
  <c r="H358" i="19" l="1"/>
  <c r="K358" i="19"/>
  <c r="L358" i="19"/>
  <c r="F359" i="19" s="1"/>
  <c r="AC505" i="19"/>
  <c r="B506" i="19"/>
  <c r="A505" i="19"/>
  <c r="K299" i="20"/>
  <c r="L299" i="20" s="1"/>
  <c r="F300" i="20" s="1"/>
  <c r="U230" i="19"/>
  <c r="X230" i="19" s="1"/>
  <c r="Y230" i="19" s="1"/>
  <c r="AC502" i="17"/>
  <c r="B503" i="17"/>
  <c r="Y203" i="20"/>
  <c r="G218" i="18"/>
  <c r="H218" i="18" s="1"/>
  <c r="K295" i="17"/>
  <c r="L295" i="17" s="1"/>
  <c r="F296" i="17" s="1"/>
  <c r="X203" i="17"/>
  <c r="Y203" i="17" s="1"/>
  <c r="AC502" i="20"/>
  <c r="B503" i="20"/>
  <c r="A481" i="21"/>
  <c r="B481" i="21" s="1"/>
  <c r="C482" i="21"/>
  <c r="H300" i="20" l="1"/>
  <c r="J296" i="17"/>
  <c r="K296" i="17" s="1"/>
  <c r="H296" i="17"/>
  <c r="R204" i="17"/>
  <c r="AT74" i="21"/>
  <c r="I184" i="21"/>
  <c r="T45" i="2" s="1"/>
  <c r="AD203" i="17"/>
  <c r="D184" i="21" s="1"/>
  <c r="AC56" i="21" s="1"/>
  <c r="AT70" i="21" s="1"/>
  <c r="AT72" i="21" s="1"/>
  <c r="AT77" i="21" s="1"/>
  <c r="R231" i="19"/>
  <c r="J211" i="21"/>
  <c r="H359" i="19"/>
  <c r="J359" i="19" s="1"/>
  <c r="R204" i="20"/>
  <c r="K184" i="21"/>
  <c r="AD203" i="20"/>
  <c r="F184" i="21" s="1"/>
  <c r="A482" i="21"/>
  <c r="B482" i="21" s="1"/>
  <c r="C483" i="21"/>
  <c r="AC503" i="17"/>
  <c r="B504" i="17"/>
  <c r="B504" i="20"/>
  <c r="AC503" i="20"/>
  <c r="I218" i="18"/>
  <c r="J218" i="18" s="1"/>
  <c r="A506" i="19"/>
  <c r="B507" i="19"/>
  <c r="AC506" i="19"/>
  <c r="AA218" i="17" l="1"/>
  <c r="AA218" i="19"/>
  <c r="AD218" i="19" s="1"/>
  <c r="E199" i="21" s="1"/>
  <c r="E219" i="18"/>
  <c r="AA218" i="20"/>
  <c r="L300" i="20"/>
  <c r="F301" i="20" s="1"/>
  <c r="C484" i="21"/>
  <c r="A483" i="21"/>
  <c r="B483" i="21" s="1"/>
  <c r="K359" i="19"/>
  <c r="L359" i="19" s="1"/>
  <c r="F360" i="19" s="1"/>
  <c r="U204" i="17"/>
  <c r="K300" i="20"/>
  <c r="B508" i="19"/>
  <c r="AC507" i="19"/>
  <c r="A507" i="19"/>
  <c r="AC504" i="17"/>
  <c r="B505" i="17"/>
  <c r="U204" i="20"/>
  <c r="X204" i="20" s="1"/>
  <c r="U231" i="19"/>
  <c r="X231" i="19"/>
  <c r="Y231" i="19" s="1"/>
  <c r="L296" i="17"/>
  <c r="F297" i="17" s="1"/>
  <c r="AC504" i="20"/>
  <c r="B505" i="20"/>
  <c r="R232" i="19" l="1"/>
  <c r="J212" i="21"/>
  <c r="Y204" i="17"/>
  <c r="H360" i="19"/>
  <c r="L360" i="19" s="1"/>
  <c r="F361" i="19" s="1"/>
  <c r="K360" i="19"/>
  <c r="H301" i="20"/>
  <c r="B506" i="17"/>
  <c r="AC505" i="17"/>
  <c r="X204" i="17"/>
  <c r="G219" i="18"/>
  <c r="J219" i="18" s="1"/>
  <c r="I219" i="18"/>
  <c r="B506" i="20"/>
  <c r="AC505" i="20"/>
  <c r="Y204" i="20"/>
  <c r="A508" i="19"/>
  <c r="B509" i="19"/>
  <c r="AC508" i="19"/>
  <c r="K297" i="17"/>
  <c r="H297" i="17"/>
  <c r="L297" i="17" s="1"/>
  <c r="F298" i="17" s="1"/>
  <c r="A484" i="21"/>
  <c r="B484" i="21" s="1"/>
  <c r="C485" i="21"/>
  <c r="AA219" i="20" l="1"/>
  <c r="AA219" i="19"/>
  <c r="AD219" i="19" s="1"/>
  <c r="E200" i="21" s="1"/>
  <c r="AA219" i="17"/>
  <c r="E220" i="18"/>
  <c r="H361" i="19"/>
  <c r="H298" i="17"/>
  <c r="K298" i="17" s="1"/>
  <c r="B507" i="20"/>
  <c r="AC506" i="20"/>
  <c r="C486" i="21"/>
  <c r="A485" i="21"/>
  <c r="B485" i="21" s="1"/>
  <c r="B507" i="17"/>
  <c r="AC506" i="17"/>
  <c r="A509" i="19"/>
  <c r="B510" i="19"/>
  <c r="AC509" i="19"/>
  <c r="I185" i="21"/>
  <c r="R205" i="17"/>
  <c r="AD204" i="17"/>
  <c r="D185" i="21" s="1"/>
  <c r="K301" i="20"/>
  <c r="L301" i="20" s="1"/>
  <c r="F302" i="20" s="1"/>
  <c r="K185" i="21"/>
  <c r="R205" i="20"/>
  <c r="AD204" i="20"/>
  <c r="F185" i="21" s="1"/>
  <c r="U232" i="19"/>
  <c r="Y232" i="19" s="1"/>
  <c r="X232" i="19"/>
  <c r="R233" i="19" l="1"/>
  <c r="J213" i="21"/>
  <c r="J302" i="20"/>
  <c r="K302" i="20" s="1"/>
  <c r="L302" i="20" s="1"/>
  <c r="F303" i="20" s="1"/>
  <c r="H302" i="20"/>
  <c r="U205" i="17"/>
  <c r="X205" i="17" s="1"/>
  <c r="L298" i="17"/>
  <c r="F299" i="17" s="1"/>
  <c r="G220" i="18"/>
  <c r="I220" i="18" s="1"/>
  <c r="J220" i="18" s="1"/>
  <c r="K361" i="19"/>
  <c r="L361" i="19" s="1"/>
  <c r="F362" i="19" s="1"/>
  <c r="X205" i="20"/>
  <c r="Y205" i="20"/>
  <c r="U205" i="20"/>
  <c r="A486" i="21"/>
  <c r="B486" i="21" s="1"/>
  <c r="C487" i="21"/>
  <c r="AC507" i="20"/>
  <c r="B508" i="20"/>
  <c r="AC507" i="17"/>
  <c r="B508" i="17"/>
  <c r="AC510" i="19"/>
  <c r="B511" i="19"/>
  <c r="A510" i="19"/>
  <c r="H303" i="20" l="1"/>
  <c r="H362" i="19"/>
  <c r="L362" i="19" s="1"/>
  <c r="F363" i="19" s="1"/>
  <c r="J362" i="19"/>
  <c r="K362" i="19"/>
  <c r="AA220" i="19"/>
  <c r="AD220" i="19" s="1"/>
  <c r="E201" i="21" s="1"/>
  <c r="AA220" i="17"/>
  <c r="AA220" i="20"/>
  <c r="E221" i="18"/>
  <c r="R206" i="20"/>
  <c r="K186" i="21"/>
  <c r="AD205" i="20"/>
  <c r="F186" i="21" s="1"/>
  <c r="C488" i="21"/>
  <c r="A487" i="21"/>
  <c r="B487" i="21" s="1"/>
  <c r="Y205" i="17"/>
  <c r="H299" i="17"/>
  <c r="U233" i="19"/>
  <c r="X233" i="19"/>
  <c r="Y233" i="19" s="1"/>
  <c r="B509" i="20"/>
  <c r="AC508" i="20"/>
  <c r="A511" i="19"/>
  <c r="AC511" i="19"/>
  <c r="B512" i="19"/>
  <c r="B509" i="17"/>
  <c r="AC508" i="17"/>
  <c r="R234" i="19" l="1"/>
  <c r="J214" i="21"/>
  <c r="H363" i="19"/>
  <c r="K363" i="19" s="1"/>
  <c r="C489" i="21"/>
  <c r="A488" i="21"/>
  <c r="B488" i="21" s="1"/>
  <c r="B510" i="17"/>
  <c r="AC509" i="17"/>
  <c r="U206" i="20"/>
  <c r="X206" i="20" s="1"/>
  <c r="Y206" i="20" s="1"/>
  <c r="R206" i="17"/>
  <c r="I186" i="21"/>
  <c r="AD205" i="17"/>
  <c r="D186" i="21" s="1"/>
  <c r="J299" i="17"/>
  <c r="K299" i="17" s="1"/>
  <c r="K303" i="20"/>
  <c r="L303" i="20" s="1"/>
  <c r="F304" i="20" s="1"/>
  <c r="B513" i="19"/>
  <c r="AC512" i="19"/>
  <c r="A512" i="19"/>
  <c r="H221" i="18"/>
  <c r="J221" i="18" s="1"/>
  <c r="G221" i="18"/>
  <c r="I221" i="18"/>
  <c r="B510" i="20"/>
  <c r="AC509" i="20"/>
  <c r="R207" i="20" l="1"/>
  <c r="K187" i="21"/>
  <c r="AD206" i="20"/>
  <c r="F187" i="21" s="1"/>
  <c r="AA221" i="17"/>
  <c r="E222" i="18"/>
  <c r="AA221" i="19"/>
  <c r="AD221" i="19" s="1"/>
  <c r="E202" i="21" s="1"/>
  <c r="AA221" i="20"/>
  <c r="H304" i="20"/>
  <c r="K304" i="20" s="1"/>
  <c r="L363" i="19"/>
  <c r="F364" i="19" s="1"/>
  <c r="B511" i="20"/>
  <c r="AC510" i="20"/>
  <c r="A513" i="19"/>
  <c r="B514" i="19"/>
  <c r="AC513" i="19"/>
  <c r="L299" i="17"/>
  <c r="F300" i="17" s="1"/>
  <c r="C490" i="21"/>
  <c r="A489" i="21"/>
  <c r="B489" i="21" s="1"/>
  <c r="AC510" i="17"/>
  <c r="B511" i="17"/>
  <c r="U206" i="17"/>
  <c r="X206" i="17" s="1"/>
  <c r="U234" i="19"/>
  <c r="X234" i="19"/>
  <c r="Y234" i="19"/>
  <c r="A490" i="21" l="1"/>
  <c r="B490" i="21" s="1"/>
  <c r="C491" i="21"/>
  <c r="H300" i="17"/>
  <c r="I222" i="18"/>
  <c r="G222" i="18"/>
  <c r="J222" i="18" s="1"/>
  <c r="AC511" i="17"/>
  <c r="B512" i="17"/>
  <c r="L304" i="20"/>
  <c r="F305" i="20" s="1"/>
  <c r="AC511" i="20"/>
  <c r="B512" i="20"/>
  <c r="H364" i="19"/>
  <c r="K364" i="19" s="1"/>
  <c r="L364" i="19" s="1"/>
  <c r="F365" i="19" s="1"/>
  <c r="Y206" i="17"/>
  <c r="J215" i="21"/>
  <c r="R235" i="19"/>
  <c r="A514" i="19"/>
  <c r="AC514" i="19"/>
  <c r="B515" i="19"/>
  <c r="U207" i="20"/>
  <c r="X207" i="20" s="1"/>
  <c r="H365" i="19" l="1"/>
  <c r="L365" i="19" s="1"/>
  <c r="F366" i="19" s="1"/>
  <c r="J365" i="19"/>
  <c r="K365" i="19"/>
  <c r="AA222" i="20"/>
  <c r="E223" i="18"/>
  <c r="AA222" i="19"/>
  <c r="AD222" i="19" s="1"/>
  <c r="E203" i="21" s="1"/>
  <c r="AA222" i="17"/>
  <c r="L300" i="17"/>
  <c r="F301" i="17" s="1"/>
  <c r="B513" i="17"/>
  <c r="AC512" i="17"/>
  <c r="I187" i="21"/>
  <c r="R207" i="17"/>
  <c r="AD206" i="17"/>
  <c r="D187" i="21" s="1"/>
  <c r="H305" i="20"/>
  <c r="K300" i="17"/>
  <c r="Y207" i="20"/>
  <c r="U235" i="19"/>
  <c r="X235" i="19"/>
  <c r="Y235" i="19"/>
  <c r="A491" i="21"/>
  <c r="B491" i="21" s="1"/>
  <c r="C492" i="21"/>
  <c r="B516" i="19"/>
  <c r="AC515" i="19"/>
  <c r="A515" i="19"/>
  <c r="B513" i="20"/>
  <c r="AC512" i="20"/>
  <c r="H366" i="19" l="1"/>
  <c r="K366" i="19" s="1"/>
  <c r="J216" i="21"/>
  <c r="R236" i="19"/>
  <c r="J305" i="20"/>
  <c r="L305" i="20" s="1"/>
  <c r="F306" i="20" s="1"/>
  <c r="H301" i="17"/>
  <c r="G223" i="18"/>
  <c r="K305" i="20"/>
  <c r="B514" i="20"/>
  <c r="AC513" i="20"/>
  <c r="B514" i="17"/>
  <c r="AC513" i="17"/>
  <c r="B517" i="19"/>
  <c r="A516" i="19"/>
  <c r="AC516" i="19"/>
  <c r="R208" i="20"/>
  <c r="K188" i="21"/>
  <c r="AD207" i="20"/>
  <c r="F188" i="21" s="1"/>
  <c r="C493" i="21"/>
  <c r="A492" i="21"/>
  <c r="B492" i="21" s="1"/>
  <c r="X207" i="17"/>
  <c r="Y207" i="17" s="1"/>
  <c r="U207" i="17"/>
  <c r="I188" i="21" l="1"/>
  <c r="R208" i="17"/>
  <c r="AD207" i="17"/>
  <c r="D188" i="21" s="1"/>
  <c r="J223" i="18"/>
  <c r="H306" i="20"/>
  <c r="K306" i="20" s="1"/>
  <c r="L306" i="20" s="1"/>
  <c r="F307" i="20" s="1"/>
  <c r="AC514" i="20"/>
  <c r="B515" i="20"/>
  <c r="L366" i="19"/>
  <c r="F367" i="19" s="1"/>
  <c r="X236" i="19"/>
  <c r="Y236" i="19" s="1"/>
  <c r="U236" i="19"/>
  <c r="A517" i="19"/>
  <c r="B518" i="19"/>
  <c r="AC517" i="19"/>
  <c r="U208" i="20"/>
  <c r="X208" i="20" s="1"/>
  <c r="Y208" i="20" s="1"/>
  <c r="I223" i="18"/>
  <c r="K301" i="17"/>
  <c r="L301" i="17" s="1"/>
  <c r="F302" i="17" s="1"/>
  <c r="C494" i="21"/>
  <c r="A493" i="21"/>
  <c r="B493" i="21" s="1"/>
  <c r="B515" i="17"/>
  <c r="AC514" i="17"/>
  <c r="H307" i="20" l="1"/>
  <c r="K307" i="20" s="1"/>
  <c r="K189" i="21"/>
  <c r="R209" i="20"/>
  <c r="AD208" i="20"/>
  <c r="F189" i="21" s="1"/>
  <c r="H302" i="17"/>
  <c r="J302" i="17" s="1"/>
  <c r="J217" i="21"/>
  <c r="R237" i="19"/>
  <c r="B516" i="20"/>
  <c r="AC515" i="20"/>
  <c r="AA223" i="20"/>
  <c r="AA223" i="17"/>
  <c r="AA223" i="19"/>
  <c r="AD223" i="19" s="1"/>
  <c r="E204" i="21" s="1"/>
  <c r="E224" i="18"/>
  <c r="U208" i="17"/>
  <c r="X208" i="17" s="1"/>
  <c r="H367" i="19"/>
  <c r="K367" i="19" s="1"/>
  <c r="L367" i="19" s="1"/>
  <c r="F368" i="19" s="1"/>
  <c r="B519" i="19"/>
  <c r="AC518" i="19"/>
  <c r="A518" i="19"/>
  <c r="A494" i="21"/>
  <c r="B494" i="21" s="1"/>
  <c r="C495" i="21"/>
  <c r="AC515" i="17"/>
  <c r="B516" i="17"/>
  <c r="H368" i="19" l="1"/>
  <c r="J368" i="19"/>
  <c r="K368" i="19" s="1"/>
  <c r="L368" i="19" s="1"/>
  <c r="F369" i="19" s="1"/>
  <c r="G224" i="18"/>
  <c r="I224" i="18" s="1"/>
  <c r="U209" i="20"/>
  <c r="U237" i="19"/>
  <c r="Y208" i="17"/>
  <c r="L302" i="17"/>
  <c r="F303" i="17" s="1"/>
  <c r="L307" i="20"/>
  <c r="F308" i="20" s="1"/>
  <c r="A495" i="21"/>
  <c r="B495" i="21" s="1"/>
  <c r="C496" i="21"/>
  <c r="K302" i="17"/>
  <c r="AC516" i="17"/>
  <c r="B517" i="17"/>
  <c r="AC519" i="19"/>
  <c r="A519" i="19"/>
  <c r="B520" i="19"/>
  <c r="AC516" i="20"/>
  <c r="B517" i="20"/>
  <c r="Y209" i="20" l="1"/>
  <c r="H369" i="19"/>
  <c r="K369" i="19"/>
  <c r="L369" i="19" s="1"/>
  <c r="F370" i="19" s="1"/>
  <c r="K303" i="17"/>
  <c r="H303" i="17"/>
  <c r="L303" i="17" s="1"/>
  <c r="F304" i="17" s="1"/>
  <c r="H308" i="20"/>
  <c r="J308" i="20" s="1"/>
  <c r="X209" i="20"/>
  <c r="AC517" i="17"/>
  <c r="B518" i="17"/>
  <c r="C497" i="21"/>
  <c r="A496" i="21"/>
  <c r="B496" i="21" s="1"/>
  <c r="X237" i="19"/>
  <c r="Y237" i="19" s="1"/>
  <c r="AC517" i="20"/>
  <c r="B518" i="20"/>
  <c r="H224" i="18"/>
  <c r="J224" i="18" s="1"/>
  <c r="R209" i="17"/>
  <c r="I189" i="21"/>
  <c r="AD208" i="17"/>
  <c r="D189" i="21" s="1"/>
  <c r="B521" i="19"/>
  <c r="AC520" i="19"/>
  <c r="A520" i="19"/>
  <c r="H304" i="17" l="1"/>
  <c r="K304" i="17" s="1"/>
  <c r="R238" i="19"/>
  <c r="J218" i="21"/>
  <c r="AA224" i="20"/>
  <c r="AA224" i="19"/>
  <c r="AD224" i="19" s="1"/>
  <c r="E205" i="21" s="1"/>
  <c r="E225" i="18"/>
  <c r="AA224" i="17"/>
  <c r="H370" i="19"/>
  <c r="K370" i="19"/>
  <c r="L370" i="19"/>
  <c r="F371" i="19" s="1"/>
  <c r="U209" i="17"/>
  <c r="B519" i="17"/>
  <c r="AC518" i="17"/>
  <c r="L308" i="20"/>
  <c r="F309" i="20" s="1"/>
  <c r="K308" i="20"/>
  <c r="B519" i="20"/>
  <c r="AC518" i="20"/>
  <c r="K190" i="21"/>
  <c r="R210" i="20"/>
  <c r="AD209" i="20"/>
  <c r="F190" i="21" s="1"/>
  <c r="A497" i="21"/>
  <c r="B497" i="21" s="1"/>
  <c r="C498" i="21"/>
  <c r="AC521" i="19"/>
  <c r="B522" i="19"/>
  <c r="A521" i="19"/>
  <c r="H309" i="20" l="1"/>
  <c r="K309" i="20" s="1"/>
  <c r="AC519" i="17"/>
  <c r="B520" i="17"/>
  <c r="B523" i="19"/>
  <c r="AC522" i="19"/>
  <c r="A522" i="19"/>
  <c r="A498" i="21"/>
  <c r="B498" i="21" s="1"/>
  <c r="C499" i="21"/>
  <c r="B520" i="20"/>
  <c r="AC519" i="20"/>
  <c r="X209" i="17"/>
  <c r="Y209" i="17" s="1"/>
  <c r="G225" i="18"/>
  <c r="J225" i="18" s="1"/>
  <c r="I225" i="18"/>
  <c r="L304" i="17"/>
  <c r="F305" i="17" s="1"/>
  <c r="H371" i="19"/>
  <c r="J371" i="19" s="1"/>
  <c r="U210" i="20"/>
  <c r="X210" i="20" s="1"/>
  <c r="U238" i="19"/>
  <c r="E226" i="18" l="1"/>
  <c r="AA225" i="17"/>
  <c r="AA225" i="19"/>
  <c r="AD225" i="19" s="1"/>
  <c r="E206" i="21" s="1"/>
  <c r="AA225" i="20"/>
  <c r="R210" i="17"/>
  <c r="I190" i="21"/>
  <c r="AD209" i="17"/>
  <c r="D190" i="21" s="1"/>
  <c r="X238" i="19"/>
  <c r="Y238" i="19" s="1"/>
  <c r="B524" i="19"/>
  <c r="AC523" i="19"/>
  <c r="A523" i="19"/>
  <c r="L309" i="20"/>
  <c r="F310" i="20" s="1"/>
  <c r="H305" i="17"/>
  <c r="AC520" i="20"/>
  <c r="B521" i="20"/>
  <c r="AC520" i="17"/>
  <c r="B521" i="17"/>
  <c r="K371" i="19"/>
  <c r="L371" i="19" s="1"/>
  <c r="F372" i="19" s="1"/>
  <c r="Y210" i="20"/>
  <c r="C500" i="21"/>
  <c r="A499" i="21"/>
  <c r="B499" i="21" s="1"/>
  <c r="R239" i="19" l="1"/>
  <c r="J219" i="21"/>
  <c r="H372" i="19"/>
  <c r="K372" i="19" s="1"/>
  <c r="K305" i="17"/>
  <c r="AC521" i="17"/>
  <c r="B522" i="17"/>
  <c r="A524" i="19"/>
  <c r="B525" i="19"/>
  <c r="AC524" i="19"/>
  <c r="J305" i="17"/>
  <c r="L305" i="17" s="1"/>
  <c r="F306" i="17" s="1"/>
  <c r="B522" i="20"/>
  <c r="AC521" i="20"/>
  <c r="I226" i="18"/>
  <c r="G226" i="18"/>
  <c r="J226" i="18"/>
  <c r="K191" i="21"/>
  <c r="R211" i="20"/>
  <c r="AD210" i="20"/>
  <c r="F191" i="21" s="1"/>
  <c r="U210" i="17"/>
  <c r="H310" i="20"/>
  <c r="K310" i="20" s="1"/>
  <c r="L310" i="20" s="1"/>
  <c r="F311" i="20" s="1"/>
  <c r="C501" i="21"/>
  <c r="A500" i="21"/>
  <c r="B500" i="21" s="1"/>
  <c r="H306" i="17" l="1"/>
  <c r="K306" i="17" s="1"/>
  <c r="J311" i="20"/>
  <c r="H311" i="20"/>
  <c r="A501" i="21"/>
  <c r="B501" i="21" s="1"/>
  <c r="C502" i="21"/>
  <c r="X210" i="17"/>
  <c r="Y210" i="17" s="1"/>
  <c r="L372" i="19"/>
  <c r="F373" i="19" s="1"/>
  <c r="U211" i="20"/>
  <c r="X211" i="20" s="1"/>
  <c r="B523" i="20"/>
  <c r="AC522" i="20"/>
  <c r="AC525" i="19"/>
  <c r="B526" i="19"/>
  <c r="A525" i="19"/>
  <c r="AA226" i="17"/>
  <c r="AA226" i="20"/>
  <c r="AA226" i="19"/>
  <c r="AD226" i="19" s="1"/>
  <c r="E207" i="21" s="1"/>
  <c r="E227" i="18"/>
  <c r="AC522" i="17"/>
  <c r="B523" i="17"/>
  <c r="U239" i="19"/>
  <c r="X239" i="19"/>
  <c r="Y239" i="19"/>
  <c r="R211" i="17" l="1"/>
  <c r="I191" i="21"/>
  <c r="AD210" i="17"/>
  <c r="D191" i="21" s="1"/>
  <c r="K311" i="20"/>
  <c r="L311" i="20" s="1"/>
  <c r="F312" i="20" s="1"/>
  <c r="G227" i="18"/>
  <c r="H227" i="18" s="1"/>
  <c r="H373" i="19"/>
  <c r="K373" i="19"/>
  <c r="L373" i="19"/>
  <c r="F374" i="19" s="1"/>
  <c r="J220" i="21"/>
  <c r="R240" i="19"/>
  <c r="C503" i="21"/>
  <c r="A502" i="21"/>
  <c r="B502" i="21" s="1"/>
  <c r="B524" i="17"/>
  <c r="AC523" i="17"/>
  <c r="Y211" i="20"/>
  <c r="L306" i="17"/>
  <c r="F307" i="17" s="1"/>
  <c r="AC523" i="20"/>
  <c r="B524" i="20"/>
  <c r="AC526" i="19"/>
  <c r="A526" i="19"/>
  <c r="B527" i="19"/>
  <c r="H312" i="20" l="1"/>
  <c r="K312" i="20" s="1"/>
  <c r="L312" i="20" s="1"/>
  <c r="F313" i="20" s="1"/>
  <c r="A527" i="19"/>
  <c r="B528" i="19"/>
  <c r="AC527" i="19"/>
  <c r="K192" i="21"/>
  <c r="R212" i="20"/>
  <c r="AD211" i="20"/>
  <c r="F192" i="21" s="1"/>
  <c r="AC524" i="17"/>
  <c r="B525" i="17"/>
  <c r="I227" i="18"/>
  <c r="J227" i="18" s="1"/>
  <c r="AC524" i="20"/>
  <c r="B525" i="20"/>
  <c r="H307" i="17"/>
  <c r="H374" i="19"/>
  <c r="L374" i="19" s="1"/>
  <c r="F375" i="19" s="1"/>
  <c r="J374" i="19"/>
  <c r="K374" i="19"/>
  <c r="C504" i="21"/>
  <c r="A503" i="21"/>
  <c r="B503" i="21" s="1"/>
  <c r="U240" i="19"/>
  <c r="X240" i="19"/>
  <c r="Y240" i="19"/>
  <c r="U211" i="17"/>
  <c r="X211" i="17" s="1"/>
  <c r="AA227" i="17" l="1"/>
  <c r="E228" i="18"/>
  <c r="AA227" i="19"/>
  <c r="AD227" i="19" s="1"/>
  <c r="E208" i="21" s="1"/>
  <c r="AA227" i="20"/>
  <c r="H375" i="19"/>
  <c r="K375" i="19" s="1"/>
  <c r="L375" i="19" s="1"/>
  <c r="F376" i="19" s="1"/>
  <c r="K313" i="20"/>
  <c r="H313" i="20"/>
  <c r="L313" i="20" s="1"/>
  <c r="F314" i="20" s="1"/>
  <c r="C505" i="21"/>
  <c r="A504" i="21"/>
  <c r="B504" i="21" s="1"/>
  <c r="B526" i="17"/>
  <c r="AC525" i="17"/>
  <c r="Y211" i="17"/>
  <c r="K307" i="17"/>
  <c r="L307" i="17" s="1"/>
  <c r="F308" i="17" s="1"/>
  <c r="A528" i="19"/>
  <c r="B529" i="19"/>
  <c r="AC528" i="19"/>
  <c r="R241" i="19"/>
  <c r="J221" i="21"/>
  <c r="B526" i="20"/>
  <c r="AC525" i="20"/>
  <c r="U212" i="20"/>
  <c r="H376" i="19" l="1"/>
  <c r="K376" i="19"/>
  <c r="L376" i="19"/>
  <c r="F377" i="19" s="1"/>
  <c r="J308" i="17"/>
  <c r="H308" i="17"/>
  <c r="K308" i="17" s="1"/>
  <c r="H314" i="20"/>
  <c r="J314" i="20" s="1"/>
  <c r="AC526" i="20"/>
  <c r="B527" i="20"/>
  <c r="A505" i="21"/>
  <c r="B505" i="21" s="1"/>
  <c r="C506" i="21"/>
  <c r="R212" i="17"/>
  <c r="I192" i="21"/>
  <c r="AD211" i="17"/>
  <c r="D192" i="21" s="1"/>
  <c r="U241" i="19"/>
  <c r="X241" i="19" s="1"/>
  <c r="X212" i="20"/>
  <c r="Y212" i="20" s="1"/>
  <c r="AC526" i="17"/>
  <c r="B527" i="17"/>
  <c r="G228" i="18"/>
  <c r="I228" i="18" s="1"/>
  <c r="AC529" i="19"/>
  <c r="A529" i="19"/>
  <c r="B530" i="19"/>
  <c r="L308" i="17" l="1"/>
  <c r="F309" i="17" s="1"/>
  <c r="K193" i="21"/>
  <c r="R213" i="20"/>
  <c r="AD212" i="20"/>
  <c r="F193" i="21" s="1"/>
  <c r="J228" i="18"/>
  <c r="U212" i="17"/>
  <c r="Y241" i="19"/>
  <c r="C507" i="21"/>
  <c r="A506" i="21"/>
  <c r="B506" i="21" s="1"/>
  <c r="K314" i="20"/>
  <c r="L314" i="20" s="1"/>
  <c r="F315" i="20" s="1"/>
  <c r="H377" i="19"/>
  <c r="A530" i="19"/>
  <c r="B531" i="19"/>
  <c r="AC530" i="19"/>
  <c r="B528" i="17"/>
  <c r="AC527" i="17"/>
  <c r="B528" i="20"/>
  <c r="AC527" i="20"/>
  <c r="K315" i="20" l="1"/>
  <c r="L315" i="20"/>
  <c r="F316" i="20" s="1"/>
  <c r="H315" i="20"/>
  <c r="E229" i="18"/>
  <c r="AA228" i="20"/>
  <c r="AA228" i="19"/>
  <c r="AD228" i="19" s="1"/>
  <c r="E209" i="21" s="1"/>
  <c r="AA228" i="17"/>
  <c r="C508" i="21"/>
  <c r="A507" i="21"/>
  <c r="B507" i="21" s="1"/>
  <c r="AC528" i="17"/>
  <c r="B529" i="17"/>
  <c r="X213" i="20"/>
  <c r="Y213" i="20"/>
  <c r="U213" i="20"/>
  <c r="X212" i="17"/>
  <c r="Y212" i="17" s="1"/>
  <c r="B532" i="19"/>
  <c r="A531" i="19"/>
  <c r="AC531" i="19"/>
  <c r="H309" i="17"/>
  <c r="K309" i="17" s="1"/>
  <c r="B529" i="20"/>
  <c r="AC528" i="20"/>
  <c r="J377" i="19"/>
  <c r="J222" i="21"/>
  <c r="R242" i="19"/>
  <c r="I193" i="21" l="1"/>
  <c r="R213" i="17"/>
  <c r="AD212" i="17"/>
  <c r="D193" i="21" s="1"/>
  <c r="K194" i="21"/>
  <c r="R214" i="20"/>
  <c r="AD213" i="20"/>
  <c r="F194" i="21" s="1"/>
  <c r="G229" i="18"/>
  <c r="I229" i="18" s="1"/>
  <c r="J229" i="18" s="1"/>
  <c r="H316" i="20"/>
  <c r="K316" i="20" s="1"/>
  <c r="X242" i="19"/>
  <c r="U242" i="19"/>
  <c r="Y242" i="19" s="1"/>
  <c r="L309" i="17"/>
  <c r="F310" i="17" s="1"/>
  <c r="K377" i="19"/>
  <c r="L377" i="19" s="1"/>
  <c r="F378" i="19" s="1"/>
  <c r="A508" i="21"/>
  <c r="B508" i="21" s="1"/>
  <c r="C509" i="21"/>
  <c r="B530" i="20"/>
  <c r="AC529" i="20"/>
  <c r="AC532" i="19"/>
  <c r="A532" i="19"/>
  <c r="B533" i="19"/>
  <c r="B530" i="17"/>
  <c r="AC529" i="17"/>
  <c r="R243" i="19" l="1"/>
  <c r="J223" i="21"/>
  <c r="H378" i="19"/>
  <c r="K378" i="19" s="1"/>
  <c r="E230" i="18"/>
  <c r="AA229" i="20"/>
  <c r="AA229" i="17"/>
  <c r="AA229" i="19"/>
  <c r="AD229" i="19" s="1"/>
  <c r="E210" i="21" s="1"/>
  <c r="U213" i="17"/>
  <c r="X213" i="17" s="1"/>
  <c r="H310" i="17"/>
  <c r="K310" i="17" s="1"/>
  <c r="L316" i="20"/>
  <c r="F317" i="20" s="1"/>
  <c r="U214" i="20"/>
  <c r="B531" i="17"/>
  <c r="AC530" i="17"/>
  <c r="B534" i="19"/>
  <c r="AC533" i="19"/>
  <c r="A533" i="19"/>
  <c r="C510" i="21"/>
  <c r="A509" i="21"/>
  <c r="B509" i="21" s="1"/>
  <c r="AC530" i="20"/>
  <c r="B531" i="20"/>
  <c r="L310" i="17" l="1"/>
  <c r="F311" i="17" s="1"/>
  <c r="X214" i="20"/>
  <c r="Y214" i="20" s="1"/>
  <c r="G230" i="18"/>
  <c r="H230" i="18" s="1"/>
  <c r="J230" i="18" s="1"/>
  <c r="I230" i="18"/>
  <c r="Y213" i="17"/>
  <c r="L378" i="19"/>
  <c r="F379" i="19" s="1"/>
  <c r="B532" i="17"/>
  <c r="AC531" i="17"/>
  <c r="C511" i="21"/>
  <c r="A510" i="21"/>
  <c r="B510" i="21" s="1"/>
  <c r="AC531" i="20"/>
  <c r="B532" i="20"/>
  <c r="A534" i="19"/>
  <c r="B535" i="19"/>
  <c r="AC534" i="19"/>
  <c r="J317" i="20"/>
  <c r="K317" i="20" s="1"/>
  <c r="H317" i="20"/>
  <c r="U243" i="19"/>
  <c r="X243" i="19"/>
  <c r="Y243" i="19"/>
  <c r="AA230" i="20" l="1"/>
  <c r="AA230" i="17"/>
  <c r="E231" i="18"/>
  <c r="AA230" i="19"/>
  <c r="AD230" i="19" s="1"/>
  <c r="E211" i="21" s="1"/>
  <c r="R215" i="20"/>
  <c r="K195" i="21"/>
  <c r="AD214" i="20"/>
  <c r="F195" i="21" s="1"/>
  <c r="H379" i="19"/>
  <c r="K379" i="19" s="1"/>
  <c r="H311" i="17"/>
  <c r="C512" i="21"/>
  <c r="A511" i="21"/>
  <c r="B511" i="21" s="1"/>
  <c r="B536" i="19"/>
  <c r="AC535" i="19"/>
  <c r="A535" i="19"/>
  <c r="L317" i="20"/>
  <c r="F318" i="20" s="1"/>
  <c r="AC532" i="17"/>
  <c r="B533" i="17"/>
  <c r="J224" i="21"/>
  <c r="R244" i="19"/>
  <c r="B533" i="20"/>
  <c r="AC532" i="20"/>
  <c r="I194" i="21"/>
  <c r="R214" i="17"/>
  <c r="AD213" i="17"/>
  <c r="D194" i="21" s="1"/>
  <c r="A512" i="21" l="1"/>
  <c r="B512" i="21" s="1"/>
  <c r="C513" i="21"/>
  <c r="G231" i="18"/>
  <c r="J231" i="18" s="1"/>
  <c r="I231" i="18"/>
  <c r="L379" i="19"/>
  <c r="F380" i="19" s="1"/>
  <c r="U244" i="19"/>
  <c r="Y244" i="19" s="1"/>
  <c r="X244" i="19"/>
  <c r="B537" i="19"/>
  <c r="AC536" i="19"/>
  <c r="A536" i="19"/>
  <c r="J311" i="17"/>
  <c r="K311" i="17" s="1"/>
  <c r="X215" i="20"/>
  <c r="Y215" i="20"/>
  <c r="U215" i="20"/>
  <c r="U214" i="17"/>
  <c r="X214" i="17" s="1"/>
  <c r="AC533" i="17"/>
  <c r="B534" i="17"/>
  <c r="H318" i="20"/>
  <c r="K318" i="20" s="1"/>
  <c r="AC533" i="20"/>
  <c r="B534" i="20"/>
  <c r="AA231" i="19" l="1"/>
  <c r="AD231" i="19" s="1"/>
  <c r="E212" i="21" s="1"/>
  <c r="AA231" i="17"/>
  <c r="E232" i="18"/>
  <c r="AA231" i="20"/>
  <c r="J225" i="21"/>
  <c r="R245" i="19"/>
  <c r="L311" i="17"/>
  <c r="F312" i="17" s="1"/>
  <c r="B535" i="20"/>
  <c r="AC534" i="20"/>
  <c r="AC534" i="17"/>
  <c r="B535" i="17"/>
  <c r="R216" i="20"/>
  <c r="K196" i="21"/>
  <c r="AD215" i="20"/>
  <c r="F196" i="21" s="1"/>
  <c r="Y214" i="17"/>
  <c r="C514" i="21"/>
  <c r="A513" i="21"/>
  <c r="B513" i="21" s="1"/>
  <c r="L318" i="20"/>
  <c r="F319" i="20" s="1"/>
  <c r="AC537" i="19"/>
  <c r="A537" i="19"/>
  <c r="B538" i="19"/>
  <c r="H380" i="19"/>
  <c r="K380" i="19" s="1"/>
  <c r="L380" i="19" s="1"/>
  <c r="F381" i="19" s="1"/>
  <c r="J380" i="19"/>
  <c r="H381" i="19" l="1"/>
  <c r="K381" i="19" s="1"/>
  <c r="I195" i="21"/>
  <c r="R215" i="17"/>
  <c r="AD214" i="17"/>
  <c r="D195" i="21" s="1"/>
  <c r="H319" i="20"/>
  <c r="K319" i="20" s="1"/>
  <c r="U216" i="20"/>
  <c r="U245" i="19"/>
  <c r="X245" i="19" s="1"/>
  <c r="G232" i="18"/>
  <c r="I232" i="18"/>
  <c r="J232" i="18"/>
  <c r="B536" i="20"/>
  <c r="AC535" i="20"/>
  <c r="AC535" i="17"/>
  <c r="B536" i="17"/>
  <c r="C515" i="21"/>
  <c r="A514" i="21"/>
  <c r="B514" i="21" s="1"/>
  <c r="B539" i="19"/>
  <c r="AC538" i="19"/>
  <c r="A538" i="19"/>
  <c r="H312" i="17"/>
  <c r="Y216" i="20" l="1"/>
  <c r="L319" i="20"/>
  <c r="F320" i="20" s="1"/>
  <c r="Y245" i="19"/>
  <c r="K312" i="17"/>
  <c r="L312" i="17" s="1"/>
  <c r="F313" i="17" s="1"/>
  <c r="AA232" i="19"/>
  <c r="AD232" i="19" s="1"/>
  <c r="E213" i="21" s="1"/>
  <c r="AA232" i="17"/>
  <c r="AA232" i="20"/>
  <c r="E233" i="18"/>
  <c r="X216" i="20"/>
  <c r="U215" i="17"/>
  <c r="X215" i="17" s="1"/>
  <c r="Y215" i="17" s="1"/>
  <c r="AC539" i="19"/>
  <c r="A539" i="19"/>
  <c r="B540" i="19"/>
  <c r="L381" i="19"/>
  <c r="F382" i="19" s="1"/>
  <c r="A515" i="21"/>
  <c r="B515" i="21" s="1"/>
  <c r="C516" i="21"/>
  <c r="B537" i="17"/>
  <c r="AC536" i="17"/>
  <c r="B537" i="20"/>
  <c r="AC536" i="20"/>
  <c r="R216" i="17" l="1"/>
  <c r="I196" i="21"/>
  <c r="T46" i="2" s="1"/>
  <c r="AU74" i="21"/>
  <c r="AD215" i="17"/>
  <c r="D196" i="21" s="1"/>
  <c r="AC57" i="21" s="1"/>
  <c r="AU70" i="21" s="1"/>
  <c r="AU72" i="21" s="1"/>
  <c r="AU77" i="21" s="1"/>
  <c r="H313" i="17"/>
  <c r="K313" i="17" s="1"/>
  <c r="L313" i="17" s="1"/>
  <c r="F314" i="17" s="1"/>
  <c r="G233" i="18"/>
  <c r="I233" i="18" s="1"/>
  <c r="H233" i="18"/>
  <c r="H320" i="20"/>
  <c r="J320" i="20" s="1"/>
  <c r="H382" i="19"/>
  <c r="L382" i="19" s="1"/>
  <c r="F383" i="19" s="1"/>
  <c r="K382" i="19"/>
  <c r="B538" i="20"/>
  <c r="AC537" i="20"/>
  <c r="A540" i="19"/>
  <c r="B541" i="19"/>
  <c r="AC540" i="19"/>
  <c r="J226" i="21"/>
  <c r="R246" i="19"/>
  <c r="B538" i="17"/>
  <c r="AC537" i="17"/>
  <c r="R217" i="20"/>
  <c r="K197" i="21"/>
  <c r="AD216" i="20"/>
  <c r="F197" i="21" s="1"/>
  <c r="C517" i="21"/>
  <c r="A516" i="21"/>
  <c r="B516" i="21" s="1"/>
  <c r="H383" i="19" l="1"/>
  <c r="L383" i="19" s="1"/>
  <c r="F384" i="19" s="1"/>
  <c r="J383" i="19"/>
  <c r="K383" i="19"/>
  <c r="H314" i="17"/>
  <c r="J314" i="17" s="1"/>
  <c r="B539" i="17"/>
  <c r="AC538" i="17"/>
  <c r="K320" i="20"/>
  <c r="A517" i="21"/>
  <c r="B517" i="21" s="1"/>
  <c r="C518" i="21"/>
  <c r="U246" i="19"/>
  <c r="B539" i="20"/>
  <c r="AC538" i="20"/>
  <c r="L320" i="20"/>
  <c r="F321" i="20" s="1"/>
  <c r="J233" i="18"/>
  <c r="Y217" i="20"/>
  <c r="X217" i="20"/>
  <c r="U217" i="20"/>
  <c r="A541" i="19"/>
  <c r="B542" i="19"/>
  <c r="AC541" i="19"/>
  <c r="X216" i="17"/>
  <c r="Y216" i="17" s="1"/>
  <c r="U216" i="17"/>
  <c r="R217" i="17" l="1"/>
  <c r="I197" i="21"/>
  <c r="AD216" i="17"/>
  <c r="D197" i="21" s="1"/>
  <c r="H384" i="19"/>
  <c r="L384" i="19" s="1"/>
  <c r="F385" i="19" s="1"/>
  <c r="K384" i="19"/>
  <c r="K314" i="17"/>
  <c r="R218" i="20"/>
  <c r="K198" i="21"/>
  <c r="AD217" i="20"/>
  <c r="F198" i="21" s="1"/>
  <c r="AC539" i="20"/>
  <c r="B540" i="20"/>
  <c r="L314" i="17"/>
  <c r="F315" i="17" s="1"/>
  <c r="AA233" i="17"/>
  <c r="AA233" i="20"/>
  <c r="AA233" i="19"/>
  <c r="AD233" i="19" s="1"/>
  <c r="E214" i="21" s="1"/>
  <c r="E234" i="18"/>
  <c r="X246" i="19"/>
  <c r="Y246" i="19" s="1"/>
  <c r="AC539" i="17"/>
  <c r="B540" i="17"/>
  <c r="B543" i="19"/>
  <c r="AC542" i="19"/>
  <c r="A542" i="19"/>
  <c r="H321" i="20"/>
  <c r="K321" i="20" s="1"/>
  <c r="A518" i="21"/>
  <c r="B518" i="21" s="1"/>
  <c r="C519" i="21"/>
  <c r="R247" i="19" l="1"/>
  <c r="J227" i="21"/>
  <c r="K385" i="19"/>
  <c r="H385" i="19"/>
  <c r="L385" i="19" s="1"/>
  <c r="F386" i="19" s="1"/>
  <c r="AC540" i="17"/>
  <c r="B541" i="17"/>
  <c r="X218" i="20"/>
  <c r="Y218" i="20" s="1"/>
  <c r="U218" i="20"/>
  <c r="L321" i="20"/>
  <c r="F322" i="20" s="1"/>
  <c r="G234" i="18"/>
  <c r="J234" i="18" s="1"/>
  <c r="I234" i="18"/>
  <c r="C520" i="21"/>
  <c r="A519" i="21"/>
  <c r="B519" i="21" s="1"/>
  <c r="B544" i="19"/>
  <c r="AC543" i="19"/>
  <c r="A543" i="19"/>
  <c r="H315" i="17"/>
  <c r="U217" i="17"/>
  <c r="X217" i="17" s="1"/>
  <c r="Y217" i="17" s="1"/>
  <c r="AC540" i="20"/>
  <c r="B541" i="20"/>
  <c r="I198" i="21" l="1"/>
  <c r="R218" i="17"/>
  <c r="AD217" i="17"/>
  <c r="D198" i="21" s="1"/>
  <c r="AA234" i="20"/>
  <c r="AA234" i="17"/>
  <c r="E235" i="18"/>
  <c r="AA234" i="19"/>
  <c r="AD234" i="19" s="1"/>
  <c r="E215" i="21" s="1"/>
  <c r="H386" i="19"/>
  <c r="J386" i="19" s="1"/>
  <c r="K199" i="21"/>
  <c r="R219" i="20"/>
  <c r="AD218" i="20"/>
  <c r="F199" i="21" s="1"/>
  <c r="C521" i="21"/>
  <c r="A520" i="21"/>
  <c r="B520" i="21" s="1"/>
  <c r="AC541" i="20"/>
  <c r="B542" i="20"/>
  <c r="K315" i="17"/>
  <c r="L315" i="17" s="1"/>
  <c r="F316" i="17" s="1"/>
  <c r="B545" i="19"/>
  <c r="AC544" i="19"/>
  <c r="A544" i="19"/>
  <c r="H322" i="20"/>
  <c r="AC541" i="17"/>
  <c r="B542" i="17"/>
  <c r="X247" i="19"/>
  <c r="Y247" i="19"/>
  <c r="U247" i="19"/>
  <c r="K316" i="17" l="1"/>
  <c r="L316" i="17"/>
  <c r="F317" i="17" s="1"/>
  <c r="H316" i="17"/>
  <c r="L386" i="19"/>
  <c r="F387" i="19" s="1"/>
  <c r="B546" i="19"/>
  <c r="AC545" i="19"/>
  <c r="A545" i="19"/>
  <c r="X218" i="17"/>
  <c r="U218" i="17"/>
  <c r="Y218" i="17" s="1"/>
  <c r="J228" i="21"/>
  <c r="R248" i="19"/>
  <c r="K322" i="20"/>
  <c r="L322" i="20" s="1"/>
  <c r="F323" i="20" s="1"/>
  <c r="K386" i="19"/>
  <c r="U219" i="20"/>
  <c r="AC542" i="17"/>
  <c r="B543" i="17"/>
  <c r="A521" i="21"/>
  <c r="B521" i="21" s="1"/>
  <c r="C522" i="21"/>
  <c r="B543" i="20"/>
  <c r="AC542" i="20"/>
  <c r="G235" i="18"/>
  <c r="I235" i="18" s="1"/>
  <c r="J323" i="20" l="1"/>
  <c r="K323" i="20" s="1"/>
  <c r="H323" i="20"/>
  <c r="L323" i="20" s="1"/>
  <c r="F324" i="20" s="1"/>
  <c r="I199" i="21"/>
  <c r="R219" i="17"/>
  <c r="AD218" i="17"/>
  <c r="D199" i="21" s="1"/>
  <c r="J317" i="17"/>
  <c r="H317" i="17"/>
  <c r="K317" i="17" s="1"/>
  <c r="A522" i="21"/>
  <c r="B522" i="21" s="1"/>
  <c r="C523" i="21"/>
  <c r="B547" i="19"/>
  <c r="AC546" i="19"/>
  <c r="A546" i="19"/>
  <c r="B544" i="20"/>
  <c r="AC543" i="20"/>
  <c r="X219" i="20"/>
  <c r="Y219" i="20" s="1"/>
  <c r="J235" i="18"/>
  <c r="H387" i="19"/>
  <c r="K387" i="19" s="1"/>
  <c r="L387" i="19" s="1"/>
  <c r="F388" i="19" s="1"/>
  <c r="B544" i="17"/>
  <c r="AC543" i="17"/>
  <c r="U248" i="19"/>
  <c r="X248" i="19" s="1"/>
  <c r="H388" i="19" l="1"/>
  <c r="K388" i="19" s="1"/>
  <c r="H324" i="20"/>
  <c r="K324" i="20" s="1"/>
  <c r="K200" i="21"/>
  <c r="R220" i="20"/>
  <c r="AD219" i="20"/>
  <c r="F200" i="21" s="1"/>
  <c r="AC547" i="19"/>
  <c r="A547" i="19"/>
  <c r="B548" i="19"/>
  <c r="AA235" i="17"/>
  <c r="AA235" i="19"/>
  <c r="AD235" i="19" s="1"/>
  <c r="E216" i="21" s="1"/>
  <c r="E236" i="18"/>
  <c r="AA235" i="20"/>
  <c r="B545" i="20"/>
  <c r="AC544" i="20"/>
  <c r="Y248" i="19"/>
  <c r="L317" i="17"/>
  <c r="F318" i="17" s="1"/>
  <c r="C524" i="21"/>
  <c r="A523" i="21"/>
  <c r="B523" i="21" s="1"/>
  <c r="B545" i="17"/>
  <c r="AC544" i="17"/>
  <c r="U219" i="17"/>
  <c r="G236" i="18" l="1"/>
  <c r="H236" i="18" s="1"/>
  <c r="AC548" i="19"/>
  <c r="B549" i="19"/>
  <c r="A548" i="19"/>
  <c r="B546" i="17"/>
  <c r="AC545" i="17"/>
  <c r="B546" i="20"/>
  <c r="AC545" i="20"/>
  <c r="L324" i="20"/>
  <c r="F325" i="20" s="1"/>
  <c r="X219" i="17"/>
  <c r="Y219" i="17" s="1"/>
  <c r="X220" i="20"/>
  <c r="Y220" i="20" s="1"/>
  <c r="U220" i="20"/>
  <c r="A524" i="21"/>
  <c r="B524" i="21" s="1"/>
  <c r="C525" i="21"/>
  <c r="K318" i="17"/>
  <c r="L318" i="17" s="1"/>
  <c r="F319" i="17" s="1"/>
  <c r="H318" i="17"/>
  <c r="L388" i="19"/>
  <c r="F389" i="19" s="1"/>
  <c r="J229" i="21"/>
  <c r="R249" i="19"/>
  <c r="R221" i="20" l="1"/>
  <c r="K201" i="21"/>
  <c r="AD220" i="20"/>
  <c r="F201" i="21" s="1"/>
  <c r="I200" i="21"/>
  <c r="R220" i="17"/>
  <c r="AD219" i="17"/>
  <c r="D200" i="21" s="1"/>
  <c r="H319" i="17"/>
  <c r="H389" i="19"/>
  <c r="B547" i="17"/>
  <c r="AC546" i="17"/>
  <c r="I236" i="18"/>
  <c r="J236" i="18" s="1"/>
  <c r="AC546" i="20"/>
  <c r="B547" i="20"/>
  <c r="U249" i="19"/>
  <c r="Y249" i="19" s="1"/>
  <c r="X249" i="19"/>
  <c r="C526" i="21"/>
  <c r="A525" i="21"/>
  <c r="B525" i="21" s="1"/>
  <c r="H325" i="20"/>
  <c r="K325" i="20" s="1"/>
  <c r="AC549" i="19"/>
  <c r="A549" i="19"/>
  <c r="B550" i="19"/>
  <c r="AA236" i="17" l="1"/>
  <c r="E237" i="18"/>
  <c r="AA236" i="20"/>
  <c r="AA236" i="19"/>
  <c r="AD236" i="19" s="1"/>
  <c r="E217" i="21" s="1"/>
  <c r="J230" i="21"/>
  <c r="R250" i="19"/>
  <c r="L319" i="17"/>
  <c r="F320" i="17" s="1"/>
  <c r="B548" i="20"/>
  <c r="AC547" i="20"/>
  <c r="A526" i="21"/>
  <c r="B526" i="21" s="1"/>
  <c r="C527" i="21"/>
  <c r="J389" i="19"/>
  <c r="K389" i="19" s="1"/>
  <c r="X220" i="17"/>
  <c r="Y220" i="17" s="1"/>
  <c r="U220" i="17"/>
  <c r="B551" i="19"/>
  <c r="AC550" i="19"/>
  <c r="A550" i="19"/>
  <c r="L325" i="20"/>
  <c r="F326" i="20" s="1"/>
  <c r="AC547" i="17"/>
  <c r="B548" i="17"/>
  <c r="K319" i="17"/>
  <c r="U221" i="20"/>
  <c r="R221" i="17" l="1"/>
  <c r="I201" i="21"/>
  <c r="AD220" i="17"/>
  <c r="D201" i="21" s="1"/>
  <c r="H326" i="20"/>
  <c r="J326" i="20" s="1"/>
  <c r="X221" i="20"/>
  <c r="Y221" i="20" s="1"/>
  <c r="A527" i="21"/>
  <c r="B527" i="21" s="1"/>
  <c r="C528" i="21"/>
  <c r="U250" i="19"/>
  <c r="B549" i="20"/>
  <c r="AC548" i="20"/>
  <c r="A551" i="19"/>
  <c r="B552" i="19"/>
  <c r="AC551" i="19"/>
  <c r="AC548" i="17"/>
  <c r="B549" i="17"/>
  <c r="H320" i="17"/>
  <c r="J320" i="17" s="1"/>
  <c r="I237" i="18"/>
  <c r="G237" i="18"/>
  <c r="J237" i="18" s="1"/>
  <c r="L389" i="19"/>
  <c r="F390" i="19" s="1"/>
  <c r="AA237" i="19" l="1"/>
  <c r="AD237" i="19" s="1"/>
  <c r="E218" i="21" s="1"/>
  <c r="AA237" i="17"/>
  <c r="E238" i="18"/>
  <c r="AA237" i="20"/>
  <c r="R222" i="20"/>
  <c r="K202" i="21"/>
  <c r="AD221" i="20"/>
  <c r="F202" i="21" s="1"/>
  <c r="Y250" i="19"/>
  <c r="K390" i="19"/>
  <c r="L390" i="19" s="1"/>
  <c r="F391" i="19" s="1"/>
  <c r="H390" i="19"/>
  <c r="K320" i="17"/>
  <c r="L320" i="17" s="1"/>
  <c r="F321" i="17" s="1"/>
  <c r="A552" i="19"/>
  <c r="B553" i="19"/>
  <c r="AC552" i="19"/>
  <c r="X250" i="19"/>
  <c r="A528" i="21"/>
  <c r="B528" i="21" s="1"/>
  <c r="C529" i="21"/>
  <c r="K326" i="20"/>
  <c r="L326" i="20" s="1"/>
  <c r="F327" i="20" s="1"/>
  <c r="B550" i="17"/>
  <c r="AC549" i="17"/>
  <c r="AC549" i="20"/>
  <c r="B550" i="20"/>
  <c r="X221" i="17"/>
  <c r="Y221" i="17"/>
  <c r="U221" i="17"/>
  <c r="H321" i="17" l="1"/>
  <c r="K321" i="17" s="1"/>
  <c r="H327" i="20"/>
  <c r="H391" i="19"/>
  <c r="K391" i="19"/>
  <c r="L391" i="19"/>
  <c r="F392" i="19" s="1"/>
  <c r="AC550" i="20"/>
  <c r="B551" i="20"/>
  <c r="R251" i="19"/>
  <c r="J231" i="21"/>
  <c r="X222" i="20"/>
  <c r="U222" i="20"/>
  <c r="Y222" i="20" s="1"/>
  <c r="I202" i="21"/>
  <c r="R222" i="17"/>
  <c r="AD221" i="17"/>
  <c r="D202" i="21" s="1"/>
  <c r="B554" i="19"/>
  <c r="AC553" i="19"/>
  <c r="A553" i="19"/>
  <c r="B551" i="17"/>
  <c r="AC550" i="17"/>
  <c r="I238" i="18"/>
  <c r="G238" i="18"/>
  <c r="J238" i="18" s="1"/>
  <c r="C530" i="21"/>
  <c r="A529" i="21"/>
  <c r="B529" i="21" s="1"/>
  <c r="R223" i="20" l="1"/>
  <c r="K203" i="21"/>
  <c r="AD222" i="20"/>
  <c r="F203" i="21" s="1"/>
  <c r="AA238" i="19"/>
  <c r="AD238" i="19" s="1"/>
  <c r="E219" i="21" s="1"/>
  <c r="E239" i="18"/>
  <c r="AA238" i="20"/>
  <c r="AA238" i="17"/>
  <c r="B552" i="20"/>
  <c r="AC551" i="20"/>
  <c r="L321" i="17"/>
  <c r="F322" i="17" s="1"/>
  <c r="AC551" i="17"/>
  <c r="B552" i="17"/>
  <c r="K327" i="20"/>
  <c r="L327" i="20" s="1"/>
  <c r="F328" i="20" s="1"/>
  <c r="H392" i="19"/>
  <c r="J392" i="19" s="1"/>
  <c r="C531" i="21"/>
  <c r="A530" i="21"/>
  <c r="B530" i="21" s="1"/>
  <c r="B555" i="19"/>
  <c r="A554" i="19"/>
  <c r="AC554" i="19"/>
  <c r="X222" i="17"/>
  <c r="U222" i="17"/>
  <c r="Y222" i="17" s="1"/>
  <c r="U251" i="19"/>
  <c r="X251" i="19" s="1"/>
  <c r="R223" i="17" l="1"/>
  <c r="I203" i="21"/>
  <c r="AD222" i="17"/>
  <c r="D203" i="21" s="1"/>
  <c r="H328" i="20"/>
  <c r="K328" i="20" s="1"/>
  <c r="A555" i="19"/>
  <c r="B556" i="19"/>
  <c r="AC555" i="19"/>
  <c r="G239" i="18"/>
  <c r="H239" i="18" s="1"/>
  <c r="I239" i="18"/>
  <c r="B553" i="20"/>
  <c r="AC552" i="20"/>
  <c r="Y251" i="19"/>
  <c r="K392" i="19"/>
  <c r="L392" i="19" s="1"/>
  <c r="F393" i="19" s="1"/>
  <c r="H322" i="17"/>
  <c r="U223" i="20"/>
  <c r="X223" i="20" s="1"/>
  <c r="C532" i="21"/>
  <c r="A531" i="21"/>
  <c r="B531" i="21" s="1"/>
  <c r="AC552" i="17"/>
  <c r="B553" i="17"/>
  <c r="H393" i="19" l="1"/>
  <c r="L393" i="19" s="1"/>
  <c r="F394" i="19" s="1"/>
  <c r="K393" i="19"/>
  <c r="A532" i="21"/>
  <c r="B532" i="21" s="1"/>
  <c r="C533" i="21"/>
  <c r="B557" i="19"/>
  <c r="AC556" i="19"/>
  <c r="A556" i="19"/>
  <c r="Y223" i="20"/>
  <c r="J239" i="18"/>
  <c r="AC553" i="20"/>
  <c r="B554" i="20"/>
  <c r="AC553" i="17"/>
  <c r="B554" i="17"/>
  <c r="J232" i="21"/>
  <c r="R252" i="19"/>
  <c r="L328" i="20"/>
  <c r="F329" i="20" s="1"/>
  <c r="K322" i="17"/>
  <c r="L322" i="17" s="1"/>
  <c r="F323" i="17" s="1"/>
  <c r="X223" i="17"/>
  <c r="Y223" i="17"/>
  <c r="U223" i="17"/>
  <c r="J323" i="17" l="1"/>
  <c r="L323" i="17" s="1"/>
  <c r="F324" i="17" s="1"/>
  <c r="K323" i="17"/>
  <c r="H323" i="17"/>
  <c r="H394" i="19"/>
  <c r="L394" i="19" s="1"/>
  <c r="F395" i="19" s="1"/>
  <c r="K394" i="19"/>
  <c r="AC554" i="17"/>
  <c r="B555" i="17"/>
  <c r="H329" i="20"/>
  <c r="J329" i="20" s="1"/>
  <c r="C534" i="21"/>
  <c r="A533" i="21"/>
  <c r="B533" i="21" s="1"/>
  <c r="U252" i="19"/>
  <c r="Y252" i="19" s="1"/>
  <c r="X252" i="19"/>
  <c r="AA239" i="19"/>
  <c r="AD239" i="19" s="1"/>
  <c r="E220" i="21" s="1"/>
  <c r="E240" i="18"/>
  <c r="AA239" i="17"/>
  <c r="AA239" i="20"/>
  <c r="R224" i="20"/>
  <c r="K204" i="21"/>
  <c r="AD223" i="20"/>
  <c r="F204" i="21" s="1"/>
  <c r="I204" i="21"/>
  <c r="R224" i="17"/>
  <c r="AD223" i="17"/>
  <c r="D204" i="21" s="1"/>
  <c r="B555" i="20"/>
  <c r="AC554" i="20"/>
  <c r="AC557" i="19"/>
  <c r="A557" i="19"/>
  <c r="B558" i="19"/>
  <c r="K329" i="20" l="1"/>
  <c r="L329" i="20"/>
  <c r="F330" i="20" s="1"/>
  <c r="J233" i="21"/>
  <c r="R253" i="19"/>
  <c r="H395" i="19"/>
  <c r="J395" i="19"/>
  <c r="K324" i="17"/>
  <c r="H324" i="17"/>
  <c r="L324" i="17" s="1"/>
  <c r="F325" i="17" s="1"/>
  <c r="G240" i="18"/>
  <c r="J240" i="18" s="1"/>
  <c r="I240" i="18"/>
  <c r="C535" i="21"/>
  <c r="A534" i="21"/>
  <c r="B534" i="21" s="1"/>
  <c r="U224" i="20"/>
  <c r="B556" i="20"/>
  <c r="AC555" i="20"/>
  <c r="A558" i="19"/>
  <c r="B559" i="19"/>
  <c r="AC558" i="19"/>
  <c r="X224" i="17"/>
  <c r="U224" i="17"/>
  <c r="Y224" i="17" s="1"/>
  <c r="B556" i="17"/>
  <c r="AC555" i="17"/>
  <c r="AA240" i="20" l="1"/>
  <c r="AA240" i="19"/>
  <c r="AD240" i="19" s="1"/>
  <c r="E221" i="21" s="1"/>
  <c r="AA240" i="17"/>
  <c r="E241" i="18"/>
  <c r="I205" i="21"/>
  <c r="R225" i="17"/>
  <c r="AD224" i="17"/>
  <c r="D205" i="21" s="1"/>
  <c r="L395" i="19"/>
  <c r="F396" i="19" s="1"/>
  <c r="H325" i="17"/>
  <c r="K325" i="17" s="1"/>
  <c r="L325" i="17" s="1"/>
  <c r="F326" i="17" s="1"/>
  <c r="K395" i="19"/>
  <c r="B557" i="20"/>
  <c r="AC556" i="20"/>
  <c r="AC556" i="17"/>
  <c r="B557" i="17"/>
  <c r="X224" i="20"/>
  <c r="Y224" i="20" s="1"/>
  <c r="C536" i="21"/>
  <c r="A535" i="21"/>
  <c r="B535" i="21" s="1"/>
  <c r="X253" i="19"/>
  <c r="Y253" i="19" s="1"/>
  <c r="U253" i="19"/>
  <c r="H330" i="20"/>
  <c r="K330" i="20" s="1"/>
  <c r="A559" i="19"/>
  <c r="B560" i="19"/>
  <c r="AC559" i="19"/>
  <c r="K205" i="21" l="1"/>
  <c r="R225" i="20"/>
  <c r="AD224" i="20"/>
  <c r="F205" i="21" s="1"/>
  <c r="J234" i="21"/>
  <c r="R254" i="19"/>
  <c r="H326" i="17"/>
  <c r="H396" i="19"/>
  <c r="K396" i="19"/>
  <c r="L396" i="19"/>
  <c r="F397" i="19" s="1"/>
  <c r="U225" i="17"/>
  <c r="X225" i="17" s="1"/>
  <c r="B558" i="17"/>
  <c r="AC557" i="17"/>
  <c r="B558" i="20"/>
  <c r="AC557" i="20"/>
  <c r="L330" i="20"/>
  <c r="F331" i="20" s="1"/>
  <c r="A560" i="19"/>
  <c r="B561" i="19"/>
  <c r="AC560" i="19"/>
  <c r="G241" i="18"/>
  <c r="I241" i="18"/>
  <c r="J241" i="18" s="1"/>
  <c r="A536" i="21"/>
  <c r="B536" i="21" s="1"/>
  <c r="C537" i="21"/>
  <c r="AA241" i="20" l="1"/>
  <c r="AA241" i="17"/>
  <c r="AA241" i="19"/>
  <c r="AD241" i="19" s="1"/>
  <c r="E222" i="21" s="1"/>
  <c r="E242" i="18"/>
  <c r="H331" i="20"/>
  <c r="K331" i="20" s="1"/>
  <c r="K326" i="17"/>
  <c r="A537" i="21"/>
  <c r="B537" i="21" s="1"/>
  <c r="C538" i="21"/>
  <c r="AC561" i="19"/>
  <c r="A561" i="19"/>
  <c r="B562" i="19"/>
  <c r="U254" i="19"/>
  <c r="X254" i="19" s="1"/>
  <c r="H397" i="19"/>
  <c r="K397" i="19"/>
  <c r="L397" i="19"/>
  <c r="F398" i="19" s="1"/>
  <c r="AC558" i="17"/>
  <c r="B559" i="17"/>
  <c r="Y225" i="17"/>
  <c r="J326" i="17"/>
  <c r="L326" i="17" s="1"/>
  <c r="F327" i="17" s="1"/>
  <c r="U225" i="20"/>
  <c r="B559" i="20"/>
  <c r="AC558" i="20"/>
  <c r="H327" i="17" l="1"/>
  <c r="A562" i="19"/>
  <c r="AC562" i="19"/>
  <c r="B563" i="19"/>
  <c r="X225" i="20"/>
  <c r="Y225" i="20" s="1"/>
  <c r="L331" i="20"/>
  <c r="F332" i="20" s="1"/>
  <c r="I206" i="21"/>
  <c r="R226" i="17"/>
  <c r="AD225" i="17"/>
  <c r="D206" i="21" s="1"/>
  <c r="Y254" i="19"/>
  <c r="C539" i="21"/>
  <c r="A538" i="21"/>
  <c r="B538" i="21" s="1"/>
  <c r="B560" i="20"/>
  <c r="AC559" i="20"/>
  <c r="B560" i="17"/>
  <c r="AC559" i="17"/>
  <c r="J242" i="18"/>
  <c r="G242" i="18"/>
  <c r="I242" i="18"/>
  <c r="H242" i="18"/>
  <c r="H398" i="19"/>
  <c r="K206" i="21" l="1"/>
  <c r="R226" i="20"/>
  <c r="AD225" i="20"/>
  <c r="F206" i="21" s="1"/>
  <c r="H332" i="20"/>
  <c r="J332" i="20" s="1"/>
  <c r="B561" i="20"/>
  <c r="AC560" i="20"/>
  <c r="X226" i="17"/>
  <c r="U226" i="17"/>
  <c r="Y226" i="17" s="1"/>
  <c r="J398" i="19"/>
  <c r="K398" i="19" s="1"/>
  <c r="L398" i="19" s="1"/>
  <c r="F399" i="19" s="1"/>
  <c r="AA242" i="19"/>
  <c r="AD242" i="19" s="1"/>
  <c r="E223" i="21" s="1"/>
  <c r="AA242" i="17"/>
  <c r="AA242" i="20"/>
  <c r="E243" i="18"/>
  <c r="C540" i="21"/>
  <c r="A539" i="21"/>
  <c r="B539" i="21" s="1"/>
  <c r="K327" i="17"/>
  <c r="L327" i="17" s="1"/>
  <c r="F328" i="17" s="1"/>
  <c r="AC560" i="17"/>
  <c r="B561" i="17"/>
  <c r="J235" i="21"/>
  <c r="R255" i="19"/>
  <c r="B564" i="19"/>
  <c r="AC563" i="19"/>
  <c r="A563" i="19"/>
  <c r="I207" i="21" l="1"/>
  <c r="R227" i="17"/>
  <c r="AD226" i="17"/>
  <c r="D207" i="21" s="1"/>
  <c r="H328" i="17"/>
  <c r="H399" i="19"/>
  <c r="K399" i="19"/>
  <c r="L399" i="19"/>
  <c r="F400" i="19" s="1"/>
  <c r="AC564" i="19"/>
  <c r="B565" i="19"/>
  <c r="A564" i="19"/>
  <c r="AC561" i="20"/>
  <c r="B562" i="20"/>
  <c r="U255" i="19"/>
  <c r="X255" i="19"/>
  <c r="Y255" i="19"/>
  <c r="C541" i="21"/>
  <c r="A540" i="21"/>
  <c r="B540" i="21" s="1"/>
  <c r="U226" i="20"/>
  <c r="G243" i="18"/>
  <c r="I243" i="18"/>
  <c r="J243" i="18" s="1"/>
  <c r="K332" i="20"/>
  <c r="L332" i="20" s="1"/>
  <c r="F333" i="20" s="1"/>
  <c r="AC561" i="17"/>
  <c r="B562" i="17"/>
  <c r="H333" i="20" l="1"/>
  <c r="AA243" i="20"/>
  <c r="E244" i="18"/>
  <c r="AA243" i="17"/>
  <c r="AA243" i="19"/>
  <c r="AD243" i="19" s="1"/>
  <c r="E224" i="21" s="1"/>
  <c r="C542" i="21"/>
  <c r="A541" i="21"/>
  <c r="B541" i="21" s="1"/>
  <c r="U227" i="17"/>
  <c r="X227" i="17" s="1"/>
  <c r="Y227" i="17" s="1"/>
  <c r="B563" i="17"/>
  <c r="AC562" i="17"/>
  <c r="K400" i="19"/>
  <c r="L400" i="19"/>
  <c r="F401" i="19" s="1"/>
  <c r="H400" i="19"/>
  <c r="J236" i="21"/>
  <c r="R256" i="19"/>
  <c r="X226" i="20"/>
  <c r="Y226" i="20" s="1"/>
  <c r="K328" i="17"/>
  <c r="L328" i="17" s="1"/>
  <c r="F329" i="17" s="1"/>
  <c r="B563" i="20"/>
  <c r="AC562" i="20"/>
  <c r="B566" i="19"/>
  <c r="AC565" i="19"/>
  <c r="A565" i="19"/>
  <c r="AV74" i="21" l="1"/>
  <c r="R228" i="17"/>
  <c r="I208" i="21"/>
  <c r="T47" i="2" s="1"/>
  <c r="AD227" i="17"/>
  <c r="D208" i="21" s="1"/>
  <c r="AC58" i="21" s="1"/>
  <c r="AV70" i="21" s="1"/>
  <c r="AV72" i="21" s="1"/>
  <c r="AV77" i="21" s="1"/>
  <c r="H329" i="17"/>
  <c r="K207" i="21"/>
  <c r="R227" i="20"/>
  <c r="AD226" i="20"/>
  <c r="F207" i="21" s="1"/>
  <c r="H401" i="19"/>
  <c r="J401" i="19"/>
  <c r="K401" i="19"/>
  <c r="L401" i="19" s="1"/>
  <c r="F402" i="19" s="1"/>
  <c r="A542" i="21"/>
  <c r="B542" i="21" s="1"/>
  <c r="C543" i="21"/>
  <c r="K333" i="20"/>
  <c r="L333" i="20" s="1"/>
  <c r="F334" i="20" s="1"/>
  <c r="B564" i="20"/>
  <c r="AC563" i="20"/>
  <c r="U256" i="19"/>
  <c r="B564" i="17"/>
  <c r="AC563" i="17"/>
  <c r="AC566" i="19"/>
  <c r="A566" i="19"/>
  <c r="B567" i="19"/>
  <c r="G244" i="18"/>
  <c r="I244" i="18" s="1"/>
  <c r="J244" i="18" s="1"/>
  <c r="AA244" i="20" l="1"/>
  <c r="AA244" i="17"/>
  <c r="AA244" i="19"/>
  <c r="AD244" i="19" s="1"/>
  <c r="E225" i="21" s="1"/>
  <c r="E245" i="18"/>
  <c r="H402" i="19"/>
  <c r="L402" i="19" s="1"/>
  <c r="F403" i="19" s="1"/>
  <c r="K402" i="19"/>
  <c r="K329" i="17"/>
  <c r="L329" i="17" s="1"/>
  <c r="F330" i="17" s="1"/>
  <c r="H334" i="20"/>
  <c r="K334" i="20" s="1"/>
  <c r="AC567" i="19"/>
  <c r="B568" i="19"/>
  <c r="A567" i="19"/>
  <c r="X256" i="19"/>
  <c r="Y256" i="19" s="1"/>
  <c r="J329" i="17"/>
  <c r="U227" i="20"/>
  <c r="B565" i="20"/>
  <c r="AC564" i="20"/>
  <c r="X228" i="17"/>
  <c r="U228" i="17"/>
  <c r="Y228" i="17" s="1"/>
  <c r="B565" i="17"/>
  <c r="AC564" i="17"/>
  <c r="C544" i="21"/>
  <c r="A543" i="21"/>
  <c r="B543" i="21" s="1"/>
  <c r="H330" i="17" l="1"/>
  <c r="I209" i="21"/>
  <c r="R229" i="17"/>
  <c r="AD228" i="17"/>
  <c r="D209" i="21" s="1"/>
  <c r="Y227" i="20"/>
  <c r="J237" i="21"/>
  <c r="R257" i="19"/>
  <c r="H403" i="19"/>
  <c r="K403" i="19"/>
  <c r="L403" i="19"/>
  <c r="F404" i="19" s="1"/>
  <c r="AC568" i="19"/>
  <c r="B569" i="19"/>
  <c r="A568" i="19"/>
  <c r="X227" i="20"/>
  <c r="B566" i="17"/>
  <c r="AC565" i="17"/>
  <c r="A544" i="21"/>
  <c r="B544" i="21" s="1"/>
  <c r="C545" i="21"/>
  <c r="L334" i="20"/>
  <c r="F335" i="20" s="1"/>
  <c r="G245" i="18"/>
  <c r="H245" i="18"/>
  <c r="I245" i="18"/>
  <c r="J245" i="18" s="1"/>
  <c r="AC565" i="20"/>
  <c r="B566" i="20"/>
  <c r="AA245" i="20" l="1"/>
  <c r="AA245" i="17"/>
  <c r="AA245" i="19"/>
  <c r="AD245" i="19" s="1"/>
  <c r="E226" i="21" s="1"/>
  <c r="E246" i="18"/>
  <c r="C546" i="21"/>
  <c r="A545" i="21"/>
  <c r="B545" i="21" s="1"/>
  <c r="B567" i="17"/>
  <c r="AC566" i="17"/>
  <c r="U257" i="19"/>
  <c r="X257" i="19" s="1"/>
  <c r="Y257" i="19" s="1"/>
  <c r="K330" i="17"/>
  <c r="L330" i="17" s="1"/>
  <c r="F331" i="17" s="1"/>
  <c r="X229" i="17"/>
  <c r="Y229" i="17" s="1"/>
  <c r="U229" i="17"/>
  <c r="AC569" i="19"/>
  <c r="A569" i="19"/>
  <c r="B570" i="19"/>
  <c r="K208" i="21"/>
  <c r="R228" i="20"/>
  <c r="AD227" i="20"/>
  <c r="F208" i="21" s="1"/>
  <c r="H404" i="19"/>
  <c r="K404" i="19" s="1"/>
  <c r="J404" i="19"/>
  <c r="B567" i="20"/>
  <c r="AC566" i="20"/>
  <c r="H335" i="20"/>
  <c r="R230" i="17" l="1"/>
  <c r="I210" i="21"/>
  <c r="AD229" i="17"/>
  <c r="D210" i="21" s="1"/>
  <c r="K331" i="17"/>
  <c r="H331" i="17"/>
  <c r="L331" i="17" s="1"/>
  <c r="F332" i="17" s="1"/>
  <c r="J238" i="21"/>
  <c r="R258" i="19"/>
  <c r="C547" i="21"/>
  <c r="A546" i="21"/>
  <c r="B546" i="21" s="1"/>
  <c r="J335" i="20"/>
  <c r="K335" i="20" s="1"/>
  <c r="L404" i="19"/>
  <c r="F405" i="19" s="1"/>
  <c r="A570" i="19"/>
  <c r="B571" i="19"/>
  <c r="AC570" i="19"/>
  <c r="G246" i="18"/>
  <c r="I246" i="18" s="1"/>
  <c r="B568" i="20"/>
  <c r="AC567" i="20"/>
  <c r="U228" i="20"/>
  <c r="B568" i="17"/>
  <c r="AC567" i="17"/>
  <c r="J332" i="17" l="1"/>
  <c r="K332" i="17" s="1"/>
  <c r="H332" i="17"/>
  <c r="L332" i="17" s="1"/>
  <c r="F333" i="17" s="1"/>
  <c r="X228" i="20"/>
  <c r="Y228" i="20" s="1"/>
  <c r="B572" i="19"/>
  <c r="AC571" i="19"/>
  <c r="A571" i="19"/>
  <c r="C548" i="21"/>
  <c r="A547" i="21"/>
  <c r="B547" i="21" s="1"/>
  <c r="H405" i="19"/>
  <c r="L405" i="19" s="1"/>
  <c r="F406" i="19" s="1"/>
  <c r="K405" i="19"/>
  <c r="B569" i="20"/>
  <c r="AC568" i="20"/>
  <c r="L335" i="20"/>
  <c r="F336" i="20" s="1"/>
  <c r="AC568" i="17"/>
  <c r="B569" i="17"/>
  <c r="U258" i="19"/>
  <c r="Y258" i="19" s="1"/>
  <c r="X258" i="19"/>
  <c r="J246" i="18"/>
  <c r="U230" i="17"/>
  <c r="X230" i="17" s="1"/>
  <c r="K333" i="17" l="1"/>
  <c r="H333" i="17"/>
  <c r="L333" i="17" s="1"/>
  <c r="F334" i="17" s="1"/>
  <c r="H406" i="19"/>
  <c r="K406" i="19"/>
  <c r="L406" i="19" s="1"/>
  <c r="F407" i="19" s="1"/>
  <c r="R229" i="20"/>
  <c r="K209" i="21"/>
  <c r="AD228" i="20"/>
  <c r="F209" i="21" s="1"/>
  <c r="R259" i="19"/>
  <c r="J239" i="21"/>
  <c r="Y230" i="17"/>
  <c r="AA246" i="20"/>
  <c r="E247" i="18"/>
  <c r="AA246" i="17"/>
  <c r="AA246" i="19"/>
  <c r="AD246" i="19" s="1"/>
  <c r="E227" i="21" s="1"/>
  <c r="H336" i="20"/>
  <c r="B570" i="20"/>
  <c r="AC569" i="20"/>
  <c r="A548" i="21"/>
  <c r="B548" i="21" s="1"/>
  <c r="C549" i="21"/>
  <c r="B570" i="17"/>
  <c r="AC569" i="17"/>
  <c r="B573" i="19"/>
  <c r="AC572" i="19"/>
  <c r="A572" i="19"/>
  <c r="H407" i="19" l="1"/>
  <c r="J407" i="19" s="1"/>
  <c r="K407" i="19" s="1"/>
  <c r="H334" i="17"/>
  <c r="B571" i="20"/>
  <c r="AC570" i="20"/>
  <c r="G247" i="18"/>
  <c r="I247" i="18" s="1"/>
  <c r="U229" i="20"/>
  <c r="X229" i="20" s="1"/>
  <c r="AC570" i="17"/>
  <c r="B571" i="17"/>
  <c r="K336" i="20"/>
  <c r="L336" i="20" s="1"/>
  <c r="F337" i="20" s="1"/>
  <c r="I211" i="21"/>
  <c r="R231" i="17"/>
  <c r="AD230" i="17"/>
  <c r="D211" i="21" s="1"/>
  <c r="B574" i="19"/>
  <c r="AC573" i="19"/>
  <c r="A573" i="19"/>
  <c r="A549" i="21"/>
  <c r="B549" i="21" s="1"/>
  <c r="C550" i="21"/>
  <c r="U259" i="19"/>
  <c r="X259" i="19" s="1"/>
  <c r="Y259" i="19" s="1"/>
  <c r="R260" i="19" l="1"/>
  <c r="J240" i="21"/>
  <c r="H337" i="20"/>
  <c r="K337" i="20" s="1"/>
  <c r="L337" i="20" s="1"/>
  <c r="F338" i="20" s="1"/>
  <c r="J247" i="18"/>
  <c r="K334" i="17"/>
  <c r="L334" i="17" s="1"/>
  <c r="F335" i="17" s="1"/>
  <c r="C551" i="21"/>
  <c r="A550" i="21"/>
  <c r="B550" i="21" s="1"/>
  <c r="U231" i="17"/>
  <c r="X231" i="17" s="1"/>
  <c r="Y231" i="17" s="1"/>
  <c r="Y229" i="20"/>
  <c r="L407" i="19"/>
  <c r="F408" i="19" s="1"/>
  <c r="AC571" i="20"/>
  <c r="B572" i="20"/>
  <c r="B572" i="17"/>
  <c r="AC571" i="17"/>
  <c r="A574" i="19"/>
  <c r="B575" i="19"/>
  <c r="AC574" i="19"/>
  <c r="J338" i="20" l="1"/>
  <c r="K338" i="20"/>
  <c r="L338" i="20"/>
  <c r="F339" i="20" s="1"/>
  <c r="H338" i="20"/>
  <c r="H335" i="17"/>
  <c r="I212" i="21"/>
  <c r="R232" i="17"/>
  <c r="AD231" i="17"/>
  <c r="D212" i="21" s="1"/>
  <c r="H408" i="19"/>
  <c r="K408" i="19"/>
  <c r="L408" i="19" s="1"/>
  <c r="F409" i="19" s="1"/>
  <c r="AC572" i="17"/>
  <c r="B573" i="17"/>
  <c r="C552" i="21"/>
  <c r="A551" i="21"/>
  <c r="B551" i="21" s="1"/>
  <c r="R230" i="20"/>
  <c r="K210" i="21"/>
  <c r="AD229" i="20"/>
  <c r="F210" i="21" s="1"/>
  <c r="B573" i="20"/>
  <c r="AC572" i="20"/>
  <c r="AC575" i="19"/>
  <c r="A575" i="19"/>
  <c r="B576" i="19"/>
  <c r="AA247" i="17"/>
  <c r="AA247" i="20"/>
  <c r="E248" i="18"/>
  <c r="AA247" i="19"/>
  <c r="AD247" i="19" s="1"/>
  <c r="E228" i="21" s="1"/>
  <c r="U260" i="19"/>
  <c r="X260" i="19"/>
  <c r="Y260" i="19"/>
  <c r="K409" i="19" l="1"/>
  <c r="L409" i="19"/>
  <c r="F410" i="19" s="1"/>
  <c r="H409" i="19"/>
  <c r="J335" i="17"/>
  <c r="L335" i="17" s="1"/>
  <c r="F336" i="17" s="1"/>
  <c r="K335" i="17"/>
  <c r="AC576" i="19"/>
  <c r="A576" i="19"/>
  <c r="B577" i="19"/>
  <c r="G248" i="18"/>
  <c r="H248" i="18" s="1"/>
  <c r="A552" i="21"/>
  <c r="B552" i="21" s="1"/>
  <c r="C553" i="21"/>
  <c r="AC573" i="20"/>
  <c r="B574" i="20"/>
  <c r="B574" i="17"/>
  <c r="AC573" i="17"/>
  <c r="U232" i="17"/>
  <c r="X232" i="17" s="1"/>
  <c r="J241" i="21"/>
  <c r="R261" i="19"/>
  <c r="K339" i="20"/>
  <c r="H339" i="20"/>
  <c r="L339" i="20" s="1"/>
  <c r="F340" i="20" s="1"/>
  <c r="U230" i="20"/>
  <c r="X230" i="20" s="1"/>
  <c r="H336" i="17" l="1"/>
  <c r="K336" i="17" s="1"/>
  <c r="H340" i="20"/>
  <c r="K340" i="20" s="1"/>
  <c r="U261" i="19"/>
  <c r="Y232" i="17"/>
  <c r="I248" i="18"/>
  <c r="J248" i="18" s="1"/>
  <c r="AC574" i="17"/>
  <c r="B575" i="17"/>
  <c r="Y230" i="20"/>
  <c r="A553" i="21"/>
  <c r="B553" i="21" s="1"/>
  <c r="C554" i="21"/>
  <c r="A577" i="19"/>
  <c r="AC577" i="19"/>
  <c r="B578" i="19"/>
  <c r="K410" i="19"/>
  <c r="H410" i="19"/>
  <c r="L410" i="19" s="1"/>
  <c r="F411" i="19" s="1"/>
  <c r="J410" i="19"/>
  <c r="B575" i="20"/>
  <c r="AC574" i="20"/>
  <c r="H411" i="19" l="1"/>
  <c r="L411" i="19" s="1"/>
  <c r="F412" i="19" s="1"/>
  <c r="K411" i="19"/>
  <c r="E249" i="18"/>
  <c r="AA248" i="17"/>
  <c r="AA248" i="19"/>
  <c r="AD248" i="19" s="1"/>
  <c r="E229" i="21" s="1"/>
  <c r="AA248" i="20"/>
  <c r="K211" i="21"/>
  <c r="R231" i="20"/>
  <c r="AD230" i="20"/>
  <c r="F211" i="21" s="1"/>
  <c r="A578" i="19"/>
  <c r="B579" i="19"/>
  <c r="AC578" i="19"/>
  <c r="C555" i="21"/>
  <c r="A554" i="21"/>
  <c r="B554" i="21" s="1"/>
  <c r="R233" i="17"/>
  <c r="I213" i="21"/>
  <c r="AD232" i="17"/>
  <c r="D213" i="21" s="1"/>
  <c r="L340" i="20"/>
  <c r="F341" i="20" s="1"/>
  <c r="X261" i="19"/>
  <c r="Y261" i="19" s="1"/>
  <c r="B576" i="17"/>
  <c r="AC575" i="17"/>
  <c r="L336" i="17"/>
  <c r="F337" i="17" s="1"/>
  <c r="AC575" i="20"/>
  <c r="B576" i="20"/>
  <c r="H412" i="19" l="1"/>
  <c r="L412" i="19" s="1"/>
  <c r="F413" i="19" s="1"/>
  <c r="K412" i="19"/>
  <c r="R262" i="19"/>
  <c r="J242" i="21"/>
  <c r="H337" i="17"/>
  <c r="C556" i="21"/>
  <c r="A555" i="21"/>
  <c r="B555" i="21" s="1"/>
  <c r="U233" i="17"/>
  <c r="X233" i="17" s="1"/>
  <c r="G249" i="18"/>
  <c r="I249" i="18" s="1"/>
  <c r="J249" i="18" s="1"/>
  <c r="B577" i="20"/>
  <c r="AC576" i="20"/>
  <c r="B577" i="17"/>
  <c r="AC576" i="17"/>
  <c r="U231" i="20"/>
  <c r="X231" i="20" s="1"/>
  <c r="J341" i="20"/>
  <c r="K341" i="20" s="1"/>
  <c r="H341" i="20"/>
  <c r="A579" i="19"/>
  <c r="B580" i="19"/>
  <c r="AC579" i="19"/>
  <c r="AA249" i="17" l="1"/>
  <c r="AA249" i="19"/>
  <c r="AD249" i="19" s="1"/>
  <c r="E230" i="21" s="1"/>
  <c r="E250" i="18"/>
  <c r="AA249" i="20"/>
  <c r="L341" i="20"/>
  <c r="F342" i="20" s="1"/>
  <c r="H413" i="19"/>
  <c r="Y231" i="20"/>
  <c r="K337" i="17"/>
  <c r="L337" i="17" s="1"/>
  <c r="F338" i="17" s="1"/>
  <c r="Y233" i="17"/>
  <c r="B578" i="17"/>
  <c r="AC577" i="17"/>
  <c r="AC580" i="19"/>
  <c r="A580" i="19"/>
  <c r="B581" i="19"/>
  <c r="C557" i="21"/>
  <c r="A556" i="21"/>
  <c r="B556" i="21" s="1"/>
  <c r="U262" i="19"/>
  <c r="X262" i="19" s="1"/>
  <c r="Y262" i="19" s="1"/>
  <c r="B578" i="20"/>
  <c r="AC577" i="20"/>
  <c r="J243" i="21" l="1"/>
  <c r="R263" i="19"/>
  <c r="J338" i="17"/>
  <c r="L338" i="17" s="1"/>
  <c r="F339" i="17" s="1"/>
  <c r="H338" i="17"/>
  <c r="K338" i="17" s="1"/>
  <c r="B579" i="17"/>
  <c r="AC578" i="17"/>
  <c r="AC578" i="20"/>
  <c r="B579" i="20"/>
  <c r="H342" i="20"/>
  <c r="AC581" i="19"/>
  <c r="A581" i="19"/>
  <c r="B582" i="19"/>
  <c r="K212" i="21"/>
  <c r="R232" i="20"/>
  <c r="AD231" i="20"/>
  <c r="F212" i="21" s="1"/>
  <c r="G250" i="18"/>
  <c r="J413" i="19"/>
  <c r="K413" i="19" s="1"/>
  <c r="L413" i="19" s="1"/>
  <c r="F414" i="19" s="1"/>
  <c r="C558" i="21"/>
  <c r="A557" i="21"/>
  <c r="B557" i="21" s="1"/>
  <c r="R234" i="17"/>
  <c r="I214" i="21"/>
  <c r="AD233" i="17"/>
  <c r="D214" i="21" s="1"/>
  <c r="H414" i="19" l="1"/>
  <c r="K414" i="19" s="1"/>
  <c r="K339" i="17"/>
  <c r="H339" i="17"/>
  <c r="L339" i="17" s="1"/>
  <c r="F340" i="17" s="1"/>
  <c r="U263" i="19"/>
  <c r="X263" i="19" s="1"/>
  <c r="Y263" i="19" s="1"/>
  <c r="K342" i="20"/>
  <c r="L342" i="20" s="1"/>
  <c r="F343" i="20" s="1"/>
  <c r="U234" i="17"/>
  <c r="X234" i="17" s="1"/>
  <c r="I250" i="18"/>
  <c r="J250" i="18" s="1"/>
  <c r="AC582" i="19"/>
  <c r="A582" i="19"/>
  <c r="B583" i="19"/>
  <c r="B580" i="20"/>
  <c r="AC579" i="20"/>
  <c r="C559" i="21"/>
  <c r="A558" i="21"/>
  <c r="B558" i="21" s="1"/>
  <c r="AC579" i="17"/>
  <c r="B580" i="17"/>
  <c r="X232" i="20"/>
  <c r="U232" i="20"/>
  <c r="Y232" i="20" s="1"/>
  <c r="H343" i="20" l="1"/>
  <c r="K213" i="21"/>
  <c r="R233" i="20"/>
  <c r="AD232" i="20"/>
  <c r="F213" i="21" s="1"/>
  <c r="J244" i="21"/>
  <c r="R264" i="19"/>
  <c r="K340" i="17"/>
  <c r="H340" i="17"/>
  <c r="L340" i="17" s="1"/>
  <c r="F341" i="17" s="1"/>
  <c r="AA250" i="17"/>
  <c r="AA250" i="19"/>
  <c r="AD250" i="19" s="1"/>
  <c r="E231" i="21" s="1"/>
  <c r="E251" i="18"/>
  <c r="AA250" i="20"/>
  <c r="A559" i="21"/>
  <c r="B559" i="21" s="1"/>
  <c r="C560" i="21"/>
  <c r="AC580" i="20"/>
  <c r="B581" i="20"/>
  <c r="Y234" i="17"/>
  <c r="L414" i="19"/>
  <c r="F415" i="19" s="1"/>
  <c r="AC580" i="17"/>
  <c r="B581" i="17"/>
  <c r="A583" i="19"/>
  <c r="B584" i="19"/>
  <c r="AC583" i="19"/>
  <c r="J341" i="17" l="1"/>
  <c r="K341" i="17"/>
  <c r="L341" i="17" s="1"/>
  <c r="F342" i="17" s="1"/>
  <c r="H341" i="17"/>
  <c r="H415" i="19"/>
  <c r="K415" i="19"/>
  <c r="L415" i="19"/>
  <c r="F416" i="19" s="1"/>
  <c r="R235" i="17"/>
  <c r="I215" i="21"/>
  <c r="AD234" i="17"/>
  <c r="D215" i="21" s="1"/>
  <c r="A584" i="19"/>
  <c r="B585" i="19"/>
  <c r="AC584" i="19"/>
  <c r="C561" i="21"/>
  <c r="A560" i="21"/>
  <c r="B560" i="21" s="1"/>
  <c r="U233" i="20"/>
  <c r="G251" i="18"/>
  <c r="AC581" i="17"/>
  <c r="B582" i="17"/>
  <c r="U264" i="19"/>
  <c r="X264" i="19"/>
  <c r="Y264" i="19"/>
  <c r="K343" i="20"/>
  <c r="L343" i="20" s="1"/>
  <c r="F344" i="20" s="1"/>
  <c r="B582" i="20"/>
  <c r="AC581" i="20"/>
  <c r="H342" i="17" l="1"/>
  <c r="K342" i="17" s="1"/>
  <c r="H344" i="20"/>
  <c r="J344" i="20" s="1"/>
  <c r="Y233" i="20"/>
  <c r="B583" i="20"/>
  <c r="AC582" i="20"/>
  <c r="J245" i="21"/>
  <c r="R265" i="19"/>
  <c r="I251" i="18"/>
  <c r="H251" i="18"/>
  <c r="J251" i="18" s="1"/>
  <c r="X233" i="20"/>
  <c r="A561" i="21"/>
  <c r="B561" i="21" s="1"/>
  <c r="C562" i="21"/>
  <c r="U235" i="17"/>
  <c r="X235" i="17" s="1"/>
  <c r="H416" i="19"/>
  <c r="B583" i="17"/>
  <c r="AC582" i="17"/>
  <c r="B586" i="19"/>
  <c r="AC585" i="19"/>
  <c r="A585" i="19"/>
  <c r="K344" i="20" l="1"/>
  <c r="L344" i="20"/>
  <c r="F345" i="20" s="1"/>
  <c r="AA251" i="19"/>
  <c r="AD251" i="19" s="1"/>
  <c r="E232" i="21" s="1"/>
  <c r="E252" i="18"/>
  <c r="AA251" i="20"/>
  <c r="AA251" i="17"/>
  <c r="A562" i="21"/>
  <c r="B562" i="21" s="1"/>
  <c r="C563" i="21"/>
  <c r="R234" i="20"/>
  <c r="K214" i="21"/>
  <c r="AD233" i="20"/>
  <c r="F214" i="21" s="1"/>
  <c r="A586" i="19"/>
  <c r="B587" i="19"/>
  <c r="AC586" i="19"/>
  <c r="J416" i="19"/>
  <c r="K416" i="19" s="1"/>
  <c r="AC583" i="20"/>
  <c r="B584" i="20"/>
  <c r="B584" i="17"/>
  <c r="AC583" i="17"/>
  <c r="Y235" i="17"/>
  <c r="L342" i="17"/>
  <c r="F343" i="17" s="1"/>
  <c r="U265" i="19"/>
  <c r="X265" i="19" s="1"/>
  <c r="Y265" i="19" s="1"/>
  <c r="J246" i="21" l="1"/>
  <c r="R266" i="19"/>
  <c r="C564" i="21"/>
  <c r="A563" i="21"/>
  <c r="B563" i="21" s="1"/>
  <c r="B585" i="17"/>
  <c r="AC584" i="17"/>
  <c r="X234" i="20"/>
  <c r="Y234" i="20"/>
  <c r="U234" i="20"/>
  <c r="K343" i="17"/>
  <c r="L343" i="17"/>
  <c r="F344" i="17" s="1"/>
  <c r="H343" i="17"/>
  <c r="I216" i="21"/>
  <c r="R236" i="17"/>
  <c r="AD235" i="17"/>
  <c r="D216" i="21" s="1"/>
  <c r="L416" i="19"/>
  <c r="F417" i="19" s="1"/>
  <c r="G252" i="18"/>
  <c r="I252" i="18"/>
  <c r="J252" i="18" s="1"/>
  <c r="AC587" i="19"/>
  <c r="A587" i="19"/>
  <c r="B588" i="19"/>
  <c r="H345" i="20"/>
  <c r="AC584" i="20"/>
  <c r="B585" i="20"/>
  <c r="AA252" i="17" l="1"/>
  <c r="E253" i="18"/>
  <c r="AA252" i="20"/>
  <c r="AA252" i="19"/>
  <c r="AD252" i="19" s="1"/>
  <c r="E233" i="21" s="1"/>
  <c r="K345" i="20"/>
  <c r="L345" i="20" s="1"/>
  <c r="F346" i="20" s="1"/>
  <c r="H417" i="19"/>
  <c r="K417" i="19"/>
  <c r="L417" i="19" s="1"/>
  <c r="F418" i="19" s="1"/>
  <c r="J344" i="17"/>
  <c r="K344" i="17"/>
  <c r="L344" i="17"/>
  <c r="F345" i="17" s="1"/>
  <c r="H344" i="17"/>
  <c r="A588" i="19"/>
  <c r="B589" i="19"/>
  <c r="AC588" i="19"/>
  <c r="AC585" i="20"/>
  <c r="B586" i="20"/>
  <c r="B586" i="17"/>
  <c r="AC585" i="17"/>
  <c r="U236" i="17"/>
  <c r="X236" i="17" s="1"/>
  <c r="K215" i="21"/>
  <c r="R235" i="20"/>
  <c r="AD234" i="20"/>
  <c r="F215" i="21" s="1"/>
  <c r="A564" i="21"/>
  <c r="B564" i="21" s="1"/>
  <c r="C565" i="21"/>
  <c r="X266" i="19"/>
  <c r="Y266" i="19"/>
  <c r="U266" i="19"/>
  <c r="H346" i="20" l="1"/>
  <c r="H418" i="19"/>
  <c r="R267" i="19"/>
  <c r="J247" i="21"/>
  <c r="AC586" i="20"/>
  <c r="B587" i="20"/>
  <c r="K345" i="17"/>
  <c r="L345" i="17"/>
  <c r="F346" i="17" s="1"/>
  <c r="H345" i="17"/>
  <c r="C566" i="21"/>
  <c r="A565" i="21"/>
  <c r="B565" i="21" s="1"/>
  <c r="Y236" i="17"/>
  <c r="AC589" i="19"/>
  <c r="A589" i="19"/>
  <c r="B590" i="19"/>
  <c r="G253" i="18"/>
  <c r="I253" i="18" s="1"/>
  <c r="J253" i="18" s="1"/>
  <c r="X235" i="20"/>
  <c r="U235" i="20"/>
  <c r="Y235" i="20" s="1"/>
  <c r="AC586" i="17"/>
  <c r="B587" i="17"/>
  <c r="K216" i="21" l="1"/>
  <c r="R236" i="20"/>
  <c r="AD235" i="20"/>
  <c r="F216" i="21" s="1"/>
  <c r="AA253" i="17"/>
  <c r="AA253" i="19"/>
  <c r="AD253" i="19" s="1"/>
  <c r="E234" i="21" s="1"/>
  <c r="E254" i="18"/>
  <c r="AA253" i="20"/>
  <c r="L346" i="20"/>
  <c r="F347" i="20" s="1"/>
  <c r="K418" i="19"/>
  <c r="L418" i="19" s="1"/>
  <c r="F419" i="19" s="1"/>
  <c r="K346" i="17"/>
  <c r="L346" i="17"/>
  <c r="F347" i="17" s="1"/>
  <c r="H346" i="17"/>
  <c r="AC587" i="17"/>
  <c r="B588" i="17"/>
  <c r="R237" i="17"/>
  <c r="I217" i="21"/>
  <c r="AD236" i="17"/>
  <c r="D217" i="21" s="1"/>
  <c r="B588" i="20"/>
  <c r="AC587" i="20"/>
  <c r="C567" i="21"/>
  <c r="A566" i="21"/>
  <c r="B566" i="21" s="1"/>
  <c r="K346" i="20"/>
  <c r="A590" i="19"/>
  <c r="B591" i="19"/>
  <c r="AC590" i="19"/>
  <c r="U267" i="19"/>
  <c r="X267" i="19" s="1"/>
  <c r="Y267" i="19" s="1"/>
  <c r="H419" i="19" l="1"/>
  <c r="J419" i="19" s="1"/>
  <c r="R268" i="19"/>
  <c r="J248" i="21"/>
  <c r="J347" i="17"/>
  <c r="K347" i="17"/>
  <c r="L347" i="17"/>
  <c r="F348" i="17" s="1"/>
  <c r="H347" i="17"/>
  <c r="G254" i="18"/>
  <c r="I254" i="18"/>
  <c r="H254" i="18"/>
  <c r="J254" i="18" s="1"/>
  <c r="U237" i="17"/>
  <c r="X237" i="17" s="1"/>
  <c r="J347" i="20"/>
  <c r="K347" i="20"/>
  <c r="L347" i="20" s="1"/>
  <c r="F348" i="20" s="1"/>
  <c r="H347" i="20"/>
  <c r="U236" i="20"/>
  <c r="X236" i="20" s="1"/>
  <c r="A567" i="21"/>
  <c r="B567" i="21" s="1"/>
  <c r="C568" i="21"/>
  <c r="A568" i="21" s="1"/>
  <c r="B568" i="21" s="1"/>
  <c r="B589" i="17"/>
  <c r="AC588" i="17"/>
  <c r="A591" i="19"/>
  <c r="AC591" i="19"/>
  <c r="B592" i="19"/>
  <c r="B589" i="20"/>
  <c r="AC588" i="20"/>
  <c r="H348" i="20" l="1"/>
  <c r="K348" i="20" s="1"/>
  <c r="E255" i="18"/>
  <c r="AA254" i="17"/>
  <c r="AA254" i="19"/>
  <c r="AD254" i="19" s="1"/>
  <c r="E235" i="21" s="1"/>
  <c r="AA254" i="20"/>
  <c r="K348" i="17"/>
  <c r="L348" i="17"/>
  <c r="F349" i="17" s="1"/>
  <c r="H348" i="17"/>
  <c r="Y236" i="20"/>
  <c r="Y237" i="17"/>
  <c r="U268" i="19"/>
  <c r="X268" i="19" s="1"/>
  <c r="B590" i="20"/>
  <c r="AC589" i="20"/>
  <c r="AC592" i="19"/>
  <c r="A592" i="19"/>
  <c r="B593" i="19"/>
  <c r="K419" i="19"/>
  <c r="L419" i="19" s="1"/>
  <c r="F420" i="19" s="1"/>
  <c r="B590" i="17"/>
  <c r="AC589" i="17"/>
  <c r="K420" i="19" l="1"/>
  <c r="H420" i="19"/>
  <c r="L420" i="19"/>
  <c r="F421" i="19" s="1"/>
  <c r="A593" i="19"/>
  <c r="B594" i="19"/>
  <c r="AC593" i="19"/>
  <c r="K217" i="21"/>
  <c r="R237" i="20"/>
  <c r="AD236" i="20"/>
  <c r="F217" i="21" s="1"/>
  <c r="H349" i="17"/>
  <c r="I218" i="21"/>
  <c r="R238" i="17"/>
  <c r="AD237" i="17"/>
  <c r="D218" i="21" s="1"/>
  <c r="B591" i="17"/>
  <c r="AC590" i="17"/>
  <c r="B591" i="20"/>
  <c r="AC590" i="20"/>
  <c r="I255" i="18"/>
  <c r="G255" i="18"/>
  <c r="J255" i="18" s="1"/>
  <c r="Y268" i="19"/>
  <c r="L348" i="20"/>
  <c r="F349" i="20" s="1"/>
  <c r="AA255" i="20" l="1"/>
  <c r="AA255" i="19"/>
  <c r="AD255" i="19" s="1"/>
  <c r="E236" i="21" s="1"/>
  <c r="AA255" i="17"/>
  <c r="E256" i="18"/>
  <c r="B592" i="20"/>
  <c r="AC591" i="20"/>
  <c r="AC591" i="17"/>
  <c r="B592" i="17"/>
  <c r="K349" i="17"/>
  <c r="L349" i="17" s="1"/>
  <c r="F350" i="17" s="1"/>
  <c r="A594" i="19"/>
  <c r="B595" i="19"/>
  <c r="AC594" i="19"/>
  <c r="K349" i="20"/>
  <c r="L349" i="20" s="1"/>
  <c r="F350" i="20" s="1"/>
  <c r="H349" i="20"/>
  <c r="R269" i="19"/>
  <c r="J249" i="21"/>
  <c r="U238" i="17"/>
  <c r="X238" i="17" s="1"/>
  <c r="H421" i="19"/>
  <c r="K421" i="19" s="1"/>
  <c r="L421" i="19" s="1"/>
  <c r="F422" i="19" s="1"/>
  <c r="U237" i="20"/>
  <c r="H422" i="19" l="1"/>
  <c r="L422" i="19" s="1"/>
  <c r="F423" i="19" s="1"/>
  <c r="J422" i="19"/>
  <c r="K422" i="19"/>
  <c r="H350" i="17"/>
  <c r="Y237" i="20"/>
  <c r="J350" i="20"/>
  <c r="K350" i="20"/>
  <c r="H350" i="20"/>
  <c r="L350" i="20" s="1"/>
  <c r="F351" i="20" s="1"/>
  <c r="Y238" i="17"/>
  <c r="B593" i="20"/>
  <c r="AC592" i="20"/>
  <c r="AC592" i="17"/>
  <c r="B593" i="17"/>
  <c r="X237" i="20"/>
  <c r="A595" i="19"/>
  <c r="B596" i="19"/>
  <c r="AC595" i="19"/>
  <c r="U269" i="19"/>
  <c r="X269" i="19" s="1"/>
  <c r="Y269" i="19" s="1"/>
  <c r="G256" i="18"/>
  <c r="I256" i="18"/>
  <c r="J256" i="18" s="1"/>
  <c r="J250" i="21" l="1"/>
  <c r="R270" i="19"/>
  <c r="AA256" i="17"/>
  <c r="E257" i="18"/>
  <c r="AA256" i="20"/>
  <c r="AA256" i="19"/>
  <c r="AD256" i="19" s="1"/>
  <c r="E237" i="21" s="1"/>
  <c r="K351" i="20"/>
  <c r="L351" i="20"/>
  <c r="F352" i="20" s="1"/>
  <c r="H351" i="20"/>
  <c r="H423" i="19"/>
  <c r="K423" i="19" s="1"/>
  <c r="L423" i="19" s="1"/>
  <c r="F424" i="19" s="1"/>
  <c r="AC596" i="19"/>
  <c r="B597" i="19"/>
  <c r="A596" i="19"/>
  <c r="R238" i="20"/>
  <c r="K218" i="21"/>
  <c r="AD237" i="20"/>
  <c r="F218" i="21" s="1"/>
  <c r="I219" i="21"/>
  <c r="R239" i="17"/>
  <c r="AD238" i="17"/>
  <c r="D219" i="21" s="1"/>
  <c r="AC593" i="17"/>
  <c r="B594" i="17"/>
  <c r="J350" i="17"/>
  <c r="K350" i="17" s="1"/>
  <c r="B594" i="20"/>
  <c r="AC593" i="20"/>
  <c r="H424" i="19" l="1"/>
  <c r="L424" i="19" s="1"/>
  <c r="F425" i="19" s="1"/>
  <c r="K424" i="19"/>
  <c r="U270" i="19"/>
  <c r="X270" i="19" s="1"/>
  <c r="Y270" i="19" s="1"/>
  <c r="K352" i="20"/>
  <c r="L352" i="20" s="1"/>
  <c r="F353" i="20" s="1"/>
  <c r="H352" i="20"/>
  <c r="U238" i="20"/>
  <c r="X238" i="20" s="1"/>
  <c r="Y238" i="20" s="1"/>
  <c r="G257" i="18"/>
  <c r="H257" i="18"/>
  <c r="L350" i="17"/>
  <c r="F351" i="17" s="1"/>
  <c r="U239" i="17"/>
  <c r="X239" i="17" s="1"/>
  <c r="AC597" i="19"/>
  <c r="A597" i="19"/>
  <c r="B598" i="19"/>
  <c r="B595" i="20"/>
  <c r="AC594" i="20"/>
  <c r="B595" i="17"/>
  <c r="AC594" i="17"/>
  <c r="R271" i="19" l="1"/>
  <c r="J251" i="21"/>
  <c r="R239" i="20"/>
  <c r="K219" i="21"/>
  <c r="AD238" i="20"/>
  <c r="F219" i="21" s="1"/>
  <c r="J353" i="20"/>
  <c r="H353" i="20"/>
  <c r="K353" i="20" s="1"/>
  <c r="H425" i="19"/>
  <c r="K425" i="19" s="1"/>
  <c r="J425" i="19"/>
  <c r="L425" i="19" s="1"/>
  <c r="F426" i="19" s="1"/>
  <c r="K351" i="17"/>
  <c r="L351" i="17" s="1"/>
  <c r="F352" i="17" s="1"/>
  <c r="H351" i="17"/>
  <c r="Y239" i="17"/>
  <c r="AC598" i="19"/>
  <c r="B599" i="19"/>
  <c r="A598" i="19"/>
  <c r="I257" i="18"/>
  <c r="J257" i="18" s="1"/>
  <c r="AC595" i="17"/>
  <c r="B596" i="17"/>
  <c r="B596" i="20"/>
  <c r="AC595" i="20"/>
  <c r="H352" i="17" l="1"/>
  <c r="K352" i="17" s="1"/>
  <c r="L353" i="20"/>
  <c r="F354" i="20" s="1"/>
  <c r="AA257" i="19"/>
  <c r="AD257" i="19" s="1"/>
  <c r="E238" i="21" s="1"/>
  <c r="E258" i="18"/>
  <c r="AA257" i="20"/>
  <c r="AA257" i="17"/>
  <c r="H426" i="19"/>
  <c r="K426" i="19" s="1"/>
  <c r="B597" i="17"/>
  <c r="AC596" i="17"/>
  <c r="X239" i="20"/>
  <c r="Y239" i="20"/>
  <c r="U239" i="20"/>
  <c r="R240" i="17"/>
  <c r="AW74" i="21"/>
  <c r="I220" i="21"/>
  <c r="T48" i="2" s="1"/>
  <c r="AD239" i="17"/>
  <c r="D220" i="21" s="1"/>
  <c r="AC59" i="21" s="1"/>
  <c r="AW70" i="21" s="1"/>
  <c r="AW72" i="21" s="1"/>
  <c r="AW77" i="21" s="1"/>
  <c r="A599" i="19"/>
  <c r="B600" i="19"/>
  <c r="AC599" i="19"/>
  <c r="AC596" i="20"/>
  <c r="B597" i="20"/>
  <c r="X271" i="19"/>
  <c r="Y271" i="19"/>
  <c r="U271" i="19"/>
  <c r="R272" i="19" l="1"/>
  <c r="J252" i="21"/>
  <c r="AC597" i="17"/>
  <c r="B598" i="17"/>
  <c r="G258" i="18"/>
  <c r="J258" i="18" s="1"/>
  <c r="I258" i="18"/>
  <c r="U240" i="17"/>
  <c r="X240" i="17" s="1"/>
  <c r="L426" i="19"/>
  <c r="F427" i="19" s="1"/>
  <c r="R240" i="20"/>
  <c r="K220" i="21"/>
  <c r="AD239" i="20"/>
  <c r="F220" i="21" s="1"/>
  <c r="AC597" i="20"/>
  <c r="B598" i="20"/>
  <c r="B601" i="19"/>
  <c r="AC600" i="19"/>
  <c r="A600" i="19"/>
  <c r="H354" i="20"/>
  <c r="L352" i="17"/>
  <c r="F353" i="17" s="1"/>
  <c r="AA258" i="17" l="1"/>
  <c r="E259" i="18"/>
  <c r="AA258" i="19"/>
  <c r="AD258" i="19" s="1"/>
  <c r="E239" i="21" s="1"/>
  <c r="AA258" i="20"/>
  <c r="AC601" i="19"/>
  <c r="A601" i="19"/>
  <c r="B602" i="19"/>
  <c r="H427" i="19"/>
  <c r="K427" i="19" s="1"/>
  <c r="L427" i="19" s="1"/>
  <c r="F428" i="19" s="1"/>
  <c r="B599" i="20"/>
  <c r="AC598" i="20"/>
  <c r="AC598" i="17"/>
  <c r="B599" i="17"/>
  <c r="Y240" i="20"/>
  <c r="X240" i="20"/>
  <c r="U240" i="20"/>
  <c r="K354" i="20"/>
  <c r="L354" i="20" s="1"/>
  <c r="F355" i="20" s="1"/>
  <c r="H353" i="17"/>
  <c r="J353" i="17" s="1"/>
  <c r="Y240" i="17"/>
  <c r="U272" i="19"/>
  <c r="X272" i="19" s="1"/>
  <c r="H355" i="20" l="1"/>
  <c r="K355" i="20" s="1"/>
  <c r="H428" i="19"/>
  <c r="J428" i="19" s="1"/>
  <c r="R241" i="17"/>
  <c r="I221" i="21"/>
  <c r="AD240" i="17"/>
  <c r="D221" i="21" s="1"/>
  <c r="AC599" i="20"/>
  <c r="B600" i="20"/>
  <c r="K221" i="21"/>
  <c r="R241" i="20"/>
  <c r="AD240" i="20"/>
  <c r="F221" i="21" s="1"/>
  <c r="K353" i="17"/>
  <c r="AC599" i="17"/>
  <c r="B600" i="17"/>
  <c r="Y272" i="19"/>
  <c r="B603" i="19"/>
  <c r="AC602" i="19"/>
  <c r="A602" i="19"/>
  <c r="L353" i="17"/>
  <c r="F354" i="17" s="1"/>
  <c r="G259" i="18"/>
  <c r="I259" i="18" s="1"/>
  <c r="K428" i="19" l="1"/>
  <c r="L428" i="19"/>
  <c r="F429" i="19" s="1"/>
  <c r="K354" i="17"/>
  <c r="H354" i="17"/>
  <c r="L354" i="17" s="1"/>
  <c r="F355" i="17" s="1"/>
  <c r="AC600" i="20"/>
  <c r="B601" i="20"/>
  <c r="AC603" i="19"/>
  <c r="B604" i="19"/>
  <c r="A603" i="19"/>
  <c r="R273" i="19"/>
  <c r="J253" i="21"/>
  <c r="U241" i="20"/>
  <c r="X241" i="20" s="1"/>
  <c r="J259" i="18"/>
  <c r="X241" i="17"/>
  <c r="Y241" i="17"/>
  <c r="U241" i="17"/>
  <c r="L355" i="20"/>
  <c r="F356" i="20" s="1"/>
  <c r="AC600" i="17"/>
  <c r="B601" i="17"/>
  <c r="H355" i="17" l="1"/>
  <c r="K355" i="17" s="1"/>
  <c r="U273" i="19"/>
  <c r="X273" i="19" s="1"/>
  <c r="Y273" i="19" s="1"/>
  <c r="AC601" i="17"/>
  <c r="B602" i="17"/>
  <c r="AA259" i="17"/>
  <c r="E260" i="18"/>
  <c r="AA259" i="20"/>
  <c r="AA259" i="19"/>
  <c r="AD259" i="19" s="1"/>
  <c r="E240" i="21" s="1"/>
  <c r="AC604" i="19"/>
  <c r="A604" i="19"/>
  <c r="B605" i="19"/>
  <c r="Y241" i="20"/>
  <c r="H429" i="19"/>
  <c r="L429" i="19" s="1"/>
  <c r="F430" i="19" s="1"/>
  <c r="K429" i="19"/>
  <c r="I222" i="21"/>
  <c r="R242" i="17"/>
  <c r="AD241" i="17"/>
  <c r="D222" i="21" s="1"/>
  <c r="H356" i="20"/>
  <c r="J356" i="20" s="1"/>
  <c r="AC601" i="20"/>
  <c r="B602" i="20"/>
  <c r="R274" i="19" l="1"/>
  <c r="J254" i="21"/>
  <c r="H430" i="19"/>
  <c r="K430" i="19" s="1"/>
  <c r="A605" i="19"/>
  <c r="AC605" i="19"/>
  <c r="B606" i="19"/>
  <c r="L356" i="20"/>
  <c r="F357" i="20" s="1"/>
  <c r="K356" i="20"/>
  <c r="B603" i="20"/>
  <c r="AC602" i="20"/>
  <c r="R242" i="20"/>
  <c r="K222" i="21"/>
  <c r="AD241" i="20"/>
  <c r="F222" i="21" s="1"/>
  <c r="I260" i="18"/>
  <c r="J260" i="18" s="1"/>
  <c r="G260" i="18"/>
  <c r="H260" i="18"/>
  <c r="L355" i="17"/>
  <c r="F356" i="17" s="1"/>
  <c r="U242" i="17"/>
  <c r="X242" i="17" s="1"/>
  <c r="AC602" i="17"/>
  <c r="B603" i="17"/>
  <c r="AA260" i="19" l="1"/>
  <c r="AD260" i="19" s="1"/>
  <c r="E241" i="21" s="1"/>
  <c r="E261" i="18"/>
  <c r="AA260" i="17"/>
  <c r="AA260" i="20"/>
  <c r="AC603" i="20"/>
  <c r="B604" i="20"/>
  <c r="AC603" i="17"/>
  <c r="B604" i="17"/>
  <c r="Y242" i="17"/>
  <c r="L430" i="19"/>
  <c r="F431" i="19" s="1"/>
  <c r="J356" i="17"/>
  <c r="H356" i="17"/>
  <c r="K356" i="17" s="1"/>
  <c r="AC606" i="19"/>
  <c r="A606" i="19"/>
  <c r="B607" i="19"/>
  <c r="H357" i="20"/>
  <c r="K357" i="20" s="1"/>
  <c r="L357" i="20" s="1"/>
  <c r="F358" i="20" s="1"/>
  <c r="U242" i="20"/>
  <c r="X242" i="20" s="1"/>
  <c r="Y242" i="20" s="1"/>
  <c r="U274" i="19"/>
  <c r="R243" i="20" l="1"/>
  <c r="K223" i="21"/>
  <c r="AD242" i="20"/>
  <c r="F223" i="21" s="1"/>
  <c r="K358" i="20"/>
  <c r="L358" i="20"/>
  <c r="F359" i="20" s="1"/>
  <c r="H358" i="20"/>
  <c r="AC604" i="20"/>
  <c r="B605" i="20"/>
  <c r="I223" i="21"/>
  <c r="R243" i="17"/>
  <c r="AD242" i="17"/>
  <c r="D223" i="21" s="1"/>
  <c r="AC607" i="19"/>
  <c r="A607" i="19"/>
  <c r="B608" i="19"/>
  <c r="L356" i="17"/>
  <c r="F357" i="17" s="1"/>
  <c r="H431" i="19"/>
  <c r="X274" i="19"/>
  <c r="Y274" i="19" s="1"/>
  <c r="B605" i="17"/>
  <c r="AC604" i="17"/>
  <c r="G261" i="18"/>
  <c r="I261" i="18"/>
  <c r="J261" i="18"/>
  <c r="J255" i="21" l="1"/>
  <c r="R275" i="19"/>
  <c r="K431" i="19"/>
  <c r="J359" i="20"/>
  <c r="H359" i="20"/>
  <c r="AC605" i="17"/>
  <c r="B606" i="17"/>
  <c r="X243" i="17"/>
  <c r="Y243" i="17"/>
  <c r="U243" i="17"/>
  <c r="K357" i="17"/>
  <c r="L357" i="17" s="1"/>
  <c r="F358" i="17" s="1"/>
  <c r="H357" i="17"/>
  <c r="B609" i="19"/>
  <c r="AC608" i="19"/>
  <c r="A608" i="19"/>
  <c r="AA261" i="17"/>
  <c r="AA261" i="20"/>
  <c r="E262" i="18"/>
  <c r="AA261" i="19"/>
  <c r="AD261" i="19" s="1"/>
  <c r="E242" i="21" s="1"/>
  <c r="AC605" i="20"/>
  <c r="B606" i="20"/>
  <c r="J431" i="19"/>
  <c r="L431" i="19" s="1"/>
  <c r="F432" i="19" s="1"/>
  <c r="X243" i="20"/>
  <c r="U243" i="20"/>
  <c r="Y243" i="20" s="1"/>
  <c r="K224" i="21" l="1"/>
  <c r="R244" i="20"/>
  <c r="AD243" i="20"/>
  <c r="F224" i="21" s="1"/>
  <c r="H358" i="17"/>
  <c r="H432" i="19"/>
  <c r="K432" i="19"/>
  <c r="L432" i="19"/>
  <c r="F433" i="19" s="1"/>
  <c r="I224" i="21"/>
  <c r="R244" i="17"/>
  <c r="AD243" i="17"/>
  <c r="D224" i="21" s="1"/>
  <c r="AC609" i="19"/>
  <c r="A609" i="19"/>
  <c r="B610" i="19"/>
  <c r="K359" i="20"/>
  <c r="L359" i="20" s="1"/>
  <c r="F360" i="20" s="1"/>
  <c r="I262" i="18"/>
  <c r="G262" i="18"/>
  <c r="J262" i="18" s="1"/>
  <c r="B607" i="17"/>
  <c r="AC606" i="17"/>
  <c r="U275" i="19"/>
  <c r="X275" i="19"/>
  <c r="Y275" i="19"/>
  <c r="AC606" i="20"/>
  <c r="B607" i="20"/>
  <c r="AA262" i="17" l="1"/>
  <c r="AA262" i="20"/>
  <c r="E263" i="18"/>
  <c r="AA262" i="19"/>
  <c r="AD262" i="19" s="1"/>
  <c r="E243" i="21" s="1"/>
  <c r="K360" i="20"/>
  <c r="H360" i="20"/>
  <c r="L360" i="20" s="1"/>
  <c r="F361" i="20" s="1"/>
  <c r="X244" i="17"/>
  <c r="U244" i="17"/>
  <c r="Y244" i="17" s="1"/>
  <c r="K358" i="17"/>
  <c r="L358" i="17" s="1"/>
  <c r="F359" i="17" s="1"/>
  <c r="AC607" i="17"/>
  <c r="B608" i="17"/>
  <c r="B611" i="19"/>
  <c r="A610" i="19"/>
  <c r="AC610" i="19"/>
  <c r="J256" i="21"/>
  <c r="R276" i="19"/>
  <c r="H433" i="19"/>
  <c r="K433" i="19" s="1"/>
  <c r="AC607" i="20"/>
  <c r="B608" i="20"/>
  <c r="U244" i="20"/>
  <c r="X244" i="20" s="1"/>
  <c r="L361" i="20" l="1"/>
  <c r="F362" i="20" s="1"/>
  <c r="K361" i="20"/>
  <c r="H361" i="20"/>
  <c r="H359" i="17"/>
  <c r="R245" i="17"/>
  <c r="I225" i="21"/>
  <c r="AD244" i="17"/>
  <c r="D225" i="21" s="1"/>
  <c r="L433" i="19"/>
  <c r="F434" i="19" s="1"/>
  <c r="A611" i="19"/>
  <c r="B612" i="19"/>
  <c r="AC611" i="19"/>
  <c r="G263" i="18"/>
  <c r="AC608" i="20"/>
  <c r="B609" i="20"/>
  <c r="AC608" i="17"/>
  <c r="B609" i="17"/>
  <c r="Y244" i="20"/>
  <c r="U276" i="19"/>
  <c r="Y276" i="19" l="1"/>
  <c r="J263" i="18"/>
  <c r="AC609" i="17"/>
  <c r="B610" i="17"/>
  <c r="J359" i="17"/>
  <c r="J434" i="19"/>
  <c r="H434" i="19"/>
  <c r="K434" i="19" s="1"/>
  <c r="H263" i="18"/>
  <c r="X276" i="19"/>
  <c r="I263" i="18"/>
  <c r="R245" i="20"/>
  <c r="K225" i="21"/>
  <c r="AD244" i="20"/>
  <c r="F225" i="21" s="1"/>
  <c r="B610" i="20"/>
  <c r="AC609" i="20"/>
  <c r="X245" i="17"/>
  <c r="Y245" i="17"/>
  <c r="U245" i="17"/>
  <c r="AC612" i="19"/>
  <c r="B613" i="19"/>
  <c r="A612" i="19"/>
  <c r="J362" i="20"/>
  <c r="H362" i="20"/>
  <c r="K362" i="20" s="1"/>
  <c r="L362" i="20" s="1"/>
  <c r="F363" i="20" s="1"/>
  <c r="K363" i="20" l="1"/>
  <c r="H363" i="20"/>
  <c r="L363" i="20" s="1"/>
  <c r="F364" i="20" s="1"/>
  <c r="L434" i="19"/>
  <c r="F435" i="19" s="1"/>
  <c r="B611" i="20"/>
  <c r="AC610" i="20"/>
  <c r="R246" i="17"/>
  <c r="I226" i="21"/>
  <c r="AD245" i="17"/>
  <c r="D226" i="21" s="1"/>
  <c r="U245" i="20"/>
  <c r="X245" i="20" s="1"/>
  <c r="AA263" i="20"/>
  <c r="AA263" i="17"/>
  <c r="E264" i="18"/>
  <c r="AA263" i="19"/>
  <c r="AD263" i="19" s="1"/>
  <c r="E244" i="21" s="1"/>
  <c r="R277" i="19"/>
  <c r="J257" i="21"/>
  <c r="A613" i="19"/>
  <c r="AC613" i="19"/>
  <c r="B614" i="19"/>
  <c r="AC610" i="17"/>
  <c r="B611" i="17"/>
  <c r="K359" i="17"/>
  <c r="L359" i="17" s="1"/>
  <c r="F360" i="17" s="1"/>
  <c r="K360" i="17" l="1"/>
  <c r="L360" i="17" s="1"/>
  <c r="F361" i="17" s="1"/>
  <c r="H360" i="17"/>
  <c r="H364" i="20"/>
  <c r="H435" i="19"/>
  <c r="L435" i="19" s="1"/>
  <c r="F436" i="19" s="1"/>
  <c r="K435" i="19"/>
  <c r="U246" i="17"/>
  <c r="Y245" i="20"/>
  <c r="G264" i="18"/>
  <c r="J264" i="18" s="1"/>
  <c r="I264" i="18"/>
  <c r="AC611" i="17"/>
  <c r="B612" i="17"/>
  <c r="Y277" i="19"/>
  <c r="U277" i="19"/>
  <c r="X277" i="19"/>
  <c r="AC611" i="20"/>
  <c r="B612" i="20"/>
  <c r="B615" i="19"/>
  <c r="AC614" i="19"/>
  <c r="A614" i="19"/>
  <c r="K436" i="19" l="1"/>
  <c r="L436" i="19"/>
  <c r="F437" i="19" s="1"/>
  <c r="H436" i="19"/>
  <c r="L364" i="20"/>
  <c r="F365" i="20" s="1"/>
  <c r="AA264" i="19"/>
  <c r="AD264" i="19" s="1"/>
  <c r="E245" i="21" s="1"/>
  <c r="AA264" i="17"/>
  <c r="E265" i="18"/>
  <c r="AA264" i="20"/>
  <c r="H361" i="17"/>
  <c r="K361" i="17" s="1"/>
  <c r="AC615" i="19"/>
  <c r="A615" i="19"/>
  <c r="B616" i="19"/>
  <c r="B613" i="20"/>
  <c r="AC612" i="20"/>
  <c r="X246" i="17"/>
  <c r="Y246" i="17" s="1"/>
  <c r="K364" i="20"/>
  <c r="J258" i="21"/>
  <c r="R278" i="19"/>
  <c r="R246" i="20"/>
  <c r="K226" i="21"/>
  <c r="AD245" i="20"/>
  <c r="F226" i="21" s="1"/>
  <c r="AC612" i="17"/>
  <c r="B613" i="17"/>
  <c r="R247" i="17" l="1"/>
  <c r="I227" i="21"/>
  <c r="AD246" i="17"/>
  <c r="D227" i="21" s="1"/>
  <c r="L361" i="17"/>
  <c r="F362" i="17" s="1"/>
  <c r="H365" i="20"/>
  <c r="J365" i="20" s="1"/>
  <c r="U246" i="20"/>
  <c r="X246" i="20" s="1"/>
  <c r="Y246" i="20" s="1"/>
  <c r="B614" i="20"/>
  <c r="AC613" i="20"/>
  <c r="X278" i="19"/>
  <c r="Y278" i="19"/>
  <c r="U278" i="19"/>
  <c r="A616" i="19"/>
  <c r="B617" i="19"/>
  <c r="AC616" i="19"/>
  <c r="L437" i="19"/>
  <c r="F438" i="19" s="1"/>
  <c r="H437" i="19"/>
  <c r="J437" i="19"/>
  <c r="K437" i="19"/>
  <c r="AC613" i="17"/>
  <c r="B614" i="17"/>
  <c r="G265" i="18"/>
  <c r="I265" i="18" s="1"/>
  <c r="R247" i="20" l="1"/>
  <c r="K227" i="21"/>
  <c r="AD246" i="20"/>
  <c r="F227" i="21" s="1"/>
  <c r="J259" i="21"/>
  <c r="R279" i="19"/>
  <c r="AC617" i="19"/>
  <c r="A617" i="19"/>
  <c r="B618" i="19"/>
  <c r="AC614" i="20"/>
  <c r="B615" i="20"/>
  <c r="J265" i="18"/>
  <c r="K365" i="20"/>
  <c r="L365" i="20" s="1"/>
  <c r="F366" i="20" s="1"/>
  <c r="J362" i="17"/>
  <c r="H362" i="17"/>
  <c r="K362" i="17" s="1"/>
  <c r="H438" i="19"/>
  <c r="K438" i="19" s="1"/>
  <c r="L438" i="19" s="1"/>
  <c r="F439" i="19" s="1"/>
  <c r="AC614" i="17"/>
  <c r="B615" i="17"/>
  <c r="U247" i="17"/>
  <c r="X247" i="17" s="1"/>
  <c r="Y247" i="17" s="1"/>
  <c r="I228" i="21" l="1"/>
  <c r="R248" i="17"/>
  <c r="AD247" i="17"/>
  <c r="D228" i="21" s="1"/>
  <c r="H366" i="20"/>
  <c r="H439" i="19"/>
  <c r="L439" i="19" s="1"/>
  <c r="F440" i="19" s="1"/>
  <c r="K439" i="19"/>
  <c r="L362" i="17"/>
  <c r="F363" i="17" s="1"/>
  <c r="AA265" i="19"/>
  <c r="AD265" i="19" s="1"/>
  <c r="E246" i="21" s="1"/>
  <c r="AA265" i="20"/>
  <c r="AA265" i="17"/>
  <c r="E266" i="18"/>
  <c r="U279" i="19"/>
  <c r="AC615" i="17"/>
  <c r="B616" i="17"/>
  <c r="B616" i="20"/>
  <c r="AC615" i="20"/>
  <c r="B619" i="19"/>
  <c r="AC618" i="19"/>
  <c r="A618" i="19"/>
  <c r="U247" i="20"/>
  <c r="X247" i="20" s="1"/>
  <c r="H440" i="19" l="1"/>
  <c r="J440" i="19"/>
  <c r="K440" i="19" s="1"/>
  <c r="L440" i="19" s="1"/>
  <c r="F441" i="19" s="1"/>
  <c r="X279" i="19"/>
  <c r="Y279" i="19" s="1"/>
  <c r="K366" i="20"/>
  <c r="L366" i="20" s="1"/>
  <c r="F367" i="20" s="1"/>
  <c r="AC619" i="19"/>
  <c r="A619" i="19"/>
  <c r="B620" i="19"/>
  <c r="H363" i="17"/>
  <c r="K363" i="17" s="1"/>
  <c r="Y247" i="20"/>
  <c r="AC616" i="20"/>
  <c r="B617" i="20"/>
  <c r="G266" i="18"/>
  <c r="I266" i="18" s="1"/>
  <c r="H266" i="18"/>
  <c r="X248" i="17"/>
  <c r="Y248" i="17"/>
  <c r="U248" i="17"/>
  <c r="AC616" i="17"/>
  <c r="B617" i="17"/>
  <c r="H367" i="20" l="1"/>
  <c r="J260" i="21"/>
  <c r="R280" i="19"/>
  <c r="K441" i="19"/>
  <c r="H441" i="19"/>
  <c r="L441" i="19" s="1"/>
  <c r="F442" i="19" s="1"/>
  <c r="J266" i="18"/>
  <c r="R249" i="17"/>
  <c r="I229" i="21"/>
  <c r="AD248" i="17"/>
  <c r="D229" i="21" s="1"/>
  <c r="AC617" i="20"/>
  <c r="B618" i="20"/>
  <c r="B621" i="19"/>
  <c r="AC620" i="19"/>
  <c r="A620" i="19"/>
  <c r="K228" i="21"/>
  <c r="R248" i="20"/>
  <c r="AD247" i="20"/>
  <c r="F228" i="21" s="1"/>
  <c r="B618" i="17"/>
  <c r="AC617" i="17"/>
  <c r="L363" i="17"/>
  <c r="F364" i="17" s="1"/>
  <c r="H442" i="19" l="1"/>
  <c r="K442" i="19"/>
  <c r="L442" i="19" s="1"/>
  <c r="F443" i="19" s="1"/>
  <c r="K364" i="17"/>
  <c r="L364" i="17"/>
  <c r="F365" i="17" s="1"/>
  <c r="H364" i="17"/>
  <c r="U280" i="19"/>
  <c r="X280" i="19" s="1"/>
  <c r="X249" i="17"/>
  <c r="Y249" i="17"/>
  <c r="U249" i="17"/>
  <c r="A621" i="19"/>
  <c r="AC621" i="19"/>
  <c r="B622" i="19"/>
  <c r="AC618" i="17"/>
  <c r="B619" i="17"/>
  <c r="AA266" i="17"/>
  <c r="E267" i="18"/>
  <c r="AA266" i="20"/>
  <c r="AA266" i="19"/>
  <c r="AD266" i="19" s="1"/>
  <c r="E247" i="21" s="1"/>
  <c r="B619" i="20"/>
  <c r="AC618" i="20"/>
  <c r="K367" i="20"/>
  <c r="L367" i="20" s="1"/>
  <c r="F368" i="20" s="1"/>
  <c r="X248" i="20"/>
  <c r="Y248" i="20"/>
  <c r="U248" i="20"/>
  <c r="H368" i="20" l="1"/>
  <c r="J368" i="20" s="1"/>
  <c r="H443" i="19"/>
  <c r="K443" i="19" s="1"/>
  <c r="J443" i="19"/>
  <c r="R250" i="17"/>
  <c r="I230" i="21"/>
  <c r="AD249" i="17"/>
  <c r="D230" i="21" s="1"/>
  <c r="AC619" i="20"/>
  <c r="B620" i="20"/>
  <c r="B623" i="19"/>
  <c r="A622" i="19"/>
  <c r="AC622" i="19"/>
  <c r="Y280" i="19"/>
  <c r="AC619" i="17"/>
  <c r="B620" i="17"/>
  <c r="G267" i="18"/>
  <c r="I267" i="18" s="1"/>
  <c r="J267" i="18" s="1"/>
  <c r="J365" i="17"/>
  <c r="H365" i="17"/>
  <c r="K229" i="21"/>
  <c r="R249" i="20"/>
  <c r="AD248" i="20"/>
  <c r="F229" i="21" s="1"/>
  <c r="AA267" i="20" l="1"/>
  <c r="E268" i="18"/>
  <c r="AA267" i="17"/>
  <c r="AA267" i="19"/>
  <c r="AD267" i="19" s="1"/>
  <c r="E248" i="21" s="1"/>
  <c r="K368" i="20"/>
  <c r="L368" i="20" s="1"/>
  <c r="F369" i="20" s="1"/>
  <c r="J261" i="21"/>
  <c r="R281" i="19"/>
  <c r="U250" i="17"/>
  <c r="A623" i="19"/>
  <c r="AC623" i="19"/>
  <c r="B624" i="19"/>
  <c r="L443" i="19"/>
  <c r="F444" i="19" s="1"/>
  <c r="X249" i="20"/>
  <c r="Y249" i="20"/>
  <c r="U249" i="20"/>
  <c r="K365" i="17"/>
  <c r="L365" i="17" s="1"/>
  <c r="F366" i="17" s="1"/>
  <c r="B621" i="17"/>
  <c r="AC620" i="17"/>
  <c r="AC620" i="20"/>
  <c r="B621" i="20"/>
  <c r="H369" i="20" l="1"/>
  <c r="K369" i="20" s="1"/>
  <c r="H366" i="17"/>
  <c r="K366" i="17" s="1"/>
  <c r="H444" i="19"/>
  <c r="X250" i="17"/>
  <c r="Y250" i="17" s="1"/>
  <c r="AC624" i="19"/>
  <c r="B625" i="19"/>
  <c r="A624" i="19"/>
  <c r="B622" i="20"/>
  <c r="AC621" i="20"/>
  <c r="R250" i="20"/>
  <c r="K230" i="21"/>
  <c r="AD249" i="20"/>
  <c r="F230" i="21" s="1"/>
  <c r="B622" i="17"/>
  <c r="AC621" i="17"/>
  <c r="U281" i="19"/>
  <c r="X281" i="19" s="1"/>
  <c r="G268" i="18"/>
  <c r="J268" i="18" s="1"/>
  <c r="I268" i="18"/>
  <c r="E269" i="18" l="1"/>
  <c r="AA268" i="17"/>
  <c r="AA268" i="19"/>
  <c r="AD268" i="19" s="1"/>
  <c r="E249" i="21" s="1"/>
  <c r="AA268" i="20"/>
  <c r="I231" i="21"/>
  <c r="R251" i="17"/>
  <c r="AD250" i="17"/>
  <c r="D231" i="21" s="1"/>
  <c r="U250" i="20"/>
  <c r="X250" i="20" s="1"/>
  <c r="Y281" i="19"/>
  <c r="L366" i="17"/>
  <c r="F367" i="17" s="1"/>
  <c r="B623" i="20"/>
  <c r="AC622" i="20"/>
  <c r="K444" i="19"/>
  <c r="L444" i="19" s="1"/>
  <c r="F445" i="19" s="1"/>
  <c r="AC622" i="17"/>
  <c r="B623" i="17"/>
  <c r="L369" i="20"/>
  <c r="F370" i="20" s="1"/>
  <c r="A625" i="19"/>
  <c r="B626" i="19"/>
  <c r="AC625" i="19"/>
  <c r="H445" i="19" l="1"/>
  <c r="K445" i="19"/>
  <c r="L445" i="19"/>
  <c r="F446" i="19" s="1"/>
  <c r="AC623" i="17"/>
  <c r="B624" i="17"/>
  <c r="Y250" i="20"/>
  <c r="B627" i="19"/>
  <c r="A626" i="19"/>
  <c r="AC626" i="19"/>
  <c r="AC623" i="20"/>
  <c r="B624" i="20"/>
  <c r="J262" i="21"/>
  <c r="R282" i="19"/>
  <c r="X251" i="17"/>
  <c r="Y251" i="17"/>
  <c r="U251" i="17"/>
  <c r="H370" i="20"/>
  <c r="K370" i="20" s="1"/>
  <c r="H367" i="17"/>
  <c r="K367" i="17" s="1"/>
  <c r="G269" i="18"/>
  <c r="I269" i="18" s="1"/>
  <c r="K231" i="21" l="1"/>
  <c r="R251" i="20"/>
  <c r="AD250" i="20"/>
  <c r="F231" i="21" s="1"/>
  <c r="L367" i="17"/>
  <c r="F368" i="17" s="1"/>
  <c r="B625" i="20"/>
  <c r="AC624" i="20"/>
  <c r="B625" i="17"/>
  <c r="AC624" i="17"/>
  <c r="H269" i="18"/>
  <c r="J269" i="18" s="1"/>
  <c r="L370" i="20"/>
  <c r="F371" i="20" s="1"/>
  <c r="R252" i="17"/>
  <c r="I232" i="21"/>
  <c r="T49" i="2" s="1"/>
  <c r="AX74" i="21"/>
  <c r="AD251" i="17"/>
  <c r="D232" i="21" s="1"/>
  <c r="AC60" i="21" s="1"/>
  <c r="AX70" i="21" s="1"/>
  <c r="AX72" i="21" s="1"/>
  <c r="AX77" i="21" s="1"/>
  <c r="H446" i="19"/>
  <c r="J446" i="19" s="1"/>
  <c r="K446" i="19" s="1"/>
  <c r="U282" i="19"/>
  <c r="B628" i="19"/>
  <c r="AC627" i="19"/>
  <c r="A627" i="19"/>
  <c r="L446" i="19" l="1"/>
  <c r="F447" i="19" s="1"/>
  <c r="U252" i="17"/>
  <c r="X252" i="17" s="1"/>
  <c r="Y252" i="17" s="1"/>
  <c r="B626" i="20"/>
  <c r="AC625" i="20"/>
  <c r="AC628" i="19"/>
  <c r="B629" i="19"/>
  <c r="A628" i="19"/>
  <c r="J371" i="20"/>
  <c r="K371" i="20"/>
  <c r="H371" i="20"/>
  <c r="L371" i="20" s="1"/>
  <c r="F372" i="20" s="1"/>
  <c r="H368" i="17"/>
  <c r="E270" i="18"/>
  <c r="AA269" i="19"/>
  <c r="AD269" i="19" s="1"/>
  <c r="E250" i="21" s="1"/>
  <c r="AA269" i="20"/>
  <c r="AA269" i="17"/>
  <c r="X282" i="19"/>
  <c r="Y282" i="19" s="1"/>
  <c r="X251" i="20"/>
  <c r="U251" i="20"/>
  <c r="Y251" i="20" s="1"/>
  <c r="AC625" i="17"/>
  <c r="B626" i="17"/>
  <c r="K232" i="21" l="1"/>
  <c r="R252" i="20"/>
  <c r="AD251" i="20"/>
  <c r="F232" i="21" s="1"/>
  <c r="R283" i="19"/>
  <c r="J263" i="21"/>
  <c r="H372" i="20"/>
  <c r="K372" i="20" s="1"/>
  <c r="I233" i="21"/>
  <c r="R253" i="17"/>
  <c r="AD252" i="17"/>
  <c r="D233" i="21" s="1"/>
  <c r="AC626" i="20"/>
  <c r="B627" i="20"/>
  <c r="B627" i="17"/>
  <c r="AC626" i="17"/>
  <c r="J368" i="17"/>
  <c r="AC629" i="19"/>
  <c r="A629" i="19"/>
  <c r="B630" i="19"/>
  <c r="H447" i="19"/>
  <c r="K447" i="19" s="1"/>
  <c r="G270" i="18"/>
  <c r="I270" i="18" s="1"/>
  <c r="B628" i="20" l="1"/>
  <c r="AC627" i="20"/>
  <c r="J270" i="18"/>
  <c r="A630" i="19"/>
  <c r="AC630" i="19"/>
  <c r="B631" i="19"/>
  <c r="X253" i="17"/>
  <c r="Y253" i="17"/>
  <c r="U253" i="17"/>
  <c r="U283" i="19"/>
  <c r="X283" i="19"/>
  <c r="Y283" i="19"/>
  <c r="AC627" i="17"/>
  <c r="B628" i="17"/>
  <c r="U252" i="20"/>
  <c r="L447" i="19"/>
  <c r="F448" i="19" s="1"/>
  <c r="L372" i="20"/>
  <c r="F373" i="20" s="1"/>
  <c r="K368" i="17"/>
  <c r="L368" i="17" s="1"/>
  <c r="F369" i="17" s="1"/>
  <c r="H369" i="17" l="1"/>
  <c r="K369" i="17" s="1"/>
  <c r="B629" i="17"/>
  <c r="AC628" i="17"/>
  <c r="R284" i="19"/>
  <c r="J264" i="21"/>
  <c r="X252" i="20"/>
  <c r="Y252" i="20" s="1"/>
  <c r="I234" i="21"/>
  <c r="R254" i="17"/>
  <c r="AD253" i="17"/>
  <c r="D234" i="21" s="1"/>
  <c r="H373" i="20"/>
  <c r="K373" i="20" s="1"/>
  <c r="H448" i="19"/>
  <c r="K448" i="19" s="1"/>
  <c r="A631" i="19"/>
  <c r="B632" i="19"/>
  <c r="AC631" i="19"/>
  <c r="AA270" i="17"/>
  <c r="AA270" i="19"/>
  <c r="AD270" i="19" s="1"/>
  <c r="E251" i="21" s="1"/>
  <c r="AA270" i="20"/>
  <c r="E271" i="18"/>
  <c r="AC628" i="20"/>
  <c r="B629" i="20"/>
  <c r="K233" i="21" l="1"/>
  <c r="R253" i="20"/>
  <c r="AD252" i="20"/>
  <c r="F233" i="21" s="1"/>
  <c r="U254" i="17"/>
  <c r="X254" i="17" s="1"/>
  <c r="AC629" i="17"/>
  <c r="B630" i="17"/>
  <c r="L448" i="19"/>
  <c r="F449" i="19" s="1"/>
  <c r="B630" i="20"/>
  <c r="AC629" i="20"/>
  <c r="B633" i="19"/>
  <c r="A632" i="19"/>
  <c r="AC632" i="19"/>
  <c r="L373" i="20"/>
  <c r="F374" i="20" s="1"/>
  <c r="L369" i="17"/>
  <c r="F370" i="17" s="1"/>
  <c r="G271" i="18"/>
  <c r="J271" i="18" s="1"/>
  <c r="I271" i="18"/>
  <c r="U284" i="19"/>
  <c r="Y284" i="19" s="1"/>
  <c r="X284" i="19"/>
  <c r="R285" i="19" l="1"/>
  <c r="J265" i="21"/>
  <c r="AA271" i="20"/>
  <c r="AA271" i="17"/>
  <c r="E272" i="18"/>
  <c r="AA271" i="19"/>
  <c r="AD271" i="19" s="1"/>
  <c r="E252" i="21" s="1"/>
  <c r="Y254" i="17"/>
  <c r="AC630" i="20"/>
  <c r="B631" i="20"/>
  <c r="J374" i="20"/>
  <c r="L374" i="20" s="1"/>
  <c r="F375" i="20" s="1"/>
  <c r="K374" i="20"/>
  <c r="H374" i="20"/>
  <c r="K370" i="17"/>
  <c r="L370" i="17"/>
  <c r="F371" i="17" s="1"/>
  <c r="H370" i="17"/>
  <c r="H449" i="19"/>
  <c r="J449" i="19" s="1"/>
  <c r="B634" i="19"/>
  <c r="A633" i="19"/>
  <c r="AC633" i="19"/>
  <c r="B631" i="17"/>
  <c r="AC630" i="17"/>
  <c r="X253" i="20"/>
  <c r="Y253" i="20"/>
  <c r="U253" i="20"/>
  <c r="H375" i="20" l="1"/>
  <c r="K375" i="20" s="1"/>
  <c r="B632" i="17"/>
  <c r="AC631" i="17"/>
  <c r="I272" i="18"/>
  <c r="G272" i="18"/>
  <c r="J272" i="18" s="1"/>
  <c r="H272" i="18"/>
  <c r="A634" i="19"/>
  <c r="AC634" i="19"/>
  <c r="B635" i="19"/>
  <c r="H371" i="17"/>
  <c r="B632" i="20"/>
  <c r="AC631" i="20"/>
  <c r="K449" i="19"/>
  <c r="L449" i="19" s="1"/>
  <c r="F450" i="19" s="1"/>
  <c r="R254" i="20"/>
  <c r="K234" i="21"/>
  <c r="AD253" i="20"/>
  <c r="F234" i="21" s="1"/>
  <c r="R255" i="17"/>
  <c r="I235" i="21"/>
  <c r="AD254" i="17"/>
  <c r="D235" i="21" s="1"/>
  <c r="X285" i="19"/>
  <c r="Y285" i="19"/>
  <c r="U285" i="19"/>
  <c r="AA272" i="19" l="1"/>
  <c r="AD272" i="19" s="1"/>
  <c r="E253" i="21" s="1"/>
  <c r="AA272" i="20"/>
  <c r="AA272" i="17"/>
  <c r="E273" i="18"/>
  <c r="K371" i="17"/>
  <c r="H450" i="19"/>
  <c r="K450" i="19" s="1"/>
  <c r="L450" i="19" s="1"/>
  <c r="F451" i="19" s="1"/>
  <c r="J371" i="17"/>
  <c r="L371" i="17" s="1"/>
  <c r="F372" i="17" s="1"/>
  <c r="U254" i="20"/>
  <c r="B633" i="17"/>
  <c r="AC632" i="17"/>
  <c r="J266" i="21"/>
  <c r="R286" i="19"/>
  <c r="Y255" i="17"/>
  <c r="X255" i="17"/>
  <c r="U255" i="17"/>
  <c r="AC635" i="19"/>
  <c r="A635" i="19"/>
  <c r="B636" i="19"/>
  <c r="L375" i="20"/>
  <c r="F376" i="20" s="1"/>
  <c r="B633" i="20"/>
  <c r="AC632" i="20"/>
  <c r="H451" i="19" l="1"/>
  <c r="K451" i="19" s="1"/>
  <c r="L451" i="19" s="1"/>
  <c r="F452" i="19" s="1"/>
  <c r="H372" i="17"/>
  <c r="K372" i="17" s="1"/>
  <c r="U286" i="19"/>
  <c r="X286" i="19"/>
  <c r="Y286" i="19"/>
  <c r="X254" i="20"/>
  <c r="Y254" i="20" s="1"/>
  <c r="G273" i="18"/>
  <c r="I273" i="18" s="1"/>
  <c r="J273" i="18" s="1"/>
  <c r="H376" i="20"/>
  <c r="K376" i="20" s="1"/>
  <c r="R256" i="17"/>
  <c r="I236" i="21"/>
  <c r="AD255" i="17"/>
  <c r="D236" i="21" s="1"/>
  <c r="B637" i="19"/>
  <c r="AC636" i="19"/>
  <c r="A636" i="19"/>
  <c r="B634" i="17"/>
  <c r="AC633" i="17"/>
  <c r="B634" i="20"/>
  <c r="AC633" i="20"/>
  <c r="K235" i="21" l="1"/>
  <c r="R255" i="20"/>
  <c r="AD254" i="20"/>
  <c r="F235" i="21" s="1"/>
  <c r="AA273" i="17"/>
  <c r="AA273" i="20"/>
  <c r="AA273" i="19"/>
  <c r="AD273" i="19" s="1"/>
  <c r="E254" i="21" s="1"/>
  <c r="E274" i="18"/>
  <c r="H452" i="19"/>
  <c r="J452" i="19"/>
  <c r="K452" i="19" s="1"/>
  <c r="L452" i="19" s="1"/>
  <c r="F453" i="19" s="1"/>
  <c r="U256" i="17"/>
  <c r="X256" i="17" s="1"/>
  <c r="Y256" i="17" s="1"/>
  <c r="L372" i="17"/>
  <c r="F373" i="17" s="1"/>
  <c r="R287" i="19"/>
  <c r="J267" i="21"/>
  <c r="B638" i="19"/>
  <c r="AC637" i="19"/>
  <c r="A637" i="19"/>
  <c r="L376" i="20"/>
  <c r="F377" i="20" s="1"/>
  <c r="B635" i="20"/>
  <c r="AC634" i="20"/>
  <c r="AC634" i="17"/>
  <c r="B635" i="17"/>
  <c r="R257" i="17" l="1"/>
  <c r="I237" i="21"/>
  <c r="AD256" i="17"/>
  <c r="D237" i="21" s="1"/>
  <c r="H453" i="19"/>
  <c r="K453" i="19" s="1"/>
  <c r="U287" i="19"/>
  <c r="X287" i="19" s="1"/>
  <c r="A638" i="19"/>
  <c r="B639" i="19"/>
  <c r="AC638" i="19"/>
  <c r="B636" i="20"/>
  <c r="AC635" i="20"/>
  <c r="J377" i="20"/>
  <c r="H377" i="20"/>
  <c r="K377" i="20" s="1"/>
  <c r="K373" i="17"/>
  <c r="H373" i="17"/>
  <c r="L373" i="17" s="1"/>
  <c r="F374" i="17" s="1"/>
  <c r="U255" i="20"/>
  <c r="AC635" i="17"/>
  <c r="B636" i="17"/>
  <c r="G274" i="18"/>
  <c r="I274" i="18" s="1"/>
  <c r="J274" i="18" s="1"/>
  <c r="E275" i="18" l="1"/>
  <c r="AA274" i="19"/>
  <c r="AD274" i="19" s="1"/>
  <c r="E255" i="21" s="1"/>
  <c r="AA274" i="20"/>
  <c r="AA274" i="17"/>
  <c r="J374" i="17"/>
  <c r="K374" i="17"/>
  <c r="L374" i="17"/>
  <c r="F375" i="17" s="1"/>
  <c r="H374" i="17"/>
  <c r="Y255" i="20"/>
  <c r="AC636" i="20"/>
  <c r="B637" i="20"/>
  <c r="L377" i="20"/>
  <c r="F378" i="20" s="1"/>
  <c r="L453" i="19"/>
  <c r="F454" i="19" s="1"/>
  <c r="X255" i="20"/>
  <c r="B637" i="17"/>
  <c r="AC636" i="17"/>
  <c r="Y287" i="19"/>
  <c r="B640" i="19"/>
  <c r="AC639" i="19"/>
  <c r="A639" i="19"/>
  <c r="U257" i="17"/>
  <c r="X257" i="17" s="1"/>
  <c r="G275" i="18" l="1"/>
  <c r="J275" i="18" s="1"/>
  <c r="H275" i="18"/>
  <c r="I275" i="18"/>
  <c r="L375" i="17"/>
  <c r="F376" i="17" s="1"/>
  <c r="K375" i="17"/>
  <c r="H375" i="17"/>
  <c r="H378" i="20"/>
  <c r="B638" i="17"/>
  <c r="AC637" i="17"/>
  <c r="K236" i="21"/>
  <c r="R256" i="20"/>
  <c r="AD255" i="20"/>
  <c r="F236" i="21" s="1"/>
  <c r="L454" i="19"/>
  <c r="F455" i="19" s="1"/>
  <c r="K454" i="19"/>
  <c r="H454" i="19"/>
  <c r="B641" i="19"/>
  <c r="A640" i="19"/>
  <c r="AC640" i="19"/>
  <c r="J268" i="21"/>
  <c r="R288" i="19"/>
  <c r="B638" i="20"/>
  <c r="AC637" i="20"/>
  <c r="Y257" i="17"/>
  <c r="AA275" i="19" l="1"/>
  <c r="AD275" i="19" s="1"/>
  <c r="E256" i="21" s="1"/>
  <c r="E276" i="18"/>
  <c r="AA275" i="17"/>
  <c r="AA275" i="20"/>
  <c r="H455" i="19"/>
  <c r="J455" i="19" s="1"/>
  <c r="K378" i="20"/>
  <c r="L378" i="20" s="1"/>
  <c r="F379" i="20" s="1"/>
  <c r="K376" i="17"/>
  <c r="L376" i="17" s="1"/>
  <c r="F377" i="17" s="1"/>
  <c r="H376" i="17"/>
  <c r="I238" i="21"/>
  <c r="R258" i="17"/>
  <c r="AD257" i="17"/>
  <c r="D238" i="21" s="1"/>
  <c r="A641" i="19"/>
  <c r="AC641" i="19"/>
  <c r="B642" i="19"/>
  <c r="U256" i="20"/>
  <c r="X256" i="20" s="1"/>
  <c r="AC638" i="20"/>
  <c r="B639" i="20"/>
  <c r="AC638" i="17"/>
  <c r="B639" i="17"/>
  <c r="U288" i="19"/>
  <c r="X288" i="19" s="1"/>
  <c r="H379" i="20" l="1"/>
  <c r="K379" i="20" s="1"/>
  <c r="H377" i="17"/>
  <c r="Y288" i="19"/>
  <c r="Y256" i="20"/>
  <c r="U258" i="17"/>
  <c r="X258" i="17" s="1"/>
  <c r="L455" i="19"/>
  <c r="F456" i="19" s="1"/>
  <c r="G276" i="18"/>
  <c r="J276" i="18" s="1"/>
  <c r="I276" i="18"/>
  <c r="AC639" i="17"/>
  <c r="B640" i="17"/>
  <c r="K455" i="19"/>
  <c r="AC639" i="20"/>
  <c r="B640" i="20"/>
  <c r="A642" i="19"/>
  <c r="AC642" i="19"/>
  <c r="B643" i="19"/>
  <c r="AA276" i="19" l="1"/>
  <c r="AD276" i="19" s="1"/>
  <c r="E257" i="21" s="1"/>
  <c r="AA276" i="17"/>
  <c r="AA276" i="20"/>
  <c r="E277" i="18"/>
  <c r="K377" i="17"/>
  <c r="H456" i="19"/>
  <c r="K456" i="19" s="1"/>
  <c r="Y258" i="17"/>
  <c r="R257" i="20"/>
  <c r="K237" i="21"/>
  <c r="AD256" i="20"/>
  <c r="F237" i="21" s="1"/>
  <c r="AC640" i="17"/>
  <c r="B641" i="17"/>
  <c r="J377" i="17"/>
  <c r="L377" i="17" s="1"/>
  <c r="F378" i="17" s="1"/>
  <c r="B641" i="20"/>
  <c r="AC640" i="20"/>
  <c r="B644" i="19"/>
  <c r="AC643" i="19"/>
  <c r="A643" i="19"/>
  <c r="R289" i="19"/>
  <c r="J269" i="21"/>
  <c r="L379" i="20"/>
  <c r="F380" i="20" s="1"/>
  <c r="H378" i="17" l="1"/>
  <c r="K378" i="17" s="1"/>
  <c r="J380" i="20"/>
  <c r="H380" i="20"/>
  <c r="K380" i="20" s="1"/>
  <c r="L380" i="20" s="1"/>
  <c r="F381" i="20" s="1"/>
  <c r="U257" i="20"/>
  <c r="X257" i="20" s="1"/>
  <c r="Y257" i="20" s="1"/>
  <c r="U289" i="19"/>
  <c r="Y289" i="19" s="1"/>
  <c r="X289" i="19"/>
  <c r="G277" i="18"/>
  <c r="I277" i="18"/>
  <c r="J277" i="18" s="1"/>
  <c r="AC641" i="20"/>
  <c r="B642" i="20"/>
  <c r="AC641" i="17"/>
  <c r="B642" i="17"/>
  <c r="R259" i="17"/>
  <c r="I239" i="21"/>
  <c r="AD258" i="17"/>
  <c r="D239" i="21" s="1"/>
  <c r="L456" i="19"/>
  <c r="F457" i="19" s="1"/>
  <c r="B645" i="19"/>
  <c r="AC644" i="19"/>
  <c r="A644" i="19"/>
  <c r="J270" i="21" l="1"/>
  <c r="R290" i="19"/>
  <c r="H381" i="20"/>
  <c r="K381" i="20" s="1"/>
  <c r="E278" i="18"/>
  <c r="AA277" i="17"/>
  <c r="AA277" i="19"/>
  <c r="AD277" i="19" s="1"/>
  <c r="E258" i="21" s="1"/>
  <c r="AA277" i="20"/>
  <c r="R258" i="20"/>
  <c r="K238" i="21"/>
  <c r="AD257" i="20"/>
  <c r="F238" i="21" s="1"/>
  <c r="B643" i="20"/>
  <c r="AC642" i="20"/>
  <c r="B646" i="19"/>
  <c r="AC645" i="19"/>
  <c r="A645" i="19"/>
  <c r="X259" i="17"/>
  <c r="Y259" i="17" s="1"/>
  <c r="U259" i="17"/>
  <c r="B643" i="17"/>
  <c r="AC642" i="17"/>
  <c r="L378" i="17"/>
  <c r="F379" i="17" s="1"/>
  <c r="K457" i="19"/>
  <c r="L457" i="19"/>
  <c r="F458" i="19" s="1"/>
  <c r="H457" i="19"/>
  <c r="R260" i="17" l="1"/>
  <c r="I240" i="21"/>
  <c r="AD259" i="17"/>
  <c r="D240" i="21" s="1"/>
  <c r="H458" i="19"/>
  <c r="J458" i="19"/>
  <c r="U258" i="20"/>
  <c r="L381" i="20"/>
  <c r="F382" i="20" s="1"/>
  <c r="AC643" i="20"/>
  <c r="B644" i="20"/>
  <c r="I278" i="18"/>
  <c r="G278" i="18"/>
  <c r="H278" i="18"/>
  <c r="J278" i="18"/>
  <c r="K379" i="17"/>
  <c r="L379" i="17"/>
  <c r="F380" i="17" s="1"/>
  <c r="H379" i="17"/>
  <c r="AC643" i="17"/>
  <c r="B644" i="17"/>
  <c r="B647" i="19"/>
  <c r="A646" i="19"/>
  <c r="AC646" i="19"/>
  <c r="U290" i="19"/>
  <c r="L458" i="19" l="1"/>
  <c r="F459" i="19" s="1"/>
  <c r="U260" i="17"/>
  <c r="AC644" i="17"/>
  <c r="B645" i="17"/>
  <c r="K458" i="19"/>
  <c r="X290" i="19"/>
  <c r="Y290" i="19" s="1"/>
  <c r="X258" i="20"/>
  <c r="Y258" i="20" s="1"/>
  <c r="AA278" i="17"/>
  <c r="E279" i="18"/>
  <c r="AA278" i="20"/>
  <c r="AA278" i="19"/>
  <c r="AD278" i="19" s="1"/>
  <c r="E259" i="21" s="1"/>
  <c r="J380" i="17"/>
  <c r="K380" i="17"/>
  <c r="L380" i="17"/>
  <c r="F381" i="17" s="1"/>
  <c r="H380" i="17"/>
  <c r="B648" i="19"/>
  <c r="A647" i="19"/>
  <c r="AC647" i="19"/>
  <c r="K382" i="20"/>
  <c r="L382" i="20"/>
  <c r="F383" i="20" s="1"/>
  <c r="H382" i="20"/>
  <c r="B645" i="20"/>
  <c r="AC644" i="20"/>
  <c r="K239" i="21" l="1"/>
  <c r="R259" i="20"/>
  <c r="AD258" i="20"/>
  <c r="F239" i="21" s="1"/>
  <c r="J271" i="21"/>
  <c r="R291" i="19"/>
  <c r="Y260" i="17"/>
  <c r="K381" i="17"/>
  <c r="H381" i="17"/>
  <c r="L381" i="17" s="1"/>
  <c r="F382" i="17" s="1"/>
  <c r="X260" i="17"/>
  <c r="B649" i="19"/>
  <c r="A648" i="19"/>
  <c r="AC648" i="19"/>
  <c r="H383" i="20"/>
  <c r="B646" i="20"/>
  <c r="AC645" i="20"/>
  <c r="AC645" i="17"/>
  <c r="B646" i="17"/>
  <c r="H459" i="19"/>
  <c r="K459" i="19" s="1"/>
  <c r="G279" i="18"/>
  <c r="I279" i="18"/>
  <c r="J279" i="18"/>
  <c r="H382" i="17" l="1"/>
  <c r="U291" i="19"/>
  <c r="Y291" i="19" s="1"/>
  <c r="X291" i="19"/>
  <c r="AC646" i="20"/>
  <c r="B647" i="20"/>
  <c r="R261" i="17"/>
  <c r="I241" i="21"/>
  <c r="AD260" i="17"/>
  <c r="D241" i="21" s="1"/>
  <c r="B647" i="17"/>
  <c r="AC646" i="17"/>
  <c r="J383" i="20"/>
  <c r="K383" i="20" s="1"/>
  <c r="L383" i="20" s="1"/>
  <c r="F384" i="20" s="1"/>
  <c r="L459" i="19"/>
  <c r="F460" i="19" s="1"/>
  <c r="B650" i="19"/>
  <c r="A649" i="19"/>
  <c r="AC649" i="19"/>
  <c r="E280" i="18"/>
  <c r="AA279" i="17"/>
  <c r="AA279" i="19"/>
  <c r="AD279" i="19" s="1"/>
  <c r="E260" i="21" s="1"/>
  <c r="AA279" i="20"/>
  <c r="U259" i="20"/>
  <c r="X259" i="20" s="1"/>
  <c r="H384" i="20" l="1"/>
  <c r="K384" i="20" s="1"/>
  <c r="R292" i="19"/>
  <c r="J272" i="21"/>
  <c r="B651" i="19"/>
  <c r="A650" i="19"/>
  <c r="AC650" i="19"/>
  <c r="B648" i="20"/>
  <c r="AC647" i="20"/>
  <c r="H460" i="19"/>
  <c r="K460" i="19" s="1"/>
  <c r="G280" i="18"/>
  <c r="I280" i="18" s="1"/>
  <c r="Y259" i="20"/>
  <c r="K382" i="17"/>
  <c r="L382" i="17" s="1"/>
  <c r="F383" i="17" s="1"/>
  <c r="U261" i="17"/>
  <c r="AC647" i="17"/>
  <c r="B648" i="17"/>
  <c r="H383" i="17" l="1"/>
  <c r="Y261" i="17"/>
  <c r="J280" i="18"/>
  <c r="B649" i="17"/>
  <c r="AC648" i="17"/>
  <c r="L460" i="19"/>
  <c r="F461" i="19" s="1"/>
  <c r="X261" i="17"/>
  <c r="AC648" i="20"/>
  <c r="B649" i="20"/>
  <c r="U292" i="19"/>
  <c r="L384" i="20"/>
  <c r="F385" i="20" s="1"/>
  <c r="R260" i="20"/>
  <c r="K240" i="21"/>
  <c r="AD259" i="20"/>
  <c r="F240" i="21" s="1"/>
  <c r="B652" i="19"/>
  <c r="A651" i="19"/>
  <c r="AC651" i="19"/>
  <c r="AA280" i="20" l="1"/>
  <c r="AA280" i="19"/>
  <c r="AD280" i="19" s="1"/>
  <c r="E261" i="21" s="1"/>
  <c r="AA280" i="17"/>
  <c r="E281" i="18"/>
  <c r="U260" i="20"/>
  <c r="X260" i="20" s="1"/>
  <c r="H385" i="20"/>
  <c r="AC649" i="20"/>
  <c r="B650" i="20"/>
  <c r="R262" i="17"/>
  <c r="I242" i="21"/>
  <c r="AD261" i="17"/>
  <c r="D242" i="21" s="1"/>
  <c r="H461" i="19"/>
  <c r="B653" i="19"/>
  <c r="AC652" i="19"/>
  <c r="A652" i="19"/>
  <c r="X292" i="19"/>
  <c r="Y292" i="19" s="1"/>
  <c r="J383" i="17"/>
  <c r="K383" i="17" s="1"/>
  <c r="B650" i="17"/>
  <c r="AC649" i="17"/>
  <c r="R293" i="19" l="1"/>
  <c r="J273" i="21"/>
  <c r="K385" i="20"/>
  <c r="L385" i="20" s="1"/>
  <c r="F386" i="20" s="1"/>
  <c r="U262" i="17"/>
  <c r="X262" i="17" s="1"/>
  <c r="Y262" i="17" s="1"/>
  <c r="H281" i="18"/>
  <c r="J281" i="18" s="1"/>
  <c r="G281" i="18"/>
  <c r="I281" i="18"/>
  <c r="A653" i="19"/>
  <c r="AC653" i="19"/>
  <c r="B654" i="19"/>
  <c r="AC650" i="17"/>
  <c r="B651" i="17"/>
  <c r="J461" i="19"/>
  <c r="AC650" i="20"/>
  <c r="B651" i="20"/>
  <c r="Y260" i="20"/>
  <c r="L383" i="17"/>
  <c r="F384" i="17" s="1"/>
  <c r="AA281" i="17" l="1"/>
  <c r="AA281" i="19"/>
  <c r="AD281" i="19" s="1"/>
  <c r="E262" i="21" s="1"/>
  <c r="AA281" i="20"/>
  <c r="E282" i="18"/>
  <c r="I243" i="21"/>
  <c r="R263" i="17"/>
  <c r="AD262" i="17"/>
  <c r="D243" i="21" s="1"/>
  <c r="J386" i="20"/>
  <c r="H386" i="20"/>
  <c r="K386" i="20" s="1"/>
  <c r="L461" i="19"/>
  <c r="F462" i="19" s="1"/>
  <c r="B652" i="20"/>
  <c r="AC651" i="20"/>
  <c r="R261" i="20"/>
  <c r="K241" i="21"/>
  <c r="AD260" i="20"/>
  <c r="F241" i="21" s="1"/>
  <c r="B655" i="19"/>
  <c r="AC654" i="19"/>
  <c r="A654" i="19"/>
  <c r="U293" i="19"/>
  <c r="X293" i="19" s="1"/>
  <c r="K384" i="17"/>
  <c r="H384" i="17"/>
  <c r="L384" i="17" s="1"/>
  <c r="F385" i="17" s="1"/>
  <c r="AC651" i="17"/>
  <c r="B652" i="17"/>
  <c r="K461" i="19"/>
  <c r="H385" i="17" l="1"/>
  <c r="K385" i="17" s="1"/>
  <c r="A655" i="19"/>
  <c r="AC655" i="19"/>
  <c r="B656" i="19"/>
  <c r="U263" i="17"/>
  <c r="B653" i="17"/>
  <c r="AC652" i="17"/>
  <c r="I282" i="18"/>
  <c r="G282" i="18"/>
  <c r="J282" i="18" s="1"/>
  <c r="H462" i="19"/>
  <c r="K462" i="19" s="1"/>
  <c r="L462" i="19" s="1"/>
  <c r="F463" i="19" s="1"/>
  <c r="Y293" i="19"/>
  <c r="L386" i="20"/>
  <c r="F387" i="20" s="1"/>
  <c r="U261" i="20"/>
  <c r="X261" i="20" s="1"/>
  <c r="AC652" i="20"/>
  <c r="B653" i="20"/>
  <c r="K463" i="19" l="1"/>
  <c r="L463" i="19" s="1"/>
  <c r="F464" i="19" s="1"/>
  <c r="H463" i="19"/>
  <c r="E283" i="18"/>
  <c r="AA282" i="17"/>
  <c r="AA282" i="19"/>
  <c r="AD282" i="19" s="1"/>
  <c r="E263" i="21" s="1"/>
  <c r="AA282" i="20"/>
  <c r="R294" i="19"/>
  <c r="J274" i="21"/>
  <c r="B654" i="17"/>
  <c r="AC653" i="17"/>
  <c r="Y261" i="20"/>
  <c r="B657" i="19"/>
  <c r="A656" i="19"/>
  <c r="AC656" i="19"/>
  <c r="X263" i="17"/>
  <c r="Y263" i="17" s="1"/>
  <c r="L385" i="17"/>
  <c r="F386" i="17" s="1"/>
  <c r="AC653" i="20"/>
  <c r="B654" i="20"/>
  <c r="H387" i="20"/>
  <c r="K387" i="20" s="1"/>
  <c r="L387" i="20" s="1"/>
  <c r="F388" i="20" s="1"/>
  <c r="I244" i="21" l="1"/>
  <c r="T50" i="2" s="1"/>
  <c r="R264" i="17"/>
  <c r="AY74" i="21"/>
  <c r="AD263" i="17"/>
  <c r="D244" i="21" s="1"/>
  <c r="AC61" i="21" s="1"/>
  <c r="AY70" i="21" s="1"/>
  <c r="AY72" i="21" s="1"/>
  <c r="AY77" i="21" s="1"/>
  <c r="H388" i="20"/>
  <c r="K388" i="20" s="1"/>
  <c r="H464" i="19"/>
  <c r="K464" i="19" s="1"/>
  <c r="J464" i="19"/>
  <c r="AC654" i="17"/>
  <c r="B655" i="17"/>
  <c r="G283" i="18"/>
  <c r="J283" i="18" s="1"/>
  <c r="I283" i="18"/>
  <c r="H386" i="17"/>
  <c r="J386" i="17" s="1"/>
  <c r="Y294" i="19"/>
  <c r="U294" i="19"/>
  <c r="X294" i="19"/>
  <c r="B655" i="20"/>
  <c r="AC654" i="20"/>
  <c r="B658" i="19"/>
  <c r="AC657" i="19"/>
  <c r="A657" i="19"/>
  <c r="R262" i="20"/>
  <c r="K242" i="21"/>
  <c r="AD261" i="20"/>
  <c r="F242" i="21" s="1"/>
  <c r="E284" i="18" l="1"/>
  <c r="AA283" i="19"/>
  <c r="AD283" i="19" s="1"/>
  <c r="E264" i="21" s="1"/>
  <c r="AA283" i="20"/>
  <c r="AA283" i="17"/>
  <c r="J275" i="21"/>
  <c r="R295" i="19"/>
  <c r="B659" i="19"/>
  <c r="A658" i="19"/>
  <c r="AC658" i="19"/>
  <c r="K386" i="17"/>
  <c r="AC655" i="17"/>
  <c r="B656" i="17"/>
  <c r="L464" i="19"/>
  <c r="F465" i="19" s="1"/>
  <c r="X264" i="17"/>
  <c r="Y264" i="17"/>
  <c r="U264" i="17"/>
  <c r="X262" i="20"/>
  <c r="Y262" i="20" s="1"/>
  <c r="U262" i="20"/>
  <c r="B656" i="20"/>
  <c r="AC655" i="20"/>
  <c r="L386" i="17"/>
  <c r="F387" i="17" s="1"/>
  <c r="L388" i="20"/>
  <c r="F389" i="20" s="1"/>
  <c r="K243" i="21" l="1"/>
  <c r="R263" i="20"/>
  <c r="AD262" i="20"/>
  <c r="F243" i="21" s="1"/>
  <c r="U295" i="19"/>
  <c r="X295" i="19"/>
  <c r="Y295" i="19"/>
  <c r="K389" i="20"/>
  <c r="L389" i="20"/>
  <c r="F390" i="20" s="1"/>
  <c r="J389" i="20"/>
  <c r="H389" i="20"/>
  <c r="H387" i="17"/>
  <c r="K387" i="17" s="1"/>
  <c r="B657" i="17"/>
  <c r="AC656" i="17"/>
  <c r="AC656" i="20"/>
  <c r="B657" i="20"/>
  <c r="I245" i="21"/>
  <c r="R265" i="17"/>
  <c r="AD264" i="17"/>
  <c r="D245" i="21" s="1"/>
  <c r="H465" i="19"/>
  <c r="K465" i="19"/>
  <c r="L465" i="19"/>
  <c r="F466" i="19" s="1"/>
  <c r="AC659" i="19"/>
  <c r="A659" i="19"/>
  <c r="B660" i="19"/>
  <c r="G284" i="18"/>
  <c r="H466" i="19" l="1"/>
  <c r="K466" i="19" s="1"/>
  <c r="J276" i="21"/>
  <c r="R296" i="19"/>
  <c r="I284" i="18"/>
  <c r="J284" i="18" s="1"/>
  <c r="L387" i="17"/>
  <c r="F388" i="17" s="1"/>
  <c r="A660" i="19"/>
  <c r="AC660" i="19"/>
  <c r="B661" i="19"/>
  <c r="H390" i="20"/>
  <c r="X263" i="20"/>
  <c r="U263" i="20"/>
  <c r="Y263" i="20" s="1"/>
  <c r="H284" i="18"/>
  <c r="AC657" i="20"/>
  <c r="B658" i="20"/>
  <c r="B658" i="17"/>
  <c r="AC657" i="17"/>
  <c r="U265" i="17"/>
  <c r="X265" i="17" s="1"/>
  <c r="AA284" i="19" l="1"/>
  <c r="AD284" i="19" s="1"/>
  <c r="E265" i="21" s="1"/>
  <c r="AA284" i="17"/>
  <c r="E285" i="18"/>
  <c r="AA284" i="20"/>
  <c r="K244" i="21"/>
  <c r="R264" i="20"/>
  <c r="AD263" i="20"/>
  <c r="F244" i="21" s="1"/>
  <c r="B659" i="17"/>
  <c r="AC658" i="17"/>
  <c r="B659" i="20"/>
  <c r="AC658" i="20"/>
  <c r="H388" i="17"/>
  <c r="K388" i="17" s="1"/>
  <c r="L466" i="19"/>
  <c r="F467" i="19" s="1"/>
  <c r="K390" i="20"/>
  <c r="L390" i="20" s="1"/>
  <c r="F391" i="20" s="1"/>
  <c r="Y265" i="17"/>
  <c r="U296" i="19"/>
  <c r="X296" i="19" s="1"/>
  <c r="B662" i="19"/>
  <c r="A661" i="19"/>
  <c r="AC661" i="19"/>
  <c r="K391" i="20" l="1"/>
  <c r="L391" i="20"/>
  <c r="F392" i="20" s="1"/>
  <c r="H391" i="20"/>
  <c r="Y296" i="19"/>
  <c r="L388" i="17"/>
  <c r="F389" i="17" s="1"/>
  <c r="X264" i="20"/>
  <c r="Y264" i="20"/>
  <c r="U264" i="20"/>
  <c r="R266" i="17"/>
  <c r="I246" i="21"/>
  <c r="AD265" i="17"/>
  <c r="D246" i="21" s="1"/>
  <c r="AC659" i="20"/>
  <c r="B660" i="20"/>
  <c r="AC659" i="17"/>
  <c r="B660" i="17"/>
  <c r="G285" i="18"/>
  <c r="I285" i="18" s="1"/>
  <c r="J285" i="18" s="1"/>
  <c r="AC662" i="19"/>
  <c r="B663" i="19"/>
  <c r="A662" i="19"/>
  <c r="H467" i="19"/>
  <c r="E286" i="18" l="1"/>
  <c r="AA285" i="20"/>
  <c r="AA285" i="17"/>
  <c r="AA285" i="19"/>
  <c r="AD285" i="19" s="1"/>
  <c r="E266" i="21" s="1"/>
  <c r="B661" i="20"/>
  <c r="AC660" i="20"/>
  <c r="K245" i="21"/>
  <c r="R265" i="20"/>
  <c r="AD264" i="20"/>
  <c r="F245" i="21" s="1"/>
  <c r="H392" i="20"/>
  <c r="J392" i="20" s="1"/>
  <c r="J467" i="19"/>
  <c r="H389" i="17"/>
  <c r="J389" i="17" s="1"/>
  <c r="J277" i="21"/>
  <c r="R297" i="19"/>
  <c r="B661" i="17"/>
  <c r="AC660" i="17"/>
  <c r="U266" i="17"/>
  <c r="X266" i="17" s="1"/>
  <c r="AC663" i="19"/>
  <c r="A663" i="19"/>
  <c r="B664" i="19"/>
  <c r="L389" i="17" l="1"/>
  <c r="F390" i="17" s="1"/>
  <c r="AC661" i="17"/>
  <c r="B662" i="17"/>
  <c r="X297" i="19"/>
  <c r="U297" i="19"/>
  <c r="Y297" i="19" s="1"/>
  <c r="U265" i="20"/>
  <c r="X265" i="20" s="1"/>
  <c r="Y266" i="17"/>
  <c r="G286" i="18"/>
  <c r="J286" i="18" s="1"/>
  <c r="I286" i="18"/>
  <c r="K389" i="17"/>
  <c r="K392" i="20"/>
  <c r="L392" i="20" s="1"/>
  <c r="F393" i="20" s="1"/>
  <c r="AC661" i="20"/>
  <c r="B662" i="20"/>
  <c r="A664" i="19"/>
  <c r="AC664" i="19"/>
  <c r="B665" i="19"/>
  <c r="K467" i="19"/>
  <c r="L467" i="19" s="1"/>
  <c r="F468" i="19" s="1"/>
  <c r="E287" i="18" l="1"/>
  <c r="AA286" i="17"/>
  <c r="AA286" i="20"/>
  <c r="AA286" i="19"/>
  <c r="AD286" i="19" s="1"/>
  <c r="E267" i="21" s="1"/>
  <c r="H468" i="19"/>
  <c r="L468" i="19" s="1"/>
  <c r="F469" i="19" s="1"/>
  <c r="K468" i="19"/>
  <c r="H393" i="20"/>
  <c r="K393" i="20" s="1"/>
  <c r="R298" i="19"/>
  <c r="J278" i="21"/>
  <c r="B663" i="20"/>
  <c r="AC662" i="20"/>
  <c r="I247" i="21"/>
  <c r="R267" i="17"/>
  <c r="AD266" i="17"/>
  <c r="D247" i="21" s="1"/>
  <c r="K390" i="17"/>
  <c r="L390" i="17" s="1"/>
  <c r="F391" i="17" s="1"/>
  <c r="H390" i="17"/>
  <c r="A665" i="19"/>
  <c r="AC665" i="19"/>
  <c r="B666" i="19"/>
  <c r="Y265" i="20"/>
  <c r="AC662" i="17"/>
  <c r="B663" i="17"/>
  <c r="H469" i="19" l="1"/>
  <c r="L469" i="19" s="1"/>
  <c r="F470" i="19" s="1"/>
  <c r="K469" i="19"/>
  <c r="H391" i="17"/>
  <c r="K391" i="17" s="1"/>
  <c r="B664" i="20"/>
  <c r="AC663" i="20"/>
  <c r="G287" i="18"/>
  <c r="H287" i="18"/>
  <c r="R266" i="20"/>
  <c r="K246" i="21"/>
  <c r="AD265" i="20"/>
  <c r="F246" i="21" s="1"/>
  <c r="AC666" i="19"/>
  <c r="A666" i="19"/>
  <c r="B667" i="19"/>
  <c r="U298" i="19"/>
  <c r="X298" i="19"/>
  <c r="Y298" i="19"/>
  <c r="U267" i="17"/>
  <c r="L393" i="20"/>
  <c r="F394" i="20" s="1"/>
  <c r="AC663" i="17"/>
  <c r="B664" i="17"/>
  <c r="H470" i="19" l="1"/>
  <c r="J470" i="19"/>
  <c r="K470" i="19"/>
  <c r="L470" i="19"/>
  <c r="F471" i="19" s="1"/>
  <c r="X267" i="17"/>
  <c r="Y267" i="17" s="1"/>
  <c r="I287" i="18"/>
  <c r="J287" i="18" s="1"/>
  <c r="L391" i="17"/>
  <c r="F392" i="17" s="1"/>
  <c r="B665" i="17"/>
  <c r="AC664" i="17"/>
  <c r="B668" i="19"/>
  <c r="AC667" i="19"/>
  <c r="A667" i="19"/>
  <c r="R299" i="19"/>
  <c r="J279" i="21"/>
  <c r="K394" i="20"/>
  <c r="L394" i="20"/>
  <c r="F395" i="20" s="1"/>
  <c r="H394" i="20"/>
  <c r="U266" i="20"/>
  <c r="X266" i="20" s="1"/>
  <c r="AC664" i="20"/>
  <c r="B665" i="20"/>
  <c r="AA287" i="19" l="1"/>
  <c r="AD287" i="19" s="1"/>
  <c r="E268" i="21" s="1"/>
  <c r="E288" i="18"/>
  <c r="AA287" i="20"/>
  <c r="AA287" i="17"/>
  <c r="R268" i="17"/>
  <c r="I248" i="21"/>
  <c r="AD267" i="17"/>
  <c r="D248" i="21" s="1"/>
  <c r="AC665" i="20"/>
  <c r="B666" i="20"/>
  <c r="H471" i="19"/>
  <c r="L471" i="19" s="1"/>
  <c r="F472" i="19" s="1"/>
  <c r="K471" i="19"/>
  <c r="J395" i="20"/>
  <c r="H395" i="20"/>
  <c r="K395" i="20" s="1"/>
  <c r="B669" i="19"/>
  <c r="A668" i="19"/>
  <c r="AC668" i="19"/>
  <c r="B666" i="17"/>
  <c r="AC665" i="17"/>
  <c r="U299" i="19"/>
  <c r="X299" i="19"/>
  <c r="Y299" i="19" s="1"/>
  <c r="Y266" i="20"/>
  <c r="H392" i="17"/>
  <c r="J392" i="17" s="1"/>
  <c r="R300" i="19" l="1"/>
  <c r="J280" i="21"/>
  <c r="H472" i="19"/>
  <c r="X268" i="17"/>
  <c r="U268" i="17"/>
  <c r="Y268" i="17" s="1"/>
  <c r="R267" i="20"/>
  <c r="K247" i="21"/>
  <c r="AD266" i="20"/>
  <c r="F247" i="21" s="1"/>
  <c r="B670" i="19"/>
  <c r="A669" i="19"/>
  <c r="AC669" i="19"/>
  <c r="K392" i="17"/>
  <c r="L392" i="17" s="1"/>
  <c r="F393" i="17" s="1"/>
  <c r="L395" i="20"/>
  <c r="F396" i="20" s="1"/>
  <c r="AC666" i="20"/>
  <c r="B667" i="20"/>
  <c r="AC666" i="17"/>
  <c r="B667" i="17"/>
  <c r="G288" i="18"/>
  <c r="I288" i="18" s="1"/>
  <c r="J288" i="18" s="1"/>
  <c r="H393" i="17" l="1"/>
  <c r="AA288" i="17"/>
  <c r="AA288" i="19"/>
  <c r="AD288" i="19" s="1"/>
  <c r="E269" i="21" s="1"/>
  <c r="E289" i="18"/>
  <c r="AA288" i="20"/>
  <c r="R269" i="17"/>
  <c r="I249" i="21"/>
  <c r="AD268" i="17"/>
  <c r="D249" i="21" s="1"/>
  <c r="K396" i="20"/>
  <c r="H396" i="20"/>
  <c r="L396" i="20" s="1"/>
  <c r="F397" i="20" s="1"/>
  <c r="B668" i="17"/>
  <c r="AC667" i="17"/>
  <c r="K472" i="19"/>
  <c r="L472" i="19" s="1"/>
  <c r="F473" i="19" s="1"/>
  <c r="U267" i="20"/>
  <c r="X267" i="20" s="1"/>
  <c r="Y267" i="20" s="1"/>
  <c r="B668" i="20"/>
  <c r="AC667" i="20"/>
  <c r="A670" i="19"/>
  <c r="AC670" i="19"/>
  <c r="B671" i="19"/>
  <c r="U300" i="19"/>
  <c r="X300" i="19"/>
  <c r="Y300" i="19" s="1"/>
  <c r="R268" i="20" l="1"/>
  <c r="K248" i="21"/>
  <c r="AD267" i="20"/>
  <c r="F248" i="21" s="1"/>
  <c r="H397" i="20"/>
  <c r="K397" i="20" s="1"/>
  <c r="R301" i="19"/>
  <c r="J281" i="21"/>
  <c r="H473" i="19"/>
  <c r="J473" i="19" s="1"/>
  <c r="G289" i="18"/>
  <c r="I289" i="18" s="1"/>
  <c r="B669" i="17"/>
  <c r="AC668" i="17"/>
  <c r="B669" i="20"/>
  <c r="AC668" i="20"/>
  <c r="U269" i="17"/>
  <c r="K393" i="17"/>
  <c r="L393" i="17" s="1"/>
  <c r="F394" i="17" s="1"/>
  <c r="AC671" i="19"/>
  <c r="A671" i="19"/>
  <c r="B672" i="19"/>
  <c r="H394" i="17" l="1"/>
  <c r="K394" i="17" s="1"/>
  <c r="L397" i="20"/>
  <c r="F398" i="20" s="1"/>
  <c r="X269" i="17"/>
  <c r="Y269" i="17" s="1"/>
  <c r="B670" i="17"/>
  <c r="AC669" i="17"/>
  <c r="J289" i="18"/>
  <c r="AC669" i="20"/>
  <c r="B670" i="20"/>
  <c r="L473" i="19"/>
  <c r="F474" i="19" s="1"/>
  <c r="A672" i="19"/>
  <c r="AC672" i="19"/>
  <c r="B673" i="19"/>
  <c r="K473" i="19"/>
  <c r="X301" i="19"/>
  <c r="Y301" i="19"/>
  <c r="U301" i="19"/>
  <c r="U268" i="20"/>
  <c r="I250" i="21" l="1"/>
  <c r="R270" i="17"/>
  <c r="AD269" i="17"/>
  <c r="D250" i="21" s="1"/>
  <c r="H474" i="19"/>
  <c r="L474" i="19" s="1"/>
  <c r="F475" i="19" s="1"/>
  <c r="K474" i="19"/>
  <c r="H398" i="20"/>
  <c r="R302" i="19"/>
  <c r="J282" i="21"/>
  <c r="X268" i="20"/>
  <c r="Y268" i="20" s="1"/>
  <c r="L394" i="17"/>
  <c r="F395" i="17" s="1"/>
  <c r="AC670" i="20"/>
  <c r="B671" i="20"/>
  <c r="A673" i="19"/>
  <c r="AC673" i="19"/>
  <c r="B674" i="19"/>
  <c r="AA289" i="20"/>
  <c r="E290" i="18"/>
  <c r="AA289" i="19"/>
  <c r="AD289" i="19" s="1"/>
  <c r="E270" i="21" s="1"/>
  <c r="AA289" i="17"/>
  <c r="B671" i="17"/>
  <c r="AC670" i="17"/>
  <c r="H475" i="19" l="1"/>
  <c r="K475" i="19" s="1"/>
  <c r="K249" i="21"/>
  <c r="R269" i="20"/>
  <c r="AD268" i="20"/>
  <c r="F249" i="21" s="1"/>
  <c r="X270" i="17"/>
  <c r="Y270" i="17" s="1"/>
  <c r="U270" i="17"/>
  <c r="G290" i="18"/>
  <c r="H290" i="18"/>
  <c r="J290" i="18" s="1"/>
  <c r="I290" i="18"/>
  <c r="J398" i="20"/>
  <c r="K398" i="20" s="1"/>
  <c r="A674" i="19"/>
  <c r="AC674" i="19"/>
  <c r="B675" i="19"/>
  <c r="U302" i="19"/>
  <c r="X302" i="19"/>
  <c r="Y302" i="19"/>
  <c r="B672" i="20"/>
  <c r="AC671" i="20"/>
  <c r="H395" i="17"/>
  <c r="B672" i="17"/>
  <c r="AC671" i="17"/>
  <c r="R271" i="17" l="1"/>
  <c r="I251" i="21"/>
  <c r="AD270" i="17"/>
  <c r="D251" i="21" s="1"/>
  <c r="AA290" i="19"/>
  <c r="AD290" i="19" s="1"/>
  <c r="E271" i="21" s="1"/>
  <c r="E291" i="18"/>
  <c r="AA290" i="17"/>
  <c r="AA290" i="20"/>
  <c r="J395" i="17"/>
  <c r="K395" i="17" s="1"/>
  <c r="L395" i="17" s="1"/>
  <c r="F396" i="17" s="1"/>
  <c r="J283" i="21"/>
  <c r="R303" i="19"/>
  <c r="L475" i="19"/>
  <c r="F476" i="19" s="1"/>
  <c r="L398" i="20"/>
  <c r="F399" i="20" s="1"/>
  <c r="AC675" i="19"/>
  <c r="A675" i="19"/>
  <c r="B676" i="19"/>
  <c r="X269" i="20"/>
  <c r="U269" i="20"/>
  <c r="Y269" i="20" s="1"/>
  <c r="AC672" i="17"/>
  <c r="B673" i="17"/>
  <c r="AC672" i="20"/>
  <c r="B673" i="20"/>
  <c r="H396" i="17" l="1"/>
  <c r="K250" i="21"/>
  <c r="R270" i="20"/>
  <c r="AD269" i="20"/>
  <c r="F250" i="21" s="1"/>
  <c r="U303" i="19"/>
  <c r="X303" i="19"/>
  <c r="Y303" i="19"/>
  <c r="B674" i="17"/>
  <c r="AC673" i="17"/>
  <c r="H399" i="20"/>
  <c r="B674" i="20"/>
  <c r="AC673" i="20"/>
  <c r="AC676" i="19"/>
  <c r="B677" i="19"/>
  <c r="A676" i="19"/>
  <c r="G291" i="18"/>
  <c r="I291" i="18"/>
  <c r="J291" i="18"/>
  <c r="H476" i="19"/>
  <c r="X271" i="17"/>
  <c r="Y271" i="17"/>
  <c r="U271" i="17"/>
  <c r="R272" i="17" l="1"/>
  <c r="I252" i="21"/>
  <c r="AD271" i="17"/>
  <c r="D252" i="21" s="1"/>
  <c r="AC674" i="17"/>
  <c r="B675" i="17"/>
  <c r="B675" i="20"/>
  <c r="AC674" i="20"/>
  <c r="K399" i="20"/>
  <c r="L399" i="20" s="1"/>
  <c r="F400" i="20" s="1"/>
  <c r="K396" i="17"/>
  <c r="L396" i="17" s="1"/>
  <c r="F397" i="17" s="1"/>
  <c r="E292" i="18"/>
  <c r="AA291" i="17"/>
  <c r="AA291" i="20"/>
  <c r="AA291" i="19"/>
  <c r="AD291" i="19" s="1"/>
  <c r="E272" i="21" s="1"/>
  <c r="X270" i="20"/>
  <c r="Y270" i="20" s="1"/>
  <c r="U270" i="20"/>
  <c r="R304" i="19"/>
  <c r="J284" i="21"/>
  <c r="J476" i="19"/>
  <c r="K476" i="19" s="1"/>
  <c r="AC677" i="19"/>
  <c r="A677" i="19"/>
  <c r="B678" i="19"/>
  <c r="K251" i="21" l="1"/>
  <c r="R271" i="20"/>
  <c r="AD270" i="20"/>
  <c r="F251" i="21" s="1"/>
  <c r="H397" i="17"/>
  <c r="H400" i="20"/>
  <c r="K400" i="20" s="1"/>
  <c r="U272" i="17"/>
  <c r="X272" i="17" s="1"/>
  <c r="B676" i="20"/>
  <c r="AC675" i="20"/>
  <c r="U304" i="19"/>
  <c r="X304" i="19"/>
  <c r="Y304" i="19"/>
  <c r="AC675" i="17"/>
  <c r="B676" i="17"/>
  <c r="L476" i="19"/>
  <c r="F477" i="19" s="1"/>
  <c r="AC678" i="19"/>
  <c r="A678" i="19"/>
  <c r="B679" i="19"/>
  <c r="G292" i="18"/>
  <c r="I292" i="18"/>
  <c r="J292" i="18"/>
  <c r="R305" i="19" l="1"/>
  <c r="J285" i="21"/>
  <c r="K397" i="17"/>
  <c r="L397" i="17" s="1"/>
  <c r="F398" i="17" s="1"/>
  <c r="AA292" i="19"/>
  <c r="AD292" i="19" s="1"/>
  <c r="E273" i="21" s="1"/>
  <c r="AA292" i="17"/>
  <c r="E293" i="18"/>
  <c r="AA292" i="20"/>
  <c r="Y272" i="17"/>
  <c r="H477" i="19"/>
  <c r="L477" i="19" s="1"/>
  <c r="F478" i="19" s="1"/>
  <c r="K477" i="19"/>
  <c r="L400" i="20"/>
  <c r="F401" i="20" s="1"/>
  <c r="U271" i="20"/>
  <c r="X271" i="20" s="1"/>
  <c r="B680" i="19"/>
  <c r="AC679" i="19"/>
  <c r="A679" i="19"/>
  <c r="B677" i="17"/>
  <c r="AC676" i="17"/>
  <c r="B677" i="20"/>
  <c r="AC676" i="20"/>
  <c r="H478" i="19" l="1"/>
  <c r="K478" i="19"/>
  <c r="L478" i="19"/>
  <c r="F479" i="19" s="1"/>
  <c r="J398" i="17"/>
  <c r="K398" i="17"/>
  <c r="L398" i="17"/>
  <c r="F399" i="17" s="1"/>
  <c r="H398" i="17"/>
  <c r="Y271" i="20"/>
  <c r="B678" i="17"/>
  <c r="AC677" i="17"/>
  <c r="Y305" i="19"/>
  <c r="U305" i="19"/>
  <c r="X305" i="19"/>
  <c r="B681" i="19"/>
  <c r="A680" i="19"/>
  <c r="AC680" i="19"/>
  <c r="B678" i="20"/>
  <c r="AC677" i="20"/>
  <c r="R273" i="17"/>
  <c r="I253" i="21"/>
  <c r="AD272" i="17"/>
  <c r="D253" i="21" s="1"/>
  <c r="H401" i="20"/>
  <c r="J401" i="20" s="1"/>
  <c r="G293" i="18"/>
  <c r="I293" i="18" s="1"/>
  <c r="H399" i="17" l="1"/>
  <c r="K399" i="17" s="1"/>
  <c r="H293" i="18"/>
  <c r="J293" i="18" s="1"/>
  <c r="J479" i="19"/>
  <c r="H479" i="19"/>
  <c r="K479" i="19" s="1"/>
  <c r="B682" i="19"/>
  <c r="A681" i="19"/>
  <c r="AC681" i="19"/>
  <c r="K401" i="20"/>
  <c r="L401" i="20" s="1"/>
  <c r="F402" i="20" s="1"/>
  <c r="R272" i="20"/>
  <c r="K252" i="21"/>
  <c r="AD271" i="20"/>
  <c r="F252" i="21" s="1"/>
  <c r="J286" i="21"/>
  <c r="R306" i="19"/>
  <c r="U273" i="17"/>
  <c r="B679" i="17"/>
  <c r="AC678" i="17"/>
  <c r="AC678" i="20"/>
  <c r="B679" i="20"/>
  <c r="H402" i="20" l="1"/>
  <c r="L479" i="19"/>
  <c r="F480" i="19" s="1"/>
  <c r="Y273" i="17"/>
  <c r="L399" i="17"/>
  <c r="F400" i="17" s="1"/>
  <c r="U306" i="19"/>
  <c r="X306" i="19"/>
  <c r="Y306" i="19" s="1"/>
  <c r="AA293" i="19"/>
  <c r="AD293" i="19" s="1"/>
  <c r="E274" i="21" s="1"/>
  <c r="AA293" i="20"/>
  <c r="E294" i="18"/>
  <c r="AA293" i="17"/>
  <c r="AC682" i="19"/>
  <c r="B683" i="19"/>
  <c r="A682" i="19"/>
  <c r="X272" i="20"/>
  <c r="Y272" i="20"/>
  <c r="U272" i="20"/>
  <c r="AC679" i="17"/>
  <c r="B680" i="17"/>
  <c r="X273" i="17"/>
  <c r="B680" i="20"/>
  <c r="AC679" i="20"/>
  <c r="J287" i="21" l="1"/>
  <c r="R307" i="19"/>
  <c r="L402" i="20"/>
  <c r="F403" i="20" s="1"/>
  <c r="H480" i="19"/>
  <c r="K480" i="19"/>
  <c r="L480" i="19"/>
  <c r="F481" i="19" s="1"/>
  <c r="H400" i="17"/>
  <c r="K400" i="17" s="1"/>
  <c r="R274" i="17"/>
  <c r="I254" i="21"/>
  <c r="AD273" i="17"/>
  <c r="D254" i="21" s="1"/>
  <c r="A683" i="19"/>
  <c r="AC683" i="19"/>
  <c r="B684" i="19"/>
  <c r="K253" i="21"/>
  <c r="R273" i="20"/>
  <c r="AD272" i="20"/>
  <c r="F253" i="21" s="1"/>
  <c r="K402" i="20"/>
  <c r="G294" i="18"/>
  <c r="I294" i="18" s="1"/>
  <c r="J294" i="18" s="1"/>
  <c r="AC680" i="20"/>
  <c r="B681" i="20"/>
  <c r="AC680" i="17"/>
  <c r="B681" i="17"/>
  <c r="AA294" i="17" l="1"/>
  <c r="E295" i="18"/>
  <c r="AA294" i="20"/>
  <c r="AA294" i="19"/>
  <c r="AD294" i="19" s="1"/>
  <c r="E275" i="21" s="1"/>
  <c r="B682" i="20"/>
  <c r="AC681" i="20"/>
  <c r="H403" i="20"/>
  <c r="K403" i="20" s="1"/>
  <c r="H481" i="19"/>
  <c r="K481" i="19"/>
  <c r="L481" i="19"/>
  <c r="F482" i="19" s="1"/>
  <c r="U273" i="20"/>
  <c r="B685" i="19"/>
  <c r="AC684" i="19"/>
  <c r="A684" i="19"/>
  <c r="L400" i="17"/>
  <c r="F401" i="17" s="1"/>
  <c r="U307" i="19"/>
  <c r="X307" i="19" s="1"/>
  <c r="X274" i="17"/>
  <c r="Y274" i="17" s="1"/>
  <c r="U274" i="17"/>
  <c r="AC681" i="17"/>
  <c r="B682" i="17"/>
  <c r="I255" i="21" l="1"/>
  <c r="R275" i="17"/>
  <c r="AD274" i="17"/>
  <c r="D255" i="21" s="1"/>
  <c r="J482" i="19"/>
  <c r="L482" i="19" s="1"/>
  <c r="F483" i="19" s="1"/>
  <c r="K482" i="19"/>
  <c r="H482" i="19"/>
  <c r="Y307" i="19"/>
  <c r="AC682" i="20"/>
  <c r="B683" i="20"/>
  <c r="B686" i="19"/>
  <c r="A685" i="19"/>
  <c r="AC685" i="19"/>
  <c r="B683" i="17"/>
  <c r="AC682" i="17"/>
  <c r="X273" i="20"/>
  <c r="Y273" i="20" s="1"/>
  <c r="L403" i="20"/>
  <c r="F404" i="20" s="1"/>
  <c r="G295" i="18"/>
  <c r="I295" i="18"/>
  <c r="J295" i="18"/>
  <c r="J401" i="17"/>
  <c r="K401" i="17" s="1"/>
  <c r="H401" i="17"/>
  <c r="L401" i="17" s="1"/>
  <c r="F402" i="17" s="1"/>
  <c r="R274" i="20" l="1"/>
  <c r="K254" i="21"/>
  <c r="AD273" i="20"/>
  <c r="F254" i="21" s="1"/>
  <c r="H483" i="19"/>
  <c r="K483" i="19"/>
  <c r="L483" i="19"/>
  <c r="F484" i="19" s="1"/>
  <c r="H402" i="17"/>
  <c r="K402" i="17" s="1"/>
  <c r="AC683" i="20"/>
  <c r="B684" i="20"/>
  <c r="R308" i="19"/>
  <c r="J288" i="21"/>
  <c r="U275" i="17"/>
  <c r="AA295" i="20"/>
  <c r="E296" i="18"/>
  <c r="AA295" i="19"/>
  <c r="AD295" i="19" s="1"/>
  <c r="E276" i="21" s="1"/>
  <c r="AA295" i="17"/>
  <c r="AC683" i="17"/>
  <c r="B684" i="17"/>
  <c r="H404" i="20"/>
  <c r="J404" i="20" s="1"/>
  <c r="A686" i="19"/>
  <c r="B687" i="19"/>
  <c r="AC686" i="19"/>
  <c r="K404" i="20" l="1"/>
  <c r="L404" i="20"/>
  <c r="F405" i="20" s="1"/>
  <c r="I296" i="18"/>
  <c r="H296" i="18"/>
  <c r="J296" i="18"/>
  <c r="G296" i="18"/>
  <c r="AC684" i="20"/>
  <c r="B685" i="20"/>
  <c r="U308" i="19"/>
  <c r="X308" i="19" s="1"/>
  <c r="Y308" i="19" s="1"/>
  <c r="A687" i="19"/>
  <c r="B688" i="19"/>
  <c r="AC687" i="19"/>
  <c r="X275" i="17"/>
  <c r="Y275" i="17" s="1"/>
  <c r="L402" i="17"/>
  <c r="F403" i="17" s="1"/>
  <c r="H484" i="19"/>
  <c r="K484" i="19"/>
  <c r="L484" i="19" s="1"/>
  <c r="F485" i="19" s="1"/>
  <c r="B685" i="17"/>
  <c r="AC684" i="17"/>
  <c r="U274" i="20"/>
  <c r="X274" i="20" s="1"/>
  <c r="H485" i="19" l="1"/>
  <c r="K485" i="19" s="1"/>
  <c r="J485" i="19"/>
  <c r="L485" i="19" s="1"/>
  <c r="F486" i="19" s="1"/>
  <c r="J289" i="21"/>
  <c r="R309" i="19"/>
  <c r="AZ74" i="21"/>
  <c r="I256" i="21"/>
  <c r="T51" i="2" s="1"/>
  <c r="R276" i="17"/>
  <c r="AD275" i="17"/>
  <c r="D256" i="21" s="1"/>
  <c r="AC62" i="21" s="1"/>
  <c r="AZ70" i="21" s="1"/>
  <c r="AZ72" i="21" s="1"/>
  <c r="AZ77" i="21" s="1"/>
  <c r="B686" i="17"/>
  <c r="AC685" i="17"/>
  <c r="AC685" i="20"/>
  <c r="B686" i="20"/>
  <c r="H405" i="20"/>
  <c r="K405" i="20" s="1"/>
  <c r="AA296" i="19"/>
  <c r="AD296" i="19" s="1"/>
  <c r="E277" i="21" s="1"/>
  <c r="AA296" i="17"/>
  <c r="AA296" i="20"/>
  <c r="E297" i="18"/>
  <c r="AC688" i="19"/>
  <c r="A688" i="19"/>
  <c r="B689" i="19"/>
  <c r="Y274" i="20"/>
  <c r="H403" i="17"/>
  <c r="K403" i="17" s="1"/>
  <c r="H486" i="19" l="1"/>
  <c r="L486" i="19" s="1"/>
  <c r="F487" i="19" s="1"/>
  <c r="K486" i="19"/>
  <c r="U309" i="19"/>
  <c r="X309" i="19"/>
  <c r="Y309" i="19"/>
  <c r="B687" i="17"/>
  <c r="AC686" i="17"/>
  <c r="AC689" i="19"/>
  <c r="B690" i="19"/>
  <c r="A689" i="19"/>
  <c r="L405" i="20"/>
  <c r="F406" i="20" s="1"/>
  <c r="U276" i="17"/>
  <c r="X276" i="17" s="1"/>
  <c r="L403" i="17"/>
  <c r="F404" i="17" s="1"/>
  <c r="G297" i="18"/>
  <c r="J297" i="18" s="1"/>
  <c r="I297" i="18"/>
  <c r="AC686" i="20"/>
  <c r="B687" i="20"/>
  <c r="K255" i="21"/>
  <c r="R275" i="20"/>
  <c r="AD274" i="20"/>
  <c r="F255" i="21" s="1"/>
  <c r="AA297" i="20" l="1"/>
  <c r="AA297" i="19"/>
  <c r="AD297" i="19" s="1"/>
  <c r="E278" i="21" s="1"/>
  <c r="AA297" i="17"/>
  <c r="E298" i="18"/>
  <c r="H487" i="19"/>
  <c r="L487" i="19" s="1"/>
  <c r="F488" i="19" s="1"/>
  <c r="K487" i="19"/>
  <c r="B691" i="19"/>
  <c r="AC690" i="19"/>
  <c r="A690" i="19"/>
  <c r="K406" i="20"/>
  <c r="L406" i="20" s="1"/>
  <c r="F407" i="20" s="1"/>
  <c r="H406" i="20"/>
  <c r="U275" i="20"/>
  <c r="J404" i="17"/>
  <c r="K404" i="17" s="1"/>
  <c r="H404" i="17"/>
  <c r="L404" i="17" s="1"/>
  <c r="F405" i="17" s="1"/>
  <c r="Y276" i="17"/>
  <c r="J290" i="21"/>
  <c r="R310" i="19"/>
  <c r="AC687" i="20"/>
  <c r="B688" i="20"/>
  <c r="AC687" i="17"/>
  <c r="B688" i="17"/>
  <c r="H488" i="19" l="1"/>
  <c r="K488" i="19" s="1"/>
  <c r="J488" i="19"/>
  <c r="K405" i="17"/>
  <c r="L405" i="17"/>
  <c r="F406" i="17" s="1"/>
  <c r="H405" i="17"/>
  <c r="H407" i="20"/>
  <c r="G298" i="18"/>
  <c r="I298" i="18"/>
  <c r="J298" i="18"/>
  <c r="X275" i="20"/>
  <c r="Y275" i="20" s="1"/>
  <c r="A691" i="19"/>
  <c r="B692" i="19"/>
  <c r="AC691" i="19"/>
  <c r="U310" i="19"/>
  <c r="X310" i="19"/>
  <c r="Y310" i="19"/>
  <c r="B689" i="17"/>
  <c r="AC688" i="17"/>
  <c r="I257" i="21"/>
  <c r="R277" i="17"/>
  <c r="AD276" i="17"/>
  <c r="D257" i="21" s="1"/>
  <c r="B689" i="20"/>
  <c r="AC688" i="20"/>
  <c r="R276" i="20" l="1"/>
  <c r="K256" i="21"/>
  <c r="AD275" i="20"/>
  <c r="F256" i="21" s="1"/>
  <c r="B690" i="17"/>
  <c r="AC689" i="17"/>
  <c r="AC689" i="20"/>
  <c r="B690" i="20"/>
  <c r="J407" i="20"/>
  <c r="K407" i="20" s="1"/>
  <c r="L407" i="20" s="1"/>
  <c r="F408" i="20" s="1"/>
  <c r="U277" i="17"/>
  <c r="X277" i="17" s="1"/>
  <c r="H406" i="17"/>
  <c r="AA298" i="19"/>
  <c r="AD298" i="19" s="1"/>
  <c r="E279" i="21" s="1"/>
  <c r="E299" i="18"/>
  <c r="AA298" i="20"/>
  <c r="AA298" i="17"/>
  <c r="L488" i="19"/>
  <c r="F489" i="19" s="1"/>
  <c r="J291" i="21"/>
  <c r="R311" i="19"/>
  <c r="AC692" i="19"/>
  <c r="A692" i="19"/>
  <c r="B693" i="19"/>
  <c r="H408" i="20" l="1"/>
  <c r="K408" i="20" s="1"/>
  <c r="U311" i="19"/>
  <c r="Y311" i="19" s="1"/>
  <c r="X311" i="19"/>
  <c r="Y277" i="17"/>
  <c r="H489" i="19"/>
  <c r="K489" i="19"/>
  <c r="L489" i="19" s="1"/>
  <c r="F490" i="19" s="1"/>
  <c r="AC693" i="19"/>
  <c r="A693" i="19"/>
  <c r="B694" i="19"/>
  <c r="K406" i="17"/>
  <c r="L406" i="17" s="1"/>
  <c r="F407" i="17" s="1"/>
  <c r="AC690" i="20"/>
  <c r="B691" i="20"/>
  <c r="J299" i="18"/>
  <c r="G299" i="18"/>
  <c r="H299" i="18"/>
  <c r="I299" i="18"/>
  <c r="B691" i="17"/>
  <c r="AC690" i="17"/>
  <c r="U276" i="20"/>
  <c r="H490" i="19" l="1"/>
  <c r="K490" i="19" s="1"/>
  <c r="R312" i="19"/>
  <c r="J292" i="21"/>
  <c r="H407" i="17"/>
  <c r="AA299" i="19"/>
  <c r="AD299" i="19" s="1"/>
  <c r="E280" i="21" s="1"/>
  <c r="AA299" i="17"/>
  <c r="E300" i="18"/>
  <c r="AA299" i="20"/>
  <c r="L408" i="20"/>
  <c r="F409" i="20" s="1"/>
  <c r="X276" i="20"/>
  <c r="Y276" i="20" s="1"/>
  <c r="A694" i="19"/>
  <c r="AC694" i="19"/>
  <c r="B695" i="19"/>
  <c r="I258" i="21"/>
  <c r="R278" i="17"/>
  <c r="AD277" i="17"/>
  <c r="D258" i="21" s="1"/>
  <c r="B692" i="20"/>
  <c r="AC691" i="20"/>
  <c r="B692" i="17"/>
  <c r="AC691" i="17"/>
  <c r="R277" i="20" l="1"/>
  <c r="K257" i="21"/>
  <c r="AD276" i="20"/>
  <c r="F257" i="21" s="1"/>
  <c r="L407" i="17"/>
  <c r="F408" i="17" s="1"/>
  <c r="U312" i="19"/>
  <c r="Y312" i="19" s="1"/>
  <c r="X312" i="19"/>
  <c r="AC692" i="20"/>
  <c r="B693" i="20"/>
  <c r="U278" i="17"/>
  <c r="X278" i="17" s="1"/>
  <c r="J407" i="17"/>
  <c r="K407" i="17" s="1"/>
  <c r="L490" i="19"/>
  <c r="F491" i="19" s="1"/>
  <c r="H409" i="20"/>
  <c r="AC692" i="17"/>
  <c r="B693" i="17"/>
  <c r="A695" i="19"/>
  <c r="B696" i="19"/>
  <c r="AC695" i="19"/>
  <c r="G300" i="18"/>
  <c r="I300" i="18"/>
  <c r="J300" i="18"/>
  <c r="R313" i="19" l="1"/>
  <c r="J293" i="21"/>
  <c r="K409" i="20"/>
  <c r="L409" i="20" s="1"/>
  <c r="F410" i="20" s="1"/>
  <c r="AA300" i="17"/>
  <c r="AA300" i="20"/>
  <c r="E301" i="18"/>
  <c r="AA300" i="19"/>
  <c r="AD300" i="19" s="1"/>
  <c r="E281" i="21" s="1"/>
  <c r="AC696" i="19"/>
  <c r="A696" i="19"/>
  <c r="B697" i="19"/>
  <c r="Y278" i="17"/>
  <c r="B694" i="17"/>
  <c r="AC693" i="17"/>
  <c r="H408" i="17"/>
  <c r="K408" i="17" s="1"/>
  <c r="K491" i="19"/>
  <c r="H491" i="19"/>
  <c r="L491" i="19" s="1"/>
  <c r="F492" i="19" s="1"/>
  <c r="J491" i="19"/>
  <c r="B694" i="20"/>
  <c r="AC693" i="20"/>
  <c r="X277" i="20"/>
  <c r="U277" i="20"/>
  <c r="Y277" i="20" s="1"/>
  <c r="H410" i="20" l="1"/>
  <c r="J410" i="20" s="1"/>
  <c r="H492" i="19"/>
  <c r="L492" i="19" s="1"/>
  <c r="F493" i="19" s="1"/>
  <c r="K492" i="19"/>
  <c r="K258" i="21"/>
  <c r="R278" i="20"/>
  <c r="AD277" i="20"/>
  <c r="F258" i="21" s="1"/>
  <c r="A697" i="19"/>
  <c r="B698" i="19"/>
  <c r="AC697" i="19"/>
  <c r="AC694" i="20"/>
  <c r="B695" i="20"/>
  <c r="R279" i="17"/>
  <c r="I259" i="21"/>
  <c r="AD278" i="17"/>
  <c r="D259" i="21" s="1"/>
  <c r="L408" i="17"/>
  <c r="F409" i="17" s="1"/>
  <c r="B695" i="17"/>
  <c r="AC694" i="17"/>
  <c r="I301" i="18"/>
  <c r="J301" i="18" s="1"/>
  <c r="G301" i="18"/>
  <c r="U313" i="19"/>
  <c r="Y313" i="19" s="1"/>
  <c r="X313" i="19"/>
  <c r="H493" i="19" l="1"/>
  <c r="K493" i="19"/>
  <c r="L493" i="19"/>
  <c r="F494" i="19" s="1"/>
  <c r="AA301" i="20"/>
  <c r="AA301" i="17"/>
  <c r="AA301" i="19"/>
  <c r="AD301" i="19" s="1"/>
  <c r="E282" i="21" s="1"/>
  <c r="E302" i="18"/>
  <c r="J294" i="21"/>
  <c r="R314" i="19"/>
  <c r="B696" i="20"/>
  <c r="AC695" i="20"/>
  <c r="K410" i="20"/>
  <c r="L410" i="20" s="1"/>
  <c r="F411" i="20" s="1"/>
  <c r="U279" i="17"/>
  <c r="AC695" i="17"/>
  <c r="B696" i="17"/>
  <c r="H409" i="17"/>
  <c r="U278" i="20"/>
  <c r="X278" i="20" s="1"/>
  <c r="A698" i="19"/>
  <c r="AC698" i="19"/>
  <c r="B699" i="19"/>
  <c r="H411" i="20" l="1"/>
  <c r="K411" i="20" s="1"/>
  <c r="Y279" i="17"/>
  <c r="Y278" i="20"/>
  <c r="B697" i="20"/>
  <c r="AC696" i="20"/>
  <c r="AC696" i="17"/>
  <c r="B697" i="17"/>
  <c r="H494" i="19"/>
  <c r="J494" i="19" s="1"/>
  <c r="X279" i="17"/>
  <c r="AC699" i="19"/>
  <c r="B700" i="19"/>
  <c r="A699" i="19"/>
  <c r="U314" i="19"/>
  <c r="X314" i="19"/>
  <c r="Y314" i="19" s="1"/>
  <c r="K409" i="17"/>
  <c r="L409" i="17" s="1"/>
  <c r="F410" i="17" s="1"/>
  <c r="G302" i="18"/>
  <c r="I302" i="18" s="1"/>
  <c r="H302" i="18"/>
  <c r="J302" i="18" s="1"/>
  <c r="E303" i="18" l="1"/>
  <c r="AA302" i="20"/>
  <c r="AA302" i="19"/>
  <c r="AD302" i="19" s="1"/>
  <c r="E283" i="21" s="1"/>
  <c r="AA302" i="17"/>
  <c r="L494" i="19"/>
  <c r="F495" i="19" s="1"/>
  <c r="H410" i="17"/>
  <c r="R315" i="19"/>
  <c r="J295" i="21"/>
  <c r="I260" i="21"/>
  <c r="R280" i="17"/>
  <c r="AD279" i="17"/>
  <c r="D260" i="21" s="1"/>
  <c r="K259" i="21"/>
  <c r="R279" i="20"/>
  <c r="AD278" i="20"/>
  <c r="F259" i="21" s="1"/>
  <c r="AC697" i="17"/>
  <c r="B698" i="17"/>
  <c r="K494" i="19"/>
  <c r="L411" i="20"/>
  <c r="F412" i="20" s="1"/>
  <c r="AC700" i="19"/>
  <c r="A700" i="19"/>
  <c r="B701" i="19"/>
  <c r="AC697" i="20"/>
  <c r="B698" i="20"/>
  <c r="A701" i="19" l="1"/>
  <c r="B702" i="19"/>
  <c r="AC701" i="19"/>
  <c r="X279" i="20"/>
  <c r="U279" i="20"/>
  <c r="Y279" i="20" s="1"/>
  <c r="H412" i="20"/>
  <c r="K412" i="20" s="1"/>
  <c r="H495" i="19"/>
  <c r="K495" i="19" s="1"/>
  <c r="U315" i="19"/>
  <c r="AC698" i="20"/>
  <c r="B699" i="20"/>
  <c r="J410" i="17"/>
  <c r="AC698" i="17"/>
  <c r="B699" i="17"/>
  <c r="U280" i="17"/>
  <c r="X280" i="17" s="1"/>
  <c r="Y280" i="17" s="1"/>
  <c r="G303" i="18"/>
  <c r="I303" i="18" s="1"/>
  <c r="K260" i="21" l="1"/>
  <c r="R280" i="20"/>
  <c r="AD279" i="20"/>
  <c r="F260" i="21" s="1"/>
  <c r="I261" i="21"/>
  <c r="R281" i="17"/>
  <c r="AD280" i="17"/>
  <c r="D261" i="21" s="1"/>
  <c r="L412" i="20"/>
  <c r="F413" i="20" s="1"/>
  <c r="L410" i="17"/>
  <c r="F411" i="17" s="1"/>
  <c r="AC702" i="19"/>
  <c r="B703" i="19"/>
  <c r="A702" i="19"/>
  <c r="X315" i="19"/>
  <c r="Y315" i="19" s="1"/>
  <c r="J303" i="18"/>
  <c r="AC699" i="20"/>
  <c r="B700" i="20"/>
  <c r="B700" i="17"/>
  <c r="AC699" i="17"/>
  <c r="L495" i="19"/>
  <c r="F496" i="19" s="1"/>
  <c r="K410" i="17"/>
  <c r="J296" i="21" l="1"/>
  <c r="R316" i="19"/>
  <c r="A703" i="19"/>
  <c r="B704" i="19"/>
  <c r="AC703" i="19"/>
  <c r="K411" i="17"/>
  <c r="H411" i="17"/>
  <c r="L411" i="17" s="1"/>
  <c r="F412" i="17" s="1"/>
  <c r="U280" i="20"/>
  <c r="X281" i="17"/>
  <c r="U281" i="17"/>
  <c r="Y281" i="17" s="1"/>
  <c r="E304" i="18"/>
  <c r="AA303" i="17"/>
  <c r="AA303" i="20"/>
  <c r="AA303" i="19"/>
  <c r="AD303" i="19" s="1"/>
  <c r="E284" i="21" s="1"/>
  <c r="H413" i="20"/>
  <c r="J413" i="20" s="1"/>
  <c r="AC700" i="17"/>
  <c r="B701" i="17"/>
  <c r="B701" i="20"/>
  <c r="AC700" i="20"/>
  <c r="H496" i="19"/>
  <c r="K496" i="19" s="1"/>
  <c r="L496" i="19" s="1"/>
  <c r="F497" i="19" s="1"/>
  <c r="R282" i="17" l="1"/>
  <c r="I262" i="21"/>
  <c r="AD281" i="17"/>
  <c r="D262" i="21" s="1"/>
  <c r="J497" i="19"/>
  <c r="K497" i="19"/>
  <c r="H497" i="19"/>
  <c r="L497" i="19" s="1"/>
  <c r="F498" i="19" s="1"/>
  <c r="H412" i="17"/>
  <c r="K412" i="17" s="1"/>
  <c r="AC704" i="19"/>
  <c r="A704" i="19"/>
  <c r="B705" i="19"/>
  <c r="X280" i="20"/>
  <c r="Y280" i="20" s="1"/>
  <c r="K413" i="20"/>
  <c r="L413" i="20" s="1"/>
  <c r="F414" i="20" s="1"/>
  <c r="U316" i="19"/>
  <c r="X316" i="19"/>
  <c r="Y316" i="19"/>
  <c r="AC701" i="17"/>
  <c r="B702" i="17"/>
  <c r="G304" i="18"/>
  <c r="I304" i="18"/>
  <c r="J304" i="18"/>
  <c r="B702" i="20"/>
  <c r="AC701" i="20"/>
  <c r="H498" i="19" l="1"/>
  <c r="L498" i="19" s="1"/>
  <c r="F499" i="19" s="1"/>
  <c r="K498" i="19"/>
  <c r="H414" i="20"/>
  <c r="K261" i="21"/>
  <c r="R281" i="20"/>
  <c r="AD280" i="20"/>
  <c r="F261" i="21" s="1"/>
  <c r="AC702" i="17"/>
  <c r="B703" i="17"/>
  <c r="R317" i="19"/>
  <c r="J297" i="21"/>
  <c r="AC702" i="20"/>
  <c r="B703" i="20"/>
  <c r="L412" i="17"/>
  <c r="F413" i="17" s="1"/>
  <c r="A705" i="19"/>
  <c r="AC705" i="19"/>
  <c r="B706" i="19"/>
  <c r="U282" i="17"/>
  <c r="X282" i="17" s="1"/>
  <c r="E305" i="18"/>
  <c r="AA304" i="17"/>
  <c r="AA304" i="20"/>
  <c r="AA304" i="19"/>
  <c r="AD304" i="19" s="1"/>
  <c r="E285" i="21" s="1"/>
  <c r="H499" i="19" l="1"/>
  <c r="L499" i="19" s="1"/>
  <c r="F500" i="19" s="1"/>
  <c r="K499" i="19"/>
  <c r="X317" i="19"/>
  <c r="Y317" i="19"/>
  <c r="U317" i="19"/>
  <c r="K414" i="20"/>
  <c r="L414" i="20" s="1"/>
  <c r="F415" i="20" s="1"/>
  <c r="G305" i="18"/>
  <c r="H305" i="18" s="1"/>
  <c r="B704" i="17"/>
  <c r="AC703" i="17"/>
  <c r="J413" i="17"/>
  <c r="H413" i="17"/>
  <c r="Y282" i="17"/>
  <c r="B704" i="20"/>
  <c r="AC703" i="20"/>
  <c r="X281" i="20"/>
  <c r="Y281" i="20" s="1"/>
  <c r="U281" i="20"/>
  <c r="B707" i="19"/>
  <c r="A706" i="19"/>
  <c r="AC706" i="19"/>
  <c r="H415" i="20" l="1"/>
  <c r="K415" i="20" s="1"/>
  <c r="K262" i="21"/>
  <c r="R282" i="20"/>
  <c r="AD281" i="20"/>
  <c r="F262" i="21" s="1"/>
  <c r="H500" i="19"/>
  <c r="J298" i="21"/>
  <c r="R318" i="19"/>
  <c r="K413" i="17"/>
  <c r="L413" i="17" s="1"/>
  <c r="F414" i="17" s="1"/>
  <c r="I305" i="18"/>
  <c r="J305" i="18" s="1"/>
  <c r="A707" i="19"/>
  <c r="B708" i="19"/>
  <c r="AC707" i="19"/>
  <c r="R283" i="17"/>
  <c r="I263" i="21"/>
  <c r="AD282" i="17"/>
  <c r="D263" i="21" s="1"/>
  <c r="B705" i="20"/>
  <c r="AC704" i="20"/>
  <c r="B705" i="17"/>
  <c r="AC704" i="17"/>
  <c r="H414" i="17" l="1"/>
  <c r="AA305" i="17"/>
  <c r="AA305" i="19"/>
  <c r="AD305" i="19" s="1"/>
  <c r="E286" i="21" s="1"/>
  <c r="E306" i="18"/>
  <c r="AA305" i="20"/>
  <c r="AC708" i="19"/>
  <c r="A708" i="19"/>
  <c r="B709" i="19"/>
  <c r="J500" i="19"/>
  <c r="B706" i="20"/>
  <c r="AC705" i="20"/>
  <c r="U282" i="20"/>
  <c r="U283" i="17"/>
  <c r="X283" i="17" s="1"/>
  <c r="U318" i="19"/>
  <c r="X318" i="19"/>
  <c r="Y318" i="19"/>
  <c r="L415" i="20"/>
  <c r="F416" i="20" s="1"/>
  <c r="AC705" i="17"/>
  <c r="B706" i="17"/>
  <c r="L414" i="17" l="1"/>
  <c r="F415" i="17" s="1"/>
  <c r="K500" i="19"/>
  <c r="L500" i="19" s="1"/>
  <c r="F501" i="19" s="1"/>
  <c r="J299" i="21"/>
  <c r="R319" i="19"/>
  <c r="AC709" i="19"/>
  <c r="B710" i="19"/>
  <c r="A709" i="19"/>
  <c r="X282" i="20"/>
  <c r="Y282" i="20" s="1"/>
  <c r="K414" i="17"/>
  <c r="AC706" i="17"/>
  <c r="B707" i="17"/>
  <c r="Y283" i="17"/>
  <c r="H416" i="20"/>
  <c r="J416" i="20" s="1"/>
  <c r="AC706" i="20"/>
  <c r="B707" i="20"/>
  <c r="G306" i="18"/>
  <c r="J306" i="18" s="1"/>
  <c r="I306" i="18"/>
  <c r="H501" i="19" l="1"/>
  <c r="K501" i="19"/>
  <c r="L501" i="19" s="1"/>
  <c r="F502" i="19" s="1"/>
  <c r="E307" i="18"/>
  <c r="AA306" i="20"/>
  <c r="AA306" i="19"/>
  <c r="AD306" i="19" s="1"/>
  <c r="E287" i="21" s="1"/>
  <c r="AA306" i="17"/>
  <c r="K263" i="21"/>
  <c r="R283" i="20"/>
  <c r="AD282" i="20"/>
  <c r="F263" i="21" s="1"/>
  <c r="K416" i="20"/>
  <c r="L416" i="20"/>
  <c r="F417" i="20" s="1"/>
  <c r="I264" i="21"/>
  <c r="R284" i="17"/>
  <c r="AD283" i="17"/>
  <c r="D264" i="21" s="1"/>
  <c r="H415" i="17"/>
  <c r="K415" i="17" s="1"/>
  <c r="B708" i="20"/>
  <c r="AC707" i="20"/>
  <c r="AC707" i="17"/>
  <c r="B708" i="17"/>
  <c r="AC710" i="19"/>
  <c r="A710" i="19"/>
  <c r="B711" i="19"/>
  <c r="U319" i="19"/>
  <c r="Y319" i="19" s="1"/>
  <c r="X319" i="19"/>
  <c r="J300" i="21" l="1"/>
  <c r="R320" i="19"/>
  <c r="H502" i="19"/>
  <c r="K502" i="19"/>
  <c r="L502" i="19"/>
  <c r="F503" i="19" s="1"/>
  <c r="B709" i="17"/>
  <c r="AC708" i="17"/>
  <c r="G307" i="18"/>
  <c r="I307" i="18"/>
  <c r="J307" i="18"/>
  <c r="K417" i="20"/>
  <c r="H417" i="20"/>
  <c r="L417" i="20" s="1"/>
  <c r="F418" i="20" s="1"/>
  <c r="L415" i="17"/>
  <c r="F416" i="17" s="1"/>
  <c r="U284" i="17"/>
  <c r="U283" i="20"/>
  <c r="X283" i="20" s="1"/>
  <c r="AC711" i="19"/>
  <c r="A711" i="19"/>
  <c r="B712" i="19"/>
  <c r="AC708" i="20"/>
  <c r="B709" i="20"/>
  <c r="H418" i="20" l="1"/>
  <c r="K418" i="20" s="1"/>
  <c r="Y284" i="17"/>
  <c r="A712" i="19"/>
  <c r="B713" i="19"/>
  <c r="AC712" i="19"/>
  <c r="X284" i="17"/>
  <c r="AC709" i="17"/>
  <c r="B710" i="17"/>
  <c r="H503" i="19"/>
  <c r="H416" i="17"/>
  <c r="Y283" i="20"/>
  <c r="U320" i="19"/>
  <c r="Y320" i="19" s="1"/>
  <c r="X320" i="19"/>
  <c r="AA307" i="17"/>
  <c r="E308" i="18"/>
  <c r="AA307" i="19"/>
  <c r="AD307" i="19" s="1"/>
  <c r="E288" i="21" s="1"/>
  <c r="AA307" i="20"/>
  <c r="B710" i="20"/>
  <c r="AC709" i="20"/>
  <c r="J301" i="21" l="1"/>
  <c r="R321" i="19"/>
  <c r="R285" i="17"/>
  <c r="I265" i="21"/>
  <c r="AD284" i="17"/>
  <c r="D265" i="21" s="1"/>
  <c r="B711" i="17"/>
  <c r="AC710" i="17"/>
  <c r="G308" i="18"/>
  <c r="H308" i="18" s="1"/>
  <c r="I308" i="18"/>
  <c r="B714" i="19"/>
  <c r="AC713" i="19"/>
  <c r="A713" i="19"/>
  <c r="J503" i="19"/>
  <c r="J416" i="17"/>
  <c r="K416" i="17" s="1"/>
  <c r="L416" i="17" s="1"/>
  <c r="F417" i="17" s="1"/>
  <c r="L418" i="20"/>
  <c r="F419" i="20" s="1"/>
  <c r="AC710" i="20"/>
  <c r="B711" i="20"/>
  <c r="K264" i="21"/>
  <c r="R284" i="20"/>
  <c r="AD283" i="20"/>
  <c r="F264" i="21" s="1"/>
  <c r="H417" i="17" l="1"/>
  <c r="K417" i="17" s="1"/>
  <c r="K503" i="19"/>
  <c r="L503" i="19" s="1"/>
  <c r="F504" i="19" s="1"/>
  <c r="X285" i="17"/>
  <c r="U285" i="17"/>
  <c r="Y285" i="17" s="1"/>
  <c r="U321" i="19"/>
  <c r="X321" i="19"/>
  <c r="Y321" i="19" s="1"/>
  <c r="B715" i="19"/>
  <c r="AC714" i="19"/>
  <c r="A714" i="19"/>
  <c r="J308" i="18"/>
  <c r="J419" i="20"/>
  <c r="K419" i="20" s="1"/>
  <c r="H419" i="20"/>
  <c r="U284" i="20"/>
  <c r="X284" i="20" s="1"/>
  <c r="B712" i="17"/>
  <c r="AC711" i="17"/>
  <c r="B712" i="20"/>
  <c r="AC711" i="20"/>
  <c r="H504" i="19" l="1"/>
  <c r="K504" i="19"/>
  <c r="L504" i="19"/>
  <c r="F505" i="19" s="1"/>
  <c r="J302" i="21"/>
  <c r="R322" i="19"/>
  <c r="R286" i="17"/>
  <c r="I266" i="21"/>
  <c r="AD285" i="17"/>
  <c r="D266" i="21" s="1"/>
  <c r="L419" i="20"/>
  <c r="F420" i="20" s="1"/>
  <c r="E309" i="18"/>
  <c r="AA308" i="19"/>
  <c r="AD308" i="19" s="1"/>
  <c r="E289" i="21" s="1"/>
  <c r="AA308" i="20"/>
  <c r="AA308" i="17"/>
  <c r="Y284" i="20"/>
  <c r="L417" i="17"/>
  <c r="F418" i="17" s="1"/>
  <c r="B716" i="19"/>
  <c r="A715" i="19"/>
  <c r="AC715" i="19"/>
  <c r="B713" i="17"/>
  <c r="AC712" i="17"/>
  <c r="B713" i="20"/>
  <c r="AC712" i="20"/>
  <c r="G309" i="18" l="1"/>
  <c r="I309" i="18"/>
  <c r="J309" i="18" s="1"/>
  <c r="U286" i="17"/>
  <c r="H418" i="17"/>
  <c r="K418" i="17" s="1"/>
  <c r="H505" i="19"/>
  <c r="K505" i="19" s="1"/>
  <c r="U322" i="19"/>
  <c r="Y322" i="19" s="1"/>
  <c r="X322" i="19"/>
  <c r="A716" i="19"/>
  <c r="B717" i="19"/>
  <c r="AC716" i="19"/>
  <c r="B714" i="20"/>
  <c r="AC713" i="20"/>
  <c r="H420" i="20"/>
  <c r="R285" i="20"/>
  <c r="K265" i="21"/>
  <c r="AD284" i="20"/>
  <c r="F265" i="21" s="1"/>
  <c r="AC713" i="17"/>
  <c r="B714" i="17"/>
  <c r="R323" i="19" l="1"/>
  <c r="J303" i="21"/>
  <c r="AA309" i="17"/>
  <c r="E310" i="18"/>
  <c r="AA309" i="19"/>
  <c r="AD309" i="19" s="1"/>
  <c r="E290" i="21" s="1"/>
  <c r="AA309" i="20"/>
  <c r="X286" i="17"/>
  <c r="Y286" i="17" s="1"/>
  <c r="K420" i="20"/>
  <c r="L420" i="20" s="1"/>
  <c r="F421" i="20" s="1"/>
  <c r="L505" i="19"/>
  <c r="F506" i="19" s="1"/>
  <c r="AC714" i="20"/>
  <c r="B715" i="20"/>
  <c r="L418" i="17"/>
  <c r="F419" i="17" s="1"/>
  <c r="B718" i="19"/>
  <c r="A717" i="19"/>
  <c r="AC717" i="19"/>
  <c r="B715" i="17"/>
  <c r="AC714" i="17"/>
  <c r="U285" i="20"/>
  <c r="X285" i="20" s="1"/>
  <c r="H421" i="20" l="1"/>
  <c r="K421" i="20" s="1"/>
  <c r="R287" i="17"/>
  <c r="I267" i="21"/>
  <c r="AD286" i="17"/>
  <c r="D267" i="21" s="1"/>
  <c r="Y285" i="20"/>
  <c r="B716" i="17"/>
  <c r="AC715" i="17"/>
  <c r="H506" i="19"/>
  <c r="G310" i="18"/>
  <c r="I310" i="18"/>
  <c r="J310" i="18"/>
  <c r="A718" i="19"/>
  <c r="B719" i="19"/>
  <c r="AC718" i="19"/>
  <c r="J419" i="17"/>
  <c r="L419" i="17" s="1"/>
  <c r="F420" i="17" s="1"/>
  <c r="K419" i="17"/>
  <c r="H419" i="17"/>
  <c r="B716" i="20"/>
  <c r="AC715" i="20"/>
  <c r="U323" i="19"/>
  <c r="X323" i="19"/>
  <c r="Y323" i="19"/>
  <c r="H420" i="17" l="1"/>
  <c r="K420" i="17" s="1"/>
  <c r="AC716" i="17"/>
  <c r="B717" i="17"/>
  <c r="R286" i="20"/>
  <c r="K266" i="21"/>
  <c r="AD285" i="20"/>
  <c r="F266" i="21" s="1"/>
  <c r="J506" i="19"/>
  <c r="K506" i="19" s="1"/>
  <c r="L421" i="20"/>
  <c r="F422" i="20" s="1"/>
  <c r="R324" i="19"/>
  <c r="J304" i="21"/>
  <c r="AA310" i="20"/>
  <c r="AA310" i="17"/>
  <c r="AA310" i="19"/>
  <c r="AD310" i="19" s="1"/>
  <c r="E291" i="21" s="1"/>
  <c r="E311" i="18"/>
  <c r="X287" i="17"/>
  <c r="U287" i="17"/>
  <c r="Y287" i="17" s="1"/>
  <c r="B717" i="20"/>
  <c r="AC716" i="20"/>
  <c r="B720" i="19"/>
  <c r="AC719" i="19"/>
  <c r="A719" i="19"/>
  <c r="R288" i="17" l="1"/>
  <c r="I268" i="21"/>
  <c r="T52" i="2" s="1"/>
  <c r="BA74" i="21"/>
  <c r="AD287" i="17"/>
  <c r="D268" i="21" s="1"/>
  <c r="AC63" i="21" s="1"/>
  <c r="BA70" i="21" s="1"/>
  <c r="BA72" i="21" s="1"/>
  <c r="BA77" i="21" s="1"/>
  <c r="B718" i="17"/>
  <c r="AC717" i="17"/>
  <c r="H422" i="20"/>
  <c r="J422" i="20" s="1"/>
  <c r="AC717" i="20"/>
  <c r="B718" i="20"/>
  <c r="L420" i="17"/>
  <c r="F421" i="17" s="1"/>
  <c r="AC720" i="19"/>
  <c r="B721" i="19"/>
  <c r="A720" i="19"/>
  <c r="L506" i="19"/>
  <c r="F507" i="19" s="1"/>
  <c r="U324" i="19"/>
  <c r="X324" i="19"/>
  <c r="Y324" i="19"/>
  <c r="I311" i="18"/>
  <c r="H311" i="18"/>
  <c r="J311" i="18"/>
  <c r="G311" i="18"/>
  <c r="U286" i="20"/>
  <c r="H507" i="19" l="1"/>
  <c r="K507" i="19" s="1"/>
  <c r="X286" i="20"/>
  <c r="Y286" i="20" s="1"/>
  <c r="K422" i="20"/>
  <c r="L422" i="20" s="1"/>
  <c r="F423" i="20" s="1"/>
  <c r="AA311" i="19"/>
  <c r="AD311" i="19" s="1"/>
  <c r="E292" i="21" s="1"/>
  <c r="AA311" i="17"/>
  <c r="AA311" i="20"/>
  <c r="E312" i="18"/>
  <c r="B719" i="20"/>
  <c r="AC718" i="20"/>
  <c r="B719" i="17"/>
  <c r="AC718" i="17"/>
  <c r="J305" i="21"/>
  <c r="R325" i="19"/>
  <c r="AC721" i="19"/>
  <c r="B722" i="19"/>
  <c r="A721" i="19"/>
  <c r="H421" i="17"/>
  <c r="K421" i="17" s="1"/>
  <c r="U288" i="17"/>
  <c r="X288" i="17" s="1"/>
  <c r="Y288" i="17" s="1"/>
  <c r="R289" i="17" l="1"/>
  <c r="I269" i="21"/>
  <c r="AD288" i="17"/>
  <c r="D269" i="21" s="1"/>
  <c r="R287" i="20"/>
  <c r="K267" i="21"/>
  <c r="AD286" i="20"/>
  <c r="F267" i="21" s="1"/>
  <c r="H423" i="20"/>
  <c r="K423" i="20" s="1"/>
  <c r="B723" i="19"/>
  <c r="AC722" i="19"/>
  <c r="A722" i="19"/>
  <c r="B720" i="20"/>
  <c r="AC719" i="20"/>
  <c r="L507" i="19"/>
  <c r="F508" i="19" s="1"/>
  <c r="L421" i="17"/>
  <c r="F422" i="17" s="1"/>
  <c r="U325" i="19"/>
  <c r="X325" i="19"/>
  <c r="Y325" i="19"/>
  <c r="G312" i="18"/>
  <c r="I312" i="18"/>
  <c r="J312" i="18" s="1"/>
  <c r="AC719" i="17"/>
  <c r="B720" i="17"/>
  <c r="E313" i="18" l="1"/>
  <c r="AA312" i="20"/>
  <c r="AA312" i="19"/>
  <c r="AD312" i="19" s="1"/>
  <c r="E293" i="21" s="1"/>
  <c r="AA312" i="17"/>
  <c r="X287" i="20"/>
  <c r="Y287" i="20"/>
  <c r="U287" i="20"/>
  <c r="H422" i="17"/>
  <c r="A723" i="19"/>
  <c r="B724" i="19"/>
  <c r="AC723" i="19"/>
  <c r="L423" i="20"/>
  <c r="F424" i="20" s="1"/>
  <c r="H508" i="19"/>
  <c r="K508" i="19"/>
  <c r="L508" i="19"/>
  <c r="F509" i="19" s="1"/>
  <c r="J306" i="21"/>
  <c r="R326" i="19"/>
  <c r="B721" i="17"/>
  <c r="AC720" i="17"/>
  <c r="B721" i="20"/>
  <c r="AC720" i="20"/>
  <c r="U289" i="17"/>
  <c r="X289" i="17" s="1"/>
  <c r="B722" i="20" l="1"/>
  <c r="AC721" i="20"/>
  <c r="K509" i="19"/>
  <c r="L509" i="19"/>
  <c r="F510" i="19" s="1"/>
  <c r="H509" i="19"/>
  <c r="J509" i="19"/>
  <c r="K268" i="21"/>
  <c r="R288" i="20"/>
  <c r="AD287" i="20"/>
  <c r="F268" i="21" s="1"/>
  <c r="AC721" i="17"/>
  <c r="B722" i="17"/>
  <c r="Y289" i="17"/>
  <c r="J422" i="17"/>
  <c r="K422" i="17" s="1"/>
  <c r="L422" i="17" s="1"/>
  <c r="F423" i="17" s="1"/>
  <c r="H424" i="20"/>
  <c r="K424" i="20" s="1"/>
  <c r="L424" i="20" s="1"/>
  <c r="F425" i="20" s="1"/>
  <c r="U326" i="19"/>
  <c r="X326" i="19" s="1"/>
  <c r="AC724" i="19"/>
  <c r="B725" i="19"/>
  <c r="A724" i="19"/>
  <c r="G313" i="18"/>
  <c r="I313" i="18"/>
  <c r="J313" i="18" s="1"/>
  <c r="H425" i="20" l="1"/>
  <c r="J425" i="20" s="1"/>
  <c r="AA313" i="20"/>
  <c r="E314" i="18"/>
  <c r="AA313" i="17"/>
  <c r="AA313" i="19"/>
  <c r="AD313" i="19" s="1"/>
  <c r="E294" i="21" s="1"/>
  <c r="H423" i="17"/>
  <c r="K423" i="17" s="1"/>
  <c r="K510" i="19"/>
  <c r="L510" i="19" s="1"/>
  <c r="F511" i="19" s="1"/>
  <c r="H510" i="19"/>
  <c r="B723" i="20"/>
  <c r="AC722" i="20"/>
  <c r="Y326" i="19"/>
  <c r="X288" i="20"/>
  <c r="Y288" i="20"/>
  <c r="U288" i="20"/>
  <c r="I270" i="21"/>
  <c r="R290" i="17"/>
  <c r="AD289" i="17"/>
  <c r="D270" i="21" s="1"/>
  <c r="AC725" i="19"/>
  <c r="A725" i="19"/>
  <c r="B726" i="19"/>
  <c r="AC722" i="17"/>
  <c r="B723" i="17"/>
  <c r="H511" i="19" l="1"/>
  <c r="K511" i="19" s="1"/>
  <c r="G314" i="18"/>
  <c r="I314" i="18" s="1"/>
  <c r="U290" i="17"/>
  <c r="L423" i="17"/>
  <c r="F424" i="17" s="1"/>
  <c r="B724" i="20"/>
  <c r="AC723" i="20"/>
  <c r="R327" i="19"/>
  <c r="J307" i="21"/>
  <c r="AC723" i="17"/>
  <c r="B724" i="17"/>
  <c r="B727" i="19"/>
  <c r="AC726" i="19"/>
  <c r="A726" i="19"/>
  <c r="K425" i="20"/>
  <c r="L425" i="20" s="1"/>
  <c r="F426" i="20" s="1"/>
  <c r="K269" i="21"/>
  <c r="R289" i="20"/>
  <c r="AD288" i="20"/>
  <c r="F269" i="21" s="1"/>
  <c r="H426" i="20" l="1"/>
  <c r="H314" i="18"/>
  <c r="J314" i="18"/>
  <c r="X290" i="17"/>
  <c r="Y290" i="17" s="1"/>
  <c r="H424" i="17"/>
  <c r="A727" i="19"/>
  <c r="AC727" i="19"/>
  <c r="B728" i="19"/>
  <c r="L511" i="19"/>
  <c r="F512" i="19" s="1"/>
  <c r="U327" i="19"/>
  <c r="X327" i="19"/>
  <c r="Y327" i="19"/>
  <c r="X289" i="20"/>
  <c r="U289" i="20"/>
  <c r="Y289" i="20" s="1"/>
  <c r="AC724" i="17"/>
  <c r="B725" i="17"/>
  <c r="B725" i="20"/>
  <c r="AC724" i="20"/>
  <c r="R290" i="20" l="1"/>
  <c r="K270" i="21"/>
  <c r="AD289" i="20"/>
  <c r="F270" i="21" s="1"/>
  <c r="R291" i="17"/>
  <c r="I271" i="21"/>
  <c r="AD290" i="17"/>
  <c r="D271" i="21" s="1"/>
  <c r="R328" i="19"/>
  <c r="J308" i="21"/>
  <c r="K424" i="17"/>
  <c r="L424" i="17" s="1"/>
  <c r="F425" i="17" s="1"/>
  <c r="K426" i="20"/>
  <c r="L426" i="20" s="1"/>
  <c r="F427" i="20" s="1"/>
  <c r="AA314" i="19"/>
  <c r="AD314" i="19" s="1"/>
  <c r="E295" i="21" s="1"/>
  <c r="AA314" i="17"/>
  <c r="AA314" i="20"/>
  <c r="E315" i="18"/>
  <c r="AC725" i="20"/>
  <c r="B726" i="20"/>
  <c r="AC725" i="17"/>
  <c r="B726" i="17"/>
  <c r="H512" i="19"/>
  <c r="B729" i="19"/>
  <c r="AC728" i="19"/>
  <c r="A728" i="19"/>
  <c r="H425" i="17" l="1"/>
  <c r="J425" i="17" s="1"/>
  <c r="K427" i="20"/>
  <c r="L427" i="20"/>
  <c r="F428" i="20" s="1"/>
  <c r="H427" i="20"/>
  <c r="B727" i="20"/>
  <c r="AC726" i="20"/>
  <c r="X328" i="19"/>
  <c r="U328" i="19"/>
  <c r="Y328" i="19" s="1"/>
  <c r="U291" i="17"/>
  <c r="X291" i="17" s="1"/>
  <c r="G315" i="18"/>
  <c r="I315" i="18" s="1"/>
  <c r="K512" i="19"/>
  <c r="AC726" i="17"/>
  <c r="B727" i="17"/>
  <c r="J512" i="19"/>
  <c r="L512" i="19" s="1"/>
  <c r="F513" i="19" s="1"/>
  <c r="AC729" i="19"/>
  <c r="A729" i="19"/>
  <c r="B730" i="19"/>
  <c r="X290" i="20"/>
  <c r="Y290" i="20"/>
  <c r="U290" i="20"/>
  <c r="J309" i="21" l="1"/>
  <c r="R329" i="19"/>
  <c r="H513" i="19"/>
  <c r="K513" i="19"/>
  <c r="L513" i="19"/>
  <c r="F514" i="19" s="1"/>
  <c r="AC727" i="17"/>
  <c r="B728" i="17"/>
  <c r="AC730" i="19"/>
  <c r="A730" i="19"/>
  <c r="B731" i="19"/>
  <c r="B728" i="20"/>
  <c r="AC727" i="20"/>
  <c r="J315" i="18"/>
  <c r="K425" i="17"/>
  <c r="L425" i="17" s="1"/>
  <c r="F426" i="17" s="1"/>
  <c r="R291" i="20"/>
  <c r="K271" i="21"/>
  <c r="AD290" i="20"/>
  <c r="F271" i="21" s="1"/>
  <c r="H428" i="20"/>
  <c r="J428" i="20" s="1"/>
  <c r="Y291" i="17"/>
  <c r="H426" i="17" l="1"/>
  <c r="K426" i="17" s="1"/>
  <c r="AC728" i="20"/>
  <c r="B729" i="20"/>
  <c r="X291" i="20"/>
  <c r="U291" i="20"/>
  <c r="Y291" i="20" s="1"/>
  <c r="B732" i="19"/>
  <c r="AC731" i="19"/>
  <c r="A731" i="19"/>
  <c r="L428" i="20"/>
  <c r="F429" i="20" s="1"/>
  <c r="K428" i="20"/>
  <c r="U329" i="19"/>
  <c r="Y329" i="19" s="1"/>
  <c r="X329" i="19"/>
  <c r="I272" i="21"/>
  <c r="R292" i="17"/>
  <c r="AD291" i="17"/>
  <c r="D272" i="21" s="1"/>
  <c r="H514" i="19"/>
  <c r="K514" i="19"/>
  <c r="L514" i="19"/>
  <c r="F515" i="19" s="1"/>
  <c r="E316" i="18"/>
  <c r="AA315" i="17"/>
  <c r="AA315" i="19"/>
  <c r="AD315" i="19" s="1"/>
  <c r="E296" i="21" s="1"/>
  <c r="AA315" i="20"/>
  <c r="AC728" i="17"/>
  <c r="B729" i="17"/>
  <c r="J310" i="21" l="1"/>
  <c r="R330" i="19"/>
  <c r="K272" i="21"/>
  <c r="R292" i="20"/>
  <c r="AD291" i="20"/>
  <c r="F272" i="21" s="1"/>
  <c r="AC729" i="17"/>
  <c r="B730" i="17"/>
  <c r="U292" i="17"/>
  <c r="X292" i="17" s="1"/>
  <c r="K515" i="19"/>
  <c r="H515" i="19"/>
  <c r="L515" i="19" s="1"/>
  <c r="F516" i="19" s="1"/>
  <c r="J515" i="19"/>
  <c r="B733" i="19"/>
  <c r="AC732" i="19"/>
  <c r="A732" i="19"/>
  <c r="H429" i="20"/>
  <c r="K429" i="20" s="1"/>
  <c r="G316" i="18"/>
  <c r="I316" i="18"/>
  <c r="J316" i="18"/>
  <c r="L426" i="17"/>
  <c r="F427" i="17" s="1"/>
  <c r="AC729" i="20"/>
  <c r="B730" i="20"/>
  <c r="H516" i="19" l="1"/>
  <c r="K516" i="19" s="1"/>
  <c r="Y292" i="17"/>
  <c r="AA316" i="20"/>
  <c r="AA316" i="19"/>
  <c r="AD316" i="19" s="1"/>
  <c r="E297" i="21" s="1"/>
  <c r="AA316" i="17"/>
  <c r="E317" i="18"/>
  <c r="U292" i="20"/>
  <c r="X292" i="20" s="1"/>
  <c r="L429" i="20"/>
  <c r="F430" i="20" s="1"/>
  <c r="B731" i="17"/>
  <c r="AC730" i="17"/>
  <c r="U330" i="19"/>
  <c r="B731" i="20"/>
  <c r="AC730" i="20"/>
  <c r="B734" i="19"/>
  <c r="AC733" i="19"/>
  <c r="A733" i="19"/>
  <c r="K427" i="17"/>
  <c r="L427" i="17"/>
  <c r="F428" i="17" s="1"/>
  <c r="H427" i="17"/>
  <c r="H428" i="17" l="1"/>
  <c r="AC731" i="20"/>
  <c r="B732" i="20"/>
  <c r="X330" i="19"/>
  <c r="Y330" i="19" s="1"/>
  <c r="R293" i="17"/>
  <c r="I273" i="21"/>
  <c r="AD292" i="17"/>
  <c r="D273" i="21" s="1"/>
  <c r="G317" i="18"/>
  <c r="H317" i="18" s="1"/>
  <c r="L516" i="19"/>
  <c r="F517" i="19" s="1"/>
  <c r="K430" i="20"/>
  <c r="L430" i="20"/>
  <c r="F431" i="20" s="1"/>
  <c r="H430" i="20"/>
  <c r="Y292" i="20"/>
  <c r="B735" i="19"/>
  <c r="A734" i="19"/>
  <c r="AC734" i="19"/>
  <c r="B732" i="17"/>
  <c r="AC731" i="17"/>
  <c r="R331" i="19" l="1"/>
  <c r="J311" i="21"/>
  <c r="H517" i="19"/>
  <c r="H431" i="20"/>
  <c r="J428" i="17"/>
  <c r="K428" i="17" s="1"/>
  <c r="B736" i="19"/>
  <c r="A735" i="19"/>
  <c r="AC735" i="19"/>
  <c r="K273" i="21"/>
  <c r="R293" i="20"/>
  <c r="AD292" i="20"/>
  <c r="F273" i="21" s="1"/>
  <c r="U293" i="17"/>
  <c r="X293" i="17" s="1"/>
  <c r="I317" i="18"/>
  <c r="J317" i="18" s="1"/>
  <c r="B733" i="17"/>
  <c r="AC732" i="17"/>
  <c r="AC732" i="20"/>
  <c r="B733" i="20"/>
  <c r="AA317" i="20" l="1"/>
  <c r="AA317" i="17"/>
  <c r="AA317" i="19"/>
  <c r="AD317" i="19" s="1"/>
  <c r="E298" i="21" s="1"/>
  <c r="E318" i="18"/>
  <c r="K517" i="19"/>
  <c r="L517" i="19" s="1"/>
  <c r="F518" i="19" s="1"/>
  <c r="U293" i="20"/>
  <c r="X293" i="20" s="1"/>
  <c r="K431" i="20"/>
  <c r="L431" i="20" s="1"/>
  <c r="F432" i="20" s="1"/>
  <c r="L428" i="17"/>
  <c r="F429" i="17" s="1"/>
  <c r="J431" i="20"/>
  <c r="AC733" i="17"/>
  <c r="B734" i="17"/>
  <c r="AC733" i="20"/>
  <c r="B734" i="20"/>
  <c r="Y293" i="17"/>
  <c r="AC736" i="19"/>
  <c r="A736" i="19"/>
  <c r="B737" i="19"/>
  <c r="U331" i="19"/>
  <c r="X331" i="19"/>
  <c r="Y331" i="19"/>
  <c r="H518" i="19" l="1"/>
  <c r="J518" i="19"/>
  <c r="L518" i="19" s="1"/>
  <c r="F519" i="19" s="1"/>
  <c r="K518" i="19"/>
  <c r="K432" i="20"/>
  <c r="L432" i="20"/>
  <c r="F433" i="20" s="1"/>
  <c r="H432" i="20"/>
  <c r="R294" i="17"/>
  <c r="I274" i="21"/>
  <c r="AD293" i="17"/>
  <c r="D274" i="21" s="1"/>
  <c r="R332" i="19"/>
  <c r="J312" i="21"/>
  <c r="G318" i="18"/>
  <c r="I318" i="18"/>
  <c r="J318" i="18"/>
  <c r="Y293" i="20"/>
  <c r="H429" i="17"/>
  <c r="K429" i="17" s="1"/>
  <c r="AC734" i="20"/>
  <c r="B735" i="20"/>
  <c r="A737" i="19"/>
  <c r="AC737" i="19"/>
  <c r="B738" i="19"/>
  <c r="B735" i="17"/>
  <c r="AC734" i="17"/>
  <c r="H519" i="19" l="1"/>
  <c r="K519" i="19"/>
  <c r="L519" i="19"/>
  <c r="F520" i="19" s="1"/>
  <c r="K274" i="21"/>
  <c r="R294" i="20"/>
  <c r="AD293" i="20"/>
  <c r="F274" i="21" s="1"/>
  <c r="H433" i="20"/>
  <c r="K433" i="20" s="1"/>
  <c r="U332" i="19"/>
  <c r="X332" i="19" s="1"/>
  <c r="B739" i="19"/>
  <c r="AC738" i="19"/>
  <c r="A738" i="19"/>
  <c r="U294" i="17"/>
  <c r="B736" i="20"/>
  <c r="AC735" i="20"/>
  <c r="E319" i="18"/>
  <c r="AA318" i="19"/>
  <c r="AD318" i="19" s="1"/>
  <c r="E299" i="21" s="1"/>
  <c r="AA318" i="17"/>
  <c r="AA318" i="20"/>
  <c r="B736" i="17"/>
  <c r="AC735" i="17"/>
  <c r="L429" i="17"/>
  <c r="F430" i="17" s="1"/>
  <c r="X294" i="17" l="1"/>
  <c r="Y294" i="17" s="1"/>
  <c r="U294" i="20"/>
  <c r="L520" i="19"/>
  <c r="F521" i="19" s="1"/>
  <c r="H520" i="19"/>
  <c r="K520" i="19"/>
  <c r="I319" i="18"/>
  <c r="J319" i="18"/>
  <c r="G319" i="18"/>
  <c r="L433" i="20"/>
  <c r="F434" i="20" s="1"/>
  <c r="Y332" i="19"/>
  <c r="H430" i="17"/>
  <c r="K430" i="17" s="1"/>
  <c r="B737" i="17"/>
  <c r="AC736" i="17"/>
  <c r="AC736" i="20"/>
  <c r="B737" i="20"/>
  <c r="A739" i="19"/>
  <c r="B740" i="19"/>
  <c r="AC739" i="19"/>
  <c r="R295" i="17" l="1"/>
  <c r="I275" i="21"/>
  <c r="AD294" i="17"/>
  <c r="D275" i="21" s="1"/>
  <c r="AC737" i="20"/>
  <c r="B738" i="20"/>
  <c r="AA319" i="17"/>
  <c r="AA319" i="19"/>
  <c r="AD319" i="19" s="1"/>
  <c r="E300" i="21" s="1"/>
  <c r="E320" i="18"/>
  <c r="AA319" i="20"/>
  <c r="AC740" i="19"/>
  <c r="A740" i="19"/>
  <c r="B741" i="19"/>
  <c r="H521" i="19"/>
  <c r="J521" i="19" s="1"/>
  <c r="L430" i="17"/>
  <c r="F431" i="17" s="1"/>
  <c r="X294" i="20"/>
  <c r="Y294" i="20" s="1"/>
  <c r="J313" i="21"/>
  <c r="R333" i="19"/>
  <c r="J434" i="20"/>
  <c r="K434" i="20" s="1"/>
  <c r="H434" i="20"/>
  <c r="AC737" i="17"/>
  <c r="B738" i="17"/>
  <c r="R295" i="20" l="1"/>
  <c r="K275" i="21"/>
  <c r="AD294" i="20"/>
  <c r="F275" i="21" s="1"/>
  <c r="K521" i="19"/>
  <c r="L521" i="19" s="1"/>
  <c r="F522" i="19" s="1"/>
  <c r="L434" i="20"/>
  <c r="F435" i="20" s="1"/>
  <c r="U333" i="19"/>
  <c r="Y333" i="19" s="1"/>
  <c r="X333" i="19"/>
  <c r="G320" i="18"/>
  <c r="H320" i="18" s="1"/>
  <c r="AC738" i="20"/>
  <c r="B739" i="20"/>
  <c r="AC738" i="17"/>
  <c r="B739" i="17"/>
  <c r="X295" i="17"/>
  <c r="U295" i="17"/>
  <c r="Y295" i="17" s="1"/>
  <c r="H431" i="17"/>
  <c r="J431" i="17" s="1"/>
  <c r="B742" i="19"/>
  <c r="A741" i="19"/>
  <c r="AC741" i="19"/>
  <c r="J314" i="21" l="1"/>
  <c r="R334" i="19"/>
  <c r="I276" i="21"/>
  <c r="R296" i="17"/>
  <c r="AD295" i="17"/>
  <c r="D276" i="21" s="1"/>
  <c r="H522" i="19"/>
  <c r="K522" i="19" s="1"/>
  <c r="H435" i="20"/>
  <c r="K435" i="20" s="1"/>
  <c r="L431" i="17"/>
  <c r="F432" i="17" s="1"/>
  <c r="I320" i="18"/>
  <c r="J320" i="18" s="1"/>
  <c r="K431" i="17"/>
  <c r="AC739" i="17"/>
  <c r="B740" i="17"/>
  <c r="B740" i="20"/>
  <c r="AC739" i="20"/>
  <c r="B743" i="19"/>
  <c r="AC742" i="19"/>
  <c r="A742" i="19"/>
  <c r="X295" i="20"/>
  <c r="Y295" i="20"/>
  <c r="U295" i="20"/>
  <c r="AA320" i="19" l="1"/>
  <c r="AD320" i="19" s="1"/>
  <c r="E301" i="21" s="1"/>
  <c r="AA320" i="17"/>
  <c r="E321" i="18"/>
  <c r="AA320" i="20"/>
  <c r="AC740" i="20"/>
  <c r="B741" i="20"/>
  <c r="K276" i="21"/>
  <c r="R296" i="20"/>
  <c r="AD295" i="20"/>
  <c r="F276" i="21" s="1"/>
  <c r="L435" i="20"/>
  <c r="F436" i="20" s="1"/>
  <c r="AC743" i="19"/>
  <c r="A743" i="19"/>
  <c r="B744" i="19"/>
  <c r="L522" i="19"/>
  <c r="F523" i="19" s="1"/>
  <c r="U334" i="19"/>
  <c r="X334" i="19"/>
  <c r="Y334" i="19"/>
  <c r="K432" i="17"/>
  <c r="H432" i="17"/>
  <c r="L432" i="17" s="1"/>
  <c r="F433" i="17" s="1"/>
  <c r="AC740" i="17"/>
  <c r="B741" i="17"/>
  <c r="X296" i="17"/>
  <c r="Y296" i="17" s="1"/>
  <c r="U296" i="17"/>
  <c r="R297" i="17" l="1"/>
  <c r="I277" i="21"/>
  <c r="AD296" i="17"/>
  <c r="D277" i="21" s="1"/>
  <c r="H433" i="17"/>
  <c r="K433" i="17" s="1"/>
  <c r="J315" i="21"/>
  <c r="R335" i="19"/>
  <c r="AC741" i="17"/>
  <c r="B742" i="17"/>
  <c r="I321" i="18"/>
  <c r="G321" i="18"/>
  <c r="J321" i="18" s="1"/>
  <c r="AC741" i="20"/>
  <c r="B742" i="20"/>
  <c r="K436" i="20"/>
  <c r="L436" i="20"/>
  <c r="F437" i="20" s="1"/>
  <c r="H436" i="20"/>
  <c r="U296" i="20"/>
  <c r="X296" i="20" s="1"/>
  <c r="H523" i="19"/>
  <c r="K523" i="19" s="1"/>
  <c r="B745" i="19"/>
  <c r="A744" i="19"/>
  <c r="AC744" i="19"/>
  <c r="AA321" i="19" l="1"/>
  <c r="AD321" i="19" s="1"/>
  <c r="E302" i="21" s="1"/>
  <c r="AA321" i="17"/>
  <c r="AA321" i="20"/>
  <c r="E322" i="18"/>
  <c r="L433" i="17"/>
  <c r="F434" i="17" s="1"/>
  <c r="H437" i="20"/>
  <c r="J437" i="20" s="1"/>
  <c r="B743" i="17"/>
  <c r="AC742" i="17"/>
  <c r="Y296" i="20"/>
  <c r="L523" i="19"/>
  <c r="F524" i="19" s="1"/>
  <c r="B743" i="20"/>
  <c r="AC742" i="20"/>
  <c r="B746" i="19"/>
  <c r="AC745" i="19"/>
  <c r="A745" i="19"/>
  <c r="U335" i="19"/>
  <c r="X335" i="19"/>
  <c r="Y335" i="19"/>
  <c r="U297" i="17"/>
  <c r="X297" i="17" s="1"/>
  <c r="G322" i="18" l="1"/>
  <c r="R297" i="20"/>
  <c r="K277" i="21"/>
  <c r="AD296" i="20"/>
  <c r="F277" i="21" s="1"/>
  <c r="Y297" i="17"/>
  <c r="B744" i="17"/>
  <c r="AC743" i="17"/>
  <c r="K437" i="20"/>
  <c r="L437" i="20" s="1"/>
  <c r="F438" i="20" s="1"/>
  <c r="H434" i="17"/>
  <c r="J434" i="17" s="1"/>
  <c r="B747" i="19"/>
  <c r="AC746" i="19"/>
  <c r="A746" i="19"/>
  <c r="J316" i="21"/>
  <c r="R336" i="19"/>
  <c r="B744" i="20"/>
  <c r="AC743" i="20"/>
  <c r="H524" i="19"/>
  <c r="K524" i="19" s="1"/>
  <c r="J524" i="19"/>
  <c r="H438" i="20" l="1"/>
  <c r="J322" i="18"/>
  <c r="I278" i="21"/>
  <c r="R298" i="17"/>
  <c r="AD297" i="17"/>
  <c r="D278" i="21" s="1"/>
  <c r="I322" i="18"/>
  <c r="AC747" i="19"/>
  <c r="A747" i="19"/>
  <c r="B748" i="19"/>
  <c r="B745" i="20"/>
  <c r="AC744" i="20"/>
  <c r="U297" i="20"/>
  <c r="K434" i="17"/>
  <c r="L434" i="17" s="1"/>
  <c r="F435" i="17" s="1"/>
  <c r="L524" i="19"/>
  <c r="F525" i="19" s="1"/>
  <c r="U336" i="19"/>
  <c r="X336" i="19"/>
  <c r="Y336" i="19" s="1"/>
  <c r="AC744" i="17"/>
  <c r="B745" i="17"/>
  <c r="R337" i="19" l="1"/>
  <c r="J317" i="21"/>
  <c r="H435" i="17"/>
  <c r="K435" i="17" s="1"/>
  <c r="H525" i="19"/>
  <c r="K525" i="19" s="1"/>
  <c r="AC748" i="19"/>
  <c r="A748" i="19"/>
  <c r="B749" i="19"/>
  <c r="AC745" i="17"/>
  <c r="B746" i="17"/>
  <c r="AA322" i="19"/>
  <c r="AD322" i="19" s="1"/>
  <c r="E303" i="21" s="1"/>
  <c r="AA322" i="17"/>
  <c r="E323" i="18"/>
  <c r="AA322" i="20"/>
  <c r="K438" i="20"/>
  <c r="L438" i="20" s="1"/>
  <c r="F439" i="20" s="1"/>
  <c r="B746" i="20"/>
  <c r="AC745" i="20"/>
  <c r="X298" i="17"/>
  <c r="Y298" i="17"/>
  <c r="U298" i="17"/>
  <c r="X297" i="20"/>
  <c r="Y297" i="20" s="1"/>
  <c r="H439" i="20" l="1"/>
  <c r="K439" i="20" s="1"/>
  <c r="R298" i="20"/>
  <c r="K278" i="21"/>
  <c r="AD297" i="20"/>
  <c r="F278" i="21" s="1"/>
  <c r="L435" i="17"/>
  <c r="F436" i="17" s="1"/>
  <c r="L525" i="19"/>
  <c r="F526" i="19" s="1"/>
  <c r="I279" i="21"/>
  <c r="R299" i="17"/>
  <c r="AD298" i="17"/>
  <c r="D279" i="21" s="1"/>
  <c r="B747" i="20"/>
  <c r="AC746" i="20"/>
  <c r="U337" i="19"/>
  <c r="X337" i="19"/>
  <c r="Y337" i="19"/>
  <c r="G323" i="18"/>
  <c r="I323" i="18" s="1"/>
  <c r="H323" i="18"/>
  <c r="AC746" i="17"/>
  <c r="B747" i="17"/>
  <c r="A749" i="19"/>
  <c r="B750" i="19"/>
  <c r="AC749" i="19"/>
  <c r="U298" i="20" l="1"/>
  <c r="X298" i="20" s="1"/>
  <c r="B748" i="20"/>
  <c r="AC747" i="20"/>
  <c r="AC747" i="17"/>
  <c r="B748" i="17"/>
  <c r="J318" i="21"/>
  <c r="R338" i="19"/>
  <c r="AC750" i="19"/>
  <c r="A750" i="19"/>
  <c r="B751" i="19"/>
  <c r="H526" i="19"/>
  <c r="K526" i="19"/>
  <c r="L526" i="19"/>
  <c r="F527" i="19" s="1"/>
  <c r="L439" i="20"/>
  <c r="F440" i="20" s="1"/>
  <c r="X299" i="17"/>
  <c r="Y299" i="17"/>
  <c r="U299" i="17"/>
  <c r="J323" i="18"/>
  <c r="H436" i="17"/>
  <c r="K436" i="17" s="1"/>
  <c r="L436" i="17" l="1"/>
  <c r="F437" i="17" s="1"/>
  <c r="B749" i="20"/>
  <c r="AC748" i="20"/>
  <c r="Y298" i="20"/>
  <c r="BB74" i="21"/>
  <c r="I280" i="21"/>
  <c r="T53" i="2" s="1"/>
  <c r="R300" i="17"/>
  <c r="AD299" i="17"/>
  <c r="D280" i="21" s="1"/>
  <c r="AC64" i="21" s="1"/>
  <c r="BB70" i="21" s="1"/>
  <c r="BB72" i="21" s="1"/>
  <c r="AC751" i="19"/>
  <c r="A751" i="19"/>
  <c r="B752" i="19"/>
  <c r="J440" i="20"/>
  <c r="H440" i="20"/>
  <c r="J527" i="19"/>
  <c r="K527" i="19"/>
  <c r="L527" i="19" s="1"/>
  <c r="F528" i="19" s="1"/>
  <c r="H527" i="19"/>
  <c r="U338" i="19"/>
  <c r="E324" i="18"/>
  <c r="AA323" i="17"/>
  <c r="AA323" i="20"/>
  <c r="AA323" i="19"/>
  <c r="AD323" i="19" s="1"/>
  <c r="E304" i="21" s="1"/>
  <c r="B749" i="17"/>
  <c r="AC748" i="17"/>
  <c r="H528" i="19" l="1"/>
  <c r="K528" i="19" s="1"/>
  <c r="K279" i="21"/>
  <c r="R299" i="20"/>
  <c r="AD298" i="20"/>
  <c r="F279" i="21" s="1"/>
  <c r="X338" i="19"/>
  <c r="Y338" i="19" s="1"/>
  <c r="BB77" i="21"/>
  <c r="B750" i="20"/>
  <c r="AC749" i="20"/>
  <c r="G324" i="18"/>
  <c r="I324" i="18" s="1"/>
  <c r="A752" i="19"/>
  <c r="B753" i="19"/>
  <c r="AC752" i="19"/>
  <c r="B750" i="17"/>
  <c r="AC749" i="17"/>
  <c r="K440" i="20"/>
  <c r="L440" i="20" s="1"/>
  <c r="F441" i="20" s="1"/>
  <c r="U300" i="17"/>
  <c r="X300" i="17" s="1"/>
  <c r="Y300" i="17" s="1"/>
  <c r="H437" i="17"/>
  <c r="J319" i="21" l="1"/>
  <c r="R339" i="19"/>
  <c r="R301" i="17"/>
  <c r="I281" i="21"/>
  <c r="AD300" i="17"/>
  <c r="D281" i="21" s="1"/>
  <c r="H441" i="20"/>
  <c r="B754" i="19"/>
  <c r="AC753" i="19"/>
  <c r="A753" i="19"/>
  <c r="B751" i="20"/>
  <c r="AC750" i="20"/>
  <c r="J324" i="18"/>
  <c r="L528" i="19"/>
  <c r="F529" i="19" s="1"/>
  <c r="J437" i="17"/>
  <c r="K437" i="17" s="1"/>
  <c r="AC750" i="17"/>
  <c r="B751" i="17"/>
  <c r="U299" i="20"/>
  <c r="X299" i="20" l="1"/>
  <c r="Y299" i="20" s="1"/>
  <c r="L437" i="17"/>
  <c r="F438" i="17" s="1"/>
  <c r="AC754" i="19"/>
  <c r="A754" i="19"/>
  <c r="B755" i="19"/>
  <c r="AA324" i="17"/>
  <c r="E325" i="18"/>
  <c r="AA324" i="19"/>
  <c r="AD324" i="19" s="1"/>
  <c r="E305" i="21" s="1"/>
  <c r="AA324" i="20"/>
  <c r="K441" i="20"/>
  <c r="L441" i="20" s="1"/>
  <c r="F442" i="20" s="1"/>
  <c r="U339" i="19"/>
  <c r="X339" i="19"/>
  <c r="Y339" i="19" s="1"/>
  <c r="H529" i="19"/>
  <c r="K529" i="19" s="1"/>
  <c r="L529" i="19" s="1"/>
  <c r="F530" i="19" s="1"/>
  <c r="U301" i="17"/>
  <c r="X301" i="17" s="1"/>
  <c r="AC751" i="17"/>
  <c r="B752" i="17"/>
  <c r="AC751" i="20"/>
  <c r="B752" i="20"/>
  <c r="J320" i="21" l="1"/>
  <c r="R340" i="19"/>
  <c r="H442" i="20"/>
  <c r="J530" i="19"/>
  <c r="H530" i="19"/>
  <c r="R300" i="20"/>
  <c r="K280" i="21"/>
  <c r="AD299" i="20"/>
  <c r="F280" i="21" s="1"/>
  <c r="B753" i="17"/>
  <c r="AC752" i="17"/>
  <c r="K438" i="17"/>
  <c r="L438" i="17"/>
  <c r="F439" i="17" s="1"/>
  <c r="H438" i="17"/>
  <c r="G325" i="18"/>
  <c r="I325" i="18" s="1"/>
  <c r="Y301" i="17"/>
  <c r="AC752" i="20"/>
  <c r="B753" i="20"/>
  <c r="AC755" i="19"/>
  <c r="A755" i="19"/>
  <c r="H439" i="17" l="1"/>
  <c r="K439" i="17" s="1"/>
  <c r="K442" i="20"/>
  <c r="L442" i="20" s="1"/>
  <c r="F443" i="20" s="1"/>
  <c r="J325" i="18"/>
  <c r="R302" i="17"/>
  <c r="I282" i="21"/>
  <c r="AD301" i="17"/>
  <c r="D282" i="21" s="1"/>
  <c r="K530" i="19"/>
  <c r="L530" i="19" s="1"/>
  <c r="F531" i="19" s="1"/>
  <c r="X340" i="19"/>
  <c r="U340" i="19"/>
  <c r="Y340" i="19" s="1"/>
  <c r="U300" i="20"/>
  <c r="X300" i="20" s="1"/>
  <c r="B754" i="20"/>
  <c r="AC753" i="20"/>
  <c r="B754" i="17"/>
  <c r="AC753" i="17"/>
  <c r="H443" i="20" l="1"/>
  <c r="J321" i="21"/>
  <c r="R341" i="19"/>
  <c r="H531" i="19"/>
  <c r="K531" i="19"/>
  <c r="L531" i="19" s="1"/>
  <c r="F532" i="19" s="1"/>
  <c r="Y300" i="20"/>
  <c r="L439" i="17"/>
  <c r="F440" i="17" s="1"/>
  <c r="AC754" i="17"/>
  <c r="B755" i="17"/>
  <c r="AC755" i="17" s="1"/>
  <c r="U302" i="17"/>
  <c r="AC754" i="20"/>
  <c r="B755" i="20"/>
  <c r="AC755" i="20" s="1"/>
  <c r="AA325" i="20"/>
  <c r="AA325" i="19"/>
  <c r="AD325" i="19" s="1"/>
  <c r="E306" i="21" s="1"/>
  <c r="AA325" i="17"/>
  <c r="E326" i="18"/>
  <c r="H532" i="19" l="1"/>
  <c r="K532" i="19"/>
  <c r="L532" i="19"/>
  <c r="F533" i="19" s="1"/>
  <c r="Y302" i="17"/>
  <c r="K443" i="20"/>
  <c r="K281" i="21"/>
  <c r="R301" i="20"/>
  <c r="AD300" i="20"/>
  <c r="F281" i="21" s="1"/>
  <c r="X302" i="17"/>
  <c r="J443" i="20"/>
  <c r="L443" i="20" s="1"/>
  <c r="F444" i="20" s="1"/>
  <c r="J440" i="17"/>
  <c r="K440" i="17" s="1"/>
  <c r="H440" i="17"/>
  <c r="U341" i="19"/>
  <c r="X341" i="19"/>
  <c r="Y341" i="19"/>
  <c r="G326" i="18"/>
  <c r="I326" i="18"/>
  <c r="H326" i="18"/>
  <c r="J326" i="18"/>
  <c r="L440" i="17" l="1"/>
  <c r="F441" i="17" s="1"/>
  <c r="H444" i="20"/>
  <c r="K444" i="20" s="1"/>
  <c r="I283" i="21"/>
  <c r="R303" i="17"/>
  <c r="AD302" i="17"/>
  <c r="D283" i="21" s="1"/>
  <c r="J322" i="21"/>
  <c r="R342" i="19"/>
  <c r="H533" i="19"/>
  <c r="AA326" i="19"/>
  <c r="AD326" i="19" s="1"/>
  <c r="E307" i="21" s="1"/>
  <c r="AA326" i="17"/>
  <c r="AA326" i="20"/>
  <c r="E327" i="18"/>
  <c r="U301" i="20"/>
  <c r="X301" i="20" s="1"/>
  <c r="Y301" i="20" s="1"/>
  <c r="K282" i="21" l="1"/>
  <c r="R302" i="20"/>
  <c r="AD301" i="20"/>
  <c r="F282" i="21" s="1"/>
  <c r="J533" i="19"/>
  <c r="K533" i="19" s="1"/>
  <c r="X342" i="19"/>
  <c r="U342" i="19"/>
  <c r="Y342" i="19" s="1"/>
  <c r="L444" i="20"/>
  <c r="F445" i="20" s="1"/>
  <c r="X303" i="17"/>
  <c r="Y303" i="17"/>
  <c r="U303" i="17"/>
  <c r="G327" i="18"/>
  <c r="I327" i="18"/>
  <c r="J327" i="18" s="1"/>
  <c r="H441" i="17"/>
  <c r="K441" i="17" s="1"/>
  <c r="L441" i="17" s="1"/>
  <c r="F442" i="17" s="1"/>
  <c r="R343" i="19" l="1"/>
  <c r="J323" i="21"/>
  <c r="E328" i="18"/>
  <c r="AA327" i="19"/>
  <c r="AD327" i="19" s="1"/>
  <c r="E308" i="21" s="1"/>
  <c r="AA327" i="17"/>
  <c r="AA327" i="20"/>
  <c r="H442" i="17"/>
  <c r="K442" i="17" s="1"/>
  <c r="U302" i="20"/>
  <c r="I284" i="21"/>
  <c r="R304" i="17"/>
  <c r="AD303" i="17"/>
  <c r="D284" i="21" s="1"/>
  <c r="H445" i="20"/>
  <c r="K445" i="20" s="1"/>
  <c r="L533" i="19"/>
  <c r="F534" i="19" s="1"/>
  <c r="L445" i="20" l="1"/>
  <c r="F446" i="20" s="1"/>
  <c r="X302" i="20"/>
  <c r="Y302" i="20" s="1"/>
  <c r="G328" i="18"/>
  <c r="I328" i="18"/>
  <c r="J328" i="18" s="1"/>
  <c r="L442" i="17"/>
  <c r="F443" i="17" s="1"/>
  <c r="U304" i="17"/>
  <c r="X304" i="17" s="1"/>
  <c r="H534" i="19"/>
  <c r="K534" i="19"/>
  <c r="L534" i="19"/>
  <c r="F535" i="19" s="1"/>
  <c r="U343" i="19"/>
  <c r="X343" i="19"/>
  <c r="Y343" i="19"/>
  <c r="AA328" i="17" l="1"/>
  <c r="AA328" i="19"/>
  <c r="AD328" i="19" s="1"/>
  <c r="E309" i="21" s="1"/>
  <c r="AA328" i="20"/>
  <c r="E329" i="18"/>
  <c r="R303" i="20"/>
  <c r="K283" i="21"/>
  <c r="AD302" i="20"/>
  <c r="F283" i="21" s="1"/>
  <c r="H535" i="19"/>
  <c r="K535" i="19"/>
  <c r="L535" i="19" s="1"/>
  <c r="F536" i="19" s="1"/>
  <c r="H446" i="20"/>
  <c r="J446" i="20" s="1"/>
  <c r="J324" i="21"/>
  <c r="R344" i="19"/>
  <c r="Y304" i="17"/>
  <c r="H443" i="17"/>
  <c r="J443" i="17" s="1"/>
  <c r="H536" i="19" l="1"/>
  <c r="L536" i="19" s="1"/>
  <c r="F537" i="19" s="1"/>
  <c r="J536" i="19"/>
  <c r="K536" i="19"/>
  <c r="K446" i="20"/>
  <c r="L446" i="20"/>
  <c r="F447" i="20" s="1"/>
  <c r="G329" i="18"/>
  <c r="R305" i="17"/>
  <c r="I285" i="21"/>
  <c r="AD304" i="17"/>
  <c r="D285" i="21" s="1"/>
  <c r="U303" i="20"/>
  <c r="U344" i="19"/>
  <c r="X344" i="19"/>
  <c r="Y344" i="19"/>
  <c r="K443" i="17"/>
  <c r="L443" i="17" s="1"/>
  <c r="F444" i="17" s="1"/>
  <c r="H444" i="17" l="1"/>
  <c r="K444" i="17" s="1"/>
  <c r="L444" i="17" s="1"/>
  <c r="F445" i="17" s="1"/>
  <c r="Y303" i="20"/>
  <c r="H537" i="19"/>
  <c r="K537" i="19" s="1"/>
  <c r="X303" i="20"/>
  <c r="H447" i="20"/>
  <c r="K447" i="20" s="1"/>
  <c r="H329" i="18"/>
  <c r="J329" i="18" s="1"/>
  <c r="I329" i="18"/>
  <c r="U305" i="17"/>
  <c r="R345" i="19"/>
  <c r="J325" i="21"/>
  <c r="E330" i="18" l="1"/>
  <c r="AA329" i="20"/>
  <c r="AA329" i="17"/>
  <c r="AA329" i="19"/>
  <c r="AD329" i="19" s="1"/>
  <c r="E310" i="21" s="1"/>
  <c r="K445" i="17"/>
  <c r="H445" i="17"/>
  <c r="L445" i="17" s="1"/>
  <c r="F446" i="17" s="1"/>
  <c r="L537" i="19"/>
  <c r="F538" i="19" s="1"/>
  <c r="L447" i="20"/>
  <c r="F448" i="20" s="1"/>
  <c r="X305" i="17"/>
  <c r="Y305" i="17" s="1"/>
  <c r="X345" i="19"/>
  <c r="U345" i="19"/>
  <c r="Y345" i="19" s="1"/>
  <c r="R304" i="20"/>
  <c r="K284" i="21"/>
  <c r="AD303" i="20"/>
  <c r="F284" i="21" s="1"/>
  <c r="R346" i="19" l="1"/>
  <c r="J326" i="21"/>
  <c r="H446" i="17"/>
  <c r="J446" i="17" s="1"/>
  <c r="I286" i="21"/>
  <c r="R306" i="17"/>
  <c r="AD305" i="17"/>
  <c r="D286" i="21" s="1"/>
  <c r="H538" i="19"/>
  <c r="K538" i="19"/>
  <c r="L538" i="19"/>
  <c r="F539" i="19" s="1"/>
  <c r="U304" i="20"/>
  <c r="X304" i="20" s="1"/>
  <c r="G330" i="18"/>
  <c r="J330" i="18" s="1"/>
  <c r="I330" i="18"/>
  <c r="H448" i="20"/>
  <c r="E331" i="18" l="1"/>
  <c r="AA330" i="19"/>
  <c r="AD330" i="19" s="1"/>
  <c r="E311" i="21" s="1"/>
  <c r="AA330" i="20"/>
  <c r="AA330" i="17"/>
  <c r="L448" i="20"/>
  <c r="F449" i="20" s="1"/>
  <c r="L446" i="17"/>
  <c r="F447" i="17" s="1"/>
  <c r="K446" i="17"/>
  <c r="U306" i="17"/>
  <c r="X306" i="17" s="1"/>
  <c r="H539" i="19"/>
  <c r="K448" i="20"/>
  <c r="Y304" i="20"/>
  <c r="U346" i="19"/>
  <c r="X346" i="19" s="1"/>
  <c r="Y346" i="19" s="1"/>
  <c r="J327" i="21" l="1"/>
  <c r="R347" i="19"/>
  <c r="J539" i="19"/>
  <c r="K539" i="19" s="1"/>
  <c r="L539" i="19" s="1"/>
  <c r="F540" i="19" s="1"/>
  <c r="H447" i="17"/>
  <c r="K447" i="17" s="1"/>
  <c r="L447" i="17" s="1"/>
  <c r="F448" i="17" s="1"/>
  <c r="K285" i="21"/>
  <c r="R305" i="20"/>
  <c r="AD304" i="20"/>
  <c r="F285" i="21" s="1"/>
  <c r="H449" i="20"/>
  <c r="Y306" i="17"/>
  <c r="G331" i="18"/>
  <c r="I331" i="18"/>
  <c r="J331" i="18"/>
  <c r="H540" i="19" l="1"/>
  <c r="L540" i="19" s="1"/>
  <c r="F541" i="19" s="1"/>
  <c r="K540" i="19"/>
  <c r="H448" i="17"/>
  <c r="K448" i="17" s="1"/>
  <c r="E332" i="18"/>
  <c r="AA331" i="19"/>
  <c r="AD331" i="19" s="1"/>
  <c r="E312" i="21" s="1"/>
  <c r="AA331" i="17"/>
  <c r="AA331" i="20"/>
  <c r="J449" i="20"/>
  <c r="U347" i="19"/>
  <c r="X347" i="19"/>
  <c r="Y347" i="19"/>
  <c r="R307" i="17"/>
  <c r="I287" i="21"/>
  <c r="AD306" i="17"/>
  <c r="D287" i="21" s="1"/>
  <c r="U305" i="20"/>
  <c r="H541" i="19" l="1"/>
  <c r="X307" i="17"/>
  <c r="Y307" i="17"/>
  <c r="U307" i="17"/>
  <c r="L448" i="17"/>
  <c r="F449" i="17" s="1"/>
  <c r="K449" i="20"/>
  <c r="L449" i="20" s="1"/>
  <c r="F450" i="20" s="1"/>
  <c r="R348" i="19"/>
  <c r="J328" i="21"/>
  <c r="X305" i="20"/>
  <c r="Y305" i="20" s="1"/>
  <c r="G332" i="18"/>
  <c r="H332" i="18"/>
  <c r="I332" i="18"/>
  <c r="J332" i="18" s="1"/>
  <c r="H450" i="20" l="1"/>
  <c r="K450" i="20" s="1"/>
  <c r="AA332" i="19"/>
  <c r="AD332" i="19" s="1"/>
  <c r="E313" i="21" s="1"/>
  <c r="AA332" i="20"/>
  <c r="AA332" i="17"/>
  <c r="E333" i="18"/>
  <c r="R306" i="20"/>
  <c r="K286" i="21"/>
  <c r="AD305" i="20"/>
  <c r="F286" i="21" s="1"/>
  <c r="L541" i="19"/>
  <c r="F542" i="19" s="1"/>
  <c r="R308" i="17"/>
  <c r="I288" i="21"/>
  <c r="AD307" i="17"/>
  <c r="D288" i="21" s="1"/>
  <c r="K541" i="19"/>
  <c r="J449" i="17"/>
  <c r="L449" i="17" s="1"/>
  <c r="F450" i="17" s="1"/>
  <c r="K449" i="17"/>
  <c r="H449" i="17"/>
  <c r="U348" i="19"/>
  <c r="X348" i="19" s="1"/>
  <c r="H450" i="17" l="1"/>
  <c r="K450" i="17" s="1"/>
  <c r="U308" i="17"/>
  <c r="Y348" i="19"/>
  <c r="H542" i="19"/>
  <c r="J542" i="19"/>
  <c r="K542" i="19" s="1"/>
  <c r="L542" i="19" s="1"/>
  <c r="F543" i="19" s="1"/>
  <c r="U306" i="20"/>
  <c r="X306" i="20" s="1"/>
  <c r="L450" i="20"/>
  <c r="F451" i="20" s="1"/>
  <c r="G333" i="18"/>
  <c r="I333" i="18" s="1"/>
  <c r="J333" i="18" s="1"/>
  <c r="H543" i="19" l="1"/>
  <c r="L543" i="19" s="1"/>
  <c r="F544" i="19" s="1"/>
  <c r="K543" i="19"/>
  <c r="AA333" i="19"/>
  <c r="AD333" i="19" s="1"/>
  <c r="E314" i="21" s="1"/>
  <c r="E334" i="18"/>
  <c r="AA333" i="17"/>
  <c r="AA333" i="20"/>
  <c r="X308" i="17"/>
  <c r="Y308" i="17" s="1"/>
  <c r="H451" i="20"/>
  <c r="K451" i="20" s="1"/>
  <c r="Y306" i="20"/>
  <c r="R349" i="19"/>
  <c r="J329" i="21"/>
  <c r="L450" i="17"/>
  <c r="F451" i="17" s="1"/>
  <c r="I289" i="21" l="1"/>
  <c r="R309" i="17"/>
  <c r="AD308" i="17"/>
  <c r="D289" i="21" s="1"/>
  <c r="H544" i="19"/>
  <c r="K544" i="19"/>
  <c r="L544" i="19" s="1"/>
  <c r="F545" i="19" s="1"/>
  <c r="G334" i="18"/>
  <c r="I334" i="18" s="1"/>
  <c r="H451" i="17"/>
  <c r="K451" i="17" s="1"/>
  <c r="L451" i="20"/>
  <c r="F452" i="20" s="1"/>
  <c r="U349" i="19"/>
  <c r="K287" i="21"/>
  <c r="R307" i="20"/>
  <c r="AD306" i="20"/>
  <c r="F287" i="21" s="1"/>
  <c r="H545" i="19" l="1"/>
  <c r="J545" i="19"/>
  <c r="K545" i="19"/>
  <c r="L545" i="19"/>
  <c r="F546" i="19" s="1"/>
  <c r="L451" i="17"/>
  <c r="F452" i="17" s="1"/>
  <c r="X349" i="19"/>
  <c r="Y349" i="19" s="1"/>
  <c r="H452" i="20"/>
  <c r="J452" i="20" s="1"/>
  <c r="X309" i="17"/>
  <c r="U309" i="17"/>
  <c r="Y309" i="17" s="1"/>
  <c r="J334" i="18"/>
  <c r="U307" i="20"/>
  <c r="I290" i="21" l="1"/>
  <c r="R310" i="17"/>
  <c r="AD309" i="17"/>
  <c r="D290" i="21" s="1"/>
  <c r="J330" i="21"/>
  <c r="R350" i="19"/>
  <c r="Y307" i="20"/>
  <c r="H546" i="19"/>
  <c r="K546" i="19" s="1"/>
  <c r="K452" i="20"/>
  <c r="X307" i="20"/>
  <c r="L452" i="20"/>
  <c r="F453" i="20" s="1"/>
  <c r="AA334" i="17"/>
  <c r="AA334" i="19"/>
  <c r="AD334" i="19" s="1"/>
  <c r="E315" i="21" s="1"/>
  <c r="AA334" i="20"/>
  <c r="E335" i="18"/>
  <c r="H452" i="17"/>
  <c r="J452" i="17" s="1"/>
  <c r="K452" i="17" l="1"/>
  <c r="L452" i="17" s="1"/>
  <c r="F453" i="17" s="1"/>
  <c r="R308" i="20"/>
  <c r="K288" i="21"/>
  <c r="AD307" i="20"/>
  <c r="F288" i="21" s="1"/>
  <c r="X350" i="19"/>
  <c r="U350" i="19"/>
  <c r="Y350" i="19" s="1"/>
  <c r="H453" i="20"/>
  <c r="L546" i="19"/>
  <c r="F547" i="19" s="1"/>
  <c r="U310" i="17"/>
  <c r="X310" i="17" s="1"/>
  <c r="G335" i="18"/>
  <c r="I335" i="18" s="1"/>
  <c r="J331" i="21" l="1"/>
  <c r="R351" i="19"/>
  <c r="H453" i="17"/>
  <c r="K453" i="17" s="1"/>
  <c r="Y310" i="17"/>
  <c r="U308" i="20"/>
  <c r="X308" i="20" s="1"/>
  <c r="K453" i="20"/>
  <c r="L453" i="20" s="1"/>
  <c r="F454" i="20" s="1"/>
  <c r="H335" i="18"/>
  <c r="J335" i="18" s="1"/>
  <c r="H547" i="19"/>
  <c r="K547" i="19" s="1"/>
  <c r="H454" i="20" l="1"/>
  <c r="K454" i="20" s="1"/>
  <c r="AA335" i="17"/>
  <c r="AA335" i="20"/>
  <c r="E336" i="18"/>
  <c r="AA335" i="19"/>
  <c r="AD335" i="19" s="1"/>
  <c r="E316" i="21" s="1"/>
  <c r="L453" i="17"/>
  <c r="F454" i="17" s="1"/>
  <c r="Y308" i="20"/>
  <c r="L547" i="19"/>
  <c r="F548" i="19" s="1"/>
  <c r="X351" i="19"/>
  <c r="Y351" i="19" s="1"/>
  <c r="U351" i="19"/>
  <c r="R311" i="17"/>
  <c r="I291" i="21"/>
  <c r="AD310" i="17"/>
  <c r="D291" i="21" s="1"/>
  <c r="R352" i="19" l="1"/>
  <c r="J332" i="21"/>
  <c r="G336" i="18"/>
  <c r="I336" i="18"/>
  <c r="J336" i="18"/>
  <c r="U311" i="17"/>
  <c r="X311" i="17" s="1"/>
  <c r="H454" i="17"/>
  <c r="K454" i="17" s="1"/>
  <c r="L454" i="20"/>
  <c r="F455" i="20" s="1"/>
  <c r="H548" i="19"/>
  <c r="J548" i="19"/>
  <c r="K548" i="19"/>
  <c r="L548" i="19" s="1"/>
  <c r="F549" i="19" s="1"/>
  <c r="R309" i="20"/>
  <c r="K289" i="21"/>
  <c r="AD308" i="20"/>
  <c r="F289" i="21" s="1"/>
  <c r="H549" i="19" l="1"/>
  <c r="K549" i="19" s="1"/>
  <c r="L454" i="17"/>
  <c r="F455" i="17" s="1"/>
  <c r="AA336" i="20"/>
  <c r="AA336" i="17"/>
  <c r="E337" i="18"/>
  <c r="AA336" i="19"/>
  <c r="AD336" i="19" s="1"/>
  <c r="E317" i="21" s="1"/>
  <c r="Y311" i="17"/>
  <c r="U309" i="20"/>
  <c r="X309" i="20" s="1"/>
  <c r="H455" i="20"/>
  <c r="U352" i="19"/>
  <c r="Y352" i="19" s="1"/>
  <c r="X352" i="19"/>
  <c r="R353" i="19" l="1"/>
  <c r="J333" i="21"/>
  <c r="K455" i="20"/>
  <c r="Y309" i="20"/>
  <c r="J455" i="20"/>
  <c r="I292" i="21"/>
  <c r="T54" i="2" s="1"/>
  <c r="R312" i="17"/>
  <c r="BC74" i="21"/>
  <c r="AD311" i="17"/>
  <c r="D292" i="21" s="1"/>
  <c r="AC65" i="21" s="1"/>
  <c r="BC70" i="21" s="1"/>
  <c r="BC72" i="21" s="1"/>
  <c r="BC77" i="21" s="1"/>
  <c r="L455" i="20"/>
  <c r="F456" i="20" s="1"/>
  <c r="L549" i="19"/>
  <c r="F550" i="19" s="1"/>
  <c r="H455" i="17"/>
  <c r="J455" i="17" s="1"/>
  <c r="G337" i="18"/>
  <c r="I337" i="18" s="1"/>
  <c r="H456" i="20" l="1"/>
  <c r="K456" i="20" s="1"/>
  <c r="R310" i="20"/>
  <c r="K290" i="21"/>
  <c r="AD309" i="20"/>
  <c r="F290" i="21" s="1"/>
  <c r="K455" i="17"/>
  <c r="L455" i="17"/>
  <c r="F456" i="17" s="1"/>
  <c r="U312" i="17"/>
  <c r="J337" i="18"/>
  <c r="H550" i="19"/>
  <c r="K550" i="19"/>
  <c r="L550" i="19" s="1"/>
  <c r="F551" i="19" s="1"/>
  <c r="U353" i="19"/>
  <c r="X353" i="19" s="1"/>
  <c r="H551" i="19" l="1"/>
  <c r="L551" i="19" s="1"/>
  <c r="F552" i="19" s="1"/>
  <c r="J551" i="19"/>
  <c r="K551" i="19"/>
  <c r="E338" i="18"/>
  <c r="AA337" i="17"/>
  <c r="AA337" i="19"/>
  <c r="AD337" i="19" s="1"/>
  <c r="E318" i="21" s="1"/>
  <c r="AA337" i="20"/>
  <c r="Y353" i="19"/>
  <c r="X312" i="17"/>
  <c r="Y312" i="17" s="1"/>
  <c r="L456" i="20"/>
  <c r="F457" i="20" s="1"/>
  <c r="U310" i="20"/>
  <c r="H456" i="17"/>
  <c r="I293" i="21" l="1"/>
  <c r="R313" i="17"/>
  <c r="AD312" i="17"/>
  <c r="D293" i="21" s="1"/>
  <c r="L456" i="17"/>
  <c r="F457" i="17" s="1"/>
  <c r="H552" i="19"/>
  <c r="K552" i="19" s="1"/>
  <c r="G338" i="18"/>
  <c r="I338" i="18" s="1"/>
  <c r="H338" i="18"/>
  <c r="K456" i="17"/>
  <c r="H457" i="20"/>
  <c r="K457" i="20" s="1"/>
  <c r="X310" i="20"/>
  <c r="Y310" i="20" s="1"/>
  <c r="R354" i="19"/>
  <c r="J334" i="21"/>
  <c r="R311" i="20" l="1"/>
  <c r="K291" i="21"/>
  <c r="AD310" i="20"/>
  <c r="F291" i="21" s="1"/>
  <c r="U354" i="19"/>
  <c r="X354" i="19"/>
  <c r="Y354" i="19"/>
  <c r="J338" i="18"/>
  <c r="L552" i="19"/>
  <c r="F553" i="19" s="1"/>
  <c r="U313" i="17"/>
  <c r="K457" i="17"/>
  <c r="H457" i="17"/>
  <c r="L457" i="17" s="1"/>
  <c r="F458" i="17" s="1"/>
  <c r="L457" i="20"/>
  <c r="F458" i="20" s="1"/>
  <c r="H458" i="17" l="1"/>
  <c r="X313" i="17"/>
  <c r="Y313" i="17" s="1"/>
  <c r="J335" i="21"/>
  <c r="R355" i="19"/>
  <c r="H458" i="20"/>
  <c r="J458" i="20" s="1"/>
  <c r="H553" i="19"/>
  <c r="K553" i="19"/>
  <c r="L553" i="19"/>
  <c r="F554" i="19" s="1"/>
  <c r="AA338" i="20"/>
  <c r="AA338" i="17"/>
  <c r="E339" i="18"/>
  <c r="AA338" i="19"/>
  <c r="AD338" i="19" s="1"/>
  <c r="E319" i="21" s="1"/>
  <c r="U311" i="20"/>
  <c r="X311" i="20" s="1"/>
  <c r="I294" i="21" l="1"/>
  <c r="R314" i="17"/>
  <c r="AD313" i="17"/>
  <c r="D294" i="21" s="1"/>
  <c r="K458" i="17"/>
  <c r="Y311" i="20"/>
  <c r="J458" i="17"/>
  <c r="K458" i="20"/>
  <c r="L458" i="20" s="1"/>
  <c r="F459" i="20" s="1"/>
  <c r="H554" i="19"/>
  <c r="K554" i="19" s="1"/>
  <c r="J554" i="19"/>
  <c r="U355" i="19"/>
  <c r="X355" i="19"/>
  <c r="Y355" i="19" s="1"/>
  <c r="L458" i="17"/>
  <c r="F459" i="17" s="1"/>
  <c r="G339" i="18"/>
  <c r="I339" i="18"/>
  <c r="J339" i="18"/>
  <c r="J336" i="21" l="1"/>
  <c r="R356" i="19"/>
  <c r="H459" i="20"/>
  <c r="K459" i="20" s="1"/>
  <c r="R312" i="20"/>
  <c r="K292" i="21"/>
  <c r="AD311" i="20"/>
  <c r="F292" i="21" s="1"/>
  <c r="H459" i="17"/>
  <c r="K459" i="17" s="1"/>
  <c r="AA339" i="17"/>
  <c r="AA339" i="20"/>
  <c r="AA339" i="19"/>
  <c r="AD339" i="19" s="1"/>
  <c r="E320" i="21" s="1"/>
  <c r="E340" i="18"/>
  <c r="U314" i="17"/>
  <c r="L554" i="19"/>
  <c r="F555" i="19" s="1"/>
  <c r="X314" i="17" l="1"/>
  <c r="Y314" i="17" s="1"/>
  <c r="U312" i="20"/>
  <c r="L459" i="20"/>
  <c r="F460" i="20" s="1"/>
  <c r="U356" i="19"/>
  <c r="X356" i="19"/>
  <c r="Y356" i="19"/>
  <c r="L459" i="17"/>
  <c r="F460" i="17" s="1"/>
  <c r="I340" i="18"/>
  <c r="G340" i="18"/>
  <c r="J340" i="18" s="1"/>
  <c r="H555" i="19"/>
  <c r="K555" i="19"/>
  <c r="L555" i="19"/>
  <c r="F556" i="19" s="1"/>
  <c r="AA340" i="20" l="1"/>
  <c r="AA340" i="17"/>
  <c r="AA340" i="19"/>
  <c r="AD340" i="19" s="1"/>
  <c r="E321" i="21" s="1"/>
  <c r="E341" i="18"/>
  <c r="R315" i="17"/>
  <c r="I295" i="21"/>
  <c r="AD314" i="17"/>
  <c r="D295" i="21" s="1"/>
  <c r="X312" i="20"/>
  <c r="Y312" i="20" s="1"/>
  <c r="H460" i="17"/>
  <c r="K460" i="17" s="1"/>
  <c r="H460" i="20"/>
  <c r="K460" i="20" s="1"/>
  <c r="H556" i="19"/>
  <c r="L556" i="19" s="1"/>
  <c r="F557" i="19" s="1"/>
  <c r="K556" i="19"/>
  <c r="R357" i="19"/>
  <c r="J337" i="21"/>
  <c r="H557" i="19" l="1"/>
  <c r="J557" i="19" s="1"/>
  <c r="K293" i="21"/>
  <c r="R313" i="20"/>
  <c r="AD312" i="20"/>
  <c r="F293" i="21" s="1"/>
  <c r="L460" i="20"/>
  <c r="F461" i="20" s="1"/>
  <c r="X315" i="17"/>
  <c r="Y315" i="17"/>
  <c r="U315" i="17"/>
  <c r="L460" i="17"/>
  <c r="F461" i="17" s="1"/>
  <c r="G341" i="18"/>
  <c r="I341" i="18"/>
  <c r="H341" i="18"/>
  <c r="J341" i="18" s="1"/>
  <c r="U357" i="19"/>
  <c r="X357" i="19"/>
  <c r="Y357" i="19"/>
  <c r="E342" i="18" l="1"/>
  <c r="AA341" i="17"/>
  <c r="AA341" i="19"/>
  <c r="AD341" i="19" s="1"/>
  <c r="E322" i="21" s="1"/>
  <c r="AA341" i="20"/>
  <c r="I296" i="21"/>
  <c r="R316" i="17"/>
  <c r="AD315" i="17"/>
  <c r="D296" i="21" s="1"/>
  <c r="J338" i="21"/>
  <c r="R358" i="19"/>
  <c r="K557" i="19"/>
  <c r="L557" i="19" s="1"/>
  <c r="F558" i="19" s="1"/>
  <c r="J461" i="17"/>
  <c r="H461" i="17"/>
  <c r="K461" i="17" s="1"/>
  <c r="U313" i="20"/>
  <c r="X313" i="20" s="1"/>
  <c r="H461" i="20"/>
  <c r="L461" i="17" l="1"/>
  <c r="F462" i="17" s="1"/>
  <c r="H558" i="19"/>
  <c r="K558" i="19"/>
  <c r="L558" i="19"/>
  <c r="F559" i="19" s="1"/>
  <c r="X316" i="17"/>
  <c r="Y316" i="17"/>
  <c r="U316" i="17"/>
  <c r="Y313" i="20"/>
  <c r="J461" i="20"/>
  <c r="K461" i="20" s="1"/>
  <c r="U358" i="19"/>
  <c r="X358" i="19" s="1"/>
  <c r="G342" i="18"/>
  <c r="J342" i="18" s="1"/>
  <c r="I342" i="18"/>
  <c r="E343" i="18" l="1"/>
  <c r="AA342" i="17"/>
  <c r="AA342" i="20"/>
  <c r="AA342" i="19"/>
  <c r="AD342" i="19" s="1"/>
  <c r="E323" i="21" s="1"/>
  <c r="L461" i="20"/>
  <c r="F462" i="20" s="1"/>
  <c r="K294" i="21"/>
  <c r="R314" i="20"/>
  <c r="AD313" i="20"/>
  <c r="F294" i="21" s="1"/>
  <c r="H559" i="19"/>
  <c r="K559" i="19"/>
  <c r="L559" i="19"/>
  <c r="F560" i="19" s="1"/>
  <c r="Y358" i="19"/>
  <c r="R317" i="17"/>
  <c r="I297" i="21"/>
  <c r="AD316" i="17"/>
  <c r="D297" i="21" s="1"/>
  <c r="H462" i="17"/>
  <c r="K462" i="17" s="1"/>
  <c r="L462" i="17" l="1"/>
  <c r="F463" i="17" s="1"/>
  <c r="R359" i="19"/>
  <c r="J339" i="21"/>
  <c r="J560" i="19"/>
  <c r="K560" i="19"/>
  <c r="L560" i="19"/>
  <c r="F561" i="19" s="1"/>
  <c r="H560" i="19"/>
  <c r="H462" i="20"/>
  <c r="U317" i="17"/>
  <c r="X317" i="17" s="1"/>
  <c r="U314" i="20"/>
  <c r="G343" i="18"/>
  <c r="I343" i="18" s="1"/>
  <c r="X314" i="20" l="1"/>
  <c r="Y314" i="20" s="1"/>
  <c r="K462" i="20"/>
  <c r="L462" i="20" s="1"/>
  <c r="F463" i="20" s="1"/>
  <c r="Y317" i="17"/>
  <c r="U359" i="19"/>
  <c r="X359" i="19" s="1"/>
  <c r="H561" i="19"/>
  <c r="L561" i="19" s="1"/>
  <c r="F562" i="19" s="1"/>
  <c r="K561" i="19"/>
  <c r="J343" i="18"/>
  <c r="H463" i="17"/>
  <c r="K463" i="17" s="1"/>
  <c r="H562" i="19" l="1"/>
  <c r="K562" i="19"/>
  <c r="L562" i="19"/>
  <c r="F563" i="19" s="1"/>
  <c r="H463" i="20"/>
  <c r="R315" i="20"/>
  <c r="K295" i="21"/>
  <c r="AD314" i="20"/>
  <c r="F295" i="21" s="1"/>
  <c r="I298" i="21"/>
  <c r="R318" i="17"/>
  <c r="AD317" i="17"/>
  <c r="D298" i="21" s="1"/>
  <c r="E344" i="18"/>
  <c r="AA343" i="17"/>
  <c r="AA343" i="20"/>
  <c r="AA343" i="19"/>
  <c r="AD343" i="19" s="1"/>
  <c r="E324" i="21" s="1"/>
  <c r="L463" i="17"/>
  <c r="F464" i="17" s="1"/>
  <c r="Y359" i="19"/>
  <c r="H464" i="17" l="1"/>
  <c r="X318" i="17"/>
  <c r="U318" i="17"/>
  <c r="Y318" i="17" s="1"/>
  <c r="K463" i="20"/>
  <c r="L463" i="20" s="1"/>
  <c r="F464" i="20" s="1"/>
  <c r="R360" i="19"/>
  <c r="J340" i="21"/>
  <c r="H563" i="19"/>
  <c r="L563" i="19" s="1"/>
  <c r="F564" i="19" s="1"/>
  <c r="J563" i="19"/>
  <c r="K563" i="19"/>
  <c r="G344" i="18"/>
  <c r="I344" i="18" s="1"/>
  <c r="U315" i="20"/>
  <c r="X315" i="20" s="1"/>
  <c r="H464" i="20" l="1"/>
  <c r="J464" i="20" s="1"/>
  <c r="I299" i="21"/>
  <c r="R319" i="17"/>
  <c r="AD318" i="17"/>
  <c r="D299" i="21" s="1"/>
  <c r="H564" i="19"/>
  <c r="L564" i="19" s="1"/>
  <c r="F565" i="19" s="1"/>
  <c r="K564" i="19"/>
  <c r="Y315" i="20"/>
  <c r="U360" i="19"/>
  <c r="X360" i="19"/>
  <c r="Y360" i="19"/>
  <c r="J344" i="18"/>
  <c r="J464" i="17"/>
  <c r="L464" i="17" s="1"/>
  <c r="F465" i="17" s="1"/>
  <c r="K464" i="17"/>
  <c r="H344" i="18"/>
  <c r="H565" i="19" l="1"/>
  <c r="K565" i="19"/>
  <c r="L565" i="19"/>
  <c r="F566" i="19" s="1"/>
  <c r="H465" i="17"/>
  <c r="R316" i="20"/>
  <c r="K296" i="21"/>
  <c r="AD315" i="20"/>
  <c r="F296" i="21" s="1"/>
  <c r="K464" i="20"/>
  <c r="L464" i="20" s="1"/>
  <c r="F465" i="20" s="1"/>
  <c r="AA344" i="19"/>
  <c r="AD344" i="19" s="1"/>
  <c r="E325" i="21" s="1"/>
  <c r="AA344" i="20"/>
  <c r="E345" i="18"/>
  <c r="AA344" i="17"/>
  <c r="U319" i="17"/>
  <c r="X319" i="17" s="1"/>
  <c r="J341" i="21"/>
  <c r="R361" i="19"/>
  <c r="H465" i="20" l="1"/>
  <c r="Y319" i="17"/>
  <c r="K465" i="17"/>
  <c r="L465" i="17" s="1"/>
  <c r="F466" i="17" s="1"/>
  <c r="H566" i="19"/>
  <c r="J566" i="19"/>
  <c r="K566" i="19" s="1"/>
  <c r="U361" i="19"/>
  <c r="X361" i="19"/>
  <c r="Y361" i="19"/>
  <c r="G345" i="18"/>
  <c r="I345" i="18"/>
  <c r="J345" i="18"/>
  <c r="U316" i="20"/>
  <c r="H466" i="17" l="1"/>
  <c r="K466" i="17" s="1"/>
  <c r="L566" i="19"/>
  <c r="F567" i="19" s="1"/>
  <c r="L465" i="20"/>
  <c r="F466" i="20" s="1"/>
  <c r="AA345" i="17"/>
  <c r="AA345" i="19"/>
  <c r="AD345" i="19" s="1"/>
  <c r="E326" i="21" s="1"/>
  <c r="E346" i="18"/>
  <c r="AA345" i="20"/>
  <c r="J342" i="21"/>
  <c r="R362" i="19"/>
  <c r="K465" i="20"/>
  <c r="I300" i="21"/>
  <c r="R320" i="17"/>
  <c r="AD319" i="17"/>
  <c r="D300" i="21" s="1"/>
  <c r="X316" i="20"/>
  <c r="Y316" i="20" s="1"/>
  <c r="K297" i="21" l="1"/>
  <c r="R317" i="20"/>
  <c r="AD316" i="20"/>
  <c r="F297" i="21" s="1"/>
  <c r="U362" i="19"/>
  <c r="Y362" i="19" s="1"/>
  <c r="X362" i="19"/>
  <c r="H567" i="19"/>
  <c r="K567" i="19" s="1"/>
  <c r="H466" i="20"/>
  <c r="L466" i="17"/>
  <c r="F467" i="17" s="1"/>
  <c r="U320" i="17"/>
  <c r="X320" i="17" s="1"/>
  <c r="G346" i="18"/>
  <c r="I346" i="18" s="1"/>
  <c r="J343" i="21" l="1"/>
  <c r="R363" i="19"/>
  <c r="K466" i="20"/>
  <c r="L466" i="20" s="1"/>
  <c r="F467" i="20" s="1"/>
  <c r="Y320" i="17"/>
  <c r="L567" i="19"/>
  <c r="F568" i="19" s="1"/>
  <c r="U317" i="20"/>
  <c r="X317" i="20" s="1"/>
  <c r="J346" i="18"/>
  <c r="J467" i="17"/>
  <c r="H467" i="17"/>
  <c r="K467" i="17" s="1"/>
  <c r="H467" i="20" l="1"/>
  <c r="L467" i="17"/>
  <c r="F468" i="17" s="1"/>
  <c r="AA346" i="20"/>
  <c r="AA346" i="17"/>
  <c r="AA346" i="19"/>
  <c r="AD346" i="19" s="1"/>
  <c r="E327" i="21" s="1"/>
  <c r="E347" i="18"/>
  <c r="U363" i="19"/>
  <c r="Y363" i="19" s="1"/>
  <c r="X363" i="19"/>
  <c r="H568" i="19"/>
  <c r="K568" i="19"/>
  <c r="L568" i="19" s="1"/>
  <c r="F569" i="19" s="1"/>
  <c r="I301" i="21"/>
  <c r="R321" i="17"/>
  <c r="AD320" i="17"/>
  <c r="D301" i="21" s="1"/>
  <c r="Y317" i="20"/>
  <c r="H569" i="19" l="1"/>
  <c r="K569" i="19" s="1"/>
  <c r="J569" i="19"/>
  <c r="L569" i="19" s="1"/>
  <c r="F570" i="19" s="1"/>
  <c r="J344" i="21"/>
  <c r="R364" i="19"/>
  <c r="J467" i="20"/>
  <c r="K467" i="20" s="1"/>
  <c r="L467" i="20" s="1"/>
  <c r="F468" i="20" s="1"/>
  <c r="X321" i="17"/>
  <c r="Y321" i="17" s="1"/>
  <c r="U321" i="17"/>
  <c r="H468" i="17"/>
  <c r="K468" i="17" s="1"/>
  <c r="I347" i="18"/>
  <c r="G347" i="18"/>
  <c r="H347" i="18" s="1"/>
  <c r="J347" i="18" s="1"/>
  <c r="R318" i="20"/>
  <c r="K298" i="21"/>
  <c r="AD317" i="20"/>
  <c r="F298" i="21" s="1"/>
  <c r="H468" i="20" l="1"/>
  <c r="K468" i="20" s="1"/>
  <c r="H570" i="19"/>
  <c r="L570" i="19" s="1"/>
  <c r="F571" i="19" s="1"/>
  <c r="K570" i="19"/>
  <c r="R322" i="17"/>
  <c r="I302" i="21"/>
  <c r="AD321" i="17"/>
  <c r="D302" i="21" s="1"/>
  <c r="AA347" i="17"/>
  <c r="E348" i="18"/>
  <c r="AA347" i="20"/>
  <c r="AA347" i="19"/>
  <c r="AD347" i="19" s="1"/>
  <c r="E328" i="21" s="1"/>
  <c r="U318" i="20"/>
  <c r="L468" i="17"/>
  <c r="F469" i="17" s="1"/>
  <c r="Y364" i="19"/>
  <c r="U364" i="19"/>
  <c r="X364" i="19"/>
  <c r="H571" i="19" l="1"/>
  <c r="K571" i="19"/>
  <c r="L571" i="19"/>
  <c r="F572" i="19" s="1"/>
  <c r="Y318" i="20"/>
  <c r="G348" i="18"/>
  <c r="J348" i="18" s="1"/>
  <c r="I348" i="18"/>
  <c r="H469" i="17"/>
  <c r="K469" i="17" s="1"/>
  <c r="J345" i="21"/>
  <c r="R365" i="19"/>
  <c r="X318" i="20"/>
  <c r="L468" i="20"/>
  <c r="F469" i="20" s="1"/>
  <c r="X322" i="17"/>
  <c r="Y322" i="17"/>
  <c r="U322" i="17"/>
  <c r="AA348" i="19" l="1"/>
  <c r="AD348" i="19" s="1"/>
  <c r="E329" i="21" s="1"/>
  <c r="E349" i="18"/>
  <c r="AA348" i="20"/>
  <c r="AA348" i="17"/>
  <c r="U365" i="19"/>
  <c r="Y365" i="19" s="1"/>
  <c r="X365" i="19"/>
  <c r="H572" i="19"/>
  <c r="I303" i="21"/>
  <c r="R323" i="17"/>
  <c r="AD322" i="17"/>
  <c r="D303" i="21" s="1"/>
  <c r="R319" i="20"/>
  <c r="K299" i="21"/>
  <c r="AD318" i="20"/>
  <c r="F299" i="21" s="1"/>
  <c r="L469" i="17"/>
  <c r="F470" i="17" s="1"/>
  <c r="H469" i="20"/>
  <c r="J346" i="21" l="1"/>
  <c r="R366" i="19"/>
  <c r="J470" i="17"/>
  <c r="H470" i="17"/>
  <c r="K470" i="17" s="1"/>
  <c r="L470" i="17" s="1"/>
  <c r="F471" i="17" s="1"/>
  <c r="J572" i="19"/>
  <c r="X319" i="20"/>
  <c r="Y319" i="20"/>
  <c r="U319" i="20"/>
  <c r="K469" i="20"/>
  <c r="L469" i="20" s="1"/>
  <c r="F470" i="20" s="1"/>
  <c r="K572" i="19"/>
  <c r="L572" i="19" s="1"/>
  <c r="F573" i="19" s="1"/>
  <c r="G349" i="18"/>
  <c r="I349" i="18"/>
  <c r="J349" i="18"/>
  <c r="U323" i="17"/>
  <c r="X323" i="17" s="1"/>
  <c r="H470" i="20" l="1"/>
  <c r="K573" i="19"/>
  <c r="L573" i="19"/>
  <c r="F574" i="19" s="1"/>
  <c r="H573" i="19"/>
  <c r="H471" i="17"/>
  <c r="AA349" i="17"/>
  <c r="E350" i="18"/>
  <c r="AA349" i="20"/>
  <c r="AA349" i="19"/>
  <c r="AD349" i="19" s="1"/>
  <c r="E330" i="21" s="1"/>
  <c r="Y323" i="17"/>
  <c r="U366" i="19"/>
  <c r="X366" i="19" s="1"/>
  <c r="K300" i="21"/>
  <c r="R320" i="20"/>
  <c r="AD319" i="20"/>
  <c r="F300" i="21" s="1"/>
  <c r="K470" i="20" l="1"/>
  <c r="G350" i="18"/>
  <c r="H350" i="18"/>
  <c r="I350" i="18"/>
  <c r="J350" i="18"/>
  <c r="J470" i="20"/>
  <c r="H574" i="19"/>
  <c r="K574" i="19"/>
  <c r="L574" i="19" s="1"/>
  <c r="F575" i="19" s="1"/>
  <c r="K471" i="17"/>
  <c r="L471" i="17" s="1"/>
  <c r="F472" i="17" s="1"/>
  <c r="L470" i="20"/>
  <c r="F471" i="20" s="1"/>
  <c r="Y366" i="19"/>
  <c r="I304" i="21"/>
  <c r="R324" i="17"/>
  <c r="BD74" i="21"/>
  <c r="AD323" i="17"/>
  <c r="D304" i="21" s="1"/>
  <c r="AC66" i="21" s="1"/>
  <c r="BD70" i="21" s="1"/>
  <c r="BD72" i="21" s="1"/>
  <c r="BD77" i="21" s="1"/>
  <c r="U320" i="20"/>
  <c r="X320" i="20" s="1"/>
  <c r="H472" i="17" l="1"/>
  <c r="K472" i="17" s="1"/>
  <c r="H575" i="19"/>
  <c r="J575" i="19"/>
  <c r="K575" i="19" s="1"/>
  <c r="AA350" i="20"/>
  <c r="AA350" i="17"/>
  <c r="AA350" i="19"/>
  <c r="AD350" i="19" s="1"/>
  <c r="E331" i="21" s="1"/>
  <c r="E351" i="18"/>
  <c r="K471" i="20"/>
  <c r="H471" i="20"/>
  <c r="L471" i="20" s="1"/>
  <c r="F472" i="20" s="1"/>
  <c r="U324" i="17"/>
  <c r="Y320" i="20"/>
  <c r="R367" i="19"/>
  <c r="J347" i="21"/>
  <c r="L575" i="19" l="1"/>
  <c r="F576" i="19" s="1"/>
  <c r="H472" i="20"/>
  <c r="G351" i="18"/>
  <c r="I351" i="18" s="1"/>
  <c r="X324" i="17"/>
  <c r="Y324" i="17" s="1"/>
  <c r="L472" i="17"/>
  <c r="F473" i="17" s="1"/>
  <c r="K301" i="21"/>
  <c r="R321" i="20"/>
  <c r="AD320" i="20"/>
  <c r="F301" i="21" s="1"/>
  <c r="U367" i="19"/>
  <c r="X367" i="19" s="1"/>
  <c r="R325" i="17" l="1"/>
  <c r="I305" i="21"/>
  <c r="AD324" i="17"/>
  <c r="D305" i="21" s="1"/>
  <c r="L472" i="20"/>
  <c r="F473" i="20" s="1"/>
  <c r="J473" i="17"/>
  <c r="K473" i="17" s="1"/>
  <c r="H473" i="17"/>
  <c r="K472" i="20"/>
  <c r="H576" i="19"/>
  <c r="K576" i="19"/>
  <c r="L576" i="19"/>
  <c r="F577" i="19" s="1"/>
  <c r="Y367" i="19"/>
  <c r="J351" i="18"/>
  <c r="U321" i="20"/>
  <c r="L473" i="17" l="1"/>
  <c r="F474" i="17" s="1"/>
  <c r="H577" i="19"/>
  <c r="L577" i="19" s="1"/>
  <c r="F578" i="19" s="1"/>
  <c r="K577" i="19"/>
  <c r="X321" i="20"/>
  <c r="Y321" i="20" s="1"/>
  <c r="H473" i="20"/>
  <c r="AA351" i="19"/>
  <c r="AD351" i="19" s="1"/>
  <c r="E332" i="21" s="1"/>
  <c r="AA351" i="17"/>
  <c r="AA351" i="20"/>
  <c r="E352" i="18"/>
  <c r="J348" i="21"/>
  <c r="R368" i="19"/>
  <c r="X325" i="17"/>
  <c r="Y325" i="17" s="1"/>
  <c r="U325" i="17"/>
  <c r="K302" i="21" l="1"/>
  <c r="R322" i="20"/>
  <c r="AD321" i="20"/>
  <c r="F302" i="21" s="1"/>
  <c r="I306" i="21"/>
  <c r="R326" i="17"/>
  <c r="AD325" i="17"/>
  <c r="D306" i="21" s="1"/>
  <c r="H578" i="19"/>
  <c r="J578" i="19"/>
  <c r="U368" i="19"/>
  <c r="X368" i="19" s="1"/>
  <c r="G352" i="18"/>
  <c r="I352" i="18" s="1"/>
  <c r="J473" i="20"/>
  <c r="H474" i="17"/>
  <c r="K474" i="17" s="1"/>
  <c r="L474" i="17" l="1"/>
  <c r="F475" i="17" s="1"/>
  <c r="K578" i="19"/>
  <c r="L578" i="19" s="1"/>
  <c r="F579" i="19" s="1"/>
  <c r="U322" i="20"/>
  <c r="J352" i="18"/>
  <c r="U326" i="17"/>
  <c r="Y368" i="19"/>
  <c r="K473" i="20"/>
  <c r="L473" i="20" s="1"/>
  <c r="F474" i="20" s="1"/>
  <c r="H579" i="19" l="1"/>
  <c r="L579" i="19" s="1"/>
  <c r="F580" i="19" s="1"/>
  <c r="K579" i="19"/>
  <c r="Y326" i="17"/>
  <c r="Y322" i="20"/>
  <c r="H474" i="20"/>
  <c r="K474" i="20" s="1"/>
  <c r="L474" i="20" s="1"/>
  <c r="F475" i="20" s="1"/>
  <c r="X322" i="20"/>
  <c r="H475" i="17"/>
  <c r="K475" i="17" s="1"/>
  <c r="J349" i="21"/>
  <c r="R369" i="19"/>
  <c r="X326" i="17"/>
  <c r="AA352" i="20"/>
  <c r="AA352" i="17"/>
  <c r="E353" i="18"/>
  <c r="AA352" i="19"/>
  <c r="AD352" i="19" s="1"/>
  <c r="E333" i="21" s="1"/>
  <c r="H475" i="20" l="1"/>
  <c r="H580" i="19"/>
  <c r="K580" i="19"/>
  <c r="L580" i="19" s="1"/>
  <c r="F581" i="19" s="1"/>
  <c r="G353" i="18"/>
  <c r="I353" i="18"/>
  <c r="H353" i="18"/>
  <c r="J353" i="18"/>
  <c r="R323" i="20"/>
  <c r="K303" i="21"/>
  <c r="AD322" i="20"/>
  <c r="F303" i="21" s="1"/>
  <c r="L475" i="17"/>
  <c r="F476" i="17" s="1"/>
  <c r="U369" i="19"/>
  <c r="R327" i="17"/>
  <c r="I307" i="21"/>
  <c r="AD326" i="17"/>
  <c r="D307" i="21" s="1"/>
  <c r="H581" i="19" l="1"/>
  <c r="L581" i="19" s="1"/>
  <c r="F582" i="19" s="1"/>
  <c r="J581" i="19"/>
  <c r="K581" i="19"/>
  <c r="L475" i="20"/>
  <c r="F476" i="20" s="1"/>
  <c r="AA353" i="17"/>
  <c r="AA353" i="20"/>
  <c r="AA353" i="19"/>
  <c r="AD353" i="19" s="1"/>
  <c r="E334" i="21" s="1"/>
  <c r="E354" i="18"/>
  <c r="X369" i="19"/>
  <c r="Y369" i="19" s="1"/>
  <c r="X327" i="17"/>
  <c r="U327" i="17"/>
  <c r="Y327" i="17" s="1"/>
  <c r="K475" i="20"/>
  <c r="U323" i="20"/>
  <c r="H476" i="17"/>
  <c r="J476" i="17" s="1"/>
  <c r="R328" i="17" l="1"/>
  <c r="I308" i="21"/>
  <c r="AD327" i="17"/>
  <c r="D308" i="21" s="1"/>
  <c r="R370" i="19"/>
  <c r="J350" i="21"/>
  <c r="Y323" i="20"/>
  <c r="H582" i="19"/>
  <c r="K582" i="19"/>
  <c r="L582" i="19"/>
  <c r="F583" i="19" s="1"/>
  <c r="X323" i="20"/>
  <c r="J476" i="20"/>
  <c r="K476" i="20"/>
  <c r="H476" i="20"/>
  <c r="L476" i="20" s="1"/>
  <c r="F477" i="20" s="1"/>
  <c r="L476" i="17"/>
  <c r="F477" i="17" s="1"/>
  <c r="G354" i="18"/>
  <c r="J354" i="18" s="1"/>
  <c r="I354" i="18"/>
  <c r="K476" i="17"/>
  <c r="AA354" i="20" l="1"/>
  <c r="AA354" i="19"/>
  <c r="AD354" i="19" s="1"/>
  <c r="E335" i="21" s="1"/>
  <c r="E355" i="18"/>
  <c r="AA354" i="17"/>
  <c r="K477" i="20"/>
  <c r="L477" i="20"/>
  <c r="F478" i="20" s="1"/>
  <c r="H477" i="20"/>
  <c r="K304" i="21"/>
  <c r="R324" i="20"/>
  <c r="AD323" i="20"/>
  <c r="F304" i="21" s="1"/>
  <c r="U370" i="19"/>
  <c r="Y370" i="19" s="1"/>
  <c r="X370" i="19"/>
  <c r="H477" i="17"/>
  <c r="K583" i="19"/>
  <c r="L583" i="19"/>
  <c r="F584" i="19" s="1"/>
  <c r="H583" i="19"/>
  <c r="U328" i="17"/>
  <c r="R371" i="19" l="1"/>
  <c r="J351" i="21"/>
  <c r="H584" i="19"/>
  <c r="K584" i="19" s="1"/>
  <c r="J584" i="19"/>
  <c r="G355" i="18"/>
  <c r="I355" i="18"/>
  <c r="J355" i="18"/>
  <c r="X328" i="17"/>
  <c r="Y328" i="17" s="1"/>
  <c r="H478" i="20"/>
  <c r="K478" i="20" s="1"/>
  <c r="K477" i="17"/>
  <c r="L477" i="17" s="1"/>
  <c r="F478" i="17" s="1"/>
  <c r="X324" i="20"/>
  <c r="U324" i="20"/>
  <c r="Y324" i="20" s="1"/>
  <c r="R325" i="20" l="1"/>
  <c r="K305" i="21"/>
  <c r="AD324" i="20"/>
  <c r="F305" i="21" s="1"/>
  <c r="R329" i="17"/>
  <c r="I309" i="21"/>
  <c r="AD328" i="17"/>
  <c r="D309" i="21" s="1"/>
  <c r="H478" i="17"/>
  <c r="K478" i="17" s="1"/>
  <c r="L478" i="20"/>
  <c r="F479" i="20" s="1"/>
  <c r="U371" i="19"/>
  <c r="X371" i="19" s="1"/>
  <c r="AA355" i="20"/>
  <c r="E356" i="18"/>
  <c r="AA355" i="19"/>
  <c r="AD355" i="19" s="1"/>
  <c r="E336" i="21" s="1"/>
  <c r="AA355" i="17"/>
  <c r="L584" i="19"/>
  <c r="F585" i="19" s="1"/>
  <c r="H479" i="20" l="1"/>
  <c r="H356" i="18"/>
  <c r="G356" i="18"/>
  <c r="J356" i="18" s="1"/>
  <c r="I356" i="18"/>
  <c r="H585" i="19"/>
  <c r="K585" i="19"/>
  <c r="L585" i="19" s="1"/>
  <c r="F586" i="19" s="1"/>
  <c r="Y371" i="19"/>
  <c r="U329" i="17"/>
  <c r="X329" i="17" s="1"/>
  <c r="L478" i="17"/>
  <c r="F479" i="17" s="1"/>
  <c r="U325" i="20"/>
  <c r="X325" i="20" s="1"/>
  <c r="H586" i="19" l="1"/>
  <c r="K586" i="19"/>
  <c r="L586" i="19" s="1"/>
  <c r="F587" i="19" s="1"/>
  <c r="AA356" i="19"/>
  <c r="AD356" i="19" s="1"/>
  <c r="E337" i="21" s="1"/>
  <c r="AA356" i="20"/>
  <c r="AA356" i="17"/>
  <c r="E357" i="18"/>
  <c r="H479" i="17"/>
  <c r="Y325" i="20"/>
  <c r="J479" i="20"/>
  <c r="Y329" i="17"/>
  <c r="J352" i="21"/>
  <c r="R372" i="19"/>
  <c r="H587" i="19" l="1"/>
  <c r="J587" i="19"/>
  <c r="K587" i="19" s="1"/>
  <c r="L587" i="19" s="1"/>
  <c r="F588" i="19" s="1"/>
  <c r="K479" i="17"/>
  <c r="L479" i="17" s="1"/>
  <c r="F480" i="17" s="1"/>
  <c r="J479" i="17"/>
  <c r="U372" i="19"/>
  <c r="X372" i="19"/>
  <c r="Y372" i="19"/>
  <c r="I310" i="21"/>
  <c r="R330" i="17"/>
  <c r="AD329" i="17"/>
  <c r="D310" i="21" s="1"/>
  <c r="K479" i="20"/>
  <c r="L479" i="20" s="1"/>
  <c r="F480" i="20" s="1"/>
  <c r="R326" i="20"/>
  <c r="K306" i="21"/>
  <c r="AD325" i="20"/>
  <c r="F306" i="21" s="1"/>
  <c r="G357" i="18"/>
  <c r="I357" i="18"/>
  <c r="J357" i="18"/>
  <c r="H480" i="17" l="1"/>
  <c r="H480" i="20"/>
  <c r="K480" i="20" s="1"/>
  <c r="H588" i="19"/>
  <c r="K588" i="19"/>
  <c r="L588" i="19"/>
  <c r="F589" i="19" s="1"/>
  <c r="U326" i="20"/>
  <c r="AA357" i="19"/>
  <c r="AD357" i="19" s="1"/>
  <c r="E338" i="21" s="1"/>
  <c r="AA357" i="20"/>
  <c r="E358" i="18"/>
  <c r="AA357" i="17"/>
  <c r="R373" i="19"/>
  <c r="J353" i="21"/>
  <c r="U330" i="17"/>
  <c r="U373" i="19" l="1"/>
  <c r="X373" i="19" s="1"/>
  <c r="H589" i="19"/>
  <c r="K589" i="19" s="1"/>
  <c r="L480" i="20"/>
  <c r="F481" i="20" s="1"/>
  <c r="G358" i="18"/>
  <c r="I358" i="18" s="1"/>
  <c r="X330" i="17"/>
  <c r="Y330" i="17" s="1"/>
  <c r="K480" i="17"/>
  <c r="L480" i="17" s="1"/>
  <c r="F481" i="17" s="1"/>
  <c r="X326" i="20"/>
  <c r="Y326" i="20" s="1"/>
  <c r="H481" i="17" l="1"/>
  <c r="K481" i="17" s="1"/>
  <c r="R331" i="17"/>
  <c r="I311" i="21"/>
  <c r="AD330" i="17"/>
  <c r="D311" i="21" s="1"/>
  <c r="K307" i="21"/>
  <c r="R327" i="20"/>
  <c r="AD326" i="20"/>
  <c r="F307" i="21" s="1"/>
  <c r="Y373" i="19"/>
  <c r="K481" i="20"/>
  <c r="L481" i="20"/>
  <c r="F482" i="20" s="1"/>
  <c r="H481" i="20"/>
  <c r="L589" i="19"/>
  <c r="F590" i="19" s="1"/>
  <c r="J358" i="18"/>
  <c r="H482" i="20" l="1"/>
  <c r="J482" i="20" s="1"/>
  <c r="J354" i="21"/>
  <c r="R374" i="19"/>
  <c r="AA358" i="20"/>
  <c r="AA358" i="19"/>
  <c r="AD358" i="19" s="1"/>
  <c r="E339" i="21" s="1"/>
  <c r="E359" i="18"/>
  <c r="AA358" i="17"/>
  <c r="X327" i="20"/>
  <c r="Y327" i="20"/>
  <c r="U327" i="20"/>
  <c r="L481" i="17"/>
  <c r="F482" i="17" s="1"/>
  <c r="U331" i="17"/>
  <c r="X331" i="17" s="1"/>
  <c r="K590" i="19"/>
  <c r="H590" i="19"/>
  <c r="L590" i="19" s="1"/>
  <c r="F591" i="19" s="1"/>
  <c r="J590" i="19"/>
  <c r="H591" i="19" l="1"/>
  <c r="K591" i="19" s="1"/>
  <c r="R328" i="20"/>
  <c r="K308" i="21"/>
  <c r="AD327" i="20"/>
  <c r="F308" i="21" s="1"/>
  <c r="U374" i="19"/>
  <c r="X374" i="19"/>
  <c r="Y374" i="19"/>
  <c r="Y331" i="17"/>
  <c r="K482" i="20"/>
  <c r="L482" i="20" s="1"/>
  <c r="F483" i="20" s="1"/>
  <c r="G359" i="18"/>
  <c r="H359" i="18"/>
  <c r="I359" i="18"/>
  <c r="J359" i="18"/>
  <c r="H482" i="17"/>
  <c r="J482" i="17" s="1"/>
  <c r="H483" i="20" l="1"/>
  <c r="K483" i="20" s="1"/>
  <c r="I312" i="21"/>
  <c r="R332" i="17"/>
  <c r="AD331" i="17"/>
  <c r="D312" i="21" s="1"/>
  <c r="L591" i="19"/>
  <c r="F592" i="19" s="1"/>
  <c r="AA359" i="19"/>
  <c r="AD359" i="19" s="1"/>
  <c r="E340" i="21" s="1"/>
  <c r="AA359" i="20"/>
  <c r="E360" i="18"/>
  <c r="AA359" i="17"/>
  <c r="U328" i="20"/>
  <c r="X328" i="20" s="1"/>
  <c r="J355" i="21"/>
  <c r="R375" i="19"/>
  <c r="K482" i="17"/>
  <c r="L482" i="17" s="1"/>
  <c r="F483" i="17" s="1"/>
  <c r="H483" i="17" l="1"/>
  <c r="K483" i="17" s="1"/>
  <c r="U375" i="19"/>
  <c r="X375" i="19"/>
  <c r="Y375" i="19"/>
  <c r="L483" i="20"/>
  <c r="F484" i="20" s="1"/>
  <c r="H592" i="19"/>
  <c r="K592" i="19"/>
  <c r="L592" i="19" s="1"/>
  <c r="F593" i="19" s="1"/>
  <c r="U332" i="17"/>
  <c r="X332" i="17" s="1"/>
  <c r="Y332" i="17" s="1"/>
  <c r="G360" i="18"/>
  <c r="I360" i="18" s="1"/>
  <c r="J360" i="18" s="1"/>
  <c r="Y328" i="20"/>
  <c r="I313" i="21" l="1"/>
  <c r="R333" i="17"/>
  <c r="AD332" i="17"/>
  <c r="D313" i="21" s="1"/>
  <c r="AA360" i="19"/>
  <c r="AD360" i="19" s="1"/>
  <c r="E341" i="21" s="1"/>
  <c r="E361" i="18"/>
  <c r="AA360" i="17"/>
  <c r="AA360" i="20"/>
  <c r="H593" i="19"/>
  <c r="L483" i="17"/>
  <c r="F484" i="17" s="1"/>
  <c r="J356" i="21"/>
  <c r="R376" i="19"/>
  <c r="K309" i="21"/>
  <c r="R329" i="20"/>
  <c r="AD328" i="20"/>
  <c r="F309" i="21" s="1"/>
  <c r="K484" i="20"/>
  <c r="H484" i="20"/>
  <c r="L484" i="20" s="1"/>
  <c r="F485" i="20" s="1"/>
  <c r="H485" i="20" l="1"/>
  <c r="J485" i="20" s="1"/>
  <c r="L593" i="19"/>
  <c r="F594" i="19" s="1"/>
  <c r="J593" i="19"/>
  <c r="U333" i="17"/>
  <c r="X333" i="17" s="1"/>
  <c r="K484" i="17"/>
  <c r="L484" i="17" s="1"/>
  <c r="F485" i="17" s="1"/>
  <c r="H484" i="17"/>
  <c r="G361" i="18"/>
  <c r="I361" i="18" s="1"/>
  <c r="X329" i="20"/>
  <c r="Y329" i="20"/>
  <c r="U329" i="20"/>
  <c r="K593" i="19"/>
  <c r="U376" i="19"/>
  <c r="X376" i="19"/>
  <c r="Y376" i="19"/>
  <c r="H485" i="17" l="1"/>
  <c r="K594" i="19"/>
  <c r="L594" i="19"/>
  <c r="F595" i="19" s="1"/>
  <c r="H594" i="19"/>
  <c r="L485" i="20"/>
  <c r="F486" i="20" s="1"/>
  <c r="R377" i="19"/>
  <c r="J357" i="21"/>
  <c r="J361" i="18"/>
  <c r="Y333" i="17"/>
  <c r="K485" i="20"/>
  <c r="R330" i="20"/>
  <c r="K310" i="21"/>
  <c r="AD329" i="20"/>
  <c r="F310" i="21" s="1"/>
  <c r="E362" i="18" l="1"/>
  <c r="AA361" i="17"/>
  <c r="AA361" i="19"/>
  <c r="AD361" i="19" s="1"/>
  <c r="E342" i="21" s="1"/>
  <c r="AA361" i="20"/>
  <c r="I314" i="21"/>
  <c r="R334" i="17"/>
  <c r="AD333" i="17"/>
  <c r="D314" i="21" s="1"/>
  <c r="H486" i="20"/>
  <c r="H595" i="19"/>
  <c r="K595" i="19"/>
  <c r="L595" i="19"/>
  <c r="F596" i="19" s="1"/>
  <c r="U377" i="19"/>
  <c r="X377" i="19" s="1"/>
  <c r="Y377" i="19" s="1"/>
  <c r="J485" i="17"/>
  <c r="K485" i="17" s="1"/>
  <c r="L485" i="17" s="1"/>
  <c r="F486" i="17" s="1"/>
  <c r="U330" i="20"/>
  <c r="R378" i="19" l="1"/>
  <c r="J358" i="21"/>
  <c r="K486" i="17"/>
  <c r="L486" i="17" s="1"/>
  <c r="F487" i="17" s="1"/>
  <c r="H486" i="17"/>
  <c r="K486" i="20"/>
  <c r="L486" i="20" s="1"/>
  <c r="F487" i="20" s="1"/>
  <c r="X330" i="20"/>
  <c r="Y330" i="20" s="1"/>
  <c r="G362" i="18"/>
  <c r="H362" i="18" s="1"/>
  <c r="H596" i="19"/>
  <c r="U334" i="17"/>
  <c r="H487" i="20" l="1"/>
  <c r="K487" i="20" s="1"/>
  <c r="R331" i="20"/>
  <c r="K311" i="21"/>
  <c r="AD330" i="20"/>
  <c r="F311" i="21" s="1"/>
  <c r="H487" i="17"/>
  <c r="K487" i="17" s="1"/>
  <c r="J362" i="18"/>
  <c r="U378" i="19"/>
  <c r="X378" i="19"/>
  <c r="Y378" i="19" s="1"/>
  <c r="J596" i="19"/>
  <c r="X334" i="17"/>
  <c r="Y334" i="17" s="1"/>
  <c r="I362" i="18"/>
  <c r="J359" i="21" l="1"/>
  <c r="R379" i="19"/>
  <c r="R335" i="17"/>
  <c r="I315" i="21"/>
  <c r="AD334" i="17"/>
  <c r="D315" i="21" s="1"/>
  <c r="L596" i="19"/>
  <c r="F597" i="19" s="1"/>
  <c r="AA362" i="17"/>
  <c r="E363" i="18"/>
  <c r="AA362" i="20"/>
  <c r="AA362" i="19"/>
  <c r="AD362" i="19" s="1"/>
  <c r="E343" i="21" s="1"/>
  <c r="L487" i="17"/>
  <c r="F488" i="17" s="1"/>
  <c r="X331" i="20"/>
  <c r="U331" i="20"/>
  <c r="Y331" i="20" s="1"/>
  <c r="L487" i="20"/>
  <c r="F488" i="20" s="1"/>
  <c r="K596" i="19"/>
  <c r="R332" i="20" l="1"/>
  <c r="K312" i="21"/>
  <c r="AD331" i="20"/>
  <c r="F312" i="21" s="1"/>
  <c r="H597" i="19"/>
  <c r="K597" i="19" s="1"/>
  <c r="U335" i="17"/>
  <c r="X335" i="17" s="1"/>
  <c r="J488" i="17"/>
  <c r="K488" i="17" s="1"/>
  <c r="H488" i="17"/>
  <c r="G363" i="18"/>
  <c r="I363" i="18"/>
  <c r="J363" i="18"/>
  <c r="U379" i="19"/>
  <c r="X379" i="19" s="1"/>
  <c r="Y379" i="19" s="1"/>
  <c r="H488" i="20"/>
  <c r="J488" i="20" s="1"/>
  <c r="J360" i="21" l="1"/>
  <c r="R380" i="19"/>
  <c r="K488" i="20"/>
  <c r="L488" i="20" s="1"/>
  <c r="F489" i="20" s="1"/>
  <c r="L597" i="19"/>
  <c r="F598" i="19" s="1"/>
  <c r="Y335" i="17"/>
  <c r="AA363" i="17"/>
  <c r="E364" i="18"/>
  <c r="AA363" i="19"/>
  <c r="AD363" i="19" s="1"/>
  <c r="E344" i="21" s="1"/>
  <c r="AA363" i="20"/>
  <c r="L488" i="17"/>
  <c r="F489" i="17" s="1"/>
  <c r="U332" i="20"/>
  <c r="X332" i="20" s="1"/>
  <c r="Y332" i="20" s="1"/>
  <c r="R333" i="20" l="1"/>
  <c r="K313" i="21"/>
  <c r="AD332" i="20"/>
  <c r="F313" i="21" s="1"/>
  <c r="K489" i="20"/>
  <c r="H489" i="20"/>
  <c r="L489" i="20" s="1"/>
  <c r="F490" i="20" s="1"/>
  <c r="I316" i="21"/>
  <c r="R336" i="17"/>
  <c r="AD335" i="17"/>
  <c r="D316" i="21" s="1"/>
  <c r="H598" i="19"/>
  <c r="K598" i="19"/>
  <c r="L598" i="19"/>
  <c r="F599" i="19" s="1"/>
  <c r="U380" i="19"/>
  <c r="X380" i="19" s="1"/>
  <c r="Y380" i="19" s="1"/>
  <c r="H489" i="17"/>
  <c r="G364" i="18"/>
  <c r="I364" i="18"/>
  <c r="J364" i="18"/>
  <c r="J361" i="21" l="1"/>
  <c r="R381" i="19"/>
  <c r="H490" i="20"/>
  <c r="K490" i="20" s="1"/>
  <c r="L489" i="17"/>
  <c r="F490" i="17" s="1"/>
  <c r="K489" i="17"/>
  <c r="H599" i="19"/>
  <c r="AA364" i="20"/>
  <c r="E365" i="18"/>
  <c r="AA364" i="19"/>
  <c r="AD364" i="19" s="1"/>
  <c r="E345" i="21" s="1"/>
  <c r="AA364" i="17"/>
  <c r="U336" i="17"/>
  <c r="U333" i="20"/>
  <c r="X333" i="20" s="1"/>
  <c r="H490" i="17" l="1"/>
  <c r="L490" i="20"/>
  <c r="F491" i="20" s="1"/>
  <c r="Y333" i="20"/>
  <c r="J599" i="19"/>
  <c r="X381" i="19"/>
  <c r="Y381" i="19" s="1"/>
  <c r="U381" i="19"/>
  <c r="X336" i="17"/>
  <c r="Y336" i="17" s="1"/>
  <c r="G365" i="18"/>
  <c r="I365" i="18"/>
  <c r="J362" i="21" l="1"/>
  <c r="R382" i="19"/>
  <c r="I317" i="21"/>
  <c r="R337" i="17"/>
  <c r="AD336" i="17"/>
  <c r="D317" i="21" s="1"/>
  <c r="K490" i="17"/>
  <c r="L490" i="17" s="1"/>
  <c r="F491" i="17" s="1"/>
  <c r="H365" i="18"/>
  <c r="J365" i="18" s="1"/>
  <c r="K599" i="19"/>
  <c r="L599" i="19" s="1"/>
  <c r="F600" i="19" s="1"/>
  <c r="K314" i="21"/>
  <c r="R334" i="20"/>
  <c r="AD333" i="20"/>
  <c r="F314" i="21" s="1"/>
  <c r="H491" i="20"/>
  <c r="H600" i="19" l="1"/>
  <c r="L600" i="19" s="1"/>
  <c r="F601" i="19" s="1"/>
  <c r="K600" i="19"/>
  <c r="J491" i="17"/>
  <c r="K491" i="17" s="1"/>
  <c r="H491" i="17"/>
  <c r="L491" i="17" s="1"/>
  <c r="F492" i="17" s="1"/>
  <c r="AA365" i="20"/>
  <c r="E366" i="18"/>
  <c r="AA365" i="17"/>
  <c r="AA365" i="19"/>
  <c r="AD365" i="19" s="1"/>
  <c r="E346" i="21" s="1"/>
  <c r="U382" i="19"/>
  <c r="X382" i="19"/>
  <c r="Y382" i="19"/>
  <c r="J491" i="20"/>
  <c r="K491" i="20" s="1"/>
  <c r="U337" i="17"/>
  <c r="X337" i="17" s="1"/>
  <c r="Y337" i="17" s="1"/>
  <c r="U334" i="20"/>
  <c r="X334" i="20" s="1"/>
  <c r="H492" i="17" l="1"/>
  <c r="K492" i="17" s="1"/>
  <c r="R338" i="17"/>
  <c r="I318" i="21"/>
  <c r="AD337" i="17"/>
  <c r="D318" i="21" s="1"/>
  <c r="H601" i="19"/>
  <c r="L601" i="19" s="1"/>
  <c r="F602" i="19" s="1"/>
  <c r="K601" i="19"/>
  <c r="G366" i="18"/>
  <c r="I366" i="18"/>
  <c r="J366" i="18"/>
  <c r="Y334" i="20"/>
  <c r="R383" i="19"/>
  <c r="J363" i="21"/>
  <c r="L491" i="20"/>
  <c r="F492" i="20" s="1"/>
  <c r="H602" i="19" l="1"/>
  <c r="K602" i="19" s="1"/>
  <c r="J602" i="19"/>
  <c r="E367" i="18"/>
  <c r="AA366" i="20"/>
  <c r="AA366" i="19"/>
  <c r="AD366" i="19" s="1"/>
  <c r="E347" i="21" s="1"/>
  <c r="AA366" i="17"/>
  <c r="U338" i="17"/>
  <c r="L492" i="17"/>
  <c r="F493" i="17" s="1"/>
  <c r="H492" i="20"/>
  <c r="K492" i="20" s="1"/>
  <c r="U383" i="19"/>
  <c r="Y383" i="19" s="1"/>
  <c r="X383" i="19"/>
  <c r="K315" i="21"/>
  <c r="R335" i="20"/>
  <c r="AD334" i="20"/>
  <c r="F315" i="21" s="1"/>
  <c r="J364" i="21" l="1"/>
  <c r="R384" i="19"/>
  <c r="X338" i="17"/>
  <c r="Y338" i="17" s="1"/>
  <c r="K493" i="17"/>
  <c r="L493" i="17" s="1"/>
  <c r="F494" i="17" s="1"/>
  <c r="H493" i="17"/>
  <c r="L602" i="19"/>
  <c r="F603" i="19" s="1"/>
  <c r="G367" i="18"/>
  <c r="I367" i="18" s="1"/>
  <c r="J367" i="18" s="1"/>
  <c r="U335" i="20"/>
  <c r="L492" i="20"/>
  <c r="F493" i="20" s="1"/>
  <c r="H494" i="17" l="1"/>
  <c r="J494" i="17" s="1"/>
  <c r="I319" i="21"/>
  <c r="R339" i="17"/>
  <c r="AD338" i="17"/>
  <c r="D319" i="21" s="1"/>
  <c r="AA367" i="20"/>
  <c r="E368" i="18"/>
  <c r="AA367" i="17"/>
  <c r="AA367" i="19"/>
  <c r="AD367" i="19" s="1"/>
  <c r="E348" i="21" s="1"/>
  <c r="H493" i="20"/>
  <c r="K493" i="20" s="1"/>
  <c r="H603" i="19"/>
  <c r="K603" i="19"/>
  <c r="L603" i="19"/>
  <c r="F604" i="19" s="1"/>
  <c r="X335" i="20"/>
  <c r="Y335" i="20" s="1"/>
  <c r="U384" i="19"/>
  <c r="X384" i="19"/>
  <c r="Y384" i="19"/>
  <c r="K316" i="21" l="1"/>
  <c r="R336" i="20"/>
  <c r="AD335" i="20"/>
  <c r="F316" i="21" s="1"/>
  <c r="G368" i="18"/>
  <c r="J368" i="18" s="1"/>
  <c r="H368" i="18"/>
  <c r="I368" i="18"/>
  <c r="L493" i="20"/>
  <c r="F494" i="20" s="1"/>
  <c r="K494" i="17"/>
  <c r="L494" i="17" s="1"/>
  <c r="F495" i="17" s="1"/>
  <c r="H604" i="19"/>
  <c r="K604" i="19" s="1"/>
  <c r="L604" i="19" s="1"/>
  <c r="F605" i="19" s="1"/>
  <c r="J365" i="21"/>
  <c r="R385" i="19"/>
  <c r="U339" i="17"/>
  <c r="X339" i="17" s="1"/>
  <c r="Y339" i="17" s="1"/>
  <c r="H605" i="19" l="1"/>
  <c r="J605" i="19" s="1"/>
  <c r="R340" i="17"/>
  <c r="I320" i="21"/>
  <c r="AD339" i="17"/>
  <c r="D320" i="21" s="1"/>
  <c r="AA368" i="17"/>
  <c r="E369" i="18"/>
  <c r="AA368" i="19"/>
  <c r="AD368" i="19" s="1"/>
  <c r="E349" i="21" s="1"/>
  <c r="AA368" i="20"/>
  <c r="H495" i="17"/>
  <c r="K495" i="17" s="1"/>
  <c r="L495" i="17" s="1"/>
  <c r="F496" i="17" s="1"/>
  <c r="U336" i="20"/>
  <c r="U385" i="19"/>
  <c r="H494" i="20"/>
  <c r="H496" i="17" l="1"/>
  <c r="K496" i="17" s="1"/>
  <c r="Y336" i="20"/>
  <c r="U340" i="17"/>
  <c r="X340" i="17" s="1"/>
  <c r="J494" i="20"/>
  <c r="J369" i="18"/>
  <c r="G369" i="18"/>
  <c r="I369" i="18"/>
  <c r="L605" i="19"/>
  <c r="F606" i="19" s="1"/>
  <c r="X336" i="20"/>
  <c r="X385" i="19"/>
  <c r="Y385" i="19" s="1"/>
  <c r="K605" i="19"/>
  <c r="R386" i="19" l="1"/>
  <c r="J366" i="21"/>
  <c r="AA369" i="19"/>
  <c r="AD369" i="19" s="1"/>
  <c r="E350" i="21" s="1"/>
  <c r="AA369" i="20"/>
  <c r="E370" i="18"/>
  <c r="AA369" i="17"/>
  <c r="K494" i="20"/>
  <c r="L494" i="20" s="1"/>
  <c r="F495" i="20" s="1"/>
  <c r="Y340" i="17"/>
  <c r="L496" i="17"/>
  <c r="F497" i="17" s="1"/>
  <c r="K317" i="21"/>
  <c r="R337" i="20"/>
  <c r="AD336" i="20"/>
  <c r="F317" i="21" s="1"/>
  <c r="H606" i="19"/>
  <c r="K606" i="19"/>
  <c r="L606" i="19"/>
  <c r="F607" i="19" s="1"/>
  <c r="H495" i="20" l="1"/>
  <c r="K495" i="20" s="1"/>
  <c r="U337" i="20"/>
  <c r="R341" i="17"/>
  <c r="I321" i="21"/>
  <c r="AD340" i="17"/>
  <c r="D321" i="21" s="1"/>
  <c r="U386" i="19"/>
  <c r="G370" i="18"/>
  <c r="H607" i="19"/>
  <c r="K607" i="19" s="1"/>
  <c r="H497" i="17"/>
  <c r="Y337" i="20" l="1"/>
  <c r="L607" i="19"/>
  <c r="F608" i="19" s="1"/>
  <c r="X337" i="20"/>
  <c r="X386" i="19"/>
  <c r="Y386" i="19" s="1"/>
  <c r="I370" i="18"/>
  <c r="J370" i="18" s="1"/>
  <c r="L495" i="20"/>
  <c r="F496" i="20" s="1"/>
  <c r="J497" i="17"/>
  <c r="X341" i="17"/>
  <c r="U341" i="17"/>
  <c r="Y341" i="17" s="1"/>
  <c r="R387" i="19" l="1"/>
  <c r="J367" i="21"/>
  <c r="AA370" i="17"/>
  <c r="E371" i="18"/>
  <c r="AA370" i="19"/>
  <c r="AD370" i="19" s="1"/>
  <c r="E351" i="21" s="1"/>
  <c r="AA370" i="20"/>
  <c r="R342" i="17"/>
  <c r="I322" i="21"/>
  <c r="AD341" i="17"/>
  <c r="D322" i="21" s="1"/>
  <c r="L497" i="17"/>
  <c r="F498" i="17" s="1"/>
  <c r="H608" i="19"/>
  <c r="J608" i="19" s="1"/>
  <c r="H496" i="20"/>
  <c r="K496" i="20" s="1"/>
  <c r="R338" i="20"/>
  <c r="K318" i="21"/>
  <c r="AD337" i="20"/>
  <c r="F318" i="21" s="1"/>
  <c r="K497" i="17"/>
  <c r="H498" i="17" l="1"/>
  <c r="I371" i="18"/>
  <c r="J371" i="18" s="1"/>
  <c r="G371" i="18"/>
  <c r="H371" i="18"/>
  <c r="L496" i="20"/>
  <c r="F497" i="20" s="1"/>
  <c r="X338" i="20"/>
  <c r="Y338" i="20" s="1"/>
  <c r="U338" i="20"/>
  <c r="K608" i="19"/>
  <c r="L608" i="19" s="1"/>
  <c r="F609" i="19" s="1"/>
  <c r="U342" i="17"/>
  <c r="U387" i="19"/>
  <c r="X387" i="19"/>
  <c r="Y387" i="19"/>
  <c r="K319" i="21" l="1"/>
  <c r="R339" i="20"/>
  <c r="AD338" i="20"/>
  <c r="F319" i="21" s="1"/>
  <c r="AA371" i="17"/>
  <c r="AA371" i="20"/>
  <c r="E372" i="18"/>
  <c r="AA371" i="19"/>
  <c r="AD371" i="19" s="1"/>
  <c r="E352" i="21" s="1"/>
  <c r="Y342" i="17"/>
  <c r="H609" i="19"/>
  <c r="L498" i="17"/>
  <c r="F499" i="17" s="1"/>
  <c r="X342" i="17"/>
  <c r="K498" i="17"/>
  <c r="H497" i="20"/>
  <c r="J497" i="20" s="1"/>
  <c r="J368" i="21"/>
  <c r="R388" i="19"/>
  <c r="H499" i="17" l="1"/>
  <c r="K499" i="17" s="1"/>
  <c r="L497" i="20"/>
  <c r="F498" i="20" s="1"/>
  <c r="K497" i="20"/>
  <c r="I323" i="21"/>
  <c r="R343" i="17"/>
  <c r="AD342" i="17"/>
  <c r="D323" i="21" s="1"/>
  <c r="X339" i="20"/>
  <c r="Y339" i="20"/>
  <c r="U339" i="20"/>
  <c r="G372" i="18"/>
  <c r="I372" i="18"/>
  <c r="J372" i="18"/>
  <c r="K609" i="19"/>
  <c r="L609" i="19" s="1"/>
  <c r="F610" i="19" s="1"/>
  <c r="U388" i="19"/>
  <c r="X388" i="19" s="1"/>
  <c r="H610" i="19" l="1"/>
  <c r="L610" i="19" s="1"/>
  <c r="F611" i="19" s="1"/>
  <c r="K610" i="19"/>
  <c r="H498" i="20"/>
  <c r="K498" i="20" s="1"/>
  <c r="E373" i="18"/>
  <c r="AA372" i="17"/>
  <c r="AA372" i="20"/>
  <c r="AA372" i="19"/>
  <c r="AD372" i="19" s="1"/>
  <c r="E353" i="21" s="1"/>
  <c r="L499" i="17"/>
  <c r="F500" i="17" s="1"/>
  <c r="K320" i="21"/>
  <c r="R340" i="20"/>
  <c r="AD339" i="20"/>
  <c r="F320" i="21" s="1"/>
  <c r="U343" i="17"/>
  <c r="X343" i="17" s="1"/>
  <c r="Y388" i="19"/>
  <c r="H611" i="19" l="1"/>
  <c r="J611" i="19" s="1"/>
  <c r="L498" i="20"/>
  <c r="F499" i="20" s="1"/>
  <c r="R389" i="19"/>
  <c r="J369" i="21"/>
  <c r="H500" i="17"/>
  <c r="Y343" i="17"/>
  <c r="U340" i="20"/>
  <c r="G373" i="18"/>
  <c r="I373" i="18" s="1"/>
  <c r="R344" i="17" l="1"/>
  <c r="I324" i="21"/>
  <c r="AD343" i="17"/>
  <c r="D324" i="21" s="1"/>
  <c r="J500" i="17"/>
  <c r="K500" i="17" s="1"/>
  <c r="J373" i="18"/>
  <c r="K611" i="19"/>
  <c r="U389" i="19"/>
  <c r="X389" i="19"/>
  <c r="Y389" i="19"/>
  <c r="K499" i="20"/>
  <c r="H499" i="20"/>
  <c r="L499" i="20" s="1"/>
  <c r="F500" i="20" s="1"/>
  <c r="X340" i="20"/>
  <c r="Y340" i="20" s="1"/>
  <c r="L611" i="19"/>
  <c r="F612" i="19" s="1"/>
  <c r="H500" i="20" l="1"/>
  <c r="J500" i="20" s="1"/>
  <c r="R341" i="20"/>
  <c r="K321" i="21"/>
  <c r="AD340" i="20"/>
  <c r="F321" i="21" s="1"/>
  <c r="L500" i="17"/>
  <c r="F501" i="17" s="1"/>
  <c r="R390" i="19"/>
  <c r="J370" i="21"/>
  <c r="K612" i="19"/>
  <c r="L612" i="19" s="1"/>
  <c r="F613" i="19" s="1"/>
  <c r="H612" i="19"/>
  <c r="U344" i="17"/>
  <c r="AA373" i="20"/>
  <c r="AA373" i="17"/>
  <c r="AA373" i="19"/>
  <c r="AD373" i="19" s="1"/>
  <c r="E354" i="21" s="1"/>
  <c r="E374" i="18"/>
  <c r="H613" i="19" l="1"/>
  <c r="K613" i="19"/>
  <c r="L613" i="19" s="1"/>
  <c r="F614" i="19" s="1"/>
  <c r="Y344" i="17"/>
  <c r="U341" i="20"/>
  <c r="X341" i="20" s="1"/>
  <c r="U390" i="19"/>
  <c r="X344" i="17"/>
  <c r="H501" i="17"/>
  <c r="K500" i="20"/>
  <c r="L500" i="20" s="1"/>
  <c r="F501" i="20" s="1"/>
  <c r="G374" i="18"/>
  <c r="I374" i="18" s="1"/>
  <c r="H614" i="19" l="1"/>
  <c r="K614" i="19" s="1"/>
  <c r="J614" i="19"/>
  <c r="H501" i="20"/>
  <c r="K501" i="20" s="1"/>
  <c r="L501" i="20" s="1"/>
  <c r="F502" i="20" s="1"/>
  <c r="K501" i="17"/>
  <c r="L501" i="17" s="1"/>
  <c r="F502" i="17" s="1"/>
  <c r="X390" i="19"/>
  <c r="Y390" i="19" s="1"/>
  <c r="R345" i="17"/>
  <c r="I325" i="21"/>
  <c r="AD344" i="17"/>
  <c r="D325" i="21" s="1"/>
  <c r="H374" i="18"/>
  <c r="J374" i="18" s="1"/>
  <c r="Y341" i="20"/>
  <c r="H502" i="17" l="1"/>
  <c r="K502" i="17" s="1"/>
  <c r="R391" i="19"/>
  <c r="J371" i="21"/>
  <c r="K502" i="20"/>
  <c r="H502" i="20"/>
  <c r="L502" i="20" s="1"/>
  <c r="F503" i="20" s="1"/>
  <c r="K322" i="21"/>
  <c r="R342" i="20"/>
  <c r="AD341" i="20"/>
  <c r="F322" i="21" s="1"/>
  <c r="L614" i="19"/>
  <c r="F615" i="19" s="1"/>
  <c r="U345" i="17"/>
  <c r="X345" i="17" s="1"/>
  <c r="AA374" i="19"/>
  <c r="AD374" i="19" s="1"/>
  <c r="E355" i="21" s="1"/>
  <c r="AA374" i="17"/>
  <c r="E375" i="18"/>
  <c r="AA374" i="20"/>
  <c r="H503" i="20" l="1"/>
  <c r="J503" i="20" s="1"/>
  <c r="H615" i="19"/>
  <c r="L615" i="19" s="1"/>
  <c r="F616" i="19" s="1"/>
  <c r="K615" i="19"/>
  <c r="U342" i="20"/>
  <c r="L502" i="17"/>
  <c r="F503" i="17" s="1"/>
  <c r="G375" i="18"/>
  <c r="I375" i="18"/>
  <c r="J375" i="18"/>
  <c r="U391" i="19"/>
  <c r="Y391" i="19" s="1"/>
  <c r="X391" i="19"/>
  <c r="Y345" i="17"/>
  <c r="H616" i="19" l="1"/>
  <c r="K616" i="19"/>
  <c r="L616" i="19"/>
  <c r="F617" i="19" s="1"/>
  <c r="Y342" i="20"/>
  <c r="R392" i="19"/>
  <c r="J372" i="21"/>
  <c r="H503" i="17"/>
  <c r="J503" i="17" s="1"/>
  <c r="K503" i="20"/>
  <c r="L503" i="20" s="1"/>
  <c r="F504" i="20" s="1"/>
  <c r="X342" i="20"/>
  <c r="AA375" i="20"/>
  <c r="AA375" i="17"/>
  <c r="AA375" i="19"/>
  <c r="AD375" i="19" s="1"/>
  <c r="E356" i="21" s="1"/>
  <c r="E376" i="18"/>
  <c r="R346" i="17"/>
  <c r="I326" i="21"/>
  <c r="AD345" i="17"/>
  <c r="D326" i="21" s="1"/>
  <c r="H504" i="20" l="1"/>
  <c r="K504" i="20" s="1"/>
  <c r="K503" i="17"/>
  <c r="H617" i="19"/>
  <c r="U346" i="17"/>
  <c r="X346" i="17" s="1"/>
  <c r="G376" i="18"/>
  <c r="I376" i="18" s="1"/>
  <c r="U392" i="19"/>
  <c r="Y392" i="19" s="1"/>
  <c r="X392" i="19"/>
  <c r="L503" i="17"/>
  <c r="F504" i="17" s="1"/>
  <c r="R343" i="20"/>
  <c r="K323" i="21"/>
  <c r="AD342" i="20"/>
  <c r="F323" i="21" s="1"/>
  <c r="J373" i="21" l="1"/>
  <c r="R393" i="19"/>
  <c r="H504" i="17"/>
  <c r="K504" i="17" s="1"/>
  <c r="Y346" i="17"/>
  <c r="L504" i="20"/>
  <c r="F505" i="20" s="1"/>
  <c r="J376" i="18"/>
  <c r="J617" i="19"/>
  <c r="K617" i="19" s="1"/>
  <c r="X343" i="20"/>
  <c r="Y343" i="20" s="1"/>
  <c r="U343" i="20"/>
  <c r="K324" i="21" l="1"/>
  <c r="R344" i="20"/>
  <c r="AD343" i="20"/>
  <c r="F324" i="21" s="1"/>
  <c r="L617" i="19"/>
  <c r="F618" i="19" s="1"/>
  <c r="L504" i="17"/>
  <c r="F505" i="17" s="1"/>
  <c r="AA376" i="19"/>
  <c r="AD376" i="19" s="1"/>
  <c r="E357" i="21" s="1"/>
  <c r="AA376" i="20"/>
  <c r="E377" i="18"/>
  <c r="AA376" i="17"/>
  <c r="U393" i="19"/>
  <c r="X393" i="19" s="1"/>
  <c r="H505" i="20"/>
  <c r="K505" i="20" s="1"/>
  <c r="R347" i="17"/>
  <c r="I327" i="21"/>
  <c r="AD346" i="17"/>
  <c r="D327" i="21" s="1"/>
  <c r="Y393" i="19" l="1"/>
  <c r="U347" i="17"/>
  <c r="X347" i="17" s="1"/>
  <c r="H618" i="19"/>
  <c r="L505" i="20"/>
  <c r="F506" i="20" s="1"/>
  <c r="G377" i="18"/>
  <c r="J377" i="18" s="1"/>
  <c r="I377" i="18"/>
  <c r="H377" i="18"/>
  <c r="U344" i="20"/>
  <c r="K505" i="17"/>
  <c r="L505" i="17" s="1"/>
  <c r="F506" i="17" s="1"/>
  <c r="H505" i="17"/>
  <c r="AA377" i="20" l="1"/>
  <c r="AA377" i="19"/>
  <c r="AD377" i="19" s="1"/>
  <c r="E358" i="21" s="1"/>
  <c r="E378" i="18"/>
  <c r="AA377" i="17"/>
  <c r="J506" i="17"/>
  <c r="H506" i="17"/>
  <c r="K506" i="17" s="1"/>
  <c r="L618" i="19"/>
  <c r="F619" i="19" s="1"/>
  <c r="Y347" i="17"/>
  <c r="X344" i="20"/>
  <c r="Y344" i="20" s="1"/>
  <c r="J374" i="21"/>
  <c r="R394" i="19"/>
  <c r="H506" i="20"/>
  <c r="K618" i="19"/>
  <c r="R345" i="20" l="1"/>
  <c r="K325" i="21"/>
  <c r="AD344" i="20"/>
  <c r="F325" i="21" s="1"/>
  <c r="J506" i="20"/>
  <c r="J378" i="18"/>
  <c r="G378" i="18"/>
  <c r="I378" i="18"/>
  <c r="I328" i="21"/>
  <c r="R348" i="17"/>
  <c r="AD347" i="17"/>
  <c r="D328" i="21" s="1"/>
  <c r="H619" i="19"/>
  <c r="K619" i="19" s="1"/>
  <c r="L619" i="19" s="1"/>
  <c r="F620" i="19" s="1"/>
  <c r="X394" i="19"/>
  <c r="Y394" i="19" s="1"/>
  <c r="U394" i="19"/>
  <c r="L506" i="17"/>
  <c r="F507" i="17" s="1"/>
  <c r="H620" i="19" l="1"/>
  <c r="J620" i="19" s="1"/>
  <c r="J375" i="21"/>
  <c r="R395" i="19"/>
  <c r="AA378" i="20"/>
  <c r="E379" i="18"/>
  <c r="AA378" i="17"/>
  <c r="AA378" i="19"/>
  <c r="AD378" i="19" s="1"/>
  <c r="E359" i="21" s="1"/>
  <c r="X348" i="17"/>
  <c r="Y348" i="17"/>
  <c r="U348" i="17"/>
  <c r="U345" i="20"/>
  <c r="K506" i="20"/>
  <c r="L506" i="20" s="1"/>
  <c r="F507" i="20" s="1"/>
  <c r="H507" i="17"/>
  <c r="K507" i="17" s="1"/>
  <c r="L507" i="17" s="1"/>
  <c r="F508" i="17" s="1"/>
  <c r="H507" i="20" l="1"/>
  <c r="K507" i="20" s="1"/>
  <c r="Y345" i="20"/>
  <c r="K508" i="17"/>
  <c r="L508" i="17"/>
  <c r="F509" i="17" s="1"/>
  <c r="H508" i="17"/>
  <c r="K620" i="19"/>
  <c r="L620" i="19"/>
  <c r="F621" i="19" s="1"/>
  <c r="R349" i="17"/>
  <c r="I329" i="21"/>
  <c r="AD348" i="17"/>
  <c r="D329" i="21" s="1"/>
  <c r="X345" i="20"/>
  <c r="G379" i="18"/>
  <c r="I379" i="18" s="1"/>
  <c r="Y395" i="19"/>
  <c r="U395" i="19"/>
  <c r="X395" i="19"/>
  <c r="J376" i="21" l="1"/>
  <c r="R396" i="19"/>
  <c r="J379" i="18"/>
  <c r="R346" i="20"/>
  <c r="K326" i="21"/>
  <c r="AD345" i="20"/>
  <c r="F326" i="21" s="1"/>
  <c r="L507" i="20"/>
  <c r="F508" i="20" s="1"/>
  <c r="H509" i="17"/>
  <c r="J509" i="17" s="1"/>
  <c r="X349" i="17"/>
  <c r="U349" i="17"/>
  <c r="Y349" i="17" s="1"/>
  <c r="H621" i="19"/>
  <c r="K621" i="19"/>
  <c r="L621" i="19" s="1"/>
  <c r="F622" i="19" s="1"/>
  <c r="I330" i="21" l="1"/>
  <c r="R350" i="17"/>
  <c r="AD349" i="17"/>
  <c r="D330" i="21" s="1"/>
  <c r="H622" i="19"/>
  <c r="K622" i="19"/>
  <c r="L622" i="19"/>
  <c r="F623" i="19" s="1"/>
  <c r="AA379" i="20"/>
  <c r="E380" i="18"/>
  <c r="AA379" i="17"/>
  <c r="AA379" i="19"/>
  <c r="AD379" i="19" s="1"/>
  <c r="E360" i="21" s="1"/>
  <c r="X346" i="20"/>
  <c r="Y346" i="20" s="1"/>
  <c r="U346" i="20"/>
  <c r="U396" i="19"/>
  <c r="Y396" i="19" s="1"/>
  <c r="X396" i="19"/>
  <c r="K509" i="17"/>
  <c r="L509" i="17" s="1"/>
  <c r="F510" i="17" s="1"/>
  <c r="H508" i="20"/>
  <c r="H510" i="17" l="1"/>
  <c r="K327" i="21"/>
  <c r="R347" i="20"/>
  <c r="AD346" i="20"/>
  <c r="F327" i="21" s="1"/>
  <c r="J377" i="21"/>
  <c r="R397" i="19"/>
  <c r="H623" i="19"/>
  <c r="K623" i="19" s="1"/>
  <c r="J623" i="19"/>
  <c r="G380" i="18"/>
  <c r="H380" i="18"/>
  <c r="I380" i="18"/>
  <c r="J380" i="18"/>
  <c r="X350" i="17"/>
  <c r="U350" i="17"/>
  <c r="Y350" i="17" s="1"/>
  <c r="K508" i="20"/>
  <c r="L508" i="20" s="1"/>
  <c r="F509" i="20" s="1"/>
  <c r="I331" i="21" l="1"/>
  <c r="R351" i="17"/>
  <c r="AD350" i="17"/>
  <c r="D331" i="21" s="1"/>
  <c r="J509" i="20"/>
  <c r="H509" i="20"/>
  <c r="U347" i="20"/>
  <c r="Y397" i="19"/>
  <c r="U397" i="19"/>
  <c r="X397" i="19"/>
  <c r="K510" i="17"/>
  <c r="L510" i="17" s="1"/>
  <c r="F511" i="17" s="1"/>
  <c r="AA380" i="17"/>
  <c r="E381" i="18"/>
  <c r="AA380" i="19"/>
  <c r="AD380" i="19" s="1"/>
  <c r="E361" i="21" s="1"/>
  <c r="AA380" i="20"/>
  <c r="L623" i="19"/>
  <c r="F624" i="19" s="1"/>
  <c r="H511" i="17" l="1"/>
  <c r="L509" i="20"/>
  <c r="F510" i="20" s="1"/>
  <c r="X347" i="20"/>
  <c r="Y347" i="20" s="1"/>
  <c r="K509" i="20"/>
  <c r="R398" i="19"/>
  <c r="J378" i="21"/>
  <c r="U351" i="17"/>
  <c r="X351" i="17" s="1"/>
  <c r="G381" i="18"/>
  <c r="I381" i="18"/>
  <c r="J381" i="18"/>
  <c r="H624" i="19"/>
  <c r="K624" i="19" s="1"/>
  <c r="K328" i="21" l="1"/>
  <c r="R348" i="20"/>
  <c r="AD347" i="20"/>
  <c r="F328" i="21" s="1"/>
  <c r="L624" i="19"/>
  <c r="F625" i="19" s="1"/>
  <c r="H510" i="20"/>
  <c r="K510" i="20" s="1"/>
  <c r="L510" i="20" s="1"/>
  <c r="F511" i="20" s="1"/>
  <c r="Y351" i="17"/>
  <c r="E382" i="18"/>
  <c r="AA381" i="17"/>
  <c r="AA381" i="19"/>
  <c r="AD381" i="19" s="1"/>
  <c r="E362" i="21" s="1"/>
  <c r="AA381" i="20"/>
  <c r="U398" i="19"/>
  <c r="Y398" i="19" s="1"/>
  <c r="X398" i="19"/>
  <c r="K511" i="17"/>
  <c r="L511" i="17" s="1"/>
  <c r="F512" i="17" s="1"/>
  <c r="H511" i="20" l="1"/>
  <c r="K511" i="20" s="1"/>
  <c r="R399" i="19"/>
  <c r="J379" i="21"/>
  <c r="J512" i="17"/>
  <c r="H512" i="17"/>
  <c r="X348" i="20"/>
  <c r="Y348" i="20"/>
  <c r="U348" i="20"/>
  <c r="H625" i="19"/>
  <c r="K625" i="19"/>
  <c r="L625" i="19"/>
  <c r="F626" i="19" s="1"/>
  <c r="G382" i="18"/>
  <c r="J382" i="18" s="1"/>
  <c r="I382" i="18"/>
  <c r="R352" i="17"/>
  <c r="I332" i="21"/>
  <c r="AD351" i="17"/>
  <c r="D332" i="21" s="1"/>
  <c r="AA382" i="20" l="1"/>
  <c r="E383" i="18"/>
  <c r="AA382" i="17"/>
  <c r="AA382" i="19"/>
  <c r="AD382" i="19" s="1"/>
  <c r="E363" i="21" s="1"/>
  <c r="L512" i="17"/>
  <c r="F513" i="17" s="1"/>
  <c r="K329" i="21"/>
  <c r="R349" i="20"/>
  <c r="AD348" i="20"/>
  <c r="F329" i="21" s="1"/>
  <c r="H626" i="19"/>
  <c r="J626" i="19"/>
  <c r="L626" i="19" s="1"/>
  <c r="F627" i="19" s="1"/>
  <c r="K626" i="19"/>
  <c r="U352" i="17"/>
  <c r="X352" i="17" s="1"/>
  <c r="K512" i="17"/>
  <c r="L511" i="20"/>
  <c r="F512" i="20" s="1"/>
  <c r="X399" i="19"/>
  <c r="U399" i="19"/>
  <c r="Y399" i="19" s="1"/>
  <c r="J380" i="21" l="1"/>
  <c r="R400" i="19"/>
  <c r="H627" i="19"/>
  <c r="K627" i="19"/>
  <c r="L627" i="19"/>
  <c r="F628" i="19" s="1"/>
  <c r="K513" i="17"/>
  <c r="H513" i="17"/>
  <c r="L513" i="17" s="1"/>
  <c r="F514" i="17" s="1"/>
  <c r="J512" i="20"/>
  <c r="K512" i="20"/>
  <c r="L512" i="20"/>
  <c r="F513" i="20" s="1"/>
  <c r="H512" i="20"/>
  <c r="G383" i="18"/>
  <c r="I383" i="18"/>
  <c r="Y352" i="17"/>
  <c r="U349" i="20"/>
  <c r="H514" i="17" l="1"/>
  <c r="K514" i="17" s="1"/>
  <c r="J383" i="18"/>
  <c r="Y349" i="20"/>
  <c r="K513" i="20"/>
  <c r="H513" i="20"/>
  <c r="L513" i="20" s="1"/>
  <c r="F514" i="20" s="1"/>
  <c r="R353" i="17"/>
  <c r="I333" i="21"/>
  <c r="AD352" i="17"/>
  <c r="D333" i="21" s="1"/>
  <c r="H628" i="19"/>
  <c r="K628" i="19" s="1"/>
  <c r="H383" i="18"/>
  <c r="U400" i="19"/>
  <c r="X400" i="19"/>
  <c r="Y400" i="19"/>
  <c r="X349" i="20"/>
  <c r="H514" i="20" l="1"/>
  <c r="K514" i="20" s="1"/>
  <c r="R401" i="19"/>
  <c r="J381" i="21"/>
  <c r="K330" i="21"/>
  <c r="R350" i="20"/>
  <c r="AD349" i="20"/>
  <c r="F330" i="21" s="1"/>
  <c r="AA383" i="17"/>
  <c r="E384" i="18"/>
  <c r="AA383" i="20"/>
  <c r="AA383" i="19"/>
  <c r="AD383" i="19" s="1"/>
  <c r="E364" i="21" s="1"/>
  <c r="U353" i="17"/>
  <c r="L628" i="19"/>
  <c r="F629" i="19" s="1"/>
  <c r="L514" i="17"/>
  <c r="F515" i="17" s="1"/>
  <c r="H629" i="19" l="1"/>
  <c r="J629" i="19"/>
  <c r="K629" i="19" s="1"/>
  <c r="L629" i="19" s="1"/>
  <c r="F630" i="19" s="1"/>
  <c r="X401" i="19"/>
  <c r="U401" i="19"/>
  <c r="Y401" i="19" s="1"/>
  <c r="X353" i="17"/>
  <c r="Y353" i="17" s="1"/>
  <c r="J515" i="17"/>
  <c r="K515" i="17" s="1"/>
  <c r="H515" i="17"/>
  <c r="G384" i="18"/>
  <c r="I384" i="18"/>
  <c r="J384" i="18"/>
  <c r="L514" i="20"/>
  <c r="F515" i="20" s="1"/>
  <c r="U350" i="20"/>
  <c r="X350" i="20" s="1"/>
  <c r="I334" i="21" l="1"/>
  <c r="R354" i="17"/>
  <c r="AD353" i="17"/>
  <c r="D334" i="21" s="1"/>
  <c r="H630" i="19"/>
  <c r="K630" i="19"/>
  <c r="L630" i="19"/>
  <c r="F631" i="19" s="1"/>
  <c r="J382" i="21"/>
  <c r="R402" i="19"/>
  <c r="L515" i="17"/>
  <c r="F516" i="17" s="1"/>
  <c r="E385" i="18"/>
  <c r="AA384" i="20"/>
  <c r="AA384" i="17"/>
  <c r="AA384" i="19"/>
  <c r="AD384" i="19" s="1"/>
  <c r="E365" i="21" s="1"/>
  <c r="Y350" i="20"/>
  <c r="H515" i="20"/>
  <c r="H631" i="19" l="1"/>
  <c r="K631" i="19" s="1"/>
  <c r="L631" i="19" s="1"/>
  <c r="F632" i="19" s="1"/>
  <c r="J515" i="20"/>
  <c r="K515" i="20" s="1"/>
  <c r="L515" i="20" s="1"/>
  <c r="F516" i="20" s="1"/>
  <c r="G385" i="18"/>
  <c r="I385" i="18"/>
  <c r="J385" i="18"/>
  <c r="K516" i="17"/>
  <c r="H516" i="17"/>
  <c r="L516" i="17" s="1"/>
  <c r="F517" i="17" s="1"/>
  <c r="K331" i="21"/>
  <c r="R351" i="20"/>
  <c r="AD350" i="20"/>
  <c r="F331" i="21" s="1"/>
  <c r="U402" i="19"/>
  <c r="X402" i="19" s="1"/>
  <c r="U354" i="17"/>
  <c r="X354" i="17" s="1"/>
  <c r="H516" i="20" l="1"/>
  <c r="K516" i="20" s="1"/>
  <c r="H517" i="17"/>
  <c r="K517" i="17" s="1"/>
  <c r="H632" i="19"/>
  <c r="Y354" i="17"/>
  <c r="Y351" i="20"/>
  <c r="X351" i="20"/>
  <c r="U351" i="20"/>
  <c r="AA385" i="17"/>
  <c r="E386" i="18"/>
  <c r="AA385" i="20"/>
  <c r="AA385" i="19"/>
  <c r="AD385" i="19" s="1"/>
  <c r="E366" i="21" s="1"/>
  <c r="Y402" i="19"/>
  <c r="G386" i="18" l="1"/>
  <c r="H386" i="18"/>
  <c r="I386" i="18"/>
  <c r="J386" i="18" s="1"/>
  <c r="L517" i="17"/>
  <c r="F518" i="17" s="1"/>
  <c r="J632" i="19"/>
  <c r="K632" i="19" s="1"/>
  <c r="K332" i="21"/>
  <c r="R352" i="20"/>
  <c r="AD351" i="20"/>
  <c r="F332" i="21" s="1"/>
  <c r="I335" i="21"/>
  <c r="R355" i="17"/>
  <c r="AD354" i="17"/>
  <c r="D335" i="21" s="1"/>
  <c r="L516" i="20"/>
  <c r="F517" i="20" s="1"/>
  <c r="R403" i="19"/>
  <c r="J383" i="21"/>
  <c r="AA386" i="17" l="1"/>
  <c r="AA386" i="20"/>
  <c r="AA386" i="19"/>
  <c r="AD386" i="19" s="1"/>
  <c r="E367" i="21" s="1"/>
  <c r="E387" i="18"/>
  <c r="H517" i="20"/>
  <c r="K517" i="20" s="1"/>
  <c r="X352" i="20"/>
  <c r="Y352" i="20"/>
  <c r="U352" i="20"/>
  <c r="U403" i="19"/>
  <c r="Y403" i="19" s="1"/>
  <c r="X403" i="19"/>
  <c r="X355" i="17"/>
  <c r="Y355" i="17" s="1"/>
  <c r="U355" i="17"/>
  <c r="H518" i="17"/>
  <c r="L632" i="19"/>
  <c r="F633" i="19" s="1"/>
  <c r="J384" i="21" l="1"/>
  <c r="R404" i="19"/>
  <c r="R356" i="17"/>
  <c r="I336" i="21"/>
  <c r="AD355" i="17"/>
  <c r="D336" i="21" s="1"/>
  <c r="K633" i="19"/>
  <c r="L633" i="19" s="1"/>
  <c r="F634" i="19" s="1"/>
  <c r="H633" i="19"/>
  <c r="R353" i="20"/>
  <c r="K333" i="21"/>
  <c r="AD352" i="20"/>
  <c r="F333" i="21" s="1"/>
  <c r="J518" i="17"/>
  <c r="K518" i="17" s="1"/>
  <c r="L518" i="17" s="1"/>
  <c r="F519" i="17" s="1"/>
  <c r="L517" i="20"/>
  <c r="F518" i="20" s="1"/>
  <c r="G387" i="18"/>
  <c r="J387" i="18" s="1"/>
  <c r="I387" i="18"/>
  <c r="H634" i="19" l="1"/>
  <c r="L634" i="19" s="1"/>
  <c r="F635" i="19" s="1"/>
  <c r="K634" i="19"/>
  <c r="H519" i="17"/>
  <c r="K519" i="17" s="1"/>
  <c r="E388" i="18"/>
  <c r="AA387" i="19"/>
  <c r="AD387" i="19" s="1"/>
  <c r="E368" i="21" s="1"/>
  <c r="AA387" i="17"/>
  <c r="AA387" i="20"/>
  <c r="U404" i="19"/>
  <c r="Y404" i="19" s="1"/>
  <c r="X404" i="19"/>
  <c r="X353" i="20"/>
  <c r="Y353" i="20"/>
  <c r="U353" i="20"/>
  <c r="X356" i="17"/>
  <c r="U356" i="17"/>
  <c r="Y356" i="17" s="1"/>
  <c r="H518" i="20"/>
  <c r="J518" i="20" s="1"/>
  <c r="K518" i="20" l="1"/>
  <c r="L518" i="20" s="1"/>
  <c r="F519" i="20" s="1"/>
  <c r="I337" i="21"/>
  <c r="R357" i="17"/>
  <c r="AD356" i="17"/>
  <c r="D337" i="21" s="1"/>
  <c r="H635" i="19"/>
  <c r="J635" i="19" s="1"/>
  <c r="K635" i="19" s="1"/>
  <c r="J385" i="21"/>
  <c r="R405" i="19"/>
  <c r="R354" i="20"/>
  <c r="K334" i="21"/>
  <c r="AD353" i="20"/>
  <c r="F334" i="21" s="1"/>
  <c r="L519" i="17"/>
  <c r="F520" i="17" s="1"/>
  <c r="G388" i="18"/>
  <c r="H519" i="20" l="1"/>
  <c r="K519" i="20" s="1"/>
  <c r="I388" i="18"/>
  <c r="J388" i="18" s="1"/>
  <c r="L635" i="19"/>
  <c r="F636" i="19" s="1"/>
  <c r="H520" i="17"/>
  <c r="K520" i="17" s="1"/>
  <c r="U354" i="20"/>
  <c r="U405" i="19"/>
  <c r="Y405" i="19" s="1"/>
  <c r="X405" i="19"/>
  <c r="U357" i="17"/>
  <c r="AA388" i="17" l="1"/>
  <c r="AA388" i="19"/>
  <c r="AD388" i="19" s="1"/>
  <c r="E369" i="21" s="1"/>
  <c r="AA388" i="20"/>
  <c r="E389" i="18"/>
  <c r="R406" i="19"/>
  <c r="J386" i="21"/>
  <c r="K636" i="19"/>
  <c r="H636" i="19"/>
  <c r="L636" i="19" s="1"/>
  <c r="F637" i="19" s="1"/>
  <c r="X357" i="17"/>
  <c r="Y357" i="17" s="1"/>
  <c r="X354" i="20"/>
  <c r="Y354" i="20" s="1"/>
  <c r="L520" i="17"/>
  <c r="F521" i="17" s="1"/>
  <c r="L519" i="20"/>
  <c r="F520" i="20" s="1"/>
  <c r="I338" i="21" l="1"/>
  <c r="R358" i="17"/>
  <c r="AD357" i="17"/>
  <c r="D338" i="21" s="1"/>
  <c r="R355" i="20"/>
  <c r="K335" i="21"/>
  <c r="AD354" i="20"/>
  <c r="F335" i="21" s="1"/>
  <c r="H637" i="19"/>
  <c r="K637" i="19"/>
  <c r="L637" i="19"/>
  <c r="F638" i="19" s="1"/>
  <c r="H520" i="20"/>
  <c r="K520" i="20" s="1"/>
  <c r="J521" i="17"/>
  <c r="L521" i="17" s="1"/>
  <c r="F522" i="17" s="1"/>
  <c r="K521" i="17"/>
  <c r="H521" i="17"/>
  <c r="G389" i="18"/>
  <c r="H389" i="18" s="1"/>
  <c r="J389" i="18" s="1"/>
  <c r="I389" i="18"/>
  <c r="U406" i="19"/>
  <c r="X406" i="19"/>
  <c r="Y406" i="19"/>
  <c r="AA389" i="20" l="1"/>
  <c r="E390" i="18"/>
  <c r="AA389" i="19"/>
  <c r="AD389" i="19" s="1"/>
  <c r="E370" i="21" s="1"/>
  <c r="AA389" i="17"/>
  <c r="H522" i="17"/>
  <c r="K522" i="17" s="1"/>
  <c r="H638" i="19"/>
  <c r="J638" i="19" s="1"/>
  <c r="R407" i="19"/>
  <c r="J387" i="21"/>
  <c r="L520" i="20"/>
  <c r="F521" i="20" s="1"/>
  <c r="X355" i="20"/>
  <c r="U355" i="20"/>
  <c r="Y355" i="20" s="1"/>
  <c r="U358" i="17"/>
  <c r="X358" i="17" s="1"/>
  <c r="K336" i="21" l="1"/>
  <c r="R356" i="20"/>
  <c r="AD355" i="20"/>
  <c r="F336" i="21" s="1"/>
  <c r="G390" i="18"/>
  <c r="I390" i="18" s="1"/>
  <c r="J390" i="18" s="1"/>
  <c r="H521" i="20"/>
  <c r="J521" i="20" s="1"/>
  <c r="Y358" i="17"/>
  <c r="U407" i="19"/>
  <c r="Y407" i="19" s="1"/>
  <c r="X407" i="19"/>
  <c r="L522" i="17"/>
  <c r="F523" i="17" s="1"/>
  <c r="K638" i="19"/>
  <c r="L638" i="19" s="1"/>
  <c r="F639" i="19" s="1"/>
  <c r="H639" i="19" l="1"/>
  <c r="L639" i="19" s="1"/>
  <c r="F640" i="19" s="1"/>
  <c r="K639" i="19"/>
  <c r="AA390" i="17"/>
  <c r="E391" i="18"/>
  <c r="AA390" i="20"/>
  <c r="AA390" i="19"/>
  <c r="AD390" i="19" s="1"/>
  <c r="E371" i="21" s="1"/>
  <c r="R408" i="19"/>
  <c r="J388" i="21"/>
  <c r="R359" i="17"/>
  <c r="I339" i="21"/>
  <c r="AD358" i="17"/>
  <c r="D339" i="21" s="1"/>
  <c r="H523" i="17"/>
  <c r="K521" i="20"/>
  <c r="L521" i="20" s="1"/>
  <c r="F522" i="20" s="1"/>
  <c r="U356" i="20"/>
  <c r="H522" i="20" l="1"/>
  <c r="K522" i="20" s="1"/>
  <c r="L522" i="20" s="1"/>
  <c r="F523" i="20" s="1"/>
  <c r="L640" i="19"/>
  <c r="F641" i="19" s="1"/>
  <c r="H640" i="19"/>
  <c r="K640" i="19"/>
  <c r="X356" i="20"/>
  <c r="Y356" i="20" s="1"/>
  <c r="G391" i="18"/>
  <c r="I391" i="18"/>
  <c r="J391" i="18"/>
  <c r="K523" i="17"/>
  <c r="L523" i="17" s="1"/>
  <c r="F524" i="17" s="1"/>
  <c r="X359" i="17"/>
  <c r="U359" i="17"/>
  <c r="Y359" i="17" s="1"/>
  <c r="U408" i="19"/>
  <c r="X408" i="19"/>
  <c r="Y408" i="19" s="1"/>
  <c r="R357" i="20" l="1"/>
  <c r="K337" i="21"/>
  <c r="AD356" i="20"/>
  <c r="F337" i="21" s="1"/>
  <c r="R360" i="17"/>
  <c r="I340" i="21"/>
  <c r="AD359" i="17"/>
  <c r="D340" i="21" s="1"/>
  <c r="H524" i="17"/>
  <c r="J524" i="17" s="1"/>
  <c r="R409" i="19"/>
  <c r="J389" i="21"/>
  <c r="H523" i="20"/>
  <c r="K523" i="20" s="1"/>
  <c r="H641" i="19"/>
  <c r="J641" i="19" s="1"/>
  <c r="AA391" i="19"/>
  <c r="AD391" i="19" s="1"/>
  <c r="E372" i="21" s="1"/>
  <c r="AA391" i="17"/>
  <c r="E392" i="18"/>
  <c r="AA391" i="20"/>
  <c r="K524" i="17" l="1"/>
  <c r="L524" i="17"/>
  <c r="F525" i="17" s="1"/>
  <c r="K641" i="19"/>
  <c r="X409" i="19"/>
  <c r="Y409" i="19"/>
  <c r="U409" i="19"/>
  <c r="G392" i="18"/>
  <c r="I392" i="18" s="1"/>
  <c r="L641" i="19"/>
  <c r="F642" i="19" s="1"/>
  <c r="U360" i="17"/>
  <c r="L523" i="20"/>
  <c r="F524" i="20" s="1"/>
  <c r="X357" i="20"/>
  <c r="U357" i="20"/>
  <c r="Y357" i="20" s="1"/>
  <c r="R358" i="20" l="1"/>
  <c r="K338" i="21"/>
  <c r="AD357" i="20"/>
  <c r="F338" i="21" s="1"/>
  <c r="J390" i="21"/>
  <c r="R410" i="19"/>
  <c r="H642" i="19"/>
  <c r="K642" i="19" s="1"/>
  <c r="J524" i="20"/>
  <c r="K524" i="20"/>
  <c r="L524" i="20"/>
  <c r="F525" i="20" s="1"/>
  <c r="H524" i="20"/>
  <c r="H392" i="18"/>
  <c r="J392" i="18" s="1"/>
  <c r="X360" i="17"/>
  <c r="Y360" i="17" s="1"/>
  <c r="H525" i="17"/>
  <c r="R361" i="17" l="1"/>
  <c r="I341" i="21"/>
  <c r="AD360" i="17"/>
  <c r="D341" i="21" s="1"/>
  <c r="U410" i="19"/>
  <c r="X410" i="19" s="1"/>
  <c r="K525" i="20"/>
  <c r="H525" i="20"/>
  <c r="L525" i="20" s="1"/>
  <c r="F526" i="20" s="1"/>
  <c r="K525" i="17"/>
  <c r="L525" i="17" s="1"/>
  <c r="F526" i="17" s="1"/>
  <c r="AA392" i="17"/>
  <c r="E393" i="18"/>
  <c r="AA392" i="19"/>
  <c r="AD392" i="19" s="1"/>
  <c r="E373" i="21" s="1"/>
  <c r="AA392" i="20"/>
  <c r="L642" i="19"/>
  <c r="F643" i="19" s="1"/>
  <c r="X358" i="20"/>
  <c r="Y358" i="20" s="1"/>
  <c r="U358" i="20"/>
  <c r="H526" i="20" l="1"/>
  <c r="K526" i="20" s="1"/>
  <c r="R359" i="20"/>
  <c r="K339" i="21"/>
  <c r="AD358" i="20"/>
  <c r="F339" i="21" s="1"/>
  <c r="H526" i="17"/>
  <c r="K526" i="17" s="1"/>
  <c r="Y410" i="19"/>
  <c r="H643" i="19"/>
  <c r="G393" i="18"/>
  <c r="I393" i="18"/>
  <c r="J393" i="18"/>
  <c r="U361" i="17"/>
  <c r="X361" i="17" s="1"/>
  <c r="J391" i="21" l="1"/>
  <c r="R411" i="19"/>
  <c r="U359" i="20"/>
  <c r="AA393" i="17"/>
  <c r="E394" i="18"/>
  <c r="AA393" i="20"/>
  <c r="AA393" i="19"/>
  <c r="AD393" i="19" s="1"/>
  <c r="E374" i="21" s="1"/>
  <c r="Y361" i="17"/>
  <c r="K643" i="19"/>
  <c r="L643" i="19" s="1"/>
  <c r="F644" i="19" s="1"/>
  <c r="L526" i="17"/>
  <c r="F527" i="17" s="1"/>
  <c r="L526" i="20"/>
  <c r="F527" i="20" s="1"/>
  <c r="J644" i="19" l="1"/>
  <c r="K644" i="19" s="1"/>
  <c r="H644" i="19"/>
  <c r="R362" i="17"/>
  <c r="I342" i="21"/>
  <c r="AD361" i="17"/>
  <c r="D342" i="21" s="1"/>
  <c r="X359" i="20"/>
  <c r="Y359" i="20" s="1"/>
  <c r="U411" i="19"/>
  <c r="J527" i="20"/>
  <c r="H527" i="20"/>
  <c r="K527" i="20" s="1"/>
  <c r="G394" i="18"/>
  <c r="I394" i="18"/>
  <c r="J394" i="18"/>
  <c r="H527" i="17"/>
  <c r="K340" i="21" l="1"/>
  <c r="R360" i="20"/>
  <c r="AD359" i="20"/>
  <c r="F340" i="21" s="1"/>
  <c r="L527" i="20"/>
  <c r="F528" i="20" s="1"/>
  <c r="E395" i="18"/>
  <c r="AA394" i="17"/>
  <c r="AA394" i="19"/>
  <c r="AD394" i="19" s="1"/>
  <c r="E375" i="21" s="1"/>
  <c r="AA394" i="20"/>
  <c r="L644" i="19"/>
  <c r="F645" i="19" s="1"/>
  <c r="X411" i="19"/>
  <c r="Y411" i="19" s="1"/>
  <c r="U362" i="17"/>
  <c r="X362" i="17" s="1"/>
  <c r="J527" i="17"/>
  <c r="K527" i="17" s="1"/>
  <c r="J392" i="21" l="1"/>
  <c r="R412" i="19"/>
  <c r="K645" i="19"/>
  <c r="L645" i="19" s="1"/>
  <c r="F646" i="19" s="1"/>
  <c r="H645" i="19"/>
  <c r="L527" i="17"/>
  <c r="F528" i="17" s="1"/>
  <c r="K528" i="20"/>
  <c r="L528" i="20" s="1"/>
  <c r="F529" i="20" s="1"/>
  <c r="H528" i="20"/>
  <c r="Y362" i="17"/>
  <c r="U360" i="20"/>
  <c r="X360" i="20" s="1"/>
  <c r="G395" i="18"/>
  <c r="H395" i="18"/>
  <c r="H646" i="19" l="1"/>
  <c r="K646" i="19" s="1"/>
  <c r="H529" i="20"/>
  <c r="J395" i="18"/>
  <c r="K528" i="17"/>
  <c r="L528" i="17" s="1"/>
  <c r="F529" i="17" s="1"/>
  <c r="H528" i="17"/>
  <c r="I395" i="18"/>
  <c r="R363" i="17"/>
  <c r="I343" i="21"/>
  <c r="AD362" i="17"/>
  <c r="D343" i="21" s="1"/>
  <c r="U412" i="19"/>
  <c r="Y360" i="20"/>
  <c r="Y412" i="19" l="1"/>
  <c r="H529" i="17"/>
  <c r="K529" i="17" s="1"/>
  <c r="L529" i="17" s="1"/>
  <c r="F530" i="17" s="1"/>
  <c r="E396" i="18"/>
  <c r="AA395" i="19"/>
  <c r="AD395" i="19" s="1"/>
  <c r="E376" i="21" s="1"/>
  <c r="AA395" i="17"/>
  <c r="AA395" i="20"/>
  <c r="L646" i="19"/>
  <c r="F647" i="19" s="1"/>
  <c r="R361" i="20"/>
  <c r="K341" i="21"/>
  <c r="AD360" i="20"/>
  <c r="F341" i="21" s="1"/>
  <c r="X363" i="17"/>
  <c r="Y363" i="17" s="1"/>
  <c r="U363" i="17"/>
  <c r="X412" i="19"/>
  <c r="K529" i="20"/>
  <c r="L529" i="20" s="1"/>
  <c r="F530" i="20" s="1"/>
  <c r="I344" i="21" l="1"/>
  <c r="R364" i="17"/>
  <c r="AD363" i="17"/>
  <c r="D344" i="21" s="1"/>
  <c r="J530" i="20"/>
  <c r="K530" i="20"/>
  <c r="L530" i="20"/>
  <c r="F531" i="20" s="1"/>
  <c r="H530" i="20"/>
  <c r="H530" i="17"/>
  <c r="R413" i="19"/>
  <c r="J393" i="21"/>
  <c r="G396" i="18"/>
  <c r="X361" i="20"/>
  <c r="Y361" i="20"/>
  <c r="U361" i="20"/>
  <c r="H647" i="19"/>
  <c r="K647" i="19" l="1"/>
  <c r="L647" i="19" s="1"/>
  <c r="F648" i="19" s="1"/>
  <c r="J396" i="18"/>
  <c r="K342" i="21"/>
  <c r="R362" i="20"/>
  <c r="AD361" i="20"/>
  <c r="F342" i="21" s="1"/>
  <c r="H531" i="20"/>
  <c r="K531" i="20" s="1"/>
  <c r="J647" i="19"/>
  <c r="I396" i="18"/>
  <c r="J530" i="17"/>
  <c r="K530" i="17" s="1"/>
  <c r="U364" i="17"/>
  <c r="U413" i="19"/>
  <c r="X413" i="19"/>
  <c r="Y413" i="19" s="1"/>
  <c r="R414" i="19" l="1"/>
  <c r="J394" i="21"/>
  <c r="H648" i="19"/>
  <c r="K648" i="19"/>
  <c r="L648" i="19"/>
  <c r="F649" i="19" s="1"/>
  <c r="U362" i="20"/>
  <c r="X362" i="20" s="1"/>
  <c r="AA396" i="19"/>
  <c r="AD396" i="19" s="1"/>
  <c r="E377" i="21" s="1"/>
  <c r="AA396" i="20"/>
  <c r="AA396" i="17"/>
  <c r="E397" i="18"/>
  <c r="X364" i="17"/>
  <c r="Y364" i="17" s="1"/>
  <c r="L531" i="20"/>
  <c r="F532" i="20" s="1"/>
  <c r="L530" i="17"/>
  <c r="F531" i="17" s="1"/>
  <c r="R365" i="17" l="1"/>
  <c r="I345" i="21"/>
  <c r="AD364" i="17"/>
  <c r="D345" i="21" s="1"/>
  <c r="H649" i="19"/>
  <c r="K649" i="19"/>
  <c r="L649" i="19"/>
  <c r="F650" i="19" s="1"/>
  <c r="H531" i="17"/>
  <c r="K532" i="20"/>
  <c r="H532" i="20"/>
  <c r="L532" i="20" s="1"/>
  <c r="F533" i="20" s="1"/>
  <c r="Y362" i="20"/>
  <c r="U414" i="19"/>
  <c r="X414" i="19" s="1"/>
  <c r="Y414" i="19" s="1"/>
  <c r="G397" i="18"/>
  <c r="I397" i="18" s="1"/>
  <c r="J395" i="21" l="1"/>
  <c r="R415" i="19"/>
  <c r="H533" i="20"/>
  <c r="J533" i="20" s="1"/>
  <c r="K531" i="17"/>
  <c r="L531" i="17" s="1"/>
  <c r="F532" i="17" s="1"/>
  <c r="R363" i="20"/>
  <c r="K343" i="21"/>
  <c r="AD362" i="20"/>
  <c r="F343" i="21" s="1"/>
  <c r="J650" i="19"/>
  <c r="H650" i="19"/>
  <c r="J397" i="18"/>
  <c r="X365" i="17"/>
  <c r="Y365" i="17"/>
  <c r="U365" i="17"/>
  <c r="H532" i="17" l="1"/>
  <c r="R366" i="17"/>
  <c r="I346" i="21"/>
  <c r="AD365" i="17"/>
  <c r="D346" i="21" s="1"/>
  <c r="L533" i="20"/>
  <c r="F534" i="20" s="1"/>
  <c r="K533" i="20"/>
  <c r="E398" i="18"/>
  <c r="AA397" i="19"/>
  <c r="AD397" i="19" s="1"/>
  <c r="E378" i="21" s="1"/>
  <c r="AA397" i="20"/>
  <c r="AA397" i="17"/>
  <c r="U363" i="20"/>
  <c r="K650" i="19"/>
  <c r="L650" i="19" s="1"/>
  <c r="F651" i="19" s="1"/>
  <c r="X415" i="19"/>
  <c r="U415" i="19"/>
  <c r="Y415" i="19" s="1"/>
  <c r="H651" i="19" l="1"/>
  <c r="K651" i="19" s="1"/>
  <c r="L651" i="19" s="1"/>
  <c r="F652" i="19" s="1"/>
  <c r="J396" i="21"/>
  <c r="R416" i="19"/>
  <c r="U366" i="17"/>
  <c r="X366" i="17" s="1"/>
  <c r="G398" i="18"/>
  <c r="H398" i="18" s="1"/>
  <c r="X363" i="20"/>
  <c r="Y363" i="20" s="1"/>
  <c r="H534" i="20"/>
  <c r="K532" i="17"/>
  <c r="L532" i="17" s="1"/>
  <c r="F533" i="17" s="1"/>
  <c r="K344" i="21" l="1"/>
  <c r="R364" i="20"/>
  <c r="AD363" i="20"/>
  <c r="F344" i="21" s="1"/>
  <c r="J533" i="17"/>
  <c r="K533" i="17"/>
  <c r="L533" i="17"/>
  <c r="F534" i="17" s="1"/>
  <c r="H533" i="17"/>
  <c r="H652" i="19"/>
  <c r="K652" i="19" s="1"/>
  <c r="Y366" i="17"/>
  <c r="K534" i="20"/>
  <c r="L534" i="20" s="1"/>
  <c r="F535" i="20" s="1"/>
  <c r="U416" i="19"/>
  <c r="X416" i="19" s="1"/>
  <c r="Y416" i="19" s="1"/>
  <c r="I398" i="18"/>
  <c r="J398" i="18" s="1"/>
  <c r="R417" i="19" l="1"/>
  <c r="J397" i="21"/>
  <c r="AA398" i="17"/>
  <c r="E399" i="18"/>
  <c r="AA398" i="20"/>
  <c r="AA398" i="19"/>
  <c r="AD398" i="19" s="1"/>
  <c r="E379" i="21" s="1"/>
  <c r="H535" i="20"/>
  <c r="K535" i="20" s="1"/>
  <c r="H534" i="17"/>
  <c r="K534" i="17" s="1"/>
  <c r="I347" i="21"/>
  <c r="R367" i="17"/>
  <c r="AD366" i="17"/>
  <c r="D347" i="21" s="1"/>
  <c r="L652" i="19"/>
  <c r="F653" i="19" s="1"/>
  <c r="X364" i="20"/>
  <c r="Y364" i="20"/>
  <c r="U364" i="20"/>
  <c r="L534" i="17" l="1"/>
  <c r="F535" i="17" s="1"/>
  <c r="U367" i="17"/>
  <c r="X367" i="17" s="1"/>
  <c r="L535" i="20"/>
  <c r="F536" i="20" s="1"/>
  <c r="K345" i="21"/>
  <c r="R365" i="20"/>
  <c r="AD364" i="20"/>
  <c r="F345" i="21" s="1"/>
  <c r="H653" i="19"/>
  <c r="J653" i="19" s="1"/>
  <c r="G399" i="18"/>
  <c r="I399" i="18"/>
  <c r="J399" i="18"/>
  <c r="X417" i="19"/>
  <c r="U417" i="19"/>
  <c r="Y417" i="19" s="1"/>
  <c r="R418" i="19" l="1"/>
  <c r="J398" i="21"/>
  <c r="K653" i="19"/>
  <c r="L653" i="19"/>
  <c r="F654" i="19" s="1"/>
  <c r="X365" i="20"/>
  <c r="Y365" i="20"/>
  <c r="U365" i="20"/>
  <c r="H535" i="17"/>
  <c r="E400" i="18"/>
  <c r="AA399" i="20"/>
  <c r="AA399" i="19"/>
  <c r="AD399" i="19" s="1"/>
  <c r="E380" i="21" s="1"/>
  <c r="AA399" i="17"/>
  <c r="Y367" i="17"/>
  <c r="J536" i="20"/>
  <c r="L536" i="20" s="1"/>
  <c r="F537" i="20" s="1"/>
  <c r="K536" i="20"/>
  <c r="H536" i="20"/>
  <c r="H537" i="20" l="1"/>
  <c r="K537" i="20" s="1"/>
  <c r="L535" i="17"/>
  <c r="F536" i="17" s="1"/>
  <c r="R366" i="20"/>
  <c r="K346" i="21"/>
  <c r="AD365" i="20"/>
  <c r="F346" i="21" s="1"/>
  <c r="H654" i="19"/>
  <c r="K654" i="19"/>
  <c r="L654" i="19"/>
  <c r="F655" i="19" s="1"/>
  <c r="R368" i="17"/>
  <c r="I348" i="21"/>
  <c r="AD367" i="17"/>
  <c r="D348" i="21" s="1"/>
  <c r="K535" i="17"/>
  <c r="G400" i="18"/>
  <c r="J400" i="18" s="1"/>
  <c r="I400" i="18"/>
  <c r="U418" i="19"/>
  <c r="Y418" i="19" s="1"/>
  <c r="X418" i="19"/>
  <c r="R419" i="19" l="1"/>
  <c r="J399" i="21"/>
  <c r="AA400" i="17"/>
  <c r="AA400" i="19"/>
  <c r="AD400" i="19" s="1"/>
  <c r="E381" i="21" s="1"/>
  <c r="AA400" i="20"/>
  <c r="E401" i="18"/>
  <c r="U366" i="20"/>
  <c r="J536" i="17"/>
  <c r="K536" i="17"/>
  <c r="L536" i="17"/>
  <c r="F537" i="17" s="1"/>
  <c r="H536" i="17"/>
  <c r="H655" i="19"/>
  <c r="K655" i="19"/>
  <c r="L655" i="19"/>
  <c r="F656" i="19" s="1"/>
  <c r="L537" i="20"/>
  <c r="F538" i="20" s="1"/>
  <c r="X368" i="17"/>
  <c r="U368" i="17"/>
  <c r="Y368" i="17" s="1"/>
  <c r="I349" i="21" l="1"/>
  <c r="R369" i="17"/>
  <c r="AD368" i="17"/>
  <c r="D349" i="21" s="1"/>
  <c r="I401" i="18"/>
  <c r="G401" i="18"/>
  <c r="H401" i="18" s="1"/>
  <c r="J401" i="18" s="1"/>
  <c r="H537" i="17"/>
  <c r="K537" i="17" s="1"/>
  <c r="H538" i="20"/>
  <c r="K538" i="20" s="1"/>
  <c r="K656" i="19"/>
  <c r="L656" i="19"/>
  <c r="F657" i="19" s="1"/>
  <c r="J656" i="19"/>
  <c r="H656" i="19"/>
  <c r="X366" i="20"/>
  <c r="Y366" i="20" s="1"/>
  <c r="U419" i="19"/>
  <c r="Y419" i="19" s="1"/>
  <c r="X419" i="19"/>
  <c r="K347" i="21" l="1"/>
  <c r="R367" i="20"/>
  <c r="AD366" i="20"/>
  <c r="F347" i="21" s="1"/>
  <c r="AA401" i="17"/>
  <c r="AA401" i="20"/>
  <c r="E402" i="18"/>
  <c r="AA401" i="19"/>
  <c r="AD401" i="19" s="1"/>
  <c r="E382" i="21" s="1"/>
  <c r="R420" i="19"/>
  <c r="J400" i="21"/>
  <c r="H657" i="19"/>
  <c r="K657" i="19"/>
  <c r="L657" i="19"/>
  <c r="F658" i="19" s="1"/>
  <c r="L537" i="17"/>
  <c r="F538" i="17" s="1"/>
  <c r="L538" i="20"/>
  <c r="F539" i="20" s="1"/>
  <c r="U369" i="17"/>
  <c r="X369" i="17" s="1"/>
  <c r="G402" i="18" l="1"/>
  <c r="I402" i="18" s="1"/>
  <c r="Y369" i="17"/>
  <c r="H539" i="20"/>
  <c r="J539" i="20" s="1"/>
  <c r="X420" i="19"/>
  <c r="Y420" i="19"/>
  <c r="U420" i="19"/>
  <c r="U367" i="20"/>
  <c r="X367" i="20" s="1"/>
  <c r="H658" i="19"/>
  <c r="H538" i="17"/>
  <c r="R421" i="19" l="1"/>
  <c r="J401" i="21"/>
  <c r="K658" i="19"/>
  <c r="L658" i="19" s="1"/>
  <c r="F659" i="19" s="1"/>
  <c r="J402" i="18"/>
  <c r="K538" i="17"/>
  <c r="L538" i="17" s="1"/>
  <c r="F539" i="17" s="1"/>
  <c r="Y367" i="20"/>
  <c r="L539" i="20"/>
  <c r="F540" i="20" s="1"/>
  <c r="K539" i="20"/>
  <c r="R370" i="17"/>
  <c r="I350" i="21"/>
  <c r="AD369" i="17"/>
  <c r="D350" i="21" s="1"/>
  <c r="H539" i="17" l="1"/>
  <c r="H659" i="19"/>
  <c r="H540" i="20"/>
  <c r="E403" i="18"/>
  <c r="AA402" i="19"/>
  <c r="AD402" i="19" s="1"/>
  <c r="E383" i="21" s="1"/>
  <c r="AA402" i="17"/>
  <c r="AA402" i="20"/>
  <c r="U370" i="17"/>
  <c r="U421" i="19"/>
  <c r="X421" i="19" s="1"/>
  <c r="K348" i="21"/>
  <c r="R368" i="20"/>
  <c r="AD367" i="20"/>
  <c r="F348" i="21" s="1"/>
  <c r="L540" i="20" l="1"/>
  <c r="F541" i="20" s="1"/>
  <c r="X370" i="17"/>
  <c r="Y370" i="17" s="1"/>
  <c r="K540" i="20"/>
  <c r="J659" i="19"/>
  <c r="K659" i="19" s="1"/>
  <c r="J539" i="17"/>
  <c r="K539" i="17" s="1"/>
  <c r="G403" i="18"/>
  <c r="I403" i="18"/>
  <c r="J403" i="18"/>
  <c r="U368" i="20"/>
  <c r="X368" i="20" s="1"/>
  <c r="Y421" i="19"/>
  <c r="I351" i="21" l="1"/>
  <c r="R371" i="17"/>
  <c r="AD370" i="17"/>
  <c r="D351" i="21" s="1"/>
  <c r="L539" i="17"/>
  <c r="F540" i="17" s="1"/>
  <c r="AA403" i="20"/>
  <c r="E404" i="18"/>
  <c r="AA403" i="19"/>
  <c r="AD403" i="19" s="1"/>
  <c r="E384" i="21" s="1"/>
  <c r="AA403" i="17"/>
  <c r="L659" i="19"/>
  <c r="F660" i="19" s="1"/>
  <c r="Y368" i="20"/>
  <c r="K541" i="20"/>
  <c r="L541" i="20"/>
  <c r="F542" i="20" s="1"/>
  <c r="H541" i="20"/>
  <c r="R422" i="19"/>
  <c r="J402" i="21"/>
  <c r="K349" i="21" l="1"/>
  <c r="R369" i="20"/>
  <c r="AD368" i="20"/>
  <c r="F349" i="21" s="1"/>
  <c r="H660" i="19"/>
  <c r="K660" i="19"/>
  <c r="L660" i="19"/>
  <c r="F661" i="19" s="1"/>
  <c r="U371" i="17"/>
  <c r="X371" i="17" s="1"/>
  <c r="J542" i="20"/>
  <c r="H542" i="20"/>
  <c r="G404" i="18"/>
  <c r="J404" i="18" s="1"/>
  <c r="I404" i="18"/>
  <c r="H404" i="18"/>
  <c r="H540" i="17"/>
  <c r="U422" i="19"/>
  <c r="X422" i="19" s="1"/>
  <c r="E405" i="18" l="1"/>
  <c r="AA404" i="17"/>
  <c r="AA404" i="19"/>
  <c r="AD404" i="19" s="1"/>
  <c r="E385" i="21" s="1"/>
  <c r="AA404" i="20"/>
  <c r="H661" i="19"/>
  <c r="K661" i="19"/>
  <c r="L661" i="19"/>
  <c r="F662" i="19" s="1"/>
  <c r="Y422" i="19"/>
  <c r="Y371" i="17"/>
  <c r="K540" i="17"/>
  <c r="L540" i="17" s="1"/>
  <c r="F541" i="17" s="1"/>
  <c r="K542" i="20"/>
  <c r="L542" i="20" s="1"/>
  <c r="F543" i="20" s="1"/>
  <c r="U369" i="20"/>
  <c r="H543" i="20" l="1"/>
  <c r="K541" i="17"/>
  <c r="L541" i="17"/>
  <c r="F542" i="17" s="1"/>
  <c r="H541" i="17"/>
  <c r="R423" i="19"/>
  <c r="J403" i="21"/>
  <c r="X369" i="20"/>
  <c r="Y369" i="20" s="1"/>
  <c r="G405" i="18"/>
  <c r="J405" i="18" s="1"/>
  <c r="I405" i="18"/>
  <c r="R372" i="17"/>
  <c r="I352" i="21"/>
  <c r="AD371" i="17"/>
  <c r="D352" i="21" s="1"/>
  <c r="H662" i="19"/>
  <c r="J662" i="19" s="1"/>
  <c r="K662" i="19" s="1"/>
  <c r="AA405" i="17" l="1"/>
  <c r="AA405" i="20"/>
  <c r="AA405" i="19"/>
  <c r="AD405" i="19" s="1"/>
  <c r="E386" i="21" s="1"/>
  <c r="E406" i="18"/>
  <c r="K350" i="21"/>
  <c r="R370" i="20"/>
  <c r="AD369" i="20"/>
  <c r="F350" i="21" s="1"/>
  <c r="U372" i="17"/>
  <c r="X372" i="17" s="1"/>
  <c r="J542" i="17"/>
  <c r="H542" i="17"/>
  <c r="K542" i="17" s="1"/>
  <c r="U423" i="19"/>
  <c r="X423" i="19"/>
  <c r="Y423" i="19"/>
  <c r="K543" i="20"/>
  <c r="L543" i="20" s="1"/>
  <c r="F544" i="20" s="1"/>
  <c r="L662" i="19"/>
  <c r="F663" i="19" s="1"/>
  <c r="H544" i="20" l="1"/>
  <c r="K544" i="20" s="1"/>
  <c r="Y372" i="17"/>
  <c r="I406" i="18"/>
  <c r="J406" i="18"/>
  <c r="G406" i="18"/>
  <c r="J404" i="21"/>
  <c r="R424" i="19"/>
  <c r="H663" i="19"/>
  <c r="L542" i="17"/>
  <c r="F543" i="17" s="1"/>
  <c r="U370" i="20"/>
  <c r="K663" i="19" l="1"/>
  <c r="L663" i="19" s="1"/>
  <c r="F664" i="19" s="1"/>
  <c r="X370" i="20"/>
  <c r="Y370" i="20" s="1"/>
  <c r="L544" i="20"/>
  <c r="F545" i="20" s="1"/>
  <c r="E407" i="18"/>
  <c r="AA406" i="19"/>
  <c r="AD406" i="19" s="1"/>
  <c r="E387" i="21" s="1"/>
  <c r="AA406" i="17"/>
  <c r="AA406" i="20"/>
  <c r="R373" i="17"/>
  <c r="I353" i="21"/>
  <c r="AD372" i="17"/>
  <c r="D353" i="21" s="1"/>
  <c r="U424" i="19"/>
  <c r="Y424" i="19" s="1"/>
  <c r="X424" i="19"/>
  <c r="H543" i="17"/>
  <c r="K543" i="17" s="1"/>
  <c r="J405" i="21" l="1"/>
  <c r="R425" i="19"/>
  <c r="K351" i="21"/>
  <c r="R371" i="20"/>
  <c r="AD370" i="20"/>
  <c r="F351" i="21" s="1"/>
  <c r="H664" i="19"/>
  <c r="K664" i="19" s="1"/>
  <c r="L543" i="17"/>
  <c r="F544" i="17" s="1"/>
  <c r="J545" i="20"/>
  <c r="K545" i="20"/>
  <c r="H545" i="20"/>
  <c r="L545" i="20" s="1"/>
  <c r="F546" i="20" s="1"/>
  <c r="U373" i="17"/>
  <c r="G407" i="18"/>
  <c r="H407" i="18"/>
  <c r="I407" i="18"/>
  <c r="J407" i="18"/>
  <c r="H546" i="20" l="1"/>
  <c r="K546" i="20" s="1"/>
  <c r="X373" i="17"/>
  <c r="Y373" i="17" s="1"/>
  <c r="L664" i="19"/>
  <c r="F665" i="19" s="1"/>
  <c r="U425" i="19"/>
  <c r="X425" i="19"/>
  <c r="Y425" i="19"/>
  <c r="AA407" i="20"/>
  <c r="AA407" i="17"/>
  <c r="E408" i="18"/>
  <c r="AA407" i="19"/>
  <c r="AD407" i="19" s="1"/>
  <c r="E388" i="21" s="1"/>
  <c r="U371" i="20"/>
  <c r="K544" i="17"/>
  <c r="L544" i="17"/>
  <c r="F545" i="17" s="1"/>
  <c r="H544" i="17"/>
  <c r="R374" i="17" l="1"/>
  <c r="I354" i="21"/>
  <c r="AD373" i="17"/>
  <c r="D354" i="21" s="1"/>
  <c r="J545" i="17"/>
  <c r="K545" i="17"/>
  <c r="H545" i="17"/>
  <c r="L545" i="17" s="1"/>
  <c r="F546" i="17" s="1"/>
  <c r="G408" i="18"/>
  <c r="I408" i="18"/>
  <c r="J408" i="18"/>
  <c r="X371" i="20"/>
  <c r="Y371" i="20" s="1"/>
  <c r="L546" i="20"/>
  <c r="F547" i="20" s="1"/>
  <c r="H665" i="19"/>
  <c r="L665" i="19" s="1"/>
  <c r="F666" i="19" s="1"/>
  <c r="J665" i="19"/>
  <c r="K665" i="19" s="1"/>
  <c r="R426" i="19"/>
  <c r="J406" i="21"/>
  <c r="H546" i="17" l="1"/>
  <c r="H666" i="19"/>
  <c r="L666" i="19" s="1"/>
  <c r="F667" i="19" s="1"/>
  <c r="K666" i="19"/>
  <c r="K352" i="21"/>
  <c r="R372" i="20"/>
  <c r="AD371" i="20"/>
  <c r="F352" i="21" s="1"/>
  <c r="AA408" i="20"/>
  <c r="AA408" i="19"/>
  <c r="AD408" i="19" s="1"/>
  <c r="E389" i="21" s="1"/>
  <c r="E409" i="18"/>
  <c r="AA408" i="17"/>
  <c r="U426" i="19"/>
  <c r="X426" i="19" s="1"/>
  <c r="X374" i="17"/>
  <c r="Y374" i="17"/>
  <c r="U374" i="17"/>
  <c r="H547" i="20"/>
  <c r="K547" i="20" s="1"/>
  <c r="H667" i="19" l="1"/>
  <c r="K667" i="19" s="1"/>
  <c r="L546" i="17"/>
  <c r="F547" i="17" s="1"/>
  <c r="G409" i="18"/>
  <c r="J409" i="18" s="1"/>
  <c r="I409" i="18"/>
  <c r="Y426" i="19"/>
  <c r="L547" i="20"/>
  <c r="F548" i="20" s="1"/>
  <c r="U372" i="20"/>
  <c r="X372" i="20" s="1"/>
  <c r="K546" i="17"/>
  <c r="R375" i="17"/>
  <c r="I355" i="21"/>
  <c r="AD374" i="17"/>
  <c r="D355" i="21" s="1"/>
  <c r="AA409" i="19" l="1"/>
  <c r="AD409" i="19" s="1"/>
  <c r="E390" i="21" s="1"/>
  <c r="AA409" i="20"/>
  <c r="AA409" i="17"/>
  <c r="E410" i="18"/>
  <c r="Y372" i="20"/>
  <c r="H548" i="20"/>
  <c r="J548" i="20" s="1"/>
  <c r="J407" i="21"/>
  <c r="R427" i="19"/>
  <c r="L667" i="19"/>
  <c r="F668" i="19" s="1"/>
  <c r="H547" i="17"/>
  <c r="K547" i="17" s="1"/>
  <c r="U375" i="17"/>
  <c r="H668" i="19" l="1"/>
  <c r="J668" i="19"/>
  <c r="K668" i="19" s="1"/>
  <c r="X375" i="17"/>
  <c r="Y375" i="17" s="1"/>
  <c r="K353" i="21"/>
  <c r="R373" i="20"/>
  <c r="AD372" i="20"/>
  <c r="F353" i="21" s="1"/>
  <c r="I410" i="18"/>
  <c r="G410" i="18"/>
  <c r="J410" i="18" s="1"/>
  <c r="H410" i="18"/>
  <c r="L547" i="17"/>
  <c r="F548" i="17" s="1"/>
  <c r="K548" i="20"/>
  <c r="L548" i="20" s="1"/>
  <c r="F549" i="20" s="1"/>
  <c r="U427" i="19"/>
  <c r="X427" i="19"/>
  <c r="Y427" i="19"/>
  <c r="H549" i="20" l="1"/>
  <c r="K549" i="20" s="1"/>
  <c r="R376" i="17"/>
  <c r="I356" i="21"/>
  <c r="AD375" i="17"/>
  <c r="D356" i="21" s="1"/>
  <c r="AA410" i="20"/>
  <c r="AA410" i="17"/>
  <c r="E411" i="18"/>
  <c r="AA410" i="19"/>
  <c r="AD410" i="19" s="1"/>
  <c r="E391" i="21" s="1"/>
  <c r="L668" i="19"/>
  <c r="F669" i="19" s="1"/>
  <c r="U373" i="20"/>
  <c r="X373" i="20" s="1"/>
  <c r="Y373" i="20" s="1"/>
  <c r="H548" i="17"/>
  <c r="J408" i="21"/>
  <c r="R428" i="19"/>
  <c r="R374" i="20" l="1"/>
  <c r="K354" i="21"/>
  <c r="AD373" i="20"/>
  <c r="F354" i="21" s="1"/>
  <c r="X376" i="17"/>
  <c r="Y376" i="17"/>
  <c r="U376" i="17"/>
  <c r="J548" i="17"/>
  <c r="K548" i="17" s="1"/>
  <c r="L548" i="17" s="1"/>
  <c r="F549" i="17" s="1"/>
  <c r="U428" i="19"/>
  <c r="X428" i="19" s="1"/>
  <c r="Y428" i="19" s="1"/>
  <c r="R429" i="19" s="1"/>
  <c r="L549" i="20"/>
  <c r="F550" i="20" s="1"/>
  <c r="H669" i="19"/>
  <c r="K669" i="19"/>
  <c r="L669" i="19"/>
  <c r="F670" i="19" s="1"/>
  <c r="G411" i="18"/>
  <c r="I411" i="18" s="1"/>
  <c r="U429" i="19" l="1"/>
  <c r="X429" i="19"/>
  <c r="Y429" i="19"/>
  <c r="R430" i="19" s="1"/>
  <c r="H549" i="17"/>
  <c r="H670" i="19"/>
  <c r="L670" i="19" s="1"/>
  <c r="F671" i="19" s="1"/>
  <c r="K670" i="19"/>
  <c r="H550" i="20"/>
  <c r="K550" i="20" s="1"/>
  <c r="U374" i="20"/>
  <c r="R377" i="17"/>
  <c r="I357" i="21"/>
  <c r="AD376" i="17"/>
  <c r="D357" i="21" s="1"/>
  <c r="J411" i="18"/>
  <c r="H671" i="19" l="1"/>
  <c r="J671" i="19"/>
  <c r="K671" i="19"/>
  <c r="L671" i="19"/>
  <c r="F672" i="19" s="1"/>
  <c r="L549" i="17"/>
  <c r="F550" i="17" s="1"/>
  <c r="K549" i="17"/>
  <c r="U377" i="17"/>
  <c r="L550" i="20"/>
  <c r="F551" i="20" s="1"/>
  <c r="X374" i="20"/>
  <c r="Y374" i="20" s="1"/>
  <c r="U430" i="19"/>
  <c r="AA411" i="20"/>
  <c r="E412" i="18"/>
  <c r="AA411" i="19"/>
  <c r="AD411" i="19" s="1"/>
  <c r="E392" i="21" s="1"/>
  <c r="AA411" i="17"/>
  <c r="R375" i="20" l="1"/>
  <c r="K355" i="21"/>
  <c r="AD374" i="20"/>
  <c r="F355" i="21" s="1"/>
  <c r="H672" i="19"/>
  <c r="K672" i="19" s="1"/>
  <c r="G412" i="18"/>
  <c r="I412" i="18" s="1"/>
  <c r="J412" i="18" s="1"/>
  <c r="K550" i="17"/>
  <c r="H550" i="17"/>
  <c r="L550" i="17" s="1"/>
  <c r="F551" i="17" s="1"/>
  <c r="X377" i="17"/>
  <c r="Y377" i="17" s="1"/>
  <c r="J551" i="20"/>
  <c r="L551" i="20" s="1"/>
  <c r="F552" i="20" s="1"/>
  <c r="K551" i="20"/>
  <c r="H551" i="20"/>
  <c r="X430" i="19"/>
  <c r="Y430" i="19" s="1"/>
  <c r="R431" i="19" s="1"/>
  <c r="U431" i="19" l="1"/>
  <c r="AA412" i="19"/>
  <c r="AD412" i="19" s="1"/>
  <c r="E393" i="21" s="1"/>
  <c r="AA412" i="17"/>
  <c r="E413" i="18"/>
  <c r="AA412" i="20"/>
  <c r="H552" i="20"/>
  <c r="K552" i="20" s="1"/>
  <c r="I358" i="21"/>
  <c r="R378" i="17"/>
  <c r="AD377" i="17"/>
  <c r="D358" i="21" s="1"/>
  <c r="H551" i="17"/>
  <c r="J551" i="17" s="1"/>
  <c r="L672" i="19"/>
  <c r="F673" i="19" s="1"/>
  <c r="X375" i="20"/>
  <c r="Y375" i="20" s="1"/>
  <c r="U375" i="20"/>
  <c r="K356" i="21" l="1"/>
  <c r="R376" i="20"/>
  <c r="AD375" i="20"/>
  <c r="F356" i="21" s="1"/>
  <c r="X378" i="17"/>
  <c r="U378" i="17"/>
  <c r="Y378" i="17" s="1"/>
  <c r="K551" i="17"/>
  <c r="L551" i="17" s="1"/>
  <c r="F552" i="17" s="1"/>
  <c r="L552" i="20"/>
  <c r="F553" i="20" s="1"/>
  <c r="X431" i="19"/>
  <c r="Y431" i="19" s="1"/>
  <c r="R432" i="19" s="1"/>
  <c r="H673" i="19"/>
  <c r="K673" i="19" s="1"/>
  <c r="G413" i="18"/>
  <c r="J413" i="18" s="1"/>
  <c r="H413" i="18"/>
  <c r="I413" i="18"/>
  <c r="H552" i="17" l="1"/>
  <c r="AA413" i="19"/>
  <c r="AD413" i="19" s="1"/>
  <c r="E394" i="21" s="1"/>
  <c r="AA413" i="20"/>
  <c r="E414" i="18"/>
  <c r="AA413" i="17"/>
  <c r="I359" i="21"/>
  <c r="R379" i="17"/>
  <c r="AD378" i="17"/>
  <c r="D359" i="21" s="1"/>
  <c r="U432" i="19"/>
  <c r="H553" i="20"/>
  <c r="L673" i="19"/>
  <c r="F674" i="19" s="1"/>
  <c r="X376" i="20"/>
  <c r="U376" i="20"/>
  <c r="Y376" i="20" s="1"/>
  <c r="K357" i="21" l="1"/>
  <c r="R377" i="20"/>
  <c r="AD376" i="20"/>
  <c r="F357" i="21" s="1"/>
  <c r="L552" i="17"/>
  <c r="F553" i="17" s="1"/>
  <c r="G414" i="18"/>
  <c r="J414" i="18" s="1"/>
  <c r="I414" i="18"/>
  <c r="X379" i="17"/>
  <c r="Y379" i="17"/>
  <c r="U379" i="17"/>
  <c r="K553" i="20"/>
  <c r="L553" i="20" s="1"/>
  <c r="F554" i="20" s="1"/>
  <c r="K552" i="17"/>
  <c r="H674" i="19"/>
  <c r="J674" i="19"/>
  <c r="X432" i="19"/>
  <c r="Y432" i="19" s="1"/>
  <c r="R433" i="19" s="1"/>
  <c r="AA414" i="20" l="1"/>
  <c r="E415" i="18"/>
  <c r="AA414" i="19"/>
  <c r="AD414" i="19" s="1"/>
  <c r="E395" i="21" s="1"/>
  <c r="AA414" i="17"/>
  <c r="L674" i="19"/>
  <c r="F675" i="19" s="1"/>
  <c r="H554" i="20"/>
  <c r="J554" i="20" s="1"/>
  <c r="U433" i="19"/>
  <c r="X433" i="19" s="1"/>
  <c r="Y433" i="19" s="1"/>
  <c r="R434" i="19" s="1"/>
  <c r="I360" i="21"/>
  <c r="R380" i="17"/>
  <c r="AD379" i="17"/>
  <c r="D360" i="21" s="1"/>
  <c r="U377" i="20"/>
  <c r="X377" i="20" s="1"/>
  <c r="K553" i="17"/>
  <c r="H553" i="17"/>
  <c r="L553" i="17" s="1"/>
  <c r="F554" i="17" s="1"/>
  <c r="K674" i="19"/>
  <c r="H554" i="17" l="1"/>
  <c r="K554" i="20"/>
  <c r="L554" i="20" s="1"/>
  <c r="F555" i="20" s="1"/>
  <c r="U434" i="19"/>
  <c r="X434" i="19" s="1"/>
  <c r="Y434" i="19" s="1"/>
  <c r="R435" i="19" s="1"/>
  <c r="H675" i="19"/>
  <c r="K675" i="19"/>
  <c r="L675" i="19"/>
  <c r="F676" i="19" s="1"/>
  <c r="Y377" i="20"/>
  <c r="U380" i="17"/>
  <c r="X380" i="17" s="1"/>
  <c r="I415" i="18"/>
  <c r="J415" i="18" s="1"/>
  <c r="G415" i="18"/>
  <c r="AA415" i="17" l="1"/>
  <c r="E416" i="18"/>
  <c r="AA415" i="19"/>
  <c r="AD415" i="19" s="1"/>
  <c r="E396" i="21" s="1"/>
  <c r="AA415" i="20"/>
  <c r="X435" i="19"/>
  <c r="Y435" i="19" s="1"/>
  <c r="R436" i="19" s="1"/>
  <c r="U435" i="19"/>
  <c r="H555" i="20"/>
  <c r="H676" i="19"/>
  <c r="K676" i="19" s="1"/>
  <c r="Y380" i="17"/>
  <c r="K358" i="21"/>
  <c r="R378" i="20"/>
  <c r="AD377" i="20"/>
  <c r="F358" i="21" s="1"/>
  <c r="J554" i="17"/>
  <c r="K554" i="17" s="1"/>
  <c r="L554" i="17" s="1"/>
  <c r="F555" i="17" s="1"/>
  <c r="K555" i="17" l="1"/>
  <c r="H555" i="17"/>
  <c r="L555" i="17" s="1"/>
  <c r="F556" i="17" s="1"/>
  <c r="U436" i="19"/>
  <c r="X436" i="19" s="1"/>
  <c r="Y436" i="19" s="1"/>
  <c r="R437" i="19" s="1"/>
  <c r="L676" i="19"/>
  <c r="F677" i="19" s="1"/>
  <c r="K555" i="20"/>
  <c r="L555" i="20" s="1"/>
  <c r="F556" i="20" s="1"/>
  <c r="R381" i="17"/>
  <c r="I361" i="21"/>
  <c r="AD380" i="17"/>
  <c r="D361" i="21" s="1"/>
  <c r="G416" i="18"/>
  <c r="I416" i="18"/>
  <c r="H416" i="18"/>
  <c r="J416" i="18"/>
  <c r="X378" i="20"/>
  <c r="Y378" i="20"/>
  <c r="U378" i="20"/>
  <c r="H556" i="20" l="1"/>
  <c r="K556" i="20" s="1"/>
  <c r="L556" i="20" s="1"/>
  <c r="F557" i="20" s="1"/>
  <c r="U437" i="19"/>
  <c r="X437" i="19" s="1"/>
  <c r="Y437" i="19" s="1"/>
  <c r="R438" i="19" s="1"/>
  <c r="K556" i="17"/>
  <c r="H556" i="17"/>
  <c r="L556" i="17" s="1"/>
  <c r="F557" i="17" s="1"/>
  <c r="E417" i="18"/>
  <c r="AA416" i="19"/>
  <c r="AD416" i="19" s="1"/>
  <c r="E397" i="21" s="1"/>
  <c r="AA416" i="17"/>
  <c r="AA416" i="20"/>
  <c r="R379" i="20"/>
  <c r="K359" i="21"/>
  <c r="AD378" i="20"/>
  <c r="F359" i="21" s="1"/>
  <c r="H677" i="19"/>
  <c r="K677" i="19" s="1"/>
  <c r="J677" i="19"/>
  <c r="L677" i="19" s="1"/>
  <c r="F678" i="19" s="1"/>
  <c r="U381" i="17"/>
  <c r="X381" i="17" s="1"/>
  <c r="H678" i="19" l="1"/>
  <c r="K678" i="19" s="1"/>
  <c r="H557" i="20"/>
  <c r="J557" i="20" s="1"/>
  <c r="H557" i="17"/>
  <c r="U438" i="19"/>
  <c r="X438" i="19" s="1"/>
  <c r="Y381" i="17"/>
  <c r="G417" i="18"/>
  <c r="I417" i="18" s="1"/>
  <c r="U379" i="20"/>
  <c r="X379" i="20" s="1"/>
  <c r="K557" i="20" l="1"/>
  <c r="L557" i="20"/>
  <c r="F558" i="20" s="1"/>
  <c r="J417" i="18"/>
  <c r="J557" i="17"/>
  <c r="K557" i="17" s="1"/>
  <c r="Y379" i="20"/>
  <c r="R382" i="17"/>
  <c r="I362" i="21"/>
  <c r="AD381" i="17"/>
  <c r="D362" i="21" s="1"/>
  <c r="L678" i="19"/>
  <c r="F679" i="19" s="1"/>
  <c r="Y438" i="19"/>
  <c r="R439" i="19" s="1"/>
  <c r="H679" i="19" l="1"/>
  <c r="K679" i="19" s="1"/>
  <c r="U439" i="19"/>
  <c r="X439" i="19" s="1"/>
  <c r="Y439" i="19" s="1"/>
  <c r="R440" i="19" s="1"/>
  <c r="L557" i="17"/>
  <c r="F558" i="17" s="1"/>
  <c r="AA417" i="20"/>
  <c r="AA417" i="19"/>
  <c r="AD417" i="19" s="1"/>
  <c r="E398" i="21" s="1"/>
  <c r="E418" i="18"/>
  <c r="AA417" i="17"/>
  <c r="K558" i="20"/>
  <c r="H558" i="20"/>
  <c r="L558" i="20" s="1"/>
  <c r="F559" i="20" s="1"/>
  <c r="K360" i="21"/>
  <c r="R380" i="20"/>
  <c r="AD379" i="20"/>
  <c r="F360" i="21" s="1"/>
  <c r="X382" i="17"/>
  <c r="U382" i="17"/>
  <c r="Y382" i="17" s="1"/>
  <c r="H559" i="20" l="1"/>
  <c r="K559" i="20" s="1"/>
  <c r="L559" i="20" s="1"/>
  <c r="F560" i="20" s="1"/>
  <c r="R383" i="17"/>
  <c r="I363" i="21"/>
  <c r="AD382" i="17"/>
  <c r="D363" i="21" s="1"/>
  <c r="Y440" i="19"/>
  <c r="R441" i="19" s="1"/>
  <c r="U440" i="19"/>
  <c r="X440" i="19"/>
  <c r="U380" i="20"/>
  <c r="G418" i="18"/>
  <c r="I418" i="18"/>
  <c r="J418" i="18"/>
  <c r="L679" i="19"/>
  <c r="F680" i="19" s="1"/>
  <c r="K558" i="17"/>
  <c r="H558" i="17"/>
  <c r="L558" i="17" s="1"/>
  <c r="F559" i="17" s="1"/>
  <c r="H559" i="17" l="1"/>
  <c r="K559" i="17" s="1"/>
  <c r="H560" i="20"/>
  <c r="J560" i="20" s="1"/>
  <c r="X380" i="20"/>
  <c r="Y380" i="20" s="1"/>
  <c r="AA418" i="17"/>
  <c r="E419" i="18"/>
  <c r="AA418" i="20"/>
  <c r="AA418" i="19"/>
  <c r="AD418" i="19" s="1"/>
  <c r="E399" i="21" s="1"/>
  <c r="U383" i="17"/>
  <c r="U441" i="19"/>
  <c r="Y441" i="19" s="1"/>
  <c r="R442" i="19" s="1"/>
  <c r="X441" i="19"/>
  <c r="H680" i="19"/>
  <c r="J680" i="19" s="1"/>
  <c r="U442" i="19" l="1"/>
  <c r="X442" i="19" s="1"/>
  <c r="Y442" i="19" s="1"/>
  <c r="R443" i="19" s="1"/>
  <c r="K680" i="19"/>
  <c r="L680" i="19" s="1"/>
  <c r="F681" i="19" s="1"/>
  <c r="R381" i="20"/>
  <c r="K361" i="21"/>
  <c r="AD380" i="20"/>
  <c r="F361" i="21" s="1"/>
  <c r="K560" i="20"/>
  <c r="L560" i="20" s="1"/>
  <c r="F561" i="20" s="1"/>
  <c r="G419" i="18"/>
  <c r="H419" i="18" s="1"/>
  <c r="X383" i="17"/>
  <c r="Y383" i="17" s="1"/>
  <c r="L559" i="17"/>
  <c r="F560" i="17" s="1"/>
  <c r="X443" i="19" l="1"/>
  <c r="U443" i="19"/>
  <c r="Y443" i="19" s="1"/>
  <c r="R444" i="19" s="1"/>
  <c r="H561" i="20"/>
  <c r="K561" i="20" s="1"/>
  <c r="I364" i="21"/>
  <c r="R384" i="17"/>
  <c r="AD383" i="17"/>
  <c r="D364" i="21" s="1"/>
  <c r="H681" i="19"/>
  <c r="K681" i="19" s="1"/>
  <c r="H560" i="17"/>
  <c r="U381" i="20"/>
  <c r="X381" i="20" s="1"/>
  <c r="I419" i="18"/>
  <c r="J419" i="18"/>
  <c r="U444" i="19" l="1"/>
  <c r="X444" i="19" s="1"/>
  <c r="L681" i="19"/>
  <c r="F682" i="19" s="1"/>
  <c r="L561" i="20"/>
  <c r="F562" i="20" s="1"/>
  <c r="Y381" i="20"/>
  <c r="AA419" i="17"/>
  <c r="AA419" i="20"/>
  <c r="AA419" i="19"/>
  <c r="AD419" i="19" s="1"/>
  <c r="E400" i="21" s="1"/>
  <c r="E420" i="18"/>
  <c r="J560" i="17"/>
  <c r="K560" i="17" s="1"/>
  <c r="X384" i="17"/>
  <c r="U384" i="17"/>
  <c r="Y384" i="17" s="1"/>
  <c r="I365" i="21" l="1"/>
  <c r="R385" i="17"/>
  <c r="AD384" i="17"/>
  <c r="D365" i="21" s="1"/>
  <c r="K362" i="21"/>
  <c r="R382" i="20"/>
  <c r="AD381" i="20"/>
  <c r="F362" i="21" s="1"/>
  <c r="H562" i="20"/>
  <c r="K562" i="20" s="1"/>
  <c r="H682" i="19"/>
  <c r="K682" i="19"/>
  <c r="L682" i="19"/>
  <c r="F683" i="19" s="1"/>
  <c r="L560" i="17"/>
  <c r="F561" i="17" s="1"/>
  <c r="Y444" i="19"/>
  <c r="R445" i="19" s="1"/>
  <c r="G420" i="18"/>
  <c r="I420" i="18" s="1"/>
  <c r="J420" i="18" s="1"/>
  <c r="AA420" i="20" l="1"/>
  <c r="AA420" i="17"/>
  <c r="E421" i="18"/>
  <c r="AA420" i="19"/>
  <c r="AD420" i="19" s="1"/>
  <c r="E401" i="21" s="1"/>
  <c r="X382" i="20"/>
  <c r="Y382" i="20"/>
  <c r="U382" i="20"/>
  <c r="U445" i="19"/>
  <c r="X445" i="19" s="1"/>
  <c r="L562" i="20"/>
  <c r="F563" i="20" s="1"/>
  <c r="U385" i="17"/>
  <c r="X385" i="17" s="1"/>
  <c r="Y385" i="17" s="1"/>
  <c r="H683" i="19"/>
  <c r="L683" i="19" s="1"/>
  <c r="F684" i="19" s="1"/>
  <c r="J683" i="19"/>
  <c r="K683" i="19"/>
  <c r="H561" i="17"/>
  <c r="K561" i="17" s="1"/>
  <c r="H684" i="19" l="1"/>
  <c r="K684" i="19"/>
  <c r="L684" i="19"/>
  <c r="F685" i="19" s="1"/>
  <c r="I366" i="21"/>
  <c r="R386" i="17"/>
  <c r="AD385" i="17"/>
  <c r="D366" i="21" s="1"/>
  <c r="Y445" i="19"/>
  <c r="R446" i="19" s="1"/>
  <c r="G421" i="18"/>
  <c r="I421" i="18"/>
  <c r="J421" i="18"/>
  <c r="H563" i="20"/>
  <c r="J563" i="20" s="1"/>
  <c r="L561" i="17"/>
  <c r="F562" i="17" s="1"/>
  <c r="R383" i="20"/>
  <c r="K363" i="21"/>
  <c r="AD382" i="20"/>
  <c r="F363" i="21" s="1"/>
  <c r="K563" i="20" l="1"/>
  <c r="L563" i="20" s="1"/>
  <c r="F564" i="20" s="1"/>
  <c r="U386" i="17"/>
  <c r="AA421" i="19"/>
  <c r="AD421" i="19" s="1"/>
  <c r="E402" i="21" s="1"/>
  <c r="AA421" i="17"/>
  <c r="E422" i="18"/>
  <c r="AA421" i="20"/>
  <c r="H685" i="19"/>
  <c r="K685" i="19" s="1"/>
  <c r="U383" i="20"/>
  <c r="X383" i="20" s="1"/>
  <c r="H562" i="17"/>
  <c r="U446" i="19"/>
  <c r="X446" i="19"/>
  <c r="Y446" i="19"/>
  <c r="R447" i="19" s="1"/>
  <c r="Y386" i="17" l="1"/>
  <c r="H564" i="20"/>
  <c r="K564" i="20" s="1"/>
  <c r="L685" i="19"/>
  <c r="F686" i="19" s="1"/>
  <c r="X386" i="17"/>
  <c r="K562" i="17"/>
  <c r="L562" i="17" s="1"/>
  <c r="F563" i="17" s="1"/>
  <c r="Y383" i="20"/>
  <c r="G422" i="18"/>
  <c r="I422" i="18" s="1"/>
  <c r="H422" i="18"/>
  <c r="U447" i="19"/>
  <c r="X447" i="19" s="1"/>
  <c r="Y447" i="19" s="1"/>
  <c r="R448" i="19" s="1"/>
  <c r="J563" i="17" l="1"/>
  <c r="L563" i="17" s="1"/>
  <c r="F564" i="17" s="1"/>
  <c r="H563" i="17"/>
  <c r="K563" i="17" s="1"/>
  <c r="U448" i="19"/>
  <c r="R384" i="20"/>
  <c r="K364" i="21"/>
  <c r="AD383" i="20"/>
  <c r="F364" i="21" s="1"/>
  <c r="H686" i="19"/>
  <c r="L564" i="20"/>
  <c r="F565" i="20" s="1"/>
  <c r="J422" i="18"/>
  <c r="R387" i="17"/>
  <c r="I367" i="21"/>
  <c r="AD386" i="17"/>
  <c r="D367" i="21" s="1"/>
  <c r="K686" i="19" l="1"/>
  <c r="H564" i="17"/>
  <c r="X448" i="19"/>
  <c r="Y448" i="19" s="1"/>
  <c r="R449" i="19" s="1"/>
  <c r="J686" i="19"/>
  <c r="U387" i="17"/>
  <c r="K565" i="20"/>
  <c r="L565" i="20" s="1"/>
  <c r="F566" i="20" s="1"/>
  <c r="H565" i="20"/>
  <c r="L686" i="19"/>
  <c r="F687" i="19" s="1"/>
  <c r="E423" i="18"/>
  <c r="AA422" i="20"/>
  <c r="AA422" i="19"/>
  <c r="AD422" i="19" s="1"/>
  <c r="E403" i="21" s="1"/>
  <c r="AA422" i="17"/>
  <c r="U384" i="20"/>
  <c r="X384" i="20" s="1"/>
  <c r="H566" i="20" l="1"/>
  <c r="U449" i="19"/>
  <c r="X449" i="19" s="1"/>
  <c r="K564" i="17"/>
  <c r="L564" i="17" s="1"/>
  <c r="F565" i="17" s="1"/>
  <c r="G423" i="18"/>
  <c r="J423" i="18" s="1"/>
  <c r="I423" i="18"/>
  <c r="Y384" i="20"/>
  <c r="X387" i="17"/>
  <c r="Y387" i="17" s="1"/>
  <c r="H687" i="19"/>
  <c r="K687" i="19" s="1"/>
  <c r="H565" i="17" l="1"/>
  <c r="AA423" i="20"/>
  <c r="AA423" i="19"/>
  <c r="AD423" i="19" s="1"/>
  <c r="E404" i="21" s="1"/>
  <c r="AA423" i="17"/>
  <c r="E424" i="18"/>
  <c r="R388" i="17"/>
  <c r="I368" i="21"/>
  <c r="AD387" i="17"/>
  <c r="D368" i="21" s="1"/>
  <c r="R385" i="20"/>
  <c r="K365" i="21"/>
  <c r="AD384" i="20"/>
  <c r="F365" i="21" s="1"/>
  <c r="J566" i="20"/>
  <c r="K566" i="20"/>
  <c r="L566" i="20" s="1"/>
  <c r="F567" i="20" s="1"/>
  <c r="Y449" i="19"/>
  <c r="R450" i="19" s="1"/>
  <c r="L687" i="19"/>
  <c r="F688" i="19" s="1"/>
  <c r="H567" i="20" l="1"/>
  <c r="K567" i="20" s="1"/>
  <c r="L565" i="17"/>
  <c r="F566" i="17" s="1"/>
  <c r="X385" i="20"/>
  <c r="Y385" i="20" s="1"/>
  <c r="U385" i="20"/>
  <c r="H688" i="19"/>
  <c r="K688" i="19" s="1"/>
  <c r="L688" i="19" s="1"/>
  <c r="F689" i="19" s="1"/>
  <c r="X388" i="17"/>
  <c r="Y388" i="17"/>
  <c r="U388" i="17"/>
  <c r="K565" i="17"/>
  <c r="U450" i="19"/>
  <c r="Y450" i="19" s="1"/>
  <c r="R451" i="19" s="1"/>
  <c r="X450" i="19"/>
  <c r="G424" i="18"/>
  <c r="I424" i="18"/>
  <c r="J424" i="18" s="1"/>
  <c r="H689" i="19" l="1"/>
  <c r="L689" i="19" s="1"/>
  <c r="F690" i="19" s="1"/>
  <c r="J689" i="19"/>
  <c r="K689" i="19"/>
  <c r="X451" i="19"/>
  <c r="Y451" i="19"/>
  <c r="R452" i="19" s="1"/>
  <c r="U451" i="19"/>
  <c r="K366" i="21"/>
  <c r="R386" i="20"/>
  <c r="AD385" i="20"/>
  <c r="F366" i="21" s="1"/>
  <c r="E425" i="18"/>
  <c r="AA424" i="20"/>
  <c r="AA424" i="17"/>
  <c r="AA424" i="19"/>
  <c r="AD424" i="19" s="1"/>
  <c r="E405" i="21" s="1"/>
  <c r="H566" i="17"/>
  <c r="L567" i="20"/>
  <c r="F568" i="20" s="1"/>
  <c r="I369" i="21"/>
  <c r="R389" i="17"/>
  <c r="AD388" i="17"/>
  <c r="D369" i="21" s="1"/>
  <c r="H690" i="19" l="1"/>
  <c r="K690" i="19" s="1"/>
  <c r="U452" i="19"/>
  <c r="X452" i="19"/>
  <c r="Y452" i="19" s="1"/>
  <c r="R453" i="19" s="1"/>
  <c r="X389" i="17"/>
  <c r="U389" i="17"/>
  <c r="Y389" i="17" s="1"/>
  <c r="U386" i="20"/>
  <c r="J566" i="17"/>
  <c r="K566" i="17" s="1"/>
  <c r="L566" i="17" s="1"/>
  <c r="F567" i="17" s="1"/>
  <c r="G425" i="18"/>
  <c r="H425" i="18"/>
  <c r="J425" i="18" s="1"/>
  <c r="I425" i="18"/>
  <c r="H568" i="20"/>
  <c r="K568" i="20" s="1"/>
  <c r="R390" i="17" l="1"/>
  <c r="I370" i="21"/>
  <c r="AD389" i="17"/>
  <c r="D370" i="21" s="1"/>
  <c r="AA425" i="19"/>
  <c r="AD425" i="19" s="1"/>
  <c r="E406" i="21" s="1"/>
  <c r="E426" i="18"/>
  <c r="AA425" i="20"/>
  <c r="AA425" i="17"/>
  <c r="Y453" i="19"/>
  <c r="R454" i="19" s="1"/>
  <c r="U453" i="19"/>
  <c r="X453" i="19"/>
  <c r="H567" i="17"/>
  <c r="K567" i="17" s="1"/>
  <c r="X386" i="20"/>
  <c r="Y386" i="20" s="1"/>
  <c r="L690" i="19"/>
  <c r="F691" i="19" s="1"/>
  <c r="L568" i="20"/>
  <c r="F569" i="20" s="1"/>
  <c r="R387" i="20" l="1"/>
  <c r="K367" i="21"/>
  <c r="AD386" i="20"/>
  <c r="F367" i="21" s="1"/>
  <c r="L567" i="17"/>
  <c r="F568" i="17" s="1"/>
  <c r="G426" i="18"/>
  <c r="H569" i="20"/>
  <c r="H691" i="19"/>
  <c r="K691" i="19" s="1"/>
  <c r="L691" i="19" s="1"/>
  <c r="F692" i="19" s="1"/>
  <c r="U390" i="17"/>
  <c r="U454" i="19"/>
  <c r="X454" i="19"/>
  <c r="Y454" i="19"/>
  <c r="R455" i="19" s="1"/>
  <c r="J426" i="18" l="1"/>
  <c r="H692" i="19"/>
  <c r="L692" i="19" s="1"/>
  <c r="F693" i="19" s="1"/>
  <c r="J692" i="19"/>
  <c r="K692" i="19"/>
  <c r="I426" i="18"/>
  <c r="X390" i="17"/>
  <c r="Y390" i="17" s="1"/>
  <c r="J569" i="20"/>
  <c r="K569" i="20" s="1"/>
  <c r="L569" i="20" s="1"/>
  <c r="F570" i="20" s="1"/>
  <c r="K568" i="17"/>
  <c r="L568" i="17"/>
  <c r="F569" i="17" s="1"/>
  <c r="H568" i="17"/>
  <c r="U455" i="19"/>
  <c r="X455" i="19"/>
  <c r="Y455" i="19"/>
  <c r="R456" i="19" s="1"/>
  <c r="U387" i="20"/>
  <c r="X387" i="20" s="1"/>
  <c r="Y387" i="20" s="1"/>
  <c r="I371" i="21" l="1"/>
  <c r="R391" i="17"/>
  <c r="AD390" i="17"/>
  <c r="D371" i="21" s="1"/>
  <c r="H693" i="19"/>
  <c r="K693" i="19"/>
  <c r="L693" i="19" s="1"/>
  <c r="F694" i="19" s="1"/>
  <c r="K368" i="21"/>
  <c r="R388" i="20"/>
  <c r="AD387" i="20"/>
  <c r="F368" i="21" s="1"/>
  <c r="H570" i="20"/>
  <c r="K570" i="20" s="1"/>
  <c r="U456" i="19"/>
  <c r="Y456" i="19" s="1"/>
  <c r="R457" i="19" s="1"/>
  <c r="X456" i="19"/>
  <c r="J569" i="17"/>
  <c r="K569" i="17" s="1"/>
  <c r="H569" i="17"/>
  <c r="AA426" i="19"/>
  <c r="AD426" i="19" s="1"/>
  <c r="E407" i="21" s="1"/>
  <c r="AA426" i="20"/>
  <c r="AA426" i="17"/>
  <c r="E427" i="18"/>
  <c r="H694" i="19" l="1"/>
  <c r="K694" i="19"/>
  <c r="L694" i="19"/>
  <c r="F695" i="19" s="1"/>
  <c r="U457" i="19"/>
  <c r="X457" i="19"/>
  <c r="Y457" i="19"/>
  <c r="R458" i="19" s="1"/>
  <c r="G427" i="18"/>
  <c r="I427" i="18"/>
  <c r="J427" i="18"/>
  <c r="L570" i="20"/>
  <c r="F571" i="20" s="1"/>
  <c r="X388" i="20"/>
  <c r="U388" i="20"/>
  <c r="Y388" i="20" s="1"/>
  <c r="U391" i="17"/>
  <c r="X391" i="17" s="1"/>
  <c r="L569" i="17"/>
  <c r="F570" i="17" s="1"/>
  <c r="R389" i="20" l="1"/>
  <c r="K369" i="21"/>
  <c r="AD388" i="20"/>
  <c r="F369" i="21" s="1"/>
  <c r="U458" i="19"/>
  <c r="Y458" i="19" s="1"/>
  <c r="R459" i="19" s="1"/>
  <c r="X458" i="19"/>
  <c r="Y391" i="17"/>
  <c r="H695" i="19"/>
  <c r="J695" i="19" s="1"/>
  <c r="K570" i="17"/>
  <c r="H570" i="17"/>
  <c r="L570" i="17" s="1"/>
  <c r="F571" i="17" s="1"/>
  <c r="H571" i="20"/>
  <c r="K571" i="20" s="1"/>
  <c r="E428" i="18"/>
  <c r="AA427" i="20"/>
  <c r="AA427" i="17"/>
  <c r="AA427" i="19"/>
  <c r="AD427" i="19" s="1"/>
  <c r="E408" i="21" s="1"/>
  <c r="U459" i="19" l="1"/>
  <c r="X459" i="19"/>
  <c r="Y459" i="19"/>
  <c r="R460" i="19" s="1"/>
  <c r="H571" i="17"/>
  <c r="K571" i="17" s="1"/>
  <c r="G428" i="18"/>
  <c r="I428" i="18" s="1"/>
  <c r="H428" i="18"/>
  <c r="L571" i="20"/>
  <c r="F572" i="20" s="1"/>
  <c r="K695" i="19"/>
  <c r="L695" i="19" s="1"/>
  <c r="F696" i="19" s="1"/>
  <c r="I372" i="21"/>
  <c r="R392" i="17"/>
  <c r="AD391" i="17"/>
  <c r="D372" i="21" s="1"/>
  <c r="U389" i="20"/>
  <c r="H696" i="19" l="1"/>
  <c r="K696" i="19"/>
  <c r="L696" i="19" s="1"/>
  <c r="F697" i="19" s="1"/>
  <c r="L571" i="17"/>
  <c r="F572" i="17" s="1"/>
  <c r="U392" i="17"/>
  <c r="X392" i="17" s="1"/>
  <c r="Y392" i="17" s="1"/>
  <c r="U460" i="19"/>
  <c r="X460" i="19" s="1"/>
  <c r="X389" i="20"/>
  <c r="Y389" i="20" s="1"/>
  <c r="J428" i="18"/>
  <c r="H572" i="20"/>
  <c r="R393" i="17" l="1"/>
  <c r="I373" i="21"/>
  <c r="AD392" i="17"/>
  <c r="D373" i="21" s="1"/>
  <c r="H697" i="19"/>
  <c r="R390" i="20"/>
  <c r="K370" i="21"/>
  <c r="AD389" i="20"/>
  <c r="F370" i="21" s="1"/>
  <c r="J572" i="17"/>
  <c r="K572" i="17"/>
  <c r="H572" i="17"/>
  <c r="L572" i="17" s="1"/>
  <c r="F573" i="17" s="1"/>
  <c r="Y460" i="19"/>
  <c r="R461" i="19" s="1"/>
  <c r="J572" i="20"/>
  <c r="K572" i="20" s="1"/>
  <c r="L572" i="20" s="1"/>
  <c r="F573" i="20" s="1"/>
  <c r="E429" i="18"/>
  <c r="AA428" i="20"/>
  <c r="AA428" i="17"/>
  <c r="AA428" i="19"/>
  <c r="AD428" i="19" s="1"/>
  <c r="E409" i="21" s="1"/>
  <c r="H573" i="20" l="1"/>
  <c r="H573" i="17"/>
  <c r="K697" i="19"/>
  <c r="L697" i="19" s="1"/>
  <c r="F698" i="19" s="1"/>
  <c r="G429" i="18"/>
  <c r="I429" i="18"/>
  <c r="J429" i="18"/>
  <c r="X461" i="19"/>
  <c r="U461" i="19"/>
  <c r="Y461" i="19" s="1"/>
  <c r="R462" i="19" s="1"/>
  <c r="X390" i="20"/>
  <c r="Y390" i="20"/>
  <c r="U390" i="20"/>
  <c r="U393" i="17"/>
  <c r="X393" i="17" s="1"/>
  <c r="H698" i="19" l="1"/>
  <c r="K698" i="19" s="1"/>
  <c r="J698" i="19"/>
  <c r="U462" i="19"/>
  <c r="L573" i="20"/>
  <c r="F574" i="20" s="1"/>
  <c r="AA429" i="17"/>
  <c r="E430" i="18"/>
  <c r="AA429" i="20"/>
  <c r="AA429" i="19"/>
  <c r="AD429" i="19" s="1"/>
  <c r="E410" i="21" s="1"/>
  <c r="K573" i="17"/>
  <c r="L573" i="17" s="1"/>
  <c r="F574" i="17" s="1"/>
  <c r="R391" i="20"/>
  <c r="K371" i="21"/>
  <c r="AD390" i="20"/>
  <c r="F371" i="21" s="1"/>
  <c r="Y393" i="17"/>
  <c r="K573" i="20"/>
  <c r="H574" i="17" l="1"/>
  <c r="K574" i="17" s="1"/>
  <c r="Y462" i="19"/>
  <c r="R463" i="19" s="1"/>
  <c r="R394" i="17"/>
  <c r="I374" i="21"/>
  <c r="AD393" i="17"/>
  <c r="D374" i="21" s="1"/>
  <c r="X462" i="19"/>
  <c r="U391" i="20"/>
  <c r="X391" i="20" s="1"/>
  <c r="H574" i="20"/>
  <c r="L698" i="19"/>
  <c r="F699" i="19" s="1"/>
  <c r="G430" i="18"/>
  <c r="I430" i="18" s="1"/>
  <c r="U463" i="19" l="1"/>
  <c r="X463" i="19"/>
  <c r="Y463" i="19"/>
  <c r="R464" i="19" s="1"/>
  <c r="Y391" i="20"/>
  <c r="X394" i="17"/>
  <c r="U394" i="17"/>
  <c r="Y394" i="17" s="1"/>
  <c r="H699" i="19"/>
  <c r="J430" i="18"/>
  <c r="K574" i="20"/>
  <c r="L574" i="20" s="1"/>
  <c r="F575" i="20" s="1"/>
  <c r="L574" i="17"/>
  <c r="F575" i="17" s="1"/>
  <c r="I375" i="21" l="1"/>
  <c r="R395" i="17"/>
  <c r="AD394" i="17"/>
  <c r="D375" i="21" s="1"/>
  <c r="J575" i="20"/>
  <c r="K575" i="20"/>
  <c r="L575" i="20"/>
  <c r="F576" i="20" s="1"/>
  <c r="H575" i="20"/>
  <c r="R392" i="20"/>
  <c r="K372" i="21"/>
  <c r="AD391" i="20"/>
  <c r="F372" i="21" s="1"/>
  <c r="AA430" i="20"/>
  <c r="AA430" i="17"/>
  <c r="E431" i="18"/>
  <c r="AA430" i="19"/>
  <c r="AD430" i="19" s="1"/>
  <c r="E411" i="21" s="1"/>
  <c r="K699" i="19"/>
  <c r="L699" i="19" s="1"/>
  <c r="F700" i="19" s="1"/>
  <c r="U464" i="19"/>
  <c r="X464" i="19" s="1"/>
  <c r="H575" i="17"/>
  <c r="H700" i="19" l="1"/>
  <c r="L700" i="19" s="1"/>
  <c r="F701" i="19" s="1"/>
  <c r="K700" i="19"/>
  <c r="K576" i="20"/>
  <c r="L576" i="20" s="1"/>
  <c r="F577" i="20" s="1"/>
  <c r="H576" i="20"/>
  <c r="Y464" i="19"/>
  <c r="R465" i="19" s="1"/>
  <c r="J575" i="17"/>
  <c r="K575" i="17" s="1"/>
  <c r="L575" i="17" s="1"/>
  <c r="F576" i="17" s="1"/>
  <c r="X392" i="20"/>
  <c r="Y392" i="20"/>
  <c r="U392" i="20"/>
  <c r="G431" i="18"/>
  <c r="H431" i="18"/>
  <c r="I431" i="18"/>
  <c r="J431" i="18" s="1"/>
  <c r="U395" i="17"/>
  <c r="AA431" i="19" l="1"/>
  <c r="AD431" i="19" s="1"/>
  <c r="E412" i="21" s="1"/>
  <c r="AA431" i="17"/>
  <c r="E432" i="18"/>
  <c r="AA431" i="20"/>
  <c r="K576" i="17"/>
  <c r="L576" i="17" s="1"/>
  <c r="F577" i="17" s="1"/>
  <c r="H576" i="17"/>
  <c r="H577" i="20"/>
  <c r="K577" i="20" s="1"/>
  <c r="Y395" i="17"/>
  <c r="H701" i="19"/>
  <c r="J701" i="19" s="1"/>
  <c r="R393" i="20"/>
  <c r="K373" i="21"/>
  <c r="AD392" i="20"/>
  <c r="F373" i="21" s="1"/>
  <c r="X395" i="17"/>
  <c r="U465" i="19"/>
  <c r="X465" i="19" s="1"/>
  <c r="Y465" i="19" s="1"/>
  <c r="R466" i="19" s="1"/>
  <c r="H577" i="17" l="1"/>
  <c r="K577" i="17" s="1"/>
  <c r="U466" i="19"/>
  <c r="X466" i="19"/>
  <c r="Y466" i="19" s="1"/>
  <c r="R467" i="19" s="1"/>
  <c r="R396" i="17"/>
  <c r="I376" i="21"/>
  <c r="AD395" i="17"/>
  <c r="D376" i="21" s="1"/>
  <c r="L701" i="19"/>
  <c r="F702" i="19" s="1"/>
  <c r="L577" i="20"/>
  <c r="F578" i="20" s="1"/>
  <c r="G432" i="18"/>
  <c r="I432" i="18" s="1"/>
  <c r="J432" i="18" s="1"/>
  <c r="U393" i="20"/>
  <c r="X393" i="20" s="1"/>
  <c r="K701" i="19"/>
  <c r="AA432" i="17" l="1"/>
  <c r="AA432" i="20"/>
  <c r="AA432" i="19"/>
  <c r="AD432" i="19" s="1"/>
  <c r="E413" i="21" s="1"/>
  <c r="E433" i="18"/>
  <c r="U467" i="19"/>
  <c r="X467" i="19" s="1"/>
  <c r="H578" i="20"/>
  <c r="Y393" i="20"/>
  <c r="H702" i="19"/>
  <c r="K702" i="19" s="1"/>
  <c r="L702" i="19" s="1"/>
  <c r="F703" i="19" s="1"/>
  <c r="U396" i="17"/>
  <c r="L577" i="17"/>
  <c r="F578" i="17" s="1"/>
  <c r="H703" i="19" l="1"/>
  <c r="K703" i="19" s="1"/>
  <c r="R394" i="20"/>
  <c r="K374" i="21"/>
  <c r="AD393" i="20"/>
  <c r="F374" i="21" s="1"/>
  <c r="Y467" i="19"/>
  <c r="R468" i="19" s="1"/>
  <c r="X396" i="17"/>
  <c r="Y396" i="17" s="1"/>
  <c r="I433" i="18"/>
  <c r="G433" i="18"/>
  <c r="J433" i="18" s="1"/>
  <c r="J578" i="20"/>
  <c r="K578" i="20" s="1"/>
  <c r="L578" i="20" s="1"/>
  <c r="F579" i="20" s="1"/>
  <c r="J578" i="17"/>
  <c r="H578" i="17"/>
  <c r="K578" i="17" s="1"/>
  <c r="I377" i="21" l="1"/>
  <c r="R397" i="17"/>
  <c r="AD396" i="17"/>
  <c r="D377" i="21" s="1"/>
  <c r="L578" i="17"/>
  <c r="F579" i="17" s="1"/>
  <c r="L579" i="20"/>
  <c r="F580" i="20" s="1"/>
  <c r="K579" i="20"/>
  <c r="H579" i="20"/>
  <c r="AA433" i="17"/>
  <c r="AA433" i="20"/>
  <c r="AA433" i="19"/>
  <c r="AD433" i="19" s="1"/>
  <c r="E414" i="21" s="1"/>
  <c r="E434" i="18"/>
  <c r="U394" i="20"/>
  <c r="X394" i="20" s="1"/>
  <c r="Y394" i="20" s="1"/>
  <c r="L703" i="19"/>
  <c r="F704" i="19" s="1"/>
  <c r="U468" i="19"/>
  <c r="X468" i="19" s="1"/>
  <c r="K375" i="21" l="1"/>
  <c r="R395" i="20"/>
  <c r="AD394" i="20"/>
  <c r="F375" i="21" s="1"/>
  <c r="H580" i="20"/>
  <c r="H579" i="17"/>
  <c r="K579" i="17" s="1"/>
  <c r="Y468" i="19"/>
  <c r="R469" i="19" s="1"/>
  <c r="G434" i="18"/>
  <c r="I434" i="18" s="1"/>
  <c r="H704" i="19"/>
  <c r="J704" i="19"/>
  <c r="K704" i="19"/>
  <c r="L704" i="19"/>
  <c r="F705" i="19" s="1"/>
  <c r="U397" i="17"/>
  <c r="X397" i="17" s="1"/>
  <c r="Y397" i="17" l="1"/>
  <c r="K580" i="20"/>
  <c r="L580" i="20" s="1"/>
  <c r="F581" i="20" s="1"/>
  <c r="H434" i="18"/>
  <c r="H705" i="19"/>
  <c r="K705" i="19" s="1"/>
  <c r="L705" i="19" s="1"/>
  <c r="F706" i="19" s="1"/>
  <c r="U469" i="19"/>
  <c r="X469" i="19" s="1"/>
  <c r="Y469" i="19" s="1"/>
  <c r="R470" i="19" s="1"/>
  <c r="J434" i="18"/>
  <c r="L579" i="17"/>
  <c r="F580" i="17" s="1"/>
  <c r="U395" i="20"/>
  <c r="U470" i="19" l="1"/>
  <c r="X470" i="19"/>
  <c r="Y470" i="19"/>
  <c r="R471" i="19" s="1"/>
  <c r="H706" i="19"/>
  <c r="K706" i="19" s="1"/>
  <c r="L706" i="19" s="1"/>
  <c r="F707" i="19" s="1"/>
  <c r="H581" i="20"/>
  <c r="K580" i="17"/>
  <c r="H580" i="17"/>
  <c r="L580" i="17" s="1"/>
  <c r="F581" i="17" s="1"/>
  <c r="AA434" i="19"/>
  <c r="AD434" i="19" s="1"/>
  <c r="E415" i="21" s="1"/>
  <c r="AA434" i="17"/>
  <c r="AA434" i="20"/>
  <c r="E435" i="18"/>
  <c r="X395" i="20"/>
  <c r="Y395" i="20" s="1"/>
  <c r="R398" i="17"/>
  <c r="I378" i="21"/>
  <c r="AD397" i="17"/>
  <c r="D378" i="21" s="1"/>
  <c r="R396" i="20" l="1"/>
  <c r="K376" i="21"/>
  <c r="AD395" i="20"/>
  <c r="F376" i="21" s="1"/>
  <c r="J707" i="19"/>
  <c r="H707" i="19"/>
  <c r="K707" i="19" s="1"/>
  <c r="L707" i="19" s="1"/>
  <c r="F708" i="19" s="1"/>
  <c r="H581" i="17"/>
  <c r="J581" i="17" s="1"/>
  <c r="G435" i="18"/>
  <c r="I435" i="18"/>
  <c r="J435" i="18"/>
  <c r="U471" i="19"/>
  <c r="J581" i="20"/>
  <c r="K581" i="20" s="1"/>
  <c r="L581" i="20" s="1"/>
  <c r="F582" i="20" s="1"/>
  <c r="X398" i="17"/>
  <c r="Y398" i="17"/>
  <c r="U398" i="17"/>
  <c r="H582" i="20" l="1"/>
  <c r="K582" i="20" s="1"/>
  <c r="L582" i="20" s="1"/>
  <c r="F583" i="20" s="1"/>
  <c r="H708" i="19"/>
  <c r="K708" i="19"/>
  <c r="L708" i="19"/>
  <c r="F709" i="19" s="1"/>
  <c r="X471" i="19"/>
  <c r="Y471" i="19" s="1"/>
  <c r="R472" i="19" s="1"/>
  <c r="K581" i="17"/>
  <c r="AA435" i="19"/>
  <c r="AD435" i="19" s="1"/>
  <c r="E416" i="21" s="1"/>
  <c r="AA435" i="20"/>
  <c r="E436" i="18"/>
  <c r="AA435" i="17"/>
  <c r="L581" i="17"/>
  <c r="F582" i="17" s="1"/>
  <c r="I379" i="21"/>
  <c r="R399" i="17"/>
  <c r="AD398" i="17"/>
  <c r="D379" i="21" s="1"/>
  <c r="X396" i="20"/>
  <c r="U396" i="20"/>
  <c r="Y396" i="20" s="1"/>
  <c r="U472" i="19" l="1"/>
  <c r="X472" i="19"/>
  <c r="Y472" i="19"/>
  <c r="R473" i="19" s="1"/>
  <c r="K377" i="21"/>
  <c r="R397" i="20"/>
  <c r="AD396" i="20"/>
  <c r="F377" i="21" s="1"/>
  <c r="H583" i="20"/>
  <c r="H709" i="19"/>
  <c r="G436" i="18"/>
  <c r="I436" i="18"/>
  <c r="J436" i="18"/>
  <c r="X399" i="17"/>
  <c r="Y399" i="17"/>
  <c r="U399" i="17"/>
  <c r="H582" i="17"/>
  <c r="L709" i="19" l="1"/>
  <c r="F710" i="19" s="1"/>
  <c r="L583" i="20"/>
  <c r="F584" i="20" s="1"/>
  <c r="U397" i="20"/>
  <c r="X397" i="20" s="1"/>
  <c r="K709" i="19"/>
  <c r="R400" i="17"/>
  <c r="I380" i="21"/>
  <c r="AD399" i="17"/>
  <c r="D380" i="21" s="1"/>
  <c r="K582" i="17"/>
  <c r="L582" i="17" s="1"/>
  <c r="F583" i="17" s="1"/>
  <c r="X473" i="19"/>
  <c r="Y473" i="19" s="1"/>
  <c r="R474" i="19" s="1"/>
  <c r="U473" i="19"/>
  <c r="E437" i="18"/>
  <c r="AA436" i="20"/>
  <c r="AA436" i="19"/>
  <c r="AD436" i="19" s="1"/>
  <c r="E417" i="21" s="1"/>
  <c r="AA436" i="17"/>
  <c r="K583" i="20"/>
  <c r="U474" i="19" l="1"/>
  <c r="X474" i="19" s="1"/>
  <c r="H583" i="17"/>
  <c r="K583" i="17" s="1"/>
  <c r="Y397" i="20"/>
  <c r="G437" i="18"/>
  <c r="H437" i="18" s="1"/>
  <c r="H584" i="20"/>
  <c r="U400" i="17"/>
  <c r="X400" i="17" s="1"/>
  <c r="Y400" i="17" s="1"/>
  <c r="H710" i="19"/>
  <c r="J710" i="19" s="1"/>
  <c r="I381" i="21" l="1"/>
  <c r="R401" i="17"/>
  <c r="AD400" i="17"/>
  <c r="D381" i="21" s="1"/>
  <c r="L584" i="20"/>
  <c r="F585" i="20" s="1"/>
  <c r="K710" i="19"/>
  <c r="L710" i="19"/>
  <c r="F711" i="19" s="1"/>
  <c r="L583" i="17"/>
  <c r="F584" i="17" s="1"/>
  <c r="J584" i="20"/>
  <c r="K584" i="20"/>
  <c r="Y474" i="19"/>
  <c r="R475" i="19" s="1"/>
  <c r="I437" i="18"/>
  <c r="J437" i="18"/>
  <c r="R398" i="20"/>
  <c r="K378" i="21"/>
  <c r="AD397" i="20"/>
  <c r="F378" i="21" s="1"/>
  <c r="E438" i="18" l="1"/>
  <c r="AA437" i="17"/>
  <c r="AA437" i="19"/>
  <c r="AD437" i="19" s="1"/>
  <c r="E418" i="21" s="1"/>
  <c r="AA437" i="20"/>
  <c r="K585" i="20"/>
  <c r="L585" i="20" s="1"/>
  <c r="F586" i="20" s="1"/>
  <c r="H585" i="20"/>
  <c r="H711" i="19"/>
  <c r="K711" i="19" s="1"/>
  <c r="U475" i="19"/>
  <c r="U401" i="17"/>
  <c r="X401" i="17" s="1"/>
  <c r="X398" i="20"/>
  <c r="Y398" i="20" s="1"/>
  <c r="U398" i="20"/>
  <c r="J584" i="17"/>
  <c r="H584" i="17"/>
  <c r="K584" i="17" s="1"/>
  <c r="R399" i="20" l="1"/>
  <c r="K379" i="21"/>
  <c r="AD398" i="20"/>
  <c r="F379" i="21" s="1"/>
  <c r="H586" i="20"/>
  <c r="K586" i="20" s="1"/>
  <c r="X475" i="19"/>
  <c r="Y475" i="19" s="1"/>
  <c r="R476" i="19" s="1"/>
  <c r="L584" i="17"/>
  <c r="F585" i="17" s="1"/>
  <c r="Y401" i="17"/>
  <c r="L711" i="19"/>
  <c r="F712" i="19" s="1"/>
  <c r="G438" i="18"/>
  <c r="I438" i="18"/>
  <c r="J438" i="18" s="1"/>
  <c r="U476" i="19" l="1"/>
  <c r="Y476" i="19" s="1"/>
  <c r="R477" i="19" s="1"/>
  <c r="X476" i="19"/>
  <c r="E439" i="18"/>
  <c r="AA438" i="19"/>
  <c r="AD438" i="19" s="1"/>
  <c r="E419" i="21" s="1"/>
  <c r="AA438" i="20"/>
  <c r="AA438" i="17"/>
  <c r="H712" i="19"/>
  <c r="L586" i="20"/>
  <c r="F587" i="20" s="1"/>
  <c r="R402" i="17"/>
  <c r="I382" i="21"/>
  <c r="AD401" i="17"/>
  <c r="D382" i="21" s="1"/>
  <c r="H585" i="17"/>
  <c r="K585" i="17" s="1"/>
  <c r="L585" i="17" s="1"/>
  <c r="F586" i="17" s="1"/>
  <c r="X399" i="20"/>
  <c r="U399" i="20"/>
  <c r="Y399" i="20" s="1"/>
  <c r="H586" i="17" l="1"/>
  <c r="R400" i="20"/>
  <c r="K380" i="21"/>
  <c r="AD399" i="20"/>
  <c r="F380" i="21" s="1"/>
  <c r="U477" i="19"/>
  <c r="X477" i="19"/>
  <c r="Y477" i="19"/>
  <c r="R478" i="19" s="1"/>
  <c r="J587" i="20"/>
  <c r="H587" i="20"/>
  <c r="K587" i="20" s="1"/>
  <c r="U402" i="17"/>
  <c r="X402" i="17" s="1"/>
  <c r="K712" i="19"/>
  <c r="L712" i="19" s="1"/>
  <c r="F713" i="19" s="1"/>
  <c r="G439" i="18"/>
  <c r="I439" i="18"/>
  <c r="J439" i="18"/>
  <c r="H713" i="19" l="1"/>
  <c r="J713" i="19"/>
  <c r="K713" i="19" s="1"/>
  <c r="U478" i="19"/>
  <c r="X478" i="19" s="1"/>
  <c r="Y402" i="17"/>
  <c r="E440" i="18"/>
  <c r="AA439" i="19"/>
  <c r="AD439" i="19" s="1"/>
  <c r="E420" i="21" s="1"/>
  <c r="AA439" i="17"/>
  <c r="AA439" i="20"/>
  <c r="U400" i="20"/>
  <c r="L587" i="20"/>
  <c r="F588" i="20" s="1"/>
  <c r="K586" i="17"/>
  <c r="L586" i="17" s="1"/>
  <c r="F587" i="17" s="1"/>
  <c r="H587" i="17" l="1"/>
  <c r="J587" i="17" s="1"/>
  <c r="G440" i="18"/>
  <c r="I440" i="18"/>
  <c r="H440" i="18"/>
  <c r="J440" i="18"/>
  <c r="L713" i="19"/>
  <c r="F714" i="19" s="1"/>
  <c r="X400" i="20"/>
  <c r="Y400" i="20" s="1"/>
  <c r="I383" i="21"/>
  <c r="R403" i="17"/>
  <c r="AD402" i="17"/>
  <c r="D383" i="21" s="1"/>
  <c r="K588" i="20"/>
  <c r="H588" i="20"/>
  <c r="L588" i="20" s="1"/>
  <c r="F589" i="20" s="1"/>
  <c r="Y478" i="19"/>
  <c r="R479" i="19" s="1"/>
  <c r="H589" i="20" l="1"/>
  <c r="K589" i="20" s="1"/>
  <c r="R401" i="20"/>
  <c r="K381" i="21"/>
  <c r="AD400" i="20"/>
  <c r="F381" i="21" s="1"/>
  <c r="U403" i="17"/>
  <c r="K587" i="17"/>
  <c r="L587" i="17" s="1"/>
  <c r="F588" i="17" s="1"/>
  <c r="K714" i="19"/>
  <c r="L714" i="19" s="1"/>
  <c r="F715" i="19" s="1"/>
  <c r="H714" i="19"/>
  <c r="E441" i="18"/>
  <c r="AA440" i="19"/>
  <c r="AD440" i="19" s="1"/>
  <c r="E421" i="21" s="1"/>
  <c r="AA440" i="20"/>
  <c r="AA440" i="17"/>
  <c r="U479" i="19"/>
  <c r="X479" i="19" s="1"/>
  <c r="Y479" i="19" s="1"/>
  <c r="R480" i="19" s="1"/>
  <c r="H588" i="17" l="1"/>
  <c r="Y403" i="17"/>
  <c r="U480" i="19"/>
  <c r="Y480" i="19" s="1"/>
  <c r="R481" i="19" s="1"/>
  <c r="X480" i="19"/>
  <c r="H715" i="19"/>
  <c r="K715" i="19"/>
  <c r="L715" i="19" s="1"/>
  <c r="F716" i="19" s="1"/>
  <c r="X403" i="17"/>
  <c r="U401" i="20"/>
  <c r="X401" i="20" s="1"/>
  <c r="L589" i="20"/>
  <c r="F590" i="20" s="1"/>
  <c r="J441" i="18"/>
  <c r="G441" i="18"/>
  <c r="I441" i="18"/>
  <c r="H716" i="19" l="1"/>
  <c r="J716" i="19"/>
  <c r="K716" i="19"/>
  <c r="L716" i="19"/>
  <c r="F717" i="19" s="1"/>
  <c r="U481" i="19"/>
  <c r="X481" i="19" s="1"/>
  <c r="Y481" i="19" s="1"/>
  <c r="R482" i="19" s="1"/>
  <c r="I384" i="21"/>
  <c r="R404" i="17"/>
  <c r="AD403" i="17"/>
  <c r="D384" i="21" s="1"/>
  <c r="J590" i="20"/>
  <c r="H590" i="20"/>
  <c r="K590" i="20" s="1"/>
  <c r="Y401" i="20"/>
  <c r="K588" i="17"/>
  <c r="L588" i="17" s="1"/>
  <c r="F589" i="17" s="1"/>
  <c r="AA441" i="20"/>
  <c r="AA441" i="19"/>
  <c r="AD441" i="19" s="1"/>
  <c r="E422" i="21" s="1"/>
  <c r="AA441" i="17"/>
  <c r="E442" i="18"/>
  <c r="H589" i="17" l="1"/>
  <c r="K589" i="17" s="1"/>
  <c r="U482" i="19"/>
  <c r="H717" i="19"/>
  <c r="K717" i="19" s="1"/>
  <c r="L717" i="19" s="1"/>
  <c r="F718" i="19" s="1"/>
  <c r="R402" i="20"/>
  <c r="K382" i="21"/>
  <c r="AD401" i="20"/>
  <c r="F382" i="21" s="1"/>
  <c r="U404" i="17"/>
  <c r="I442" i="18"/>
  <c r="J442" i="18"/>
  <c r="G442" i="18"/>
  <c r="L590" i="20"/>
  <c r="F591" i="20" s="1"/>
  <c r="H718" i="19" l="1"/>
  <c r="E443" i="18"/>
  <c r="AA442" i="19"/>
  <c r="AD442" i="19" s="1"/>
  <c r="E423" i="21" s="1"/>
  <c r="AA442" i="20"/>
  <c r="AA442" i="17"/>
  <c r="X482" i="19"/>
  <c r="Y482" i="19" s="1"/>
  <c r="R483" i="19" s="1"/>
  <c r="X402" i="20"/>
  <c r="Y402" i="20"/>
  <c r="U402" i="20"/>
  <c r="H591" i="20"/>
  <c r="X404" i="17"/>
  <c r="Y404" i="17" s="1"/>
  <c r="L589" i="17"/>
  <c r="F590" i="17" s="1"/>
  <c r="U483" i="19" l="1"/>
  <c r="R405" i="17"/>
  <c r="I385" i="21"/>
  <c r="AD404" i="17"/>
  <c r="D385" i="21" s="1"/>
  <c r="G443" i="18"/>
  <c r="I443" i="18" s="1"/>
  <c r="J443" i="18" s="1"/>
  <c r="H443" i="18"/>
  <c r="R403" i="20"/>
  <c r="K383" i="21"/>
  <c r="AD402" i="20"/>
  <c r="F383" i="21" s="1"/>
  <c r="K718" i="19"/>
  <c r="L718" i="19" s="1"/>
  <c r="F719" i="19" s="1"/>
  <c r="J590" i="17"/>
  <c r="H590" i="17"/>
  <c r="K590" i="17" s="1"/>
  <c r="K591" i="20"/>
  <c r="L591" i="20" s="1"/>
  <c r="F592" i="20" s="1"/>
  <c r="AA443" i="17" l="1"/>
  <c r="E444" i="18"/>
  <c r="AA443" i="19"/>
  <c r="AD443" i="19" s="1"/>
  <c r="E424" i="21" s="1"/>
  <c r="AA443" i="20"/>
  <c r="J719" i="19"/>
  <c r="K719" i="19" s="1"/>
  <c r="H719" i="19"/>
  <c r="L719" i="19" s="1"/>
  <c r="F720" i="19" s="1"/>
  <c r="H592" i="20"/>
  <c r="Y483" i="19"/>
  <c r="R484" i="19" s="1"/>
  <c r="U405" i="17"/>
  <c r="X483" i="19"/>
  <c r="L590" i="17"/>
  <c r="F591" i="17" s="1"/>
  <c r="U403" i="20"/>
  <c r="X403" i="20" s="1"/>
  <c r="Y403" i="20" s="1"/>
  <c r="R404" i="20" l="1"/>
  <c r="K384" i="21"/>
  <c r="AD403" i="20"/>
  <c r="F384" i="21" s="1"/>
  <c r="H720" i="19"/>
  <c r="L720" i="19" s="1"/>
  <c r="F721" i="19" s="1"/>
  <c r="K720" i="19"/>
  <c r="U484" i="19"/>
  <c r="X484" i="19"/>
  <c r="Y484" i="19" s="1"/>
  <c r="R485" i="19" s="1"/>
  <c r="K592" i="20"/>
  <c r="L592" i="20" s="1"/>
  <c r="F593" i="20" s="1"/>
  <c r="H591" i="17"/>
  <c r="X405" i="17"/>
  <c r="Y405" i="17" s="1"/>
  <c r="G444" i="18"/>
  <c r="I444" i="18" s="1"/>
  <c r="R406" i="17" l="1"/>
  <c r="I386" i="21"/>
  <c r="AD405" i="17"/>
  <c r="D386" i="21" s="1"/>
  <c r="H721" i="19"/>
  <c r="L721" i="19" s="1"/>
  <c r="F722" i="19" s="1"/>
  <c r="K721" i="19"/>
  <c r="H593" i="20"/>
  <c r="U485" i="19"/>
  <c r="K591" i="17"/>
  <c r="L591" i="17" s="1"/>
  <c r="F592" i="17" s="1"/>
  <c r="J444" i="18"/>
  <c r="X404" i="20"/>
  <c r="Y404" i="20"/>
  <c r="U404" i="20"/>
  <c r="H722" i="19" l="1"/>
  <c r="K592" i="17"/>
  <c r="H592" i="17"/>
  <c r="L592" i="17" s="1"/>
  <c r="F593" i="17" s="1"/>
  <c r="Y485" i="19"/>
  <c r="R486" i="19" s="1"/>
  <c r="J593" i="20"/>
  <c r="K593" i="20" s="1"/>
  <c r="L593" i="20" s="1"/>
  <c r="F594" i="20" s="1"/>
  <c r="R405" i="20"/>
  <c r="K385" i="21"/>
  <c r="AD404" i="20"/>
  <c r="F385" i="21" s="1"/>
  <c r="AA444" i="19"/>
  <c r="AD444" i="19" s="1"/>
  <c r="E425" i="21" s="1"/>
  <c r="AA444" i="17"/>
  <c r="AA444" i="20"/>
  <c r="E445" i="18"/>
  <c r="X485" i="19"/>
  <c r="U406" i="17"/>
  <c r="X406" i="17" s="1"/>
  <c r="H594" i="20" l="1"/>
  <c r="J593" i="17"/>
  <c r="K593" i="17"/>
  <c r="L593" i="17"/>
  <c r="F594" i="17" s="1"/>
  <c r="H593" i="17"/>
  <c r="U405" i="20"/>
  <c r="G445" i="18"/>
  <c r="I445" i="18"/>
  <c r="J445" i="18"/>
  <c r="X486" i="19"/>
  <c r="Y486" i="19"/>
  <c r="R487" i="19" s="1"/>
  <c r="U486" i="19"/>
  <c r="J722" i="19"/>
  <c r="K722" i="19" s="1"/>
  <c r="L722" i="19" s="1"/>
  <c r="F723" i="19" s="1"/>
  <c r="Y406" i="17"/>
  <c r="H723" i="19" l="1"/>
  <c r="L723" i="19" s="1"/>
  <c r="F724" i="19" s="1"/>
  <c r="K723" i="19"/>
  <c r="L594" i="20"/>
  <c r="F595" i="20" s="1"/>
  <c r="K594" i="17"/>
  <c r="H594" i="17"/>
  <c r="L594" i="17" s="1"/>
  <c r="F595" i="17" s="1"/>
  <c r="X405" i="20"/>
  <c r="Y405" i="20" s="1"/>
  <c r="R407" i="17"/>
  <c r="I387" i="21"/>
  <c r="AD406" i="17"/>
  <c r="D387" i="21" s="1"/>
  <c r="U487" i="19"/>
  <c r="X487" i="19"/>
  <c r="Y487" i="19"/>
  <c r="R488" i="19" s="1"/>
  <c r="E446" i="18"/>
  <c r="AA445" i="19"/>
  <c r="AD445" i="19" s="1"/>
  <c r="E426" i="21" s="1"/>
  <c r="AA445" i="20"/>
  <c r="AA445" i="17"/>
  <c r="K594" i="20"/>
  <c r="R406" i="20" l="1"/>
  <c r="K386" i="21"/>
  <c r="AD405" i="20"/>
  <c r="F386" i="21" s="1"/>
  <c r="H595" i="17"/>
  <c r="K595" i="17" s="1"/>
  <c r="H724" i="19"/>
  <c r="K724" i="19"/>
  <c r="L724" i="19"/>
  <c r="F725" i="19" s="1"/>
  <c r="U407" i="17"/>
  <c r="X407" i="17" s="1"/>
  <c r="U488" i="19"/>
  <c r="X488" i="19"/>
  <c r="Y488" i="19"/>
  <c r="R489" i="19" s="1"/>
  <c r="K595" i="20"/>
  <c r="L595" i="20" s="1"/>
  <c r="F596" i="20" s="1"/>
  <c r="H595" i="20"/>
  <c r="G446" i="18"/>
  <c r="H446" i="18" s="1"/>
  <c r="I446" i="18"/>
  <c r="J596" i="20" l="1"/>
  <c r="K596" i="20" s="1"/>
  <c r="H596" i="20"/>
  <c r="L596" i="20" s="1"/>
  <c r="F597" i="20" s="1"/>
  <c r="Y407" i="17"/>
  <c r="L595" i="17"/>
  <c r="F596" i="17" s="1"/>
  <c r="U489" i="19"/>
  <c r="X489" i="19" s="1"/>
  <c r="Y489" i="19" s="1"/>
  <c r="R490" i="19" s="1"/>
  <c r="J446" i="18"/>
  <c r="H725" i="19"/>
  <c r="J725" i="19"/>
  <c r="K725" i="19"/>
  <c r="L725" i="19" s="1"/>
  <c r="F726" i="19" s="1"/>
  <c r="U406" i="20"/>
  <c r="X406" i="20" s="1"/>
  <c r="U490" i="19" l="1"/>
  <c r="X490" i="19" s="1"/>
  <c r="H726" i="19"/>
  <c r="K726" i="19" s="1"/>
  <c r="H597" i="20"/>
  <c r="K597" i="20" s="1"/>
  <c r="Y406" i="20"/>
  <c r="H596" i="17"/>
  <c r="J596" i="17" s="1"/>
  <c r="I388" i="21"/>
  <c r="R408" i="17"/>
  <c r="AD407" i="17"/>
  <c r="D388" i="21" s="1"/>
  <c r="E447" i="18"/>
  <c r="AA446" i="20"/>
  <c r="AA446" i="17"/>
  <c r="AA446" i="19"/>
  <c r="AD446" i="19" s="1"/>
  <c r="E427" i="21" s="1"/>
  <c r="K596" i="17" l="1"/>
  <c r="L596" i="17"/>
  <c r="F597" i="17" s="1"/>
  <c r="R407" i="20"/>
  <c r="K387" i="21"/>
  <c r="AD406" i="20"/>
  <c r="F387" i="21" s="1"/>
  <c r="L597" i="20"/>
  <c r="F598" i="20" s="1"/>
  <c r="Y490" i="19"/>
  <c r="R491" i="19" s="1"/>
  <c r="G447" i="18"/>
  <c r="I447" i="18"/>
  <c r="J447" i="18" s="1"/>
  <c r="L726" i="19"/>
  <c r="F727" i="19" s="1"/>
  <c r="U408" i="17"/>
  <c r="AA447" i="19" l="1"/>
  <c r="AD447" i="19" s="1"/>
  <c r="E428" i="21" s="1"/>
  <c r="AA447" i="20"/>
  <c r="E448" i="18"/>
  <c r="AA447" i="17"/>
  <c r="L727" i="19"/>
  <c r="F728" i="19" s="1"/>
  <c r="H727" i="19"/>
  <c r="K727" i="19"/>
  <c r="U407" i="20"/>
  <c r="X408" i="17"/>
  <c r="Y408" i="17" s="1"/>
  <c r="U491" i="19"/>
  <c r="X491" i="19" s="1"/>
  <c r="H597" i="17"/>
  <c r="K597" i="17" s="1"/>
  <c r="H598" i="20"/>
  <c r="K598" i="20" s="1"/>
  <c r="R409" i="17" l="1"/>
  <c r="I389" i="21"/>
  <c r="AD408" i="17"/>
  <c r="D389" i="21" s="1"/>
  <c r="Y407" i="20"/>
  <c r="L597" i="17"/>
  <c r="F598" i="17" s="1"/>
  <c r="G448" i="18"/>
  <c r="I448" i="18" s="1"/>
  <c r="H728" i="19"/>
  <c r="J728" i="19"/>
  <c r="K728" i="19" s="1"/>
  <c r="L728" i="19" s="1"/>
  <c r="F729" i="19" s="1"/>
  <c r="X407" i="20"/>
  <c r="L598" i="20"/>
  <c r="F599" i="20" s="1"/>
  <c r="Y491" i="19"/>
  <c r="R492" i="19" s="1"/>
  <c r="H729" i="19" l="1"/>
  <c r="K729" i="19"/>
  <c r="L729" i="19"/>
  <c r="F730" i="19" s="1"/>
  <c r="J599" i="20"/>
  <c r="K599" i="20" s="1"/>
  <c r="H599" i="20"/>
  <c r="U492" i="19"/>
  <c r="X492" i="19" s="1"/>
  <c r="Y492" i="19" s="1"/>
  <c r="R493" i="19" s="1"/>
  <c r="K598" i="17"/>
  <c r="L598" i="17" s="1"/>
  <c r="F599" i="17" s="1"/>
  <c r="H598" i="17"/>
  <c r="K388" i="21"/>
  <c r="R408" i="20"/>
  <c r="AD407" i="20"/>
  <c r="F388" i="21" s="1"/>
  <c r="J448" i="18"/>
  <c r="X409" i="17"/>
  <c r="U409" i="17"/>
  <c r="Y409" i="17" s="1"/>
  <c r="U493" i="19" l="1"/>
  <c r="X493" i="19"/>
  <c r="Y493" i="19"/>
  <c r="R494" i="19" s="1"/>
  <c r="R410" i="17"/>
  <c r="I390" i="21"/>
  <c r="AD409" i="17"/>
  <c r="D390" i="21" s="1"/>
  <c r="H599" i="17"/>
  <c r="E449" i="18"/>
  <c r="AA448" i="19"/>
  <c r="AD448" i="19" s="1"/>
  <c r="E429" i="21" s="1"/>
  <c r="AA448" i="17"/>
  <c r="AA448" i="20"/>
  <c r="L599" i="20"/>
  <c r="F600" i="20" s="1"/>
  <c r="H730" i="19"/>
  <c r="U408" i="20"/>
  <c r="X408" i="20" s="1"/>
  <c r="U410" i="17" l="1"/>
  <c r="X410" i="17" s="1"/>
  <c r="H600" i="20"/>
  <c r="K600" i="20" s="1"/>
  <c r="L600" i="20" s="1"/>
  <c r="F601" i="20" s="1"/>
  <c r="U494" i="19"/>
  <c r="X494" i="19" s="1"/>
  <c r="K730" i="19"/>
  <c r="L730" i="19" s="1"/>
  <c r="F731" i="19" s="1"/>
  <c r="G449" i="18"/>
  <c r="I449" i="18"/>
  <c r="H449" i="18"/>
  <c r="J449" i="18"/>
  <c r="Y408" i="20"/>
  <c r="J599" i="17"/>
  <c r="K599" i="17" s="1"/>
  <c r="H731" i="19" l="1"/>
  <c r="J731" i="19"/>
  <c r="L731" i="19" s="1"/>
  <c r="F732" i="19" s="1"/>
  <c r="K731" i="19"/>
  <c r="K601" i="20"/>
  <c r="L601" i="20" s="1"/>
  <c r="F602" i="20" s="1"/>
  <c r="H601" i="20"/>
  <c r="Y410" i="17"/>
  <c r="K389" i="21"/>
  <c r="R409" i="20"/>
  <c r="AD408" i="20"/>
  <c r="F389" i="21" s="1"/>
  <c r="AA449" i="17"/>
  <c r="E450" i="18"/>
  <c r="AA449" i="19"/>
  <c r="AD449" i="19" s="1"/>
  <c r="E430" i="21" s="1"/>
  <c r="AA449" i="20"/>
  <c r="L599" i="17"/>
  <c r="F600" i="17" s="1"/>
  <c r="Y494" i="19"/>
  <c r="R495" i="19" s="1"/>
  <c r="H602" i="20" l="1"/>
  <c r="J602" i="20" s="1"/>
  <c r="H732" i="19"/>
  <c r="K732" i="19" s="1"/>
  <c r="L732" i="19" s="1"/>
  <c r="F733" i="19" s="1"/>
  <c r="U409" i="20"/>
  <c r="Y495" i="19"/>
  <c r="R496" i="19" s="1"/>
  <c r="U495" i="19"/>
  <c r="X495" i="19"/>
  <c r="H600" i="17"/>
  <c r="K600" i="17" s="1"/>
  <c r="L600" i="17" s="1"/>
  <c r="F601" i="17" s="1"/>
  <c r="I391" i="21"/>
  <c r="R411" i="17"/>
  <c r="AD410" i="17"/>
  <c r="D391" i="21" s="1"/>
  <c r="G450" i="18"/>
  <c r="J450" i="18" s="1"/>
  <c r="I450" i="18"/>
  <c r="H733" i="19" l="1"/>
  <c r="K733" i="19"/>
  <c r="L733" i="19" s="1"/>
  <c r="F734" i="19" s="1"/>
  <c r="E451" i="18"/>
  <c r="AA450" i="20"/>
  <c r="AA450" i="17"/>
  <c r="AA450" i="19"/>
  <c r="AD450" i="19" s="1"/>
  <c r="E431" i="21" s="1"/>
  <c r="H601" i="17"/>
  <c r="K601" i="17" s="1"/>
  <c r="L601" i="17" s="1"/>
  <c r="F602" i="17" s="1"/>
  <c r="U496" i="19"/>
  <c r="X496" i="19" s="1"/>
  <c r="X409" i="20"/>
  <c r="Y409" i="20" s="1"/>
  <c r="L602" i="20"/>
  <c r="F603" i="20" s="1"/>
  <c r="X411" i="17"/>
  <c r="Y411" i="17"/>
  <c r="U411" i="17"/>
  <c r="K602" i="20"/>
  <c r="R410" i="20" l="1"/>
  <c r="K390" i="21"/>
  <c r="AD409" i="20"/>
  <c r="F390" i="21" s="1"/>
  <c r="H734" i="19"/>
  <c r="J734" i="19" s="1"/>
  <c r="H602" i="17"/>
  <c r="G451" i="18"/>
  <c r="I451" i="18" s="1"/>
  <c r="I392" i="21"/>
  <c r="R412" i="17"/>
  <c r="AD411" i="17"/>
  <c r="D392" i="21" s="1"/>
  <c r="Y496" i="19"/>
  <c r="R497" i="19" s="1"/>
  <c r="H603" i="20"/>
  <c r="K603" i="20" l="1"/>
  <c r="L603" i="20" s="1"/>
  <c r="F604" i="20" s="1"/>
  <c r="K734" i="19"/>
  <c r="X412" i="17"/>
  <c r="Y412" i="17"/>
  <c r="U412" i="17"/>
  <c r="U497" i="19"/>
  <c r="Y497" i="19" s="1"/>
  <c r="R498" i="19" s="1"/>
  <c r="X497" i="19"/>
  <c r="L734" i="19"/>
  <c r="F735" i="19" s="1"/>
  <c r="J602" i="17"/>
  <c r="K602" i="17" s="1"/>
  <c r="L602" i="17" s="1"/>
  <c r="F603" i="17" s="1"/>
  <c r="J451" i="18"/>
  <c r="U410" i="20"/>
  <c r="X410" i="20" s="1"/>
  <c r="U498" i="19" l="1"/>
  <c r="X498" i="19"/>
  <c r="Y498" i="19"/>
  <c r="R499" i="19" s="1"/>
  <c r="H603" i="17"/>
  <c r="H604" i="20"/>
  <c r="K604" i="20" s="1"/>
  <c r="H735" i="19"/>
  <c r="K735" i="19" s="1"/>
  <c r="L735" i="19" s="1"/>
  <c r="F736" i="19" s="1"/>
  <c r="I393" i="21"/>
  <c r="R413" i="17"/>
  <c r="AD412" i="17"/>
  <c r="D393" i="21" s="1"/>
  <c r="Y410" i="20"/>
  <c r="AA451" i="17"/>
  <c r="E452" i="18"/>
  <c r="AA451" i="19"/>
  <c r="AD451" i="19" s="1"/>
  <c r="E432" i="21" s="1"/>
  <c r="AA451" i="20"/>
  <c r="H736" i="19" l="1"/>
  <c r="K736" i="19"/>
  <c r="L736" i="19"/>
  <c r="F737" i="19" s="1"/>
  <c r="G452" i="18"/>
  <c r="I452" i="18" s="1"/>
  <c r="H452" i="18"/>
  <c r="U499" i="19"/>
  <c r="X499" i="19"/>
  <c r="Y499" i="19" s="1"/>
  <c r="R500" i="19" s="1"/>
  <c r="R411" i="20"/>
  <c r="K391" i="21"/>
  <c r="AD410" i="20"/>
  <c r="F391" i="21" s="1"/>
  <c r="L604" i="20"/>
  <c r="F605" i="20" s="1"/>
  <c r="K603" i="17"/>
  <c r="L603" i="17" s="1"/>
  <c r="F604" i="17" s="1"/>
  <c r="U413" i="17"/>
  <c r="X413" i="17" s="1"/>
  <c r="H604" i="17" l="1"/>
  <c r="K604" i="17" s="1"/>
  <c r="U500" i="19"/>
  <c r="X500" i="19" s="1"/>
  <c r="Y500" i="19" s="1"/>
  <c r="R501" i="19" s="1"/>
  <c r="H737" i="19"/>
  <c r="J737" i="19"/>
  <c r="K737" i="19"/>
  <c r="L737" i="19" s="1"/>
  <c r="F738" i="19" s="1"/>
  <c r="X411" i="20"/>
  <c r="Y411" i="20"/>
  <c r="U411" i="20"/>
  <c r="H605" i="20"/>
  <c r="Y413" i="17"/>
  <c r="J452" i="18"/>
  <c r="H738" i="19" l="1"/>
  <c r="K738" i="19"/>
  <c r="L738" i="19"/>
  <c r="F739" i="19" s="1"/>
  <c r="U501" i="19"/>
  <c r="X501" i="19" s="1"/>
  <c r="I394" i="21"/>
  <c r="R414" i="17"/>
  <c r="AD413" i="17"/>
  <c r="D394" i="21" s="1"/>
  <c r="L604" i="17"/>
  <c r="F605" i="17" s="1"/>
  <c r="K392" i="21"/>
  <c r="R412" i="20"/>
  <c r="AD411" i="20"/>
  <c r="F392" i="21" s="1"/>
  <c r="J605" i="20"/>
  <c r="AA452" i="19"/>
  <c r="AD452" i="19" s="1"/>
  <c r="E433" i="21" s="1"/>
  <c r="AA452" i="17"/>
  <c r="E453" i="18"/>
  <c r="AA452" i="20"/>
  <c r="H605" i="17" l="1"/>
  <c r="Y501" i="19"/>
  <c r="R502" i="19" s="1"/>
  <c r="H739" i="19"/>
  <c r="K739" i="19"/>
  <c r="L739" i="19" s="1"/>
  <c r="F740" i="19" s="1"/>
  <c r="K605" i="20"/>
  <c r="L605" i="20" s="1"/>
  <c r="F606" i="20" s="1"/>
  <c r="X414" i="17"/>
  <c r="Y414" i="17" s="1"/>
  <c r="U414" i="17"/>
  <c r="G453" i="18"/>
  <c r="I453" i="18"/>
  <c r="J453" i="18"/>
  <c r="X412" i="20"/>
  <c r="Y412" i="20" s="1"/>
  <c r="U412" i="20"/>
  <c r="I395" i="21" l="1"/>
  <c r="R415" i="17"/>
  <c r="AD414" i="17"/>
  <c r="D395" i="21" s="1"/>
  <c r="R413" i="20"/>
  <c r="K393" i="21"/>
  <c r="AD412" i="20"/>
  <c r="F393" i="21" s="1"/>
  <c r="H606" i="20"/>
  <c r="K606" i="20" s="1"/>
  <c r="H740" i="19"/>
  <c r="K740" i="19" s="1"/>
  <c r="J740" i="19"/>
  <c r="L740" i="19" s="1"/>
  <c r="F741" i="19" s="1"/>
  <c r="J605" i="17"/>
  <c r="K605" i="17" s="1"/>
  <c r="L605" i="17" s="1"/>
  <c r="F606" i="17" s="1"/>
  <c r="U502" i="19"/>
  <c r="X502" i="19" s="1"/>
  <c r="AA453" i="19"/>
  <c r="AD453" i="19" s="1"/>
  <c r="E434" i="21" s="1"/>
  <c r="AA453" i="17"/>
  <c r="E454" i="18"/>
  <c r="AA453" i="20"/>
  <c r="H606" i="17" l="1"/>
  <c r="H741" i="19"/>
  <c r="K741" i="19"/>
  <c r="L741" i="19" s="1"/>
  <c r="F742" i="19" s="1"/>
  <c r="Y502" i="19"/>
  <c r="R503" i="19" s="1"/>
  <c r="U413" i="20"/>
  <c r="X413" i="20" s="1"/>
  <c r="G454" i="18"/>
  <c r="J454" i="18" s="1"/>
  <c r="I454" i="18"/>
  <c r="L606" i="20"/>
  <c r="F607" i="20" s="1"/>
  <c r="X415" i="17"/>
  <c r="Y415" i="17" s="1"/>
  <c r="U415" i="17"/>
  <c r="R416" i="17" l="1"/>
  <c r="I396" i="21"/>
  <c r="AD415" i="17"/>
  <c r="D396" i="21" s="1"/>
  <c r="AA454" i="17"/>
  <c r="AA454" i="20"/>
  <c r="AA454" i="19"/>
  <c r="AD454" i="19" s="1"/>
  <c r="E435" i="21" s="1"/>
  <c r="E455" i="18"/>
  <c r="H742" i="19"/>
  <c r="K742" i="19" s="1"/>
  <c r="L606" i="17"/>
  <c r="F607" i="17" s="1"/>
  <c r="H607" i="20"/>
  <c r="K607" i="20" s="1"/>
  <c r="L607" i="20" s="1"/>
  <c r="F608" i="20" s="1"/>
  <c r="Y413" i="20"/>
  <c r="K606" i="17"/>
  <c r="U503" i="19"/>
  <c r="Y503" i="19" s="1"/>
  <c r="R504" i="19" s="1"/>
  <c r="X503" i="19"/>
  <c r="H608" i="20" l="1"/>
  <c r="U504" i="19"/>
  <c r="Y504" i="19" s="1"/>
  <c r="R505" i="19" s="1"/>
  <c r="X504" i="19"/>
  <c r="H607" i="17"/>
  <c r="K607" i="17" s="1"/>
  <c r="K394" i="21"/>
  <c r="R414" i="20"/>
  <c r="AD413" i="20"/>
  <c r="F394" i="21" s="1"/>
  <c r="L742" i="19"/>
  <c r="F743" i="19" s="1"/>
  <c r="I455" i="18"/>
  <c r="J455" i="18"/>
  <c r="G455" i="18"/>
  <c r="H455" i="18"/>
  <c r="U416" i="17"/>
  <c r="X416" i="17" s="1"/>
  <c r="U505" i="19" l="1"/>
  <c r="Y416" i="17"/>
  <c r="J608" i="20"/>
  <c r="E456" i="18"/>
  <c r="AA455" i="20"/>
  <c r="AA455" i="19"/>
  <c r="AD455" i="19" s="1"/>
  <c r="E436" i="21" s="1"/>
  <c r="AA455" i="17"/>
  <c r="L607" i="17"/>
  <c r="F608" i="17" s="1"/>
  <c r="J743" i="19"/>
  <c r="K743" i="19" s="1"/>
  <c r="H743" i="19"/>
  <c r="X414" i="20"/>
  <c r="Y414" i="20"/>
  <c r="U414" i="20"/>
  <c r="R415" i="20" l="1"/>
  <c r="K395" i="21"/>
  <c r="AD414" i="20"/>
  <c r="F395" i="21" s="1"/>
  <c r="L743" i="19"/>
  <c r="F744" i="19" s="1"/>
  <c r="X505" i="19"/>
  <c r="Y505" i="19" s="1"/>
  <c r="R506" i="19" s="1"/>
  <c r="H608" i="17"/>
  <c r="J608" i="17" s="1"/>
  <c r="R417" i="17"/>
  <c r="I397" i="21"/>
  <c r="AD416" i="17"/>
  <c r="D397" i="21" s="1"/>
  <c r="K608" i="20"/>
  <c r="L608" i="20" s="1"/>
  <c r="F609" i="20" s="1"/>
  <c r="G456" i="18"/>
  <c r="J456" i="18" s="1"/>
  <c r="I456" i="18"/>
  <c r="U506" i="19" l="1"/>
  <c r="X506" i="19" s="1"/>
  <c r="Y506" i="19" s="1"/>
  <c r="R507" i="19" s="1"/>
  <c r="AA456" i="17"/>
  <c r="AA456" i="20"/>
  <c r="E457" i="18"/>
  <c r="AA456" i="19"/>
  <c r="AD456" i="19" s="1"/>
  <c r="E437" i="21" s="1"/>
  <c r="H609" i="20"/>
  <c r="K609" i="20" s="1"/>
  <c r="X417" i="17"/>
  <c r="Y417" i="17"/>
  <c r="U417" i="17"/>
  <c r="K608" i="17"/>
  <c r="L608" i="17" s="1"/>
  <c r="F609" i="17" s="1"/>
  <c r="H744" i="19"/>
  <c r="K744" i="19"/>
  <c r="L744" i="19" s="1"/>
  <c r="F745" i="19" s="1"/>
  <c r="U415" i="20"/>
  <c r="X415" i="20" s="1"/>
  <c r="H609" i="17" l="1"/>
  <c r="K609" i="17" s="1"/>
  <c r="H745" i="19"/>
  <c r="L745" i="19" s="1"/>
  <c r="F746" i="19" s="1"/>
  <c r="K745" i="19"/>
  <c r="U507" i="19"/>
  <c r="X507" i="19"/>
  <c r="Y507" i="19" s="1"/>
  <c r="R508" i="19" s="1"/>
  <c r="R418" i="17"/>
  <c r="I398" i="21"/>
  <c r="AD417" i="17"/>
  <c r="D398" i="21" s="1"/>
  <c r="G457" i="18"/>
  <c r="I457" i="18"/>
  <c r="J457" i="18"/>
  <c r="L609" i="20"/>
  <c r="F610" i="20" s="1"/>
  <c r="Y415" i="20"/>
  <c r="U508" i="19" l="1"/>
  <c r="X508" i="19"/>
  <c r="Y508" i="19"/>
  <c r="R509" i="19" s="1"/>
  <c r="H746" i="19"/>
  <c r="K746" i="19" s="1"/>
  <c r="J746" i="19"/>
  <c r="K396" i="21"/>
  <c r="R416" i="20"/>
  <c r="AD415" i="20"/>
  <c r="F396" i="21" s="1"/>
  <c r="AA457" i="20"/>
  <c r="AA457" i="17"/>
  <c r="E458" i="18"/>
  <c r="AA457" i="19"/>
  <c r="AD457" i="19" s="1"/>
  <c r="E438" i="21" s="1"/>
  <c r="L609" i="17"/>
  <c r="F610" i="17" s="1"/>
  <c r="H610" i="20"/>
  <c r="K610" i="20" s="1"/>
  <c r="U418" i="17"/>
  <c r="X418" i="17" s="1"/>
  <c r="L610" i="20" l="1"/>
  <c r="F611" i="20" s="1"/>
  <c r="L746" i="19"/>
  <c r="F747" i="19" s="1"/>
  <c r="H610" i="17"/>
  <c r="K610" i="17" s="1"/>
  <c r="U416" i="20"/>
  <c r="Y418" i="17"/>
  <c r="Y509" i="19"/>
  <c r="R510" i="19" s="1"/>
  <c r="U509" i="19"/>
  <c r="X509" i="19"/>
  <c r="G458" i="18"/>
  <c r="I458" i="18"/>
  <c r="H458" i="18"/>
  <c r="J458" i="18" s="1"/>
  <c r="AA458" i="19" l="1"/>
  <c r="AD458" i="19" s="1"/>
  <c r="E439" i="21" s="1"/>
  <c r="AA458" i="20"/>
  <c r="AA458" i="17"/>
  <c r="E459" i="18"/>
  <c r="U510" i="19"/>
  <c r="X510" i="19" s="1"/>
  <c r="Y510" i="19" s="1"/>
  <c r="R511" i="19" s="1"/>
  <c r="R419" i="17"/>
  <c r="I399" i="21"/>
  <c r="AD418" i="17"/>
  <c r="D399" i="21" s="1"/>
  <c r="H747" i="19"/>
  <c r="K747" i="19" s="1"/>
  <c r="L747" i="19" s="1"/>
  <c r="F748" i="19" s="1"/>
  <c r="L610" i="17"/>
  <c r="F611" i="17" s="1"/>
  <c r="X416" i="20"/>
  <c r="Y416" i="20" s="1"/>
  <c r="J611" i="20"/>
  <c r="H611" i="20"/>
  <c r="K611" i="20" s="1"/>
  <c r="L611" i="20" s="1"/>
  <c r="F612" i="20" s="1"/>
  <c r="H748" i="19" l="1"/>
  <c r="K748" i="19"/>
  <c r="L748" i="19" s="1"/>
  <c r="F749" i="19" s="1"/>
  <c r="R417" i="20"/>
  <c r="K397" i="21"/>
  <c r="AD416" i="20"/>
  <c r="F397" i="21" s="1"/>
  <c r="U511" i="19"/>
  <c r="Y511" i="19" s="1"/>
  <c r="R512" i="19" s="1"/>
  <c r="X511" i="19"/>
  <c r="H612" i="20"/>
  <c r="K612" i="20" s="1"/>
  <c r="U419" i="17"/>
  <c r="G459" i="18"/>
  <c r="I459" i="18" s="1"/>
  <c r="H611" i="17"/>
  <c r="J611" i="17" s="1"/>
  <c r="U512" i="19" l="1"/>
  <c r="X512" i="19" s="1"/>
  <c r="Y512" i="19" s="1"/>
  <c r="R513" i="19" s="1"/>
  <c r="H749" i="19"/>
  <c r="K749" i="19" s="1"/>
  <c r="J749" i="19"/>
  <c r="L749" i="19" s="1"/>
  <c r="F750" i="19" s="1"/>
  <c r="U417" i="20"/>
  <c r="J459" i="18"/>
  <c r="L612" i="20"/>
  <c r="F613" i="20" s="1"/>
  <c r="K611" i="17"/>
  <c r="L611" i="17" s="1"/>
  <c r="F612" i="17" s="1"/>
  <c r="X419" i="17"/>
  <c r="Y419" i="17" s="1"/>
  <c r="I400" i="21" l="1"/>
  <c r="R420" i="17"/>
  <c r="AD419" i="17"/>
  <c r="D400" i="21" s="1"/>
  <c r="K750" i="19"/>
  <c r="L750" i="19" s="1"/>
  <c r="F751" i="19" s="1"/>
  <c r="H750" i="19"/>
  <c r="H612" i="17"/>
  <c r="U513" i="19"/>
  <c r="X417" i="20"/>
  <c r="Y417" i="20" s="1"/>
  <c r="E460" i="18"/>
  <c r="AA459" i="17"/>
  <c r="AA459" i="20"/>
  <c r="AA459" i="19"/>
  <c r="AD459" i="19" s="1"/>
  <c r="E440" i="21" s="1"/>
  <c r="H613" i="20"/>
  <c r="K613" i="20" s="1"/>
  <c r="K398" i="21" l="1"/>
  <c r="R418" i="20"/>
  <c r="AD417" i="20"/>
  <c r="F398" i="21" s="1"/>
  <c r="H751" i="19"/>
  <c r="Y513" i="19"/>
  <c r="R514" i="19" s="1"/>
  <c r="U420" i="17"/>
  <c r="X420" i="17" s="1"/>
  <c r="G460" i="18"/>
  <c r="I460" i="18" s="1"/>
  <c r="L613" i="20"/>
  <c r="F614" i="20" s="1"/>
  <c r="K612" i="17"/>
  <c r="L612" i="17" s="1"/>
  <c r="F613" i="17" s="1"/>
  <c r="X513" i="19"/>
  <c r="H613" i="17" l="1"/>
  <c r="Y420" i="17"/>
  <c r="X418" i="20"/>
  <c r="U418" i="20"/>
  <c r="Y418" i="20" s="1"/>
  <c r="K751" i="19"/>
  <c r="L751" i="19" s="1"/>
  <c r="F752" i="19" s="1"/>
  <c r="U514" i="19"/>
  <c r="X514" i="19" s="1"/>
  <c r="H614" i="20"/>
  <c r="J460" i="18"/>
  <c r="K399" i="21" l="1"/>
  <c r="R419" i="20"/>
  <c r="AD418" i="20"/>
  <c r="F399" i="21" s="1"/>
  <c r="J752" i="19"/>
  <c r="K752" i="19" s="1"/>
  <c r="H752" i="19"/>
  <c r="Y514" i="19"/>
  <c r="R515" i="19" s="1"/>
  <c r="K613" i="17"/>
  <c r="L613" i="17" s="1"/>
  <c r="F614" i="17" s="1"/>
  <c r="R421" i="17"/>
  <c r="I401" i="21"/>
  <c r="AD420" i="17"/>
  <c r="D401" i="21" s="1"/>
  <c r="AA460" i="20"/>
  <c r="AA460" i="17"/>
  <c r="E461" i="18"/>
  <c r="AA460" i="19"/>
  <c r="AD460" i="19" s="1"/>
  <c r="E441" i="21" s="1"/>
  <c r="J614" i="20"/>
  <c r="K614" i="20"/>
  <c r="L614" i="20" s="1"/>
  <c r="F615" i="20" s="1"/>
  <c r="H615" i="20" l="1"/>
  <c r="K615" i="20" s="1"/>
  <c r="J614" i="17"/>
  <c r="K614" i="17"/>
  <c r="L614" i="17"/>
  <c r="F615" i="17" s="1"/>
  <c r="H614" i="17"/>
  <c r="U515" i="19"/>
  <c r="X515" i="19"/>
  <c r="Y515" i="19" s="1"/>
  <c r="R516" i="19" s="1"/>
  <c r="X421" i="17"/>
  <c r="Y421" i="17" s="1"/>
  <c r="U421" i="17"/>
  <c r="G461" i="18"/>
  <c r="H461" i="18"/>
  <c r="I461" i="18"/>
  <c r="J461" i="18"/>
  <c r="L752" i="19"/>
  <c r="F753" i="19" s="1"/>
  <c r="U419" i="20"/>
  <c r="R422" i="17" l="1"/>
  <c r="I402" i="21"/>
  <c r="AD421" i="17"/>
  <c r="D402" i="21" s="1"/>
  <c r="Y419" i="20"/>
  <c r="U516" i="19"/>
  <c r="Y516" i="19" s="1"/>
  <c r="R517" i="19" s="1"/>
  <c r="X516" i="19"/>
  <c r="H753" i="19"/>
  <c r="K753" i="19"/>
  <c r="L753" i="19" s="1"/>
  <c r="F754" i="19" s="1"/>
  <c r="AA461" i="19"/>
  <c r="AD461" i="19" s="1"/>
  <c r="E442" i="21" s="1"/>
  <c r="AA461" i="20"/>
  <c r="E462" i="18"/>
  <c r="AA461" i="17"/>
  <c r="X419" i="20"/>
  <c r="L615" i="20"/>
  <c r="F616" i="20" s="1"/>
  <c r="K615" i="17"/>
  <c r="L615" i="17"/>
  <c r="F616" i="17" s="1"/>
  <c r="H615" i="17"/>
  <c r="U517" i="19" l="1"/>
  <c r="X517" i="19" s="1"/>
  <c r="Y517" i="19" s="1"/>
  <c r="R518" i="19" s="1"/>
  <c r="H754" i="19"/>
  <c r="H616" i="17"/>
  <c r="K400" i="21"/>
  <c r="R420" i="20"/>
  <c r="AD419" i="20"/>
  <c r="F400" i="21" s="1"/>
  <c r="H616" i="20"/>
  <c r="K616" i="20" s="1"/>
  <c r="G462" i="18"/>
  <c r="I462" i="18" s="1"/>
  <c r="U422" i="17"/>
  <c r="U518" i="19" l="1"/>
  <c r="X518" i="19"/>
  <c r="Y518" i="19"/>
  <c r="R519" i="19" s="1"/>
  <c r="X422" i="17"/>
  <c r="Y422" i="17" s="1"/>
  <c r="K754" i="19"/>
  <c r="L754" i="19" s="1"/>
  <c r="F755" i="19" s="1"/>
  <c r="L616" i="20"/>
  <c r="F617" i="20" s="1"/>
  <c r="K616" i="17"/>
  <c r="L616" i="17" s="1"/>
  <c r="F617" i="17" s="1"/>
  <c r="X420" i="20"/>
  <c r="Y420" i="20" s="1"/>
  <c r="U420" i="20"/>
  <c r="J462" i="18"/>
  <c r="H755" i="19" l="1"/>
  <c r="J755" i="19"/>
  <c r="K755" i="19"/>
  <c r="L755" i="19"/>
  <c r="R423" i="17"/>
  <c r="I403" i="21"/>
  <c r="AD422" i="17"/>
  <c r="D403" i="21" s="1"/>
  <c r="R421" i="20"/>
  <c r="K401" i="21"/>
  <c r="AD420" i="20"/>
  <c r="F401" i="21" s="1"/>
  <c r="J617" i="17"/>
  <c r="K617" i="17" s="1"/>
  <c r="H617" i="17"/>
  <c r="L617" i="17" s="1"/>
  <c r="F618" i="17" s="1"/>
  <c r="AA462" i="20"/>
  <c r="AA462" i="17"/>
  <c r="E463" i="18"/>
  <c r="AA462" i="19"/>
  <c r="AD462" i="19" s="1"/>
  <c r="E443" i="21" s="1"/>
  <c r="U519" i="19"/>
  <c r="X519" i="19"/>
  <c r="Y519" i="19"/>
  <c r="R520" i="19" s="1"/>
  <c r="J617" i="20"/>
  <c r="K617" i="20"/>
  <c r="L617" i="20"/>
  <c r="F618" i="20" s="1"/>
  <c r="H617" i="20"/>
  <c r="H618" i="17" l="1"/>
  <c r="K618" i="17" s="1"/>
  <c r="U423" i="17"/>
  <c r="H618" i="20"/>
  <c r="G463" i="18"/>
  <c r="I463" i="18"/>
  <c r="J463" i="18" s="1"/>
  <c r="U520" i="19"/>
  <c r="U421" i="20"/>
  <c r="X421" i="20" s="1"/>
  <c r="AA463" i="17" l="1"/>
  <c r="AA463" i="19"/>
  <c r="AD463" i="19" s="1"/>
  <c r="E444" i="21" s="1"/>
  <c r="AA463" i="20"/>
  <c r="E464" i="18"/>
  <c r="X423" i="17"/>
  <c r="Y423" i="17" s="1"/>
  <c r="L618" i="17"/>
  <c r="F619" i="17" s="1"/>
  <c r="Y421" i="20"/>
  <c r="X520" i="19"/>
  <c r="Y520" i="19" s="1"/>
  <c r="R521" i="19" s="1"/>
  <c r="K618" i="20"/>
  <c r="L618" i="20" s="1"/>
  <c r="F619" i="20" s="1"/>
  <c r="H619" i="20" l="1"/>
  <c r="K619" i="20" s="1"/>
  <c r="I404" i="21"/>
  <c r="R424" i="17"/>
  <c r="AD423" i="17"/>
  <c r="D404" i="21" s="1"/>
  <c r="U521" i="19"/>
  <c r="X521" i="19"/>
  <c r="Y521" i="19"/>
  <c r="R522" i="19" s="1"/>
  <c r="H619" i="17"/>
  <c r="K619" i="17" s="1"/>
  <c r="K402" i="21"/>
  <c r="R422" i="20"/>
  <c r="AD421" i="20"/>
  <c r="F402" i="21" s="1"/>
  <c r="G464" i="18"/>
  <c r="H464" i="18" s="1"/>
  <c r="U424" i="17" l="1"/>
  <c r="U422" i="20"/>
  <c r="L619" i="17"/>
  <c r="F620" i="17" s="1"/>
  <c r="L619" i="20"/>
  <c r="F620" i="20" s="1"/>
  <c r="J464" i="18"/>
  <c r="U522" i="19"/>
  <c r="X522" i="19" s="1"/>
  <c r="I464" i="18"/>
  <c r="X422" i="20" l="1"/>
  <c r="Y422" i="20" s="1"/>
  <c r="AA464" i="17"/>
  <c r="E465" i="18"/>
  <c r="AA464" i="19"/>
  <c r="AD464" i="19" s="1"/>
  <c r="E445" i="21" s="1"/>
  <c r="AA464" i="20"/>
  <c r="X424" i="17"/>
  <c r="Y424" i="17" s="1"/>
  <c r="Y522" i="19"/>
  <c r="R523" i="19" s="1"/>
  <c r="J620" i="20"/>
  <c r="K620" i="20" s="1"/>
  <c r="H620" i="20"/>
  <c r="H620" i="17"/>
  <c r="J620" i="17" s="1"/>
  <c r="R425" i="17" l="1"/>
  <c r="I405" i="21"/>
  <c r="AD424" i="17"/>
  <c r="D405" i="21" s="1"/>
  <c r="R423" i="20"/>
  <c r="K403" i="21"/>
  <c r="AD422" i="20"/>
  <c r="F403" i="21" s="1"/>
  <c r="G465" i="18"/>
  <c r="I465" i="18"/>
  <c r="J465" i="18"/>
  <c r="K620" i="17"/>
  <c r="L620" i="17"/>
  <c r="F621" i="17" s="1"/>
  <c r="L620" i="20"/>
  <c r="F621" i="20" s="1"/>
  <c r="U523" i="19"/>
  <c r="X523" i="19"/>
  <c r="Y523" i="19"/>
  <c r="R524" i="19" s="1"/>
  <c r="U524" i="19" l="1"/>
  <c r="X524" i="19"/>
  <c r="Y524" i="19"/>
  <c r="R525" i="19" s="1"/>
  <c r="E466" i="18"/>
  <c r="AA465" i="19"/>
  <c r="AD465" i="19" s="1"/>
  <c r="E446" i="21" s="1"/>
  <c r="AA465" i="20"/>
  <c r="AA465" i="17"/>
  <c r="H621" i="17"/>
  <c r="K621" i="17" s="1"/>
  <c r="X423" i="20"/>
  <c r="Y423" i="20"/>
  <c r="U423" i="20"/>
  <c r="H621" i="20"/>
  <c r="K621" i="20" s="1"/>
  <c r="X425" i="17"/>
  <c r="Y425" i="17"/>
  <c r="U425" i="17"/>
  <c r="U525" i="19" l="1"/>
  <c r="X525" i="19"/>
  <c r="Y525" i="19"/>
  <c r="R526" i="19" s="1"/>
  <c r="L621" i="20"/>
  <c r="F622" i="20" s="1"/>
  <c r="L621" i="17"/>
  <c r="F622" i="17" s="1"/>
  <c r="I406" i="21"/>
  <c r="R426" i="17"/>
  <c r="AD425" i="17"/>
  <c r="D406" i="21" s="1"/>
  <c r="K404" i="21"/>
  <c r="R424" i="20"/>
  <c r="AD423" i="20"/>
  <c r="F404" i="21" s="1"/>
  <c r="G466" i="18"/>
  <c r="I466" i="18"/>
  <c r="J466" i="18"/>
  <c r="H622" i="17" l="1"/>
  <c r="K622" i="17" s="1"/>
  <c r="U424" i="20"/>
  <c r="H622" i="20"/>
  <c r="K622" i="20" s="1"/>
  <c r="U526" i="19"/>
  <c r="X526" i="19"/>
  <c r="Y526" i="19"/>
  <c r="R527" i="19" s="1"/>
  <c r="AA466" i="20"/>
  <c r="AA466" i="19"/>
  <c r="AD466" i="19" s="1"/>
  <c r="E447" i="21" s="1"/>
  <c r="AA466" i="17"/>
  <c r="E467" i="18"/>
  <c r="X426" i="17"/>
  <c r="Y426" i="17" s="1"/>
  <c r="U426" i="17"/>
  <c r="I407" i="21" l="1"/>
  <c r="R427" i="17"/>
  <c r="AD426" i="17"/>
  <c r="D407" i="21" s="1"/>
  <c r="X424" i="20"/>
  <c r="Y424" i="20" s="1"/>
  <c r="G467" i="18"/>
  <c r="H467" i="18" s="1"/>
  <c r="U527" i="19"/>
  <c r="X527" i="19"/>
  <c r="Y527" i="19"/>
  <c r="R528" i="19" s="1"/>
  <c r="L622" i="20"/>
  <c r="F623" i="20" s="1"/>
  <c r="L622" i="17"/>
  <c r="F623" i="17" s="1"/>
  <c r="R425" i="20" l="1"/>
  <c r="K405" i="21"/>
  <c r="AD424" i="20"/>
  <c r="F405" i="21" s="1"/>
  <c r="U528" i="19"/>
  <c r="Y528" i="19" s="1"/>
  <c r="R529" i="19" s="1"/>
  <c r="X528" i="19"/>
  <c r="H623" i="17"/>
  <c r="J467" i="18"/>
  <c r="J623" i="20"/>
  <c r="H623" i="20"/>
  <c r="K623" i="20" s="1"/>
  <c r="I467" i="18"/>
  <c r="X427" i="17"/>
  <c r="Y427" i="17" s="1"/>
  <c r="U427" i="17"/>
  <c r="I408" i="21" l="1"/>
  <c r="R428" i="17"/>
  <c r="AD427" i="17"/>
  <c r="D408" i="21" s="1"/>
  <c r="U529" i="19"/>
  <c r="Y529" i="19" s="1"/>
  <c r="R530" i="19" s="1"/>
  <c r="X529" i="19"/>
  <c r="AA467" i="19"/>
  <c r="AD467" i="19" s="1"/>
  <c r="E448" i="21" s="1"/>
  <c r="AA467" i="20"/>
  <c r="AA467" i="17"/>
  <c r="E468" i="18"/>
  <c r="K623" i="17"/>
  <c r="L623" i="20"/>
  <c r="F624" i="20" s="1"/>
  <c r="J623" i="17"/>
  <c r="L623" i="17" s="1"/>
  <c r="F624" i="17" s="1"/>
  <c r="U425" i="20"/>
  <c r="X425" i="20" s="1"/>
  <c r="H624" i="17" l="1"/>
  <c r="K624" i="17" s="1"/>
  <c r="U530" i="19"/>
  <c r="X530" i="19"/>
  <c r="Y530" i="19"/>
  <c r="R531" i="19" s="1"/>
  <c r="G468" i="18"/>
  <c r="J468" i="18" s="1"/>
  <c r="I468" i="18"/>
  <c r="U428" i="17"/>
  <c r="X428" i="17" s="1"/>
  <c r="Y428" i="17" s="1"/>
  <c r="Y425" i="20"/>
  <c r="H624" i="20"/>
  <c r="AA468" i="20" l="1"/>
  <c r="AA468" i="17"/>
  <c r="E469" i="18"/>
  <c r="AA468" i="19"/>
  <c r="AD468" i="19" s="1"/>
  <c r="E449" i="21" s="1"/>
  <c r="R429" i="17"/>
  <c r="AD428" i="17"/>
  <c r="D409" i="21" s="1"/>
  <c r="U531" i="19"/>
  <c r="X531" i="19" s="1"/>
  <c r="Y531" i="19" s="1"/>
  <c r="R532" i="19" s="1"/>
  <c r="K624" i="20"/>
  <c r="L624" i="20" s="1"/>
  <c r="F625" i="20" s="1"/>
  <c r="R426" i="20"/>
  <c r="K406" i="21"/>
  <c r="AD425" i="20"/>
  <c r="F406" i="21" s="1"/>
  <c r="L624" i="17"/>
  <c r="F625" i="17" s="1"/>
  <c r="H625" i="20" l="1"/>
  <c r="K625" i="20" s="1"/>
  <c r="U532" i="19"/>
  <c r="X532" i="19" s="1"/>
  <c r="G469" i="18"/>
  <c r="I469" i="18" s="1"/>
  <c r="U426" i="20"/>
  <c r="U429" i="17"/>
  <c r="X429" i="17" s="1"/>
  <c r="H625" i="17"/>
  <c r="K625" i="17" s="1"/>
  <c r="Y532" i="19" l="1"/>
  <c r="R533" i="19" s="1"/>
  <c r="L625" i="17"/>
  <c r="F626" i="17" s="1"/>
  <c r="X426" i="20"/>
  <c r="Y426" i="20" s="1"/>
  <c r="Y429" i="17"/>
  <c r="J469" i="18"/>
  <c r="L625" i="20"/>
  <c r="F626" i="20" s="1"/>
  <c r="K407" i="21" l="1"/>
  <c r="R427" i="20"/>
  <c r="AD426" i="20"/>
  <c r="F407" i="21" s="1"/>
  <c r="E470" i="18"/>
  <c r="AA469" i="20"/>
  <c r="AA469" i="19"/>
  <c r="AD469" i="19" s="1"/>
  <c r="E450" i="21" s="1"/>
  <c r="AA469" i="17"/>
  <c r="R430" i="17"/>
  <c r="AD429" i="17"/>
  <c r="D410" i="21" s="1"/>
  <c r="J626" i="17"/>
  <c r="K626" i="17" s="1"/>
  <c r="L626" i="17" s="1"/>
  <c r="F627" i="17" s="1"/>
  <c r="H626" i="17"/>
  <c r="U533" i="19"/>
  <c r="X533" i="19"/>
  <c r="Y533" i="19"/>
  <c r="R534" i="19" s="1"/>
  <c r="J626" i="20"/>
  <c r="K626" i="20" s="1"/>
  <c r="H626" i="20"/>
  <c r="L626" i="20" l="1"/>
  <c r="F627" i="20" s="1"/>
  <c r="H627" i="17"/>
  <c r="K627" i="17" s="1"/>
  <c r="G470" i="18"/>
  <c r="H470" i="18" s="1"/>
  <c r="I470" i="18"/>
  <c r="U534" i="19"/>
  <c r="X534" i="19" s="1"/>
  <c r="U430" i="17"/>
  <c r="X430" i="17" s="1"/>
  <c r="U427" i="20"/>
  <c r="X427" i="20" s="1"/>
  <c r="Y427" i="20" l="1"/>
  <c r="Y534" i="19"/>
  <c r="R535" i="19" s="1"/>
  <c r="L627" i="17"/>
  <c r="F628" i="17" s="1"/>
  <c r="Y430" i="17"/>
  <c r="J470" i="18"/>
  <c r="K627" i="20"/>
  <c r="H627" i="20"/>
  <c r="L627" i="20" s="1"/>
  <c r="F628" i="20" s="1"/>
  <c r="H628" i="20" l="1"/>
  <c r="K628" i="20" s="1"/>
  <c r="AA470" i="20"/>
  <c r="E471" i="18"/>
  <c r="AA470" i="17"/>
  <c r="AA470" i="19"/>
  <c r="AD470" i="19" s="1"/>
  <c r="E451" i="21" s="1"/>
  <c r="R431" i="17"/>
  <c r="AD430" i="17"/>
  <c r="D411" i="21" s="1"/>
  <c r="H628" i="17"/>
  <c r="U535" i="19"/>
  <c r="X535" i="19" s="1"/>
  <c r="Y535" i="19" s="1"/>
  <c r="R536" i="19" s="1"/>
  <c r="R428" i="20"/>
  <c r="K408" i="21"/>
  <c r="AD427" i="20"/>
  <c r="F408" i="21" s="1"/>
  <c r="X536" i="19" l="1"/>
  <c r="Y536" i="19" s="1"/>
  <c r="R537" i="19" s="1"/>
  <c r="U536" i="19"/>
  <c r="P32" i="2"/>
  <c r="X32" i="2" s="1"/>
  <c r="P34" i="2"/>
  <c r="X34" i="2" s="1"/>
  <c r="P31" i="2"/>
  <c r="X31" i="2" s="1"/>
  <c r="P33" i="2"/>
  <c r="X33" i="2" s="1"/>
  <c r="P35" i="2"/>
  <c r="X35" i="2" s="1"/>
  <c r="P37" i="2"/>
  <c r="X37" i="2" s="1"/>
  <c r="P36" i="2"/>
  <c r="X36" i="2" s="1"/>
  <c r="P38" i="2"/>
  <c r="X38" i="2" s="1"/>
  <c r="P39" i="2"/>
  <c r="X39" i="2" s="1"/>
  <c r="P40" i="2"/>
  <c r="X40" i="2" s="1"/>
  <c r="P41" i="2"/>
  <c r="X41" i="2" s="1"/>
  <c r="P43" i="2"/>
  <c r="X43" i="2" s="1"/>
  <c r="P42" i="2"/>
  <c r="P44" i="2"/>
  <c r="P45" i="2"/>
  <c r="P47" i="2"/>
  <c r="P46" i="2"/>
  <c r="P48" i="2"/>
  <c r="P50" i="2"/>
  <c r="P53" i="2"/>
  <c r="P49" i="2"/>
  <c r="P51" i="2"/>
  <c r="P52" i="2"/>
  <c r="P54" i="2"/>
  <c r="P55" i="2"/>
  <c r="K628" i="17"/>
  <c r="L628" i="17" s="1"/>
  <c r="F629" i="17" s="1"/>
  <c r="G471" i="18"/>
  <c r="I471" i="18"/>
  <c r="J471" i="18" s="1"/>
  <c r="U428" i="20"/>
  <c r="U431" i="17"/>
  <c r="X431" i="17" s="1"/>
  <c r="L628" i="20"/>
  <c r="F629" i="20" s="1"/>
  <c r="H629" i="17" l="1"/>
  <c r="J629" i="17" s="1"/>
  <c r="K629" i="17" s="1"/>
  <c r="AA471" i="19"/>
  <c r="AD471" i="19" s="1"/>
  <c r="E452" i="21" s="1"/>
  <c r="AA471" i="20"/>
  <c r="E472" i="18"/>
  <c r="AA471" i="17"/>
  <c r="U537" i="19"/>
  <c r="X537" i="19"/>
  <c r="Y537" i="19" s="1"/>
  <c r="R538" i="19" s="1"/>
  <c r="H629" i="20"/>
  <c r="X428" i="20"/>
  <c r="Y428" i="20" s="1"/>
  <c r="T55" i="2"/>
  <c r="AA21" i="2"/>
  <c r="Y431" i="17"/>
  <c r="R429" i="20" l="1"/>
  <c r="AD428" i="20"/>
  <c r="F409" i="21" s="1"/>
  <c r="U538" i="19"/>
  <c r="Y538" i="19" s="1"/>
  <c r="R539" i="19" s="1"/>
  <c r="X538" i="19"/>
  <c r="O26" i="21"/>
  <c r="O19" i="21"/>
  <c r="O27" i="21"/>
  <c r="O29" i="21"/>
  <c r="O16" i="21"/>
  <c r="O25" i="21"/>
  <c r="O28" i="21"/>
  <c r="O23" i="21"/>
  <c r="O21" i="21"/>
  <c r="O20" i="21"/>
  <c r="O24" i="21"/>
  <c r="O22" i="21"/>
  <c r="O18" i="21"/>
  <c r="J629" i="20"/>
  <c r="L629" i="17"/>
  <c r="F630" i="17" s="1"/>
  <c r="R432" i="17"/>
  <c r="AD431" i="17"/>
  <c r="D412" i="21" s="1"/>
  <c r="G472" i="18"/>
  <c r="I472" i="18"/>
  <c r="J472" i="18"/>
  <c r="U539" i="19" l="1"/>
  <c r="X539" i="19"/>
  <c r="Y539" i="19"/>
  <c r="R540" i="19" s="1"/>
  <c r="R16" i="21"/>
  <c r="P16" i="21"/>
  <c r="X42" i="2" s="1"/>
  <c r="Q16" i="21"/>
  <c r="R29" i="21"/>
  <c r="Q29" i="21"/>
  <c r="P29" i="21"/>
  <c r="X55" i="2" s="1"/>
  <c r="R24" i="21"/>
  <c r="Q24" i="21"/>
  <c r="P24" i="21"/>
  <c r="X50" i="2" s="1"/>
  <c r="Q21" i="21"/>
  <c r="P21" i="21"/>
  <c r="X47" i="2" s="1"/>
  <c r="R21" i="21"/>
  <c r="R27" i="21"/>
  <c r="P27" i="21"/>
  <c r="X53" i="2" s="1"/>
  <c r="Q27" i="21"/>
  <c r="U432" i="17"/>
  <c r="E473" i="18"/>
  <c r="AA472" i="20"/>
  <c r="AA472" i="17"/>
  <c r="AA472" i="19"/>
  <c r="AD472" i="19" s="1"/>
  <c r="E453" i="21" s="1"/>
  <c r="Q23" i="21"/>
  <c r="R23" i="21"/>
  <c r="P23" i="21"/>
  <c r="X49" i="2" s="1"/>
  <c r="R19" i="21"/>
  <c r="Q19" i="21"/>
  <c r="P19" i="21"/>
  <c r="X45" i="2" s="1"/>
  <c r="K629" i="20"/>
  <c r="L629" i="20" s="1"/>
  <c r="F630" i="20" s="1"/>
  <c r="Q28" i="21"/>
  <c r="P28" i="21"/>
  <c r="X54" i="2" s="1"/>
  <c r="R28" i="21"/>
  <c r="Q20" i="21"/>
  <c r="R20" i="21"/>
  <c r="P20" i="21"/>
  <c r="X46" i="2" s="1"/>
  <c r="H630" i="17"/>
  <c r="K630" i="17" s="1"/>
  <c r="Q18" i="21"/>
  <c r="R18" i="21"/>
  <c r="P18" i="21"/>
  <c r="X44" i="2" s="1"/>
  <c r="Q26" i="21"/>
  <c r="P26" i="21"/>
  <c r="X52" i="2" s="1"/>
  <c r="R26" i="21"/>
  <c r="R22" i="21"/>
  <c r="P22" i="21"/>
  <c r="X48" i="2" s="1"/>
  <c r="Q22" i="21"/>
  <c r="P25" i="21"/>
  <c r="X51" i="2" s="1"/>
  <c r="Q25" i="21"/>
  <c r="R25" i="21"/>
  <c r="U429" i="20"/>
  <c r="X429" i="20" s="1"/>
  <c r="H630" i="20" l="1"/>
  <c r="K630" i="20" s="1"/>
  <c r="L630" i="17"/>
  <c r="F631" i="17" s="1"/>
  <c r="G473" i="18"/>
  <c r="H473" i="18" s="1"/>
  <c r="I473" i="18"/>
  <c r="U540" i="19"/>
  <c r="X540" i="19" s="1"/>
  <c r="Y540" i="19" s="1"/>
  <c r="R541" i="19" s="1"/>
  <c r="Y429" i="20"/>
  <c r="X432" i="17"/>
  <c r="Y432" i="17" s="1"/>
  <c r="U541" i="19" l="1"/>
  <c r="X541" i="19" s="1"/>
  <c r="R433" i="17"/>
  <c r="AD432" i="17"/>
  <c r="D413" i="21" s="1"/>
  <c r="J473" i="18"/>
  <c r="L630" i="20"/>
  <c r="F631" i="20" s="1"/>
  <c r="R430" i="20"/>
  <c r="AD429" i="20"/>
  <c r="F410" i="21" s="1"/>
  <c r="H631" i="17"/>
  <c r="K631" i="17" l="1"/>
  <c r="L631" i="17" s="1"/>
  <c r="F632" i="17" s="1"/>
  <c r="AA473" i="19"/>
  <c r="AD473" i="19" s="1"/>
  <c r="E454" i="21" s="1"/>
  <c r="E474" i="18"/>
  <c r="AA473" i="17"/>
  <c r="AA473" i="20"/>
  <c r="U433" i="17"/>
  <c r="X433" i="17" s="1"/>
  <c r="Y541" i="19"/>
  <c r="R542" i="19" s="1"/>
  <c r="X430" i="20"/>
  <c r="Y430" i="20"/>
  <c r="U430" i="20"/>
  <c r="H631" i="20"/>
  <c r="H632" i="17" l="1"/>
  <c r="R431" i="20"/>
  <c r="AD430" i="20"/>
  <c r="F411" i="21" s="1"/>
  <c r="U542" i="19"/>
  <c r="X542" i="19"/>
  <c r="Y542" i="19"/>
  <c r="R543" i="19" s="1"/>
  <c r="K631" i="20"/>
  <c r="L631" i="20" s="1"/>
  <c r="F632" i="20" s="1"/>
  <c r="Y433" i="17"/>
  <c r="G474" i="18"/>
  <c r="I474" i="18"/>
  <c r="J474" i="18"/>
  <c r="H632" i="20" l="1"/>
  <c r="U543" i="19"/>
  <c r="X543" i="19" s="1"/>
  <c r="J632" i="17"/>
  <c r="K632" i="17" s="1"/>
  <c r="L632" i="17" s="1"/>
  <c r="F633" i="17" s="1"/>
  <c r="U431" i="20"/>
  <c r="X431" i="20" s="1"/>
  <c r="AA474" i="20"/>
  <c r="AA474" i="17"/>
  <c r="AA474" i="19"/>
  <c r="AD474" i="19" s="1"/>
  <c r="E455" i="21" s="1"/>
  <c r="E475" i="18"/>
  <c r="R434" i="17"/>
  <c r="AD433" i="17"/>
  <c r="D414" i="21" s="1"/>
  <c r="H633" i="17" l="1"/>
  <c r="G475" i="18"/>
  <c r="Y431" i="20"/>
  <c r="Y543" i="19"/>
  <c r="R544" i="19" s="1"/>
  <c r="J632" i="20"/>
  <c r="K632" i="20" s="1"/>
  <c r="U434" i="17"/>
  <c r="L633" i="17" l="1"/>
  <c r="F634" i="17" s="1"/>
  <c r="I475" i="18"/>
  <c r="J475" i="18" s="1"/>
  <c r="R432" i="20"/>
  <c r="AD431" i="20"/>
  <c r="F412" i="21" s="1"/>
  <c r="K633" i="17"/>
  <c r="U544" i="19"/>
  <c r="X544" i="19"/>
  <c r="Y544" i="19"/>
  <c r="R545" i="19" s="1"/>
  <c r="L632" i="20"/>
  <c r="F633" i="20" s="1"/>
  <c r="X434" i="17"/>
  <c r="Y434" i="17" s="1"/>
  <c r="R435" i="17" l="1"/>
  <c r="AD434" i="17"/>
  <c r="D415" i="21" s="1"/>
  <c r="AA475" i="17"/>
  <c r="AA475" i="19"/>
  <c r="AD475" i="19" s="1"/>
  <c r="E456" i="21" s="1"/>
  <c r="E476" i="18"/>
  <c r="AA475" i="20"/>
  <c r="U545" i="19"/>
  <c r="X545" i="19"/>
  <c r="Y545" i="19"/>
  <c r="R546" i="19" s="1"/>
  <c r="U432" i="20"/>
  <c r="H633" i="20"/>
  <c r="H634" i="17"/>
  <c r="K634" i="17" s="1"/>
  <c r="L634" i="17" l="1"/>
  <c r="F635" i="17" s="1"/>
  <c r="G476" i="18"/>
  <c r="H476" i="18" s="1"/>
  <c r="X432" i="20"/>
  <c r="Y432" i="20" s="1"/>
  <c r="X546" i="19"/>
  <c r="Y546" i="19"/>
  <c r="R547" i="19" s="1"/>
  <c r="U546" i="19"/>
  <c r="K633" i="20"/>
  <c r="L633" i="20" s="1"/>
  <c r="F634" i="20" s="1"/>
  <c r="U435" i="17"/>
  <c r="X435" i="17" s="1"/>
  <c r="R433" i="20" l="1"/>
  <c r="AD432" i="20"/>
  <c r="F413" i="21" s="1"/>
  <c r="H634" i="20"/>
  <c r="K634" i="20" s="1"/>
  <c r="H635" i="17"/>
  <c r="U547" i="19"/>
  <c r="X547" i="19"/>
  <c r="Y547" i="19" s="1"/>
  <c r="R548" i="19" s="1"/>
  <c r="I476" i="18"/>
  <c r="Y435" i="17"/>
  <c r="J476" i="18"/>
  <c r="U548" i="19" l="1"/>
  <c r="X548" i="19" s="1"/>
  <c r="L634" i="20"/>
  <c r="F635" i="20" s="1"/>
  <c r="AA476" i="19"/>
  <c r="AD476" i="19" s="1"/>
  <c r="E457" i="21" s="1"/>
  <c r="AA476" i="17"/>
  <c r="AA476" i="20"/>
  <c r="E477" i="18"/>
  <c r="R436" i="17"/>
  <c r="AD435" i="17"/>
  <c r="D416" i="21" s="1"/>
  <c r="J635" i="17"/>
  <c r="K635" i="17" s="1"/>
  <c r="U433" i="20"/>
  <c r="U436" i="17" l="1"/>
  <c r="X436" i="17" s="1"/>
  <c r="Y548" i="19"/>
  <c r="R549" i="19" s="1"/>
  <c r="J477" i="18"/>
  <c r="G477" i="18"/>
  <c r="I477" i="18"/>
  <c r="X433" i="20"/>
  <c r="Y433" i="20" s="1"/>
  <c r="J635" i="20"/>
  <c r="K635" i="20"/>
  <c r="L635" i="20"/>
  <c r="F636" i="20" s="1"/>
  <c r="H635" i="20"/>
  <c r="L635" i="17"/>
  <c r="F636" i="17" s="1"/>
  <c r="R434" i="20" l="1"/>
  <c r="AD433" i="20"/>
  <c r="F414" i="21" s="1"/>
  <c r="U549" i="19"/>
  <c r="Y549" i="19" s="1"/>
  <c r="R550" i="19" s="1"/>
  <c r="X549" i="19"/>
  <c r="H636" i="20"/>
  <c r="K636" i="20" s="1"/>
  <c r="L636" i="20" s="1"/>
  <c r="F637" i="20" s="1"/>
  <c r="H636" i="17"/>
  <c r="Y436" i="17"/>
  <c r="AA477" i="17"/>
  <c r="E478" i="18"/>
  <c r="AA477" i="20"/>
  <c r="AA477" i="19"/>
  <c r="AD477" i="19" s="1"/>
  <c r="E458" i="21" s="1"/>
  <c r="H637" i="20" l="1"/>
  <c r="X550" i="19"/>
  <c r="Y550" i="19"/>
  <c r="R551" i="19" s="1"/>
  <c r="U550" i="19"/>
  <c r="R437" i="17"/>
  <c r="AD436" i="17"/>
  <c r="D417" i="21" s="1"/>
  <c r="K636" i="17"/>
  <c r="L636" i="17" s="1"/>
  <c r="F637" i="17" s="1"/>
  <c r="G478" i="18"/>
  <c r="I478" i="18" s="1"/>
  <c r="J478" i="18" s="1"/>
  <c r="U434" i="20"/>
  <c r="X434" i="20" s="1"/>
  <c r="AA478" i="20" l="1"/>
  <c r="E479" i="18"/>
  <c r="AA478" i="19"/>
  <c r="AD478" i="19" s="1"/>
  <c r="E459" i="21" s="1"/>
  <c r="AA478" i="17"/>
  <c r="K637" i="17"/>
  <c r="L637" i="17" s="1"/>
  <c r="F638" i="17" s="1"/>
  <c r="H637" i="17"/>
  <c r="L637" i="20"/>
  <c r="F638" i="20" s="1"/>
  <c r="U551" i="19"/>
  <c r="Y551" i="19"/>
  <c r="R552" i="19" s="1"/>
  <c r="X551" i="19"/>
  <c r="Y434" i="20"/>
  <c r="K637" i="20"/>
  <c r="U437" i="17"/>
  <c r="X437" i="17" s="1"/>
  <c r="H638" i="17" l="1"/>
  <c r="U552" i="19"/>
  <c r="Y552" i="19" s="1"/>
  <c r="R553" i="19" s="1"/>
  <c r="X552" i="19"/>
  <c r="H638" i="20"/>
  <c r="G479" i="18"/>
  <c r="H479" i="18" s="1"/>
  <c r="R435" i="20"/>
  <c r="AD434" i="20"/>
  <c r="F415" i="21" s="1"/>
  <c r="Y437" i="17"/>
  <c r="U553" i="19" l="1"/>
  <c r="X553" i="19"/>
  <c r="Y553" i="19"/>
  <c r="R554" i="19" s="1"/>
  <c r="K638" i="17"/>
  <c r="I479" i="18"/>
  <c r="J479" i="18" s="1"/>
  <c r="J638" i="20"/>
  <c r="K638" i="20" s="1"/>
  <c r="J638" i="17"/>
  <c r="L638" i="17" s="1"/>
  <c r="F639" i="17" s="1"/>
  <c r="U435" i="20"/>
  <c r="X435" i="20" s="1"/>
  <c r="R438" i="17"/>
  <c r="AD437" i="17"/>
  <c r="D418" i="21" s="1"/>
  <c r="E480" i="18" l="1"/>
  <c r="AA479" i="20"/>
  <c r="AA479" i="17"/>
  <c r="AA479" i="19"/>
  <c r="AD479" i="19" s="1"/>
  <c r="E460" i="21" s="1"/>
  <c r="K639" i="17"/>
  <c r="L639" i="17" s="1"/>
  <c r="F640" i="17" s="1"/>
  <c r="H639" i="17"/>
  <c r="U438" i="17"/>
  <c r="X438" i="17" s="1"/>
  <c r="Y435" i="20"/>
  <c r="U554" i="19"/>
  <c r="X554" i="19" s="1"/>
  <c r="L638" i="20"/>
  <c r="F639" i="20" s="1"/>
  <c r="H640" i="17" l="1"/>
  <c r="K640" i="17" s="1"/>
  <c r="R436" i="20"/>
  <c r="AD435" i="20"/>
  <c r="F416" i="21" s="1"/>
  <c r="H639" i="20"/>
  <c r="K639" i="20" s="1"/>
  <c r="L639" i="20" s="1"/>
  <c r="F640" i="20" s="1"/>
  <c r="Y438" i="17"/>
  <c r="Y554" i="19"/>
  <c r="R555" i="19" s="1"/>
  <c r="G480" i="18"/>
  <c r="I480" i="18" s="1"/>
  <c r="J480" i="18" s="1"/>
  <c r="H640" i="20" l="1"/>
  <c r="K640" i="20" s="1"/>
  <c r="AA480" i="17"/>
  <c r="AA480" i="20"/>
  <c r="AA480" i="19"/>
  <c r="AD480" i="19" s="1"/>
  <c r="E461" i="21" s="1"/>
  <c r="E481" i="18"/>
  <c r="U436" i="20"/>
  <c r="X436" i="20" s="1"/>
  <c r="X555" i="19"/>
  <c r="Y555" i="19"/>
  <c r="R556" i="19" s="1"/>
  <c r="U555" i="19"/>
  <c r="R439" i="17"/>
  <c r="AD438" i="17"/>
  <c r="D419" i="21" s="1"/>
  <c r="L640" i="17"/>
  <c r="F641" i="17" s="1"/>
  <c r="U556" i="19" l="1"/>
  <c r="X556" i="19"/>
  <c r="Y556" i="19"/>
  <c r="R557" i="19" s="1"/>
  <c r="J641" i="17"/>
  <c r="K641" i="17"/>
  <c r="L641" i="17"/>
  <c r="F642" i="17" s="1"/>
  <c r="H641" i="17"/>
  <c r="Y436" i="20"/>
  <c r="L640" i="20"/>
  <c r="F641" i="20" s="1"/>
  <c r="U439" i="17"/>
  <c r="X439" i="17" s="1"/>
  <c r="Y439" i="17" s="1"/>
  <c r="G481" i="18"/>
  <c r="I481" i="18"/>
  <c r="J481" i="18"/>
  <c r="R440" i="17" l="1"/>
  <c r="AD439" i="17"/>
  <c r="D420" i="21" s="1"/>
  <c r="H642" i="17"/>
  <c r="U557" i="19"/>
  <c r="X557" i="19" s="1"/>
  <c r="E482" i="18"/>
  <c r="AA481" i="20"/>
  <c r="AA481" i="19"/>
  <c r="AD481" i="19" s="1"/>
  <c r="E462" i="21" s="1"/>
  <c r="AA481" i="17"/>
  <c r="H641" i="20"/>
  <c r="J641" i="20" s="1"/>
  <c r="R437" i="20"/>
  <c r="AD436" i="20"/>
  <c r="F417" i="21" s="1"/>
  <c r="U437" i="20" l="1"/>
  <c r="I482" i="18"/>
  <c r="G482" i="18"/>
  <c r="J482" i="18" s="1"/>
  <c r="H482" i="18"/>
  <c r="Y557" i="19"/>
  <c r="R558" i="19" s="1"/>
  <c r="K642" i="17"/>
  <c r="L642" i="17" s="1"/>
  <c r="F643" i="17" s="1"/>
  <c r="K641" i="20"/>
  <c r="L641" i="20"/>
  <c r="F642" i="20" s="1"/>
  <c r="U440" i="17"/>
  <c r="H643" i="17" l="1"/>
  <c r="K643" i="17" s="1"/>
  <c r="AA482" i="19"/>
  <c r="AD482" i="19" s="1"/>
  <c r="E463" i="21" s="1"/>
  <c r="AA482" i="20"/>
  <c r="AA482" i="17"/>
  <c r="E483" i="18"/>
  <c r="Y437" i="20"/>
  <c r="X440" i="17"/>
  <c r="Y440" i="17" s="1"/>
  <c r="U558" i="19"/>
  <c r="X558" i="19" s="1"/>
  <c r="X437" i="20"/>
  <c r="H642" i="20"/>
  <c r="K642" i="20" s="1"/>
  <c r="R441" i="17" l="1"/>
  <c r="AD440" i="17"/>
  <c r="D421" i="21" s="1"/>
  <c r="L643" i="17"/>
  <c r="F644" i="17" s="1"/>
  <c r="Y558" i="19"/>
  <c r="R559" i="19" s="1"/>
  <c r="L642" i="20"/>
  <c r="F643" i="20" s="1"/>
  <c r="R438" i="20"/>
  <c r="AD437" i="20"/>
  <c r="F418" i="21" s="1"/>
  <c r="G483" i="18"/>
  <c r="I483" i="18" s="1"/>
  <c r="J483" i="18" s="1"/>
  <c r="AA483" i="19" l="1"/>
  <c r="AD483" i="19" s="1"/>
  <c r="E464" i="21" s="1"/>
  <c r="E484" i="18"/>
  <c r="AA483" i="20"/>
  <c r="AA483" i="17"/>
  <c r="K643" i="20"/>
  <c r="L643" i="20"/>
  <c r="F644" i="20" s="1"/>
  <c r="H643" i="20"/>
  <c r="U559" i="19"/>
  <c r="X559" i="19"/>
  <c r="Y559" i="19" s="1"/>
  <c r="R560" i="19" s="1"/>
  <c r="J644" i="17"/>
  <c r="L644" i="17" s="1"/>
  <c r="F645" i="17" s="1"/>
  <c r="H644" i="17"/>
  <c r="K644" i="17" s="1"/>
  <c r="U438" i="20"/>
  <c r="X438" i="20" s="1"/>
  <c r="X441" i="17"/>
  <c r="U441" i="17"/>
  <c r="Y441" i="17" s="1"/>
  <c r="H645" i="17" l="1"/>
  <c r="U560" i="19"/>
  <c r="R442" i="17"/>
  <c r="AD441" i="17"/>
  <c r="D422" i="21" s="1"/>
  <c r="J644" i="20"/>
  <c r="K644" i="20"/>
  <c r="L644" i="20"/>
  <c r="F645" i="20" s="1"/>
  <c r="H644" i="20"/>
  <c r="G484" i="18"/>
  <c r="I484" i="18"/>
  <c r="J484" i="18"/>
  <c r="Y438" i="20"/>
  <c r="H645" i="20" l="1"/>
  <c r="K645" i="20" s="1"/>
  <c r="K645" i="17"/>
  <c r="L645" i="17" s="1"/>
  <c r="F646" i="17" s="1"/>
  <c r="X560" i="19"/>
  <c r="Y560" i="19" s="1"/>
  <c r="R561" i="19" s="1"/>
  <c r="R439" i="20"/>
  <c r="AD438" i="20"/>
  <c r="F419" i="21" s="1"/>
  <c r="AA484" i="17"/>
  <c r="AA484" i="19"/>
  <c r="AD484" i="19" s="1"/>
  <c r="E465" i="21" s="1"/>
  <c r="E485" i="18"/>
  <c r="AA484" i="20"/>
  <c r="U442" i="17"/>
  <c r="X442" i="17" s="1"/>
  <c r="U561" i="19" l="1"/>
  <c r="X561" i="19" s="1"/>
  <c r="H646" i="17"/>
  <c r="K646" i="17" s="1"/>
  <c r="G485" i="18"/>
  <c r="I485" i="18"/>
  <c r="H485" i="18"/>
  <c r="J485" i="18" s="1"/>
  <c r="L645" i="20"/>
  <c r="F646" i="20" s="1"/>
  <c r="Y442" i="17"/>
  <c r="U439" i="20"/>
  <c r="X439" i="20" s="1"/>
  <c r="E486" i="18" l="1"/>
  <c r="AA485" i="17"/>
  <c r="AA485" i="20"/>
  <c r="AA485" i="19"/>
  <c r="AD485" i="19" s="1"/>
  <c r="E466" i="21" s="1"/>
  <c r="K646" i="20"/>
  <c r="L646" i="20" s="1"/>
  <c r="F647" i="20" s="1"/>
  <c r="H646" i="20"/>
  <c r="L646" i="17"/>
  <c r="F647" i="17" s="1"/>
  <c r="Y561" i="19"/>
  <c r="R562" i="19" s="1"/>
  <c r="R443" i="17"/>
  <c r="AD442" i="17"/>
  <c r="D423" i="21" s="1"/>
  <c r="Y439" i="20"/>
  <c r="H647" i="20" l="1"/>
  <c r="U562" i="19"/>
  <c r="Y562" i="19" s="1"/>
  <c r="R563" i="19" s="1"/>
  <c r="X562" i="19"/>
  <c r="H647" i="17"/>
  <c r="J647" i="17" s="1"/>
  <c r="R440" i="20"/>
  <c r="AD439" i="20"/>
  <c r="F420" i="21" s="1"/>
  <c r="U443" i="17"/>
  <c r="X443" i="17" s="1"/>
  <c r="G486" i="18"/>
  <c r="J486" i="18" s="1"/>
  <c r="I486" i="18"/>
  <c r="E487" i="18" l="1"/>
  <c r="AA486" i="20"/>
  <c r="AA486" i="17"/>
  <c r="AA486" i="19"/>
  <c r="AD486" i="19" s="1"/>
  <c r="E467" i="21" s="1"/>
  <c r="U563" i="19"/>
  <c r="X563" i="19" s="1"/>
  <c r="Y443" i="17"/>
  <c r="U440" i="20"/>
  <c r="X440" i="20" s="1"/>
  <c r="K647" i="17"/>
  <c r="L647" i="17" s="1"/>
  <c r="F648" i="17" s="1"/>
  <c r="J647" i="20"/>
  <c r="K647" i="20" s="1"/>
  <c r="L647" i="20" s="1"/>
  <c r="F648" i="20" s="1"/>
  <c r="H648" i="17" l="1"/>
  <c r="H648" i="20"/>
  <c r="Y440" i="20"/>
  <c r="R444" i="17"/>
  <c r="AD443" i="17"/>
  <c r="D424" i="21" s="1"/>
  <c r="Y563" i="19"/>
  <c r="R564" i="19" s="1"/>
  <c r="G487" i="18"/>
  <c r="J487" i="18" s="1"/>
  <c r="I487" i="18"/>
  <c r="E488" i="18" l="1"/>
  <c r="AA487" i="20"/>
  <c r="AA487" i="17"/>
  <c r="AA487" i="19"/>
  <c r="AD487" i="19" s="1"/>
  <c r="E468" i="21" s="1"/>
  <c r="L648" i="17"/>
  <c r="F649" i="17" s="1"/>
  <c r="U564" i="19"/>
  <c r="X564" i="19" s="1"/>
  <c r="K648" i="20"/>
  <c r="L648" i="20" s="1"/>
  <c r="F649" i="20" s="1"/>
  <c r="X444" i="17"/>
  <c r="Y444" i="17"/>
  <c r="U444" i="17"/>
  <c r="K648" i="17"/>
  <c r="R441" i="20"/>
  <c r="AD440" i="20"/>
  <c r="F421" i="21" s="1"/>
  <c r="H649" i="20" l="1"/>
  <c r="U441" i="20"/>
  <c r="R445" i="17"/>
  <c r="AD444" i="17"/>
  <c r="D425" i="21" s="1"/>
  <c r="Y564" i="19"/>
  <c r="R565" i="19" s="1"/>
  <c r="G488" i="18"/>
  <c r="I488" i="18" s="1"/>
  <c r="H488" i="18"/>
  <c r="H649" i="17"/>
  <c r="K649" i="17" s="1"/>
  <c r="X441" i="20" l="1"/>
  <c r="Y441" i="20" s="1"/>
  <c r="L649" i="17"/>
  <c r="F650" i="17" s="1"/>
  <c r="J488" i="18"/>
  <c r="K649" i="20"/>
  <c r="L649" i="20" s="1"/>
  <c r="F650" i="20" s="1"/>
  <c r="U565" i="19"/>
  <c r="X565" i="19"/>
  <c r="Y565" i="19" s="1"/>
  <c r="R566" i="19" s="1"/>
  <c r="U445" i="17"/>
  <c r="U566" i="19" l="1"/>
  <c r="X566" i="19"/>
  <c r="Y566" i="19"/>
  <c r="R567" i="19" s="1"/>
  <c r="J650" i="20"/>
  <c r="K650" i="20" s="1"/>
  <c r="H650" i="20"/>
  <c r="R442" i="20"/>
  <c r="AD441" i="20"/>
  <c r="F422" i="21" s="1"/>
  <c r="X445" i="17"/>
  <c r="Y445" i="17" s="1"/>
  <c r="AA488" i="19"/>
  <c r="AD488" i="19" s="1"/>
  <c r="E469" i="21" s="1"/>
  <c r="AA488" i="20"/>
  <c r="E489" i="18"/>
  <c r="AA488" i="17"/>
  <c r="J650" i="17"/>
  <c r="H650" i="17"/>
  <c r="R446" i="17" l="1"/>
  <c r="AD445" i="17"/>
  <c r="D426" i="21" s="1"/>
  <c r="K650" i="17"/>
  <c r="L650" i="17" s="1"/>
  <c r="F651" i="17" s="1"/>
  <c r="L650" i="20"/>
  <c r="F651" i="20" s="1"/>
  <c r="X567" i="19"/>
  <c r="U567" i="19"/>
  <c r="Y567" i="19" s="1"/>
  <c r="R568" i="19" s="1"/>
  <c r="G489" i="18"/>
  <c r="I489" i="18"/>
  <c r="J489" i="18"/>
  <c r="U442" i="20"/>
  <c r="X442" i="20" s="1"/>
  <c r="U568" i="19" l="1"/>
  <c r="Y568" i="19" s="1"/>
  <c r="R569" i="19" s="1"/>
  <c r="X568" i="19"/>
  <c r="H651" i="17"/>
  <c r="H651" i="20"/>
  <c r="K651" i="20" s="1"/>
  <c r="AA489" i="20"/>
  <c r="AA489" i="17"/>
  <c r="AA489" i="19"/>
  <c r="AD489" i="19" s="1"/>
  <c r="E470" i="21" s="1"/>
  <c r="E490" i="18"/>
  <c r="Y442" i="20"/>
  <c r="U446" i="17"/>
  <c r="Y446" i="17" l="1"/>
  <c r="U569" i="19"/>
  <c r="X569" i="19" s="1"/>
  <c r="K651" i="17"/>
  <c r="L651" i="17" s="1"/>
  <c r="F652" i="17" s="1"/>
  <c r="X446" i="17"/>
  <c r="R443" i="20"/>
  <c r="AD442" i="20"/>
  <c r="F423" i="21" s="1"/>
  <c r="L651" i="20"/>
  <c r="F652" i="20" s="1"/>
  <c r="G490" i="18"/>
  <c r="I490" i="18" s="1"/>
  <c r="J490" i="18" s="1"/>
  <c r="AA490" i="17" l="1"/>
  <c r="AA490" i="19"/>
  <c r="AD490" i="19" s="1"/>
  <c r="E471" i="21" s="1"/>
  <c r="AA490" i="20"/>
  <c r="E491" i="18"/>
  <c r="K652" i="17"/>
  <c r="L652" i="17" s="1"/>
  <c r="F653" i="17" s="1"/>
  <c r="H652" i="17"/>
  <c r="H652" i="20"/>
  <c r="K652" i="20" s="1"/>
  <c r="R447" i="17"/>
  <c r="AD446" i="17"/>
  <c r="D427" i="21" s="1"/>
  <c r="U443" i="20"/>
  <c r="X443" i="20" s="1"/>
  <c r="Y569" i="19"/>
  <c r="R570" i="19" s="1"/>
  <c r="H653" i="17" l="1"/>
  <c r="J653" i="17" s="1"/>
  <c r="X447" i="17"/>
  <c r="Y447" i="17" s="1"/>
  <c r="U447" i="17"/>
  <c r="U570" i="19"/>
  <c r="Y570" i="19" s="1"/>
  <c r="R571" i="19" s="1"/>
  <c r="X570" i="19"/>
  <c r="G491" i="18"/>
  <c r="I491" i="18" s="1"/>
  <c r="L652" i="20"/>
  <c r="F653" i="20" s="1"/>
  <c r="Y443" i="20"/>
  <c r="R448" i="17" l="1"/>
  <c r="AD447" i="17"/>
  <c r="D428" i="21" s="1"/>
  <c r="U571" i="19"/>
  <c r="X571" i="19"/>
  <c r="Y571" i="19"/>
  <c r="R572" i="19" s="1"/>
  <c r="L653" i="17"/>
  <c r="F654" i="17" s="1"/>
  <c r="R444" i="20"/>
  <c r="AD443" i="20"/>
  <c r="F424" i="21" s="1"/>
  <c r="H653" i="20"/>
  <c r="K653" i="17"/>
  <c r="H491" i="18"/>
  <c r="J491" i="18" s="1"/>
  <c r="AA491" i="17" l="1"/>
  <c r="AA491" i="20"/>
  <c r="AA491" i="19"/>
  <c r="AD491" i="19" s="1"/>
  <c r="E472" i="21" s="1"/>
  <c r="E492" i="18"/>
  <c r="K653" i="20"/>
  <c r="L653" i="20" s="1"/>
  <c r="F654" i="20" s="1"/>
  <c r="K654" i="17"/>
  <c r="H654" i="17"/>
  <c r="L654" i="17" s="1"/>
  <c r="F655" i="17" s="1"/>
  <c r="J653" i="20"/>
  <c r="U572" i="19"/>
  <c r="X572" i="19" s="1"/>
  <c r="U444" i="20"/>
  <c r="X448" i="17"/>
  <c r="Y448" i="17" s="1"/>
  <c r="U448" i="17"/>
  <c r="R449" i="17" l="1"/>
  <c r="AD448" i="17"/>
  <c r="D429" i="21" s="1"/>
  <c r="H654" i="20"/>
  <c r="K654" i="20" s="1"/>
  <c r="Y444" i="20"/>
  <c r="H655" i="17"/>
  <c r="X444" i="20"/>
  <c r="Y572" i="19"/>
  <c r="R573" i="19" s="1"/>
  <c r="G492" i="18"/>
  <c r="I492" i="18"/>
  <c r="J492" i="18"/>
  <c r="U573" i="19" l="1"/>
  <c r="R445" i="20"/>
  <c r="AD444" i="20"/>
  <c r="F425" i="21" s="1"/>
  <c r="L654" i="20"/>
  <c r="F655" i="20" s="1"/>
  <c r="E493" i="18"/>
  <c r="AA492" i="19"/>
  <c r="AD492" i="19" s="1"/>
  <c r="E473" i="21" s="1"/>
  <c r="AA492" i="17"/>
  <c r="AA492" i="20"/>
  <c r="K655" i="17"/>
  <c r="L655" i="17" s="1"/>
  <c r="F656" i="17" s="1"/>
  <c r="U449" i="17"/>
  <c r="H656" i="17" l="1"/>
  <c r="Y573" i="19"/>
  <c r="R574" i="19" s="1"/>
  <c r="U445" i="20"/>
  <c r="X573" i="19"/>
  <c r="X449" i="17"/>
  <c r="Y449" i="17" s="1"/>
  <c r="G493" i="18"/>
  <c r="I493" i="18"/>
  <c r="J493" i="18"/>
  <c r="K655" i="20"/>
  <c r="L655" i="20" s="1"/>
  <c r="F656" i="20" s="1"/>
  <c r="H655" i="20"/>
  <c r="H656" i="20" l="1"/>
  <c r="J656" i="20" s="1"/>
  <c r="R450" i="17"/>
  <c r="AD449" i="17"/>
  <c r="D430" i="21" s="1"/>
  <c r="J656" i="17"/>
  <c r="K656" i="17" s="1"/>
  <c r="X445" i="20"/>
  <c r="Y445" i="20" s="1"/>
  <c r="X574" i="19"/>
  <c r="U574" i="19"/>
  <c r="Y574" i="19" s="1"/>
  <c r="R575" i="19" s="1"/>
  <c r="AA493" i="17"/>
  <c r="AA493" i="20"/>
  <c r="AA493" i="19"/>
  <c r="AD493" i="19" s="1"/>
  <c r="E474" i="21" s="1"/>
  <c r="E494" i="18"/>
  <c r="R446" i="20" l="1"/>
  <c r="AD445" i="20"/>
  <c r="F426" i="21" s="1"/>
  <c r="U575" i="19"/>
  <c r="X575" i="19"/>
  <c r="Y575" i="19"/>
  <c r="R576" i="19" s="1"/>
  <c r="X450" i="17"/>
  <c r="U450" i="17"/>
  <c r="Y450" i="17" s="1"/>
  <c r="H494" i="18"/>
  <c r="I494" i="18"/>
  <c r="J494" i="18" s="1"/>
  <c r="G494" i="18"/>
  <c r="K656" i="20"/>
  <c r="L656" i="20" s="1"/>
  <c r="F657" i="20" s="1"/>
  <c r="L656" i="17"/>
  <c r="F657" i="17" s="1"/>
  <c r="H657" i="20" l="1"/>
  <c r="K657" i="20" s="1"/>
  <c r="E495" i="18"/>
  <c r="AA494" i="20"/>
  <c r="AA494" i="19"/>
  <c r="AD494" i="19" s="1"/>
  <c r="E475" i="21" s="1"/>
  <c r="AA494" i="17"/>
  <c r="R451" i="17"/>
  <c r="AD450" i="17"/>
  <c r="D431" i="21" s="1"/>
  <c r="H657" i="17"/>
  <c r="U576" i="19"/>
  <c r="U446" i="20"/>
  <c r="X446" i="20" s="1"/>
  <c r="Y576" i="19" l="1"/>
  <c r="R577" i="19" s="1"/>
  <c r="Y446" i="20"/>
  <c r="K657" i="17"/>
  <c r="L657" i="17" s="1"/>
  <c r="F658" i="17" s="1"/>
  <c r="X451" i="17"/>
  <c r="Y451" i="17" s="1"/>
  <c r="U451" i="17"/>
  <c r="L657" i="20"/>
  <c r="F658" i="20" s="1"/>
  <c r="G495" i="18"/>
  <c r="X576" i="19"/>
  <c r="R452" i="17" l="1"/>
  <c r="AD451" i="17"/>
  <c r="D432" i="21" s="1"/>
  <c r="H658" i="17"/>
  <c r="R447" i="20"/>
  <c r="AD446" i="20"/>
  <c r="F427" i="21" s="1"/>
  <c r="U577" i="19"/>
  <c r="Y577" i="19" s="1"/>
  <c r="R578" i="19" s="1"/>
  <c r="X577" i="19"/>
  <c r="I495" i="18"/>
  <c r="J495" i="18" s="1"/>
  <c r="H658" i="20"/>
  <c r="K658" i="20" s="1"/>
  <c r="U578" i="19" l="1"/>
  <c r="Y578" i="19" s="1"/>
  <c r="R579" i="19" s="1"/>
  <c r="X578" i="19"/>
  <c r="E496" i="18"/>
  <c r="AA495" i="17"/>
  <c r="AA495" i="20"/>
  <c r="AA495" i="19"/>
  <c r="AD495" i="19" s="1"/>
  <c r="E476" i="21" s="1"/>
  <c r="K658" i="17"/>
  <c r="L658" i="17" s="1"/>
  <c r="F659" i="17" s="1"/>
  <c r="L658" i="20"/>
  <c r="F659" i="20" s="1"/>
  <c r="X447" i="20"/>
  <c r="Y447" i="20"/>
  <c r="U447" i="20"/>
  <c r="U452" i="17"/>
  <c r="X452" i="17" s="1"/>
  <c r="H659" i="17" l="1"/>
  <c r="J659" i="17" s="1"/>
  <c r="U579" i="19"/>
  <c r="X579" i="19" s="1"/>
  <c r="Y452" i="17"/>
  <c r="R448" i="20"/>
  <c r="AD447" i="20"/>
  <c r="F428" i="21" s="1"/>
  <c r="J659" i="20"/>
  <c r="K659" i="20" s="1"/>
  <c r="H659" i="20"/>
  <c r="G496" i="18"/>
  <c r="L659" i="20" l="1"/>
  <c r="F660" i="20" s="1"/>
  <c r="U448" i="20"/>
  <c r="X448" i="20" s="1"/>
  <c r="R453" i="17"/>
  <c r="AD452" i="17"/>
  <c r="D433" i="21" s="1"/>
  <c r="K659" i="17"/>
  <c r="I496" i="18"/>
  <c r="J496" i="18" s="1"/>
  <c r="Y579" i="19"/>
  <c r="R580" i="19" s="1"/>
  <c r="L659" i="17"/>
  <c r="F660" i="17" s="1"/>
  <c r="AA496" i="17" l="1"/>
  <c r="AA496" i="19"/>
  <c r="AD496" i="19" s="1"/>
  <c r="E477" i="21" s="1"/>
  <c r="E497" i="18"/>
  <c r="AA496" i="20"/>
  <c r="Y448" i="20"/>
  <c r="H660" i="20"/>
  <c r="K660" i="20" s="1"/>
  <c r="L660" i="20" s="1"/>
  <c r="F661" i="20" s="1"/>
  <c r="U453" i="17"/>
  <c r="H660" i="17"/>
  <c r="K660" i="17" s="1"/>
  <c r="L660" i="17" s="1"/>
  <c r="F661" i="17" s="1"/>
  <c r="U580" i="19"/>
  <c r="X580" i="19"/>
  <c r="Y580" i="19"/>
  <c r="R581" i="19" s="1"/>
  <c r="H661" i="20" l="1"/>
  <c r="K661" i="20" s="1"/>
  <c r="H661" i="17"/>
  <c r="U581" i="19"/>
  <c r="Y581" i="19" s="1"/>
  <c r="R582" i="19" s="1"/>
  <c r="X581" i="19"/>
  <c r="X453" i="17"/>
  <c r="Y453" i="17" s="1"/>
  <c r="G497" i="18"/>
  <c r="H497" i="18" s="1"/>
  <c r="R449" i="20"/>
  <c r="AD448" i="20"/>
  <c r="F429" i="21" s="1"/>
  <c r="R454" i="17" l="1"/>
  <c r="AD453" i="17"/>
  <c r="D434" i="21" s="1"/>
  <c r="U582" i="19"/>
  <c r="X582" i="19" s="1"/>
  <c r="U449" i="20"/>
  <c r="X449" i="20" s="1"/>
  <c r="K661" i="17"/>
  <c r="L661" i="17" s="1"/>
  <c r="F662" i="17" s="1"/>
  <c r="I497" i="18"/>
  <c r="J497" i="18" s="1"/>
  <c r="L661" i="20"/>
  <c r="F662" i="20" s="1"/>
  <c r="H662" i="17" l="1"/>
  <c r="AA497" i="17"/>
  <c r="E498" i="18"/>
  <c r="AA497" i="19"/>
  <c r="AD497" i="19" s="1"/>
  <c r="E478" i="21" s="1"/>
  <c r="AA497" i="20"/>
  <c r="H662" i="20"/>
  <c r="J662" i="20" s="1"/>
  <c r="Y582" i="19"/>
  <c r="R583" i="19" s="1"/>
  <c r="Y449" i="20"/>
  <c r="U454" i="17"/>
  <c r="X454" i="17" s="1"/>
  <c r="G498" i="18" l="1"/>
  <c r="I498" i="18"/>
  <c r="J498" i="18" s="1"/>
  <c r="K662" i="20"/>
  <c r="L662" i="20" s="1"/>
  <c r="F663" i="20" s="1"/>
  <c r="Y454" i="17"/>
  <c r="J662" i="17"/>
  <c r="K662" i="17" s="1"/>
  <c r="R450" i="20"/>
  <c r="AD449" i="20"/>
  <c r="F430" i="21" s="1"/>
  <c r="U583" i="19"/>
  <c r="X583" i="19"/>
  <c r="Y583" i="19"/>
  <c r="R584" i="19" s="1"/>
  <c r="H663" i="20" l="1"/>
  <c r="K663" i="20" s="1"/>
  <c r="E499" i="18"/>
  <c r="AA498" i="19"/>
  <c r="AD498" i="19" s="1"/>
  <c r="E479" i="21" s="1"/>
  <c r="AA498" i="17"/>
  <c r="AA498" i="20"/>
  <c r="U450" i="20"/>
  <c r="X450" i="20" s="1"/>
  <c r="U584" i="19"/>
  <c r="X584" i="19" s="1"/>
  <c r="Y584" i="19" s="1"/>
  <c r="R585" i="19" s="1"/>
  <c r="R455" i="17"/>
  <c r="AD454" i="17"/>
  <c r="D435" i="21" s="1"/>
  <c r="L662" i="17"/>
  <c r="F663" i="17" s="1"/>
  <c r="U585" i="19" l="1"/>
  <c r="X585" i="19"/>
  <c r="Y585" i="19" s="1"/>
  <c r="R586" i="19" s="1"/>
  <c r="G499" i="18"/>
  <c r="U455" i="17"/>
  <c r="X455" i="17" s="1"/>
  <c r="L663" i="20"/>
  <c r="F664" i="20" s="1"/>
  <c r="H663" i="17"/>
  <c r="K663" i="17" s="1"/>
  <c r="L663" i="17" s="1"/>
  <c r="F664" i="17" s="1"/>
  <c r="Y450" i="20"/>
  <c r="H664" i="17" l="1"/>
  <c r="K664" i="17" s="1"/>
  <c r="J499" i="18"/>
  <c r="X586" i="19"/>
  <c r="Y586" i="19"/>
  <c r="R587" i="19" s="1"/>
  <c r="U586" i="19"/>
  <c r="I499" i="18"/>
  <c r="H664" i="20"/>
  <c r="K664" i="20" s="1"/>
  <c r="R451" i="20"/>
  <c r="AD450" i="20"/>
  <c r="F431" i="21" s="1"/>
  <c r="Y455" i="17"/>
  <c r="U451" i="20" l="1"/>
  <c r="X451" i="20" s="1"/>
  <c r="L664" i="20"/>
  <c r="F665" i="20" s="1"/>
  <c r="AA499" i="20"/>
  <c r="AA499" i="19"/>
  <c r="AD499" i="19" s="1"/>
  <c r="E480" i="21" s="1"/>
  <c r="E500" i="18"/>
  <c r="AA499" i="17"/>
  <c r="R456" i="17"/>
  <c r="AD455" i="17"/>
  <c r="D436" i="21" s="1"/>
  <c r="L664" i="17"/>
  <c r="F665" i="17" s="1"/>
  <c r="U587" i="19"/>
  <c r="X587" i="19" s="1"/>
  <c r="U456" i="17" l="1"/>
  <c r="X456" i="17" s="1"/>
  <c r="Y587" i="19"/>
  <c r="R588" i="19" s="1"/>
  <c r="Y451" i="20"/>
  <c r="J665" i="17"/>
  <c r="H665" i="17"/>
  <c r="J665" i="20"/>
  <c r="K665" i="20"/>
  <c r="H665" i="20"/>
  <c r="L665" i="20" s="1"/>
  <c r="F666" i="20" s="1"/>
  <c r="G500" i="18"/>
  <c r="H500" i="18" s="1"/>
  <c r="H666" i="20" l="1"/>
  <c r="K666" i="20" s="1"/>
  <c r="L665" i="17"/>
  <c r="F666" i="17" s="1"/>
  <c r="R452" i="20"/>
  <c r="AD451" i="20"/>
  <c r="F432" i="21" s="1"/>
  <c r="U588" i="19"/>
  <c r="X588" i="19" s="1"/>
  <c r="Y456" i="17"/>
  <c r="I500" i="18"/>
  <c r="J500" i="18" s="1"/>
  <c r="K665" i="17"/>
  <c r="E501" i="18" l="1"/>
  <c r="AA500" i="19"/>
  <c r="AD500" i="19" s="1"/>
  <c r="E481" i="21" s="1"/>
  <c r="AA500" i="20"/>
  <c r="AA500" i="17"/>
  <c r="X452" i="20"/>
  <c r="Y452" i="20" s="1"/>
  <c r="U452" i="20"/>
  <c r="H666" i="17"/>
  <c r="K666" i="17" s="1"/>
  <c r="L666" i="20"/>
  <c r="F667" i="20" s="1"/>
  <c r="R457" i="17"/>
  <c r="AD456" i="17"/>
  <c r="D437" i="21" s="1"/>
  <c r="Y588" i="19"/>
  <c r="R589" i="19" s="1"/>
  <c r="R453" i="20" l="1"/>
  <c r="AD452" i="20"/>
  <c r="F433" i="21" s="1"/>
  <c r="H667" i="20"/>
  <c r="U457" i="17"/>
  <c r="X457" i="17" s="1"/>
  <c r="L666" i="17"/>
  <c r="F667" i="17" s="1"/>
  <c r="U589" i="19"/>
  <c r="X589" i="19" s="1"/>
  <c r="G501" i="18"/>
  <c r="I501" i="18"/>
  <c r="J501" i="18" s="1"/>
  <c r="AA501" i="17" l="1"/>
  <c r="AA501" i="20"/>
  <c r="E502" i="18"/>
  <c r="AA501" i="19"/>
  <c r="AD501" i="19" s="1"/>
  <c r="E482" i="21" s="1"/>
  <c r="H667" i="17"/>
  <c r="K667" i="17" s="1"/>
  <c r="L667" i="17" s="1"/>
  <c r="F668" i="17" s="1"/>
  <c r="K667" i="20"/>
  <c r="L667" i="20" s="1"/>
  <c r="F668" i="20" s="1"/>
  <c r="Y589" i="19"/>
  <c r="R590" i="19" s="1"/>
  <c r="Y457" i="17"/>
  <c r="X453" i="20"/>
  <c r="U453" i="20"/>
  <c r="Y453" i="20" s="1"/>
  <c r="H668" i="20" l="1"/>
  <c r="J668" i="20" s="1"/>
  <c r="H668" i="17"/>
  <c r="J668" i="17" s="1"/>
  <c r="R454" i="20"/>
  <c r="AD453" i="20"/>
  <c r="F434" i="21" s="1"/>
  <c r="R458" i="17"/>
  <c r="AD457" i="17"/>
  <c r="D438" i="21" s="1"/>
  <c r="U590" i="19"/>
  <c r="Y590" i="19" s="1"/>
  <c r="R591" i="19" s="1"/>
  <c r="X590" i="19"/>
  <c r="G502" i="18"/>
  <c r="J502" i="18" s="1"/>
  <c r="I502" i="18"/>
  <c r="K668" i="17" l="1"/>
  <c r="L668" i="17"/>
  <c r="F669" i="17" s="1"/>
  <c r="AA502" i="20"/>
  <c r="E503" i="18"/>
  <c r="AA502" i="17"/>
  <c r="AA502" i="19"/>
  <c r="AD502" i="19" s="1"/>
  <c r="E483" i="21" s="1"/>
  <c r="U591" i="19"/>
  <c r="X591" i="19" s="1"/>
  <c r="U458" i="17"/>
  <c r="U454" i="20"/>
  <c r="K668" i="20"/>
  <c r="L668" i="20"/>
  <c r="F669" i="20" s="1"/>
  <c r="H669" i="20" l="1"/>
  <c r="H669" i="17"/>
  <c r="K669" i="17" s="1"/>
  <c r="X458" i="17"/>
  <c r="Y458" i="17" s="1"/>
  <c r="G503" i="18"/>
  <c r="H503" i="18" s="1"/>
  <c r="I503" i="18"/>
  <c r="X454" i="20"/>
  <c r="Y454" i="20" s="1"/>
  <c r="Y591" i="19"/>
  <c r="R592" i="19" s="1"/>
  <c r="R455" i="20" l="1"/>
  <c r="AD454" i="20"/>
  <c r="F435" i="21" s="1"/>
  <c r="R459" i="17"/>
  <c r="AD458" i="17"/>
  <c r="D439" i="21" s="1"/>
  <c r="Y592" i="19"/>
  <c r="R593" i="19" s="1"/>
  <c r="U592" i="19"/>
  <c r="X592" i="19"/>
  <c r="K669" i="20"/>
  <c r="L669" i="20" s="1"/>
  <c r="F670" i="20" s="1"/>
  <c r="J503" i="18"/>
  <c r="L669" i="17"/>
  <c r="F670" i="17" s="1"/>
  <c r="H670" i="20" l="1"/>
  <c r="H670" i="17"/>
  <c r="K670" i="17" s="1"/>
  <c r="AA503" i="20"/>
  <c r="E504" i="18"/>
  <c r="AA503" i="19"/>
  <c r="AD503" i="19" s="1"/>
  <c r="E484" i="21" s="1"/>
  <c r="AA503" i="17"/>
  <c r="X593" i="19"/>
  <c r="Y593" i="19" s="1"/>
  <c r="R594" i="19" s="1"/>
  <c r="U593" i="19"/>
  <c r="U459" i="17"/>
  <c r="X459" i="17" s="1"/>
  <c r="X455" i="20"/>
  <c r="Y455" i="20" s="1"/>
  <c r="U455" i="20"/>
  <c r="R456" i="20" l="1"/>
  <c r="AD455" i="20"/>
  <c r="F436" i="21" s="1"/>
  <c r="U594" i="19"/>
  <c r="Y594" i="19" s="1"/>
  <c r="R595" i="19" s="1"/>
  <c r="X594" i="19"/>
  <c r="L670" i="20"/>
  <c r="F671" i="20" s="1"/>
  <c r="L670" i="17"/>
  <c r="F671" i="17" s="1"/>
  <c r="Y459" i="17"/>
  <c r="G504" i="18"/>
  <c r="K670" i="20"/>
  <c r="U595" i="19" l="1"/>
  <c r="X595" i="19"/>
  <c r="Y595" i="19" s="1"/>
  <c r="R596" i="19" s="1"/>
  <c r="J504" i="18"/>
  <c r="R460" i="17"/>
  <c r="AD459" i="17"/>
  <c r="D440" i="21" s="1"/>
  <c r="I504" i="18"/>
  <c r="H671" i="20"/>
  <c r="H671" i="17"/>
  <c r="U456" i="20"/>
  <c r="Y456" i="20" l="1"/>
  <c r="U596" i="19"/>
  <c r="X596" i="19"/>
  <c r="Y596" i="19" s="1"/>
  <c r="R597" i="19" s="1"/>
  <c r="K671" i="20"/>
  <c r="L671" i="20" s="1"/>
  <c r="F672" i="20" s="1"/>
  <c r="X456" i="20"/>
  <c r="E505" i="18"/>
  <c r="AA504" i="19"/>
  <c r="AD504" i="19" s="1"/>
  <c r="E485" i="21" s="1"/>
  <c r="AA504" i="20"/>
  <c r="AA504" i="17"/>
  <c r="J671" i="20"/>
  <c r="U460" i="17"/>
  <c r="X460" i="17" s="1"/>
  <c r="J671" i="17"/>
  <c r="K671" i="17" s="1"/>
  <c r="H672" i="20" l="1"/>
  <c r="U597" i="19"/>
  <c r="Y597" i="19" s="1"/>
  <c r="R598" i="19" s="1"/>
  <c r="X597" i="19"/>
  <c r="Y460" i="17"/>
  <c r="R457" i="20"/>
  <c r="AD456" i="20"/>
  <c r="F437" i="21" s="1"/>
  <c r="I505" i="18"/>
  <c r="G505" i="18"/>
  <c r="J505" i="18" s="1"/>
  <c r="L671" i="17"/>
  <c r="F672" i="17" s="1"/>
  <c r="U598" i="19" l="1"/>
  <c r="AA505" i="20"/>
  <c r="AA505" i="17"/>
  <c r="AA505" i="19"/>
  <c r="AD505" i="19" s="1"/>
  <c r="E486" i="21" s="1"/>
  <c r="E506" i="18"/>
  <c r="U457" i="20"/>
  <c r="X457" i="20" s="1"/>
  <c r="H672" i="17"/>
  <c r="K672" i="17" s="1"/>
  <c r="L672" i="17" s="1"/>
  <c r="F673" i="17" s="1"/>
  <c r="K672" i="20"/>
  <c r="L672" i="20" s="1"/>
  <c r="F673" i="20" s="1"/>
  <c r="R461" i="17"/>
  <c r="AD460" i="17"/>
  <c r="D441" i="21" s="1"/>
  <c r="H673" i="20" l="1"/>
  <c r="K673" i="20" s="1"/>
  <c r="H673" i="17"/>
  <c r="K673" i="17" s="1"/>
  <c r="Y457" i="20"/>
  <c r="X598" i="19"/>
  <c r="Y598" i="19" s="1"/>
  <c r="R599" i="19" s="1"/>
  <c r="X461" i="17"/>
  <c r="U461" i="17"/>
  <c r="Y461" i="17" s="1"/>
  <c r="G506" i="18"/>
  <c r="I506" i="18"/>
  <c r="H506" i="18"/>
  <c r="J506" i="18"/>
  <c r="R462" i="17" l="1"/>
  <c r="AD461" i="17"/>
  <c r="D442" i="21" s="1"/>
  <c r="U599" i="19"/>
  <c r="X599" i="19"/>
  <c r="Y599" i="19" s="1"/>
  <c r="R600" i="19" s="1"/>
  <c r="L673" i="17"/>
  <c r="F674" i="17" s="1"/>
  <c r="AA506" i="19"/>
  <c r="AD506" i="19" s="1"/>
  <c r="E487" i="21" s="1"/>
  <c r="AA506" i="17"/>
  <c r="E507" i="18"/>
  <c r="AA506" i="20"/>
  <c r="L673" i="20"/>
  <c r="F674" i="20" s="1"/>
  <c r="R458" i="20"/>
  <c r="AD457" i="20"/>
  <c r="F438" i="21" s="1"/>
  <c r="U600" i="19" l="1"/>
  <c r="X600" i="19" s="1"/>
  <c r="Y600" i="19" s="1"/>
  <c r="R601" i="19" s="1"/>
  <c r="J674" i="17"/>
  <c r="K674" i="17"/>
  <c r="L674" i="17"/>
  <c r="F675" i="17" s="1"/>
  <c r="H674" i="17"/>
  <c r="G507" i="18"/>
  <c r="I507" i="18"/>
  <c r="J507" i="18"/>
  <c r="X458" i="20"/>
  <c r="Y458" i="20"/>
  <c r="U458" i="20"/>
  <c r="H674" i="20"/>
  <c r="U462" i="17"/>
  <c r="X462" i="17" s="1"/>
  <c r="U601" i="19" l="1"/>
  <c r="Y601" i="19" s="1"/>
  <c r="R602" i="19" s="1"/>
  <c r="X601" i="19"/>
  <c r="K675" i="17"/>
  <c r="L675" i="17"/>
  <c r="F676" i="17" s="1"/>
  <c r="H675" i="17"/>
  <c r="R459" i="20"/>
  <c r="AD458" i="20"/>
  <c r="F439" i="21" s="1"/>
  <c r="Y462" i="17"/>
  <c r="E508" i="18"/>
  <c r="AA507" i="19"/>
  <c r="AD507" i="19" s="1"/>
  <c r="E488" i="21" s="1"/>
  <c r="AA507" i="17"/>
  <c r="AA507" i="20"/>
  <c r="J674" i="20"/>
  <c r="K674" i="20" s="1"/>
  <c r="L674" i="20" s="1"/>
  <c r="F675" i="20" s="1"/>
  <c r="H675" i="20" l="1"/>
  <c r="K675" i="20" s="1"/>
  <c r="U602" i="19"/>
  <c r="X602" i="19"/>
  <c r="Y602" i="19"/>
  <c r="R603" i="19" s="1"/>
  <c r="H676" i="17"/>
  <c r="K676" i="17" s="1"/>
  <c r="G508" i="18"/>
  <c r="I508" i="18"/>
  <c r="J508" i="18"/>
  <c r="R463" i="17"/>
  <c r="AD462" i="17"/>
  <c r="D443" i="21" s="1"/>
  <c r="U459" i="20"/>
  <c r="X459" i="20" l="1"/>
  <c r="Y459" i="20" s="1"/>
  <c r="E509" i="18"/>
  <c r="AA508" i="17"/>
  <c r="AA508" i="19"/>
  <c r="AD508" i="19" s="1"/>
  <c r="E489" i="21" s="1"/>
  <c r="AA508" i="20"/>
  <c r="L676" i="17"/>
  <c r="F677" i="17" s="1"/>
  <c r="L675" i="20"/>
  <c r="F676" i="20" s="1"/>
  <c r="U603" i="19"/>
  <c r="X603" i="19"/>
  <c r="Y603" i="19"/>
  <c r="R604" i="19" s="1"/>
  <c r="X463" i="17"/>
  <c r="U463" i="17"/>
  <c r="Y463" i="17" s="1"/>
  <c r="R464" i="17" l="1"/>
  <c r="AD463" i="17"/>
  <c r="D444" i="21" s="1"/>
  <c r="R460" i="20"/>
  <c r="AD459" i="20"/>
  <c r="F440" i="21" s="1"/>
  <c r="U604" i="19"/>
  <c r="Y604" i="19" s="1"/>
  <c r="R605" i="19" s="1"/>
  <c r="X604" i="19"/>
  <c r="G509" i="18"/>
  <c r="H509" i="18"/>
  <c r="H676" i="20"/>
  <c r="K676" i="20" s="1"/>
  <c r="H677" i="17"/>
  <c r="J677" i="17" s="1"/>
  <c r="K677" i="17" l="1"/>
  <c r="L677" i="17" s="1"/>
  <c r="F678" i="17" s="1"/>
  <c r="U605" i="19"/>
  <c r="J509" i="18"/>
  <c r="I509" i="18"/>
  <c r="L676" i="20"/>
  <c r="F677" i="20" s="1"/>
  <c r="U460" i="20"/>
  <c r="X460" i="20" s="1"/>
  <c r="U464" i="17"/>
  <c r="X464" i="17" s="1"/>
  <c r="Y464" i="17" s="1"/>
  <c r="R465" i="17" l="1"/>
  <c r="AD464" i="17"/>
  <c r="D445" i="21" s="1"/>
  <c r="H678" i="17"/>
  <c r="X605" i="19"/>
  <c r="Y605" i="19" s="1"/>
  <c r="R606" i="19" s="1"/>
  <c r="E510" i="18"/>
  <c r="AA509" i="20"/>
  <c r="AA509" i="17"/>
  <c r="AA509" i="19"/>
  <c r="AD509" i="19" s="1"/>
  <c r="E490" i="21" s="1"/>
  <c r="Y460" i="20"/>
  <c r="H677" i="20"/>
  <c r="U606" i="19" l="1"/>
  <c r="X606" i="19"/>
  <c r="Y606" i="19"/>
  <c r="R607" i="19" s="1"/>
  <c r="L678" i="17"/>
  <c r="F679" i="17" s="1"/>
  <c r="R461" i="20"/>
  <c r="AD460" i="20"/>
  <c r="F441" i="21" s="1"/>
  <c r="K678" i="17"/>
  <c r="J677" i="20"/>
  <c r="G510" i="18"/>
  <c r="I510" i="18" s="1"/>
  <c r="U465" i="17"/>
  <c r="X465" i="17" s="1"/>
  <c r="U461" i="20" l="1"/>
  <c r="Y465" i="17"/>
  <c r="U607" i="19"/>
  <c r="J510" i="18"/>
  <c r="H679" i="17"/>
  <c r="K677" i="20"/>
  <c r="L677" i="20" s="1"/>
  <c r="F678" i="20" s="1"/>
  <c r="H678" i="20" l="1"/>
  <c r="K678" i="20" s="1"/>
  <c r="Y607" i="19"/>
  <c r="R608" i="19" s="1"/>
  <c r="Y461" i="20"/>
  <c r="X607" i="19"/>
  <c r="K679" i="17"/>
  <c r="L679" i="17" s="1"/>
  <c r="F680" i="17" s="1"/>
  <c r="X461" i="20"/>
  <c r="R466" i="17"/>
  <c r="AD465" i="17"/>
  <c r="D446" i="21" s="1"/>
  <c r="AA510" i="17"/>
  <c r="E511" i="18"/>
  <c r="AA510" i="19"/>
  <c r="AD510" i="19" s="1"/>
  <c r="E491" i="21" s="1"/>
  <c r="AA510" i="20"/>
  <c r="H680" i="17" l="1"/>
  <c r="X608" i="19"/>
  <c r="Y608" i="19"/>
  <c r="R609" i="19" s="1"/>
  <c r="U608" i="19"/>
  <c r="R462" i="20"/>
  <c r="AD461" i="20"/>
  <c r="F442" i="21" s="1"/>
  <c r="L678" i="20"/>
  <c r="F679" i="20" s="1"/>
  <c r="U466" i="17"/>
  <c r="X466" i="17" s="1"/>
  <c r="G511" i="18"/>
  <c r="I511" i="18"/>
  <c r="J511" i="18" s="1"/>
  <c r="AA511" i="19" l="1"/>
  <c r="AD511" i="19" s="1"/>
  <c r="E492" i="21" s="1"/>
  <c r="AA511" i="17"/>
  <c r="E512" i="18"/>
  <c r="AA511" i="20"/>
  <c r="K680" i="17"/>
  <c r="L680" i="17" s="1"/>
  <c r="F681" i="17" s="1"/>
  <c r="U609" i="19"/>
  <c r="X609" i="19" s="1"/>
  <c r="H679" i="20"/>
  <c r="Y466" i="17"/>
  <c r="J680" i="17"/>
  <c r="U462" i="20"/>
  <c r="H681" i="17" l="1"/>
  <c r="K679" i="20"/>
  <c r="L679" i="20" s="1"/>
  <c r="F680" i="20" s="1"/>
  <c r="X462" i="20"/>
  <c r="Y462" i="20" s="1"/>
  <c r="G512" i="18"/>
  <c r="H512" i="18"/>
  <c r="I512" i="18"/>
  <c r="J512" i="18"/>
  <c r="Y609" i="19"/>
  <c r="R610" i="19" s="1"/>
  <c r="R467" i="17"/>
  <c r="AD466" i="17"/>
  <c r="D447" i="21" s="1"/>
  <c r="R463" i="20" l="1"/>
  <c r="AD462" i="20"/>
  <c r="F443" i="21" s="1"/>
  <c r="H680" i="20"/>
  <c r="J680" i="20" s="1"/>
  <c r="AA512" i="20"/>
  <c r="AA512" i="19"/>
  <c r="AD512" i="19" s="1"/>
  <c r="E493" i="21" s="1"/>
  <c r="E513" i="18"/>
  <c r="AA512" i="17"/>
  <c r="U467" i="17"/>
  <c r="X467" i="17" s="1"/>
  <c r="Y467" i="17" s="1"/>
  <c r="U610" i="19"/>
  <c r="X610" i="19"/>
  <c r="Y610" i="19"/>
  <c r="R611" i="19" s="1"/>
  <c r="K681" i="17"/>
  <c r="L681" i="17" s="1"/>
  <c r="F682" i="17" s="1"/>
  <c r="H682" i="17" l="1"/>
  <c r="K682" i="17" s="1"/>
  <c r="R468" i="17"/>
  <c r="AD467" i="17"/>
  <c r="D448" i="21" s="1"/>
  <c r="X611" i="19"/>
  <c r="U611" i="19"/>
  <c r="Y611" i="19" s="1"/>
  <c r="R612" i="19" s="1"/>
  <c r="K680" i="20"/>
  <c r="L680" i="20" s="1"/>
  <c r="F681" i="20" s="1"/>
  <c r="J513" i="18"/>
  <c r="G513" i="18"/>
  <c r="I513" i="18"/>
  <c r="U463" i="20"/>
  <c r="X463" i="20" s="1"/>
  <c r="U612" i="19" l="1"/>
  <c r="H681" i="20"/>
  <c r="E514" i="18"/>
  <c r="AA513" i="20"/>
  <c r="AA513" i="17"/>
  <c r="AA513" i="19"/>
  <c r="AD513" i="19" s="1"/>
  <c r="E494" i="21" s="1"/>
  <c r="Y463" i="20"/>
  <c r="L682" i="17"/>
  <c r="F683" i="17" s="1"/>
  <c r="U468" i="17"/>
  <c r="X468" i="17" s="1"/>
  <c r="H683" i="17" l="1"/>
  <c r="J683" i="17" s="1"/>
  <c r="R464" i="20"/>
  <c r="AD463" i="20"/>
  <c r="F444" i="21" s="1"/>
  <c r="K681" i="20"/>
  <c r="L681" i="20" s="1"/>
  <c r="F682" i="20" s="1"/>
  <c r="Y468" i="17"/>
  <c r="X612" i="19"/>
  <c r="Y612" i="19" s="1"/>
  <c r="R613" i="19" s="1"/>
  <c r="G514" i="18"/>
  <c r="I514" i="18"/>
  <c r="J514" i="18"/>
  <c r="H682" i="20" l="1"/>
  <c r="K682" i="20" s="1"/>
  <c r="U613" i="19"/>
  <c r="X613" i="19"/>
  <c r="Y613" i="19"/>
  <c r="R614" i="19" s="1"/>
  <c r="E515" i="18"/>
  <c r="AA514" i="20"/>
  <c r="AA514" i="17"/>
  <c r="AA514" i="19"/>
  <c r="AD514" i="19" s="1"/>
  <c r="E495" i="21" s="1"/>
  <c r="X464" i="20"/>
  <c r="U464" i="20"/>
  <c r="Y464" i="20" s="1"/>
  <c r="R469" i="17"/>
  <c r="AD468" i="17"/>
  <c r="D449" i="21" s="1"/>
  <c r="K683" i="17"/>
  <c r="L683" i="17" s="1"/>
  <c r="F684" i="17" s="1"/>
  <c r="R465" i="20" l="1"/>
  <c r="AD464" i="20"/>
  <c r="F445" i="21" s="1"/>
  <c r="H684" i="17"/>
  <c r="U614" i="19"/>
  <c r="X614" i="19" s="1"/>
  <c r="X469" i="17"/>
  <c r="Y469" i="17" s="1"/>
  <c r="U469" i="17"/>
  <c r="L682" i="20"/>
  <c r="F683" i="20" s="1"/>
  <c r="G515" i="18"/>
  <c r="H515" i="18" s="1"/>
  <c r="J515" i="18" s="1"/>
  <c r="I515" i="18"/>
  <c r="R470" i="17" l="1"/>
  <c r="AD469" i="17"/>
  <c r="D450" i="21" s="1"/>
  <c r="L684" i="17"/>
  <c r="F685" i="17" s="1"/>
  <c r="AA515" i="19"/>
  <c r="AD515" i="19" s="1"/>
  <c r="E496" i="21" s="1"/>
  <c r="E516" i="18"/>
  <c r="AA515" i="17"/>
  <c r="AA515" i="20"/>
  <c r="K684" i="17"/>
  <c r="H683" i="20"/>
  <c r="Y614" i="19"/>
  <c r="R615" i="19" s="1"/>
  <c r="U465" i="20"/>
  <c r="X465" i="20" s="1"/>
  <c r="J683" i="20" l="1"/>
  <c r="K683" i="20" s="1"/>
  <c r="L683" i="20" s="1"/>
  <c r="F684" i="20" s="1"/>
  <c r="G516" i="18"/>
  <c r="I516" i="18" s="1"/>
  <c r="J516" i="18" s="1"/>
  <c r="H685" i="17"/>
  <c r="Y465" i="20"/>
  <c r="Y615" i="19"/>
  <c r="R616" i="19" s="1"/>
  <c r="U615" i="19"/>
  <c r="X615" i="19"/>
  <c r="U470" i="17"/>
  <c r="X470" i="17" s="1"/>
  <c r="AA516" i="20" l="1"/>
  <c r="AA516" i="17"/>
  <c r="AA516" i="19"/>
  <c r="AD516" i="19" s="1"/>
  <c r="E497" i="21" s="1"/>
  <c r="E517" i="18"/>
  <c r="L685" i="17"/>
  <c r="F686" i="17" s="1"/>
  <c r="K684" i="20"/>
  <c r="H684" i="20"/>
  <c r="L684" i="20" s="1"/>
  <c r="F685" i="20" s="1"/>
  <c r="U616" i="19"/>
  <c r="Y616" i="19" s="1"/>
  <c r="R617" i="19" s="1"/>
  <c r="X616" i="19"/>
  <c r="Y470" i="17"/>
  <c r="R466" i="20"/>
  <c r="AD465" i="20"/>
  <c r="F446" i="21" s="1"/>
  <c r="K685" i="17"/>
  <c r="U617" i="19" l="1"/>
  <c r="X617" i="19"/>
  <c r="Y617" i="19"/>
  <c r="R618" i="19" s="1"/>
  <c r="H685" i="20"/>
  <c r="R471" i="17"/>
  <c r="AD470" i="17"/>
  <c r="D451" i="21" s="1"/>
  <c r="H686" i="17"/>
  <c r="G517" i="18"/>
  <c r="I517" i="18"/>
  <c r="J517" i="18"/>
  <c r="X466" i="20"/>
  <c r="Y466" i="20"/>
  <c r="U466" i="20"/>
  <c r="K685" i="20" l="1"/>
  <c r="L685" i="20" s="1"/>
  <c r="F686" i="20" s="1"/>
  <c r="U618" i="19"/>
  <c r="X618" i="19" s="1"/>
  <c r="Y618" i="19" s="1"/>
  <c r="R619" i="19" s="1"/>
  <c r="J686" i="17"/>
  <c r="K686" i="17" s="1"/>
  <c r="R467" i="20"/>
  <c r="AD466" i="20"/>
  <c r="F447" i="21" s="1"/>
  <c r="AA517" i="20"/>
  <c r="E518" i="18"/>
  <c r="AA517" i="17"/>
  <c r="AA517" i="19"/>
  <c r="AD517" i="19" s="1"/>
  <c r="E498" i="21" s="1"/>
  <c r="U471" i="17"/>
  <c r="X471" i="17" s="1"/>
  <c r="U619" i="19" l="1"/>
  <c r="X619" i="19"/>
  <c r="Y619" i="19"/>
  <c r="R620" i="19" s="1"/>
  <c r="J686" i="20"/>
  <c r="K686" i="20"/>
  <c r="L686" i="20"/>
  <c r="F687" i="20" s="1"/>
  <c r="H686" i="20"/>
  <c r="U467" i="20"/>
  <c r="X467" i="20" s="1"/>
  <c r="L686" i="17"/>
  <c r="F687" i="17" s="1"/>
  <c r="G518" i="18"/>
  <c r="I518" i="18" s="1"/>
  <c r="H518" i="18"/>
  <c r="Y471" i="17"/>
  <c r="R472" i="17" l="1"/>
  <c r="AD471" i="17"/>
  <c r="D452" i="21" s="1"/>
  <c r="U620" i="19"/>
  <c r="X620" i="19"/>
  <c r="Y620" i="19"/>
  <c r="R621" i="19" s="1"/>
  <c r="H687" i="17"/>
  <c r="K687" i="17" s="1"/>
  <c r="L687" i="17" s="1"/>
  <c r="F688" i="17" s="1"/>
  <c r="H687" i="20"/>
  <c r="K687" i="20" s="1"/>
  <c r="Y467" i="20"/>
  <c r="J518" i="18"/>
  <c r="H688" i="17" l="1"/>
  <c r="K688" i="17" s="1"/>
  <c r="U621" i="19"/>
  <c r="X621" i="19"/>
  <c r="Y621" i="19"/>
  <c r="R622" i="19" s="1"/>
  <c r="R468" i="20"/>
  <c r="AD467" i="20"/>
  <c r="F448" i="21" s="1"/>
  <c r="L687" i="20"/>
  <c r="F688" i="20" s="1"/>
  <c r="AA518" i="17"/>
  <c r="AA518" i="20"/>
  <c r="AA518" i="19"/>
  <c r="AD518" i="19" s="1"/>
  <c r="E499" i="21" s="1"/>
  <c r="E519" i="18"/>
  <c r="U472" i="17"/>
  <c r="X472" i="17" s="1"/>
  <c r="Y472" i="17" l="1"/>
  <c r="L688" i="17"/>
  <c r="F689" i="17" s="1"/>
  <c r="U622" i="19"/>
  <c r="X622" i="19" s="1"/>
  <c r="H688" i="20"/>
  <c r="G519" i="18"/>
  <c r="J519" i="18" s="1"/>
  <c r="I519" i="18"/>
  <c r="U468" i="20"/>
  <c r="X468" i="20" s="1"/>
  <c r="AA519" i="17" l="1"/>
  <c r="E520" i="18"/>
  <c r="AA519" i="20"/>
  <c r="AA519" i="19"/>
  <c r="AD519" i="19" s="1"/>
  <c r="E500" i="21" s="1"/>
  <c r="L688" i="20"/>
  <c r="F689" i="20" s="1"/>
  <c r="R473" i="17"/>
  <c r="AD472" i="17"/>
  <c r="D453" i="21" s="1"/>
  <c r="H689" i="17"/>
  <c r="J689" i="17" s="1"/>
  <c r="Y622" i="19"/>
  <c r="R623" i="19" s="1"/>
  <c r="Y468" i="20"/>
  <c r="K688" i="20"/>
  <c r="U473" i="17" l="1"/>
  <c r="X473" i="17" s="1"/>
  <c r="J689" i="20"/>
  <c r="K689" i="20" s="1"/>
  <c r="H689" i="20"/>
  <c r="L689" i="20" s="1"/>
  <c r="F690" i="20" s="1"/>
  <c r="K689" i="17"/>
  <c r="L689" i="17" s="1"/>
  <c r="F690" i="17" s="1"/>
  <c r="I520" i="18"/>
  <c r="J520" i="18"/>
  <c r="G520" i="18"/>
  <c r="U623" i="19"/>
  <c r="R469" i="20"/>
  <c r="AD468" i="20"/>
  <c r="F449" i="21" s="1"/>
  <c r="H690" i="17" l="1"/>
  <c r="K690" i="17" s="1"/>
  <c r="K690" i="20"/>
  <c r="L690" i="20"/>
  <c r="F691" i="20" s="1"/>
  <c r="H690" i="20"/>
  <c r="Y473" i="17"/>
  <c r="AA520" i="17"/>
  <c r="AA520" i="19"/>
  <c r="AD520" i="19" s="1"/>
  <c r="E501" i="21" s="1"/>
  <c r="E521" i="18"/>
  <c r="AA520" i="20"/>
  <c r="U469" i="20"/>
  <c r="X469" i="20" s="1"/>
  <c r="X623" i="19"/>
  <c r="Y623" i="19" s="1"/>
  <c r="R624" i="19" s="1"/>
  <c r="U624" i="19" l="1"/>
  <c r="Y624" i="19" s="1"/>
  <c r="R625" i="19" s="1"/>
  <c r="X624" i="19"/>
  <c r="L690" i="17"/>
  <c r="F691" i="17" s="1"/>
  <c r="K691" i="20"/>
  <c r="H691" i="20"/>
  <c r="L691" i="20" s="1"/>
  <c r="F692" i="20" s="1"/>
  <c r="G521" i="18"/>
  <c r="I521" i="18"/>
  <c r="H521" i="18"/>
  <c r="J521" i="18"/>
  <c r="Y469" i="20"/>
  <c r="R474" i="17"/>
  <c r="AD473" i="17"/>
  <c r="D454" i="21" s="1"/>
  <c r="H692" i="20" l="1"/>
  <c r="U625" i="19"/>
  <c r="AA521" i="20"/>
  <c r="AA521" i="17"/>
  <c r="E522" i="18"/>
  <c r="AA521" i="19"/>
  <c r="AD521" i="19" s="1"/>
  <c r="E502" i="21" s="1"/>
  <c r="H691" i="17"/>
  <c r="K691" i="17" s="1"/>
  <c r="L691" i="17" s="1"/>
  <c r="F692" i="17" s="1"/>
  <c r="U474" i="17"/>
  <c r="X474" i="17" s="1"/>
  <c r="R470" i="20"/>
  <c r="AD469" i="20"/>
  <c r="F450" i="21" s="1"/>
  <c r="H692" i="17" l="1"/>
  <c r="J692" i="17" s="1"/>
  <c r="K692" i="20"/>
  <c r="L692" i="20" s="1"/>
  <c r="F693" i="20" s="1"/>
  <c r="Y474" i="17"/>
  <c r="G522" i="18"/>
  <c r="J522" i="18" s="1"/>
  <c r="I522" i="18"/>
  <c r="J692" i="20"/>
  <c r="U470" i="20"/>
  <c r="X470" i="20" s="1"/>
  <c r="X625" i="19"/>
  <c r="Y625" i="19" s="1"/>
  <c r="R626" i="19" s="1"/>
  <c r="AA522" i="20" l="1"/>
  <c r="AA522" i="19"/>
  <c r="AD522" i="19" s="1"/>
  <c r="E503" i="21" s="1"/>
  <c r="E523" i="18"/>
  <c r="AA522" i="17"/>
  <c r="K693" i="20"/>
  <c r="L693" i="20"/>
  <c r="F694" i="20" s="1"/>
  <c r="H693" i="20"/>
  <c r="U626" i="19"/>
  <c r="X626" i="19" s="1"/>
  <c r="Y626" i="19" s="1"/>
  <c r="R627" i="19" s="1"/>
  <c r="L692" i="17"/>
  <c r="F693" i="17" s="1"/>
  <c r="Y470" i="20"/>
  <c r="K692" i="17"/>
  <c r="R475" i="17"/>
  <c r="AD474" i="17"/>
  <c r="D455" i="21" s="1"/>
  <c r="U627" i="19" l="1"/>
  <c r="Y627" i="19" s="1"/>
  <c r="R628" i="19" s="1"/>
  <c r="X627" i="19"/>
  <c r="R471" i="20"/>
  <c r="AD470" i="20"/>
  <c r="F451" i="21" s="1"/>
  <c r="I523" i="18"/>
  <c r="G523" i="18"/>
  <c r="J523" i="18" s="1"/>
  <c r="H693" i="17"/>
  <c r="K693" i="17" s="1"/>
  <c r="X475" i="17"/>
  <c r="U475" i="17"/>
  <c r="Y475" i="17" s="1"/>
  <c r="H694" i="20"/>
  <c r="K694" i="20" s="1"/>
  <c r="U628" i="19" l="1"/>
  <c r="X628" i="19"/>
  <c r="Y628" i="19"/>
  <c r="R629" i="19" s="1"/>
  <c r="E524" i="18"/>
  <c r="AA523" i="20"/>
  <c r="AA523" i="19"/>
  <c r="AD523" i="19" s="1"/>
  <c r="E504" i="21" s="1"/>
  <c r="AA523" i="17"/>
  <c r="R476" i="17"/>
  <c r="AD475" i="17"/>
  <c r="D456" i="21" s="1"/>
  <c r="L694" i="20"/>
  <c r="F695" i="20" s="1"/>
  <c r="L693" i="17"/>
  <c r="F694" i="17" s="1"/>
  <c r="U471" i="20"/>
  <c r="X471" i="20" s="1"/>
  <c r="Y471" i="20" s="1"/>
  <c r="R472" i="20" l="1"/>
  <c r="AD471" i="20"/>
  <c r="F452" i="21" s="1"/>
  <c r="U629" i="19"/>
  <c r="X629" i="19" s="1"/>
  <c r="Y629" i="19" s="1"/>
  <c r="R630" i="19" s="1"/>
  <c r="G524" i="18"/>
  <c r="H524" i="18"/>
  <c r="I524" i="18"/>
  <c r="J524" i="18"/>
  <c r="X476" i="17"/>
  <c r="Y476" i="17" s="1"/>
  <c r="U476" i="17"/>
  <c r="H694" i="17"/>
  <c r="K694" i="17" s="1"/>
  <c r="J695" i="20"/>
  <c r="K695" i="20"/>
  <c r="H695" i="20"/>
  <c r="L695" i="20" s="1"/>
  <c r="F696" i="20" s="1"/>
  <c r="U630" i="19" l="1"/>
  <c r="X630" i="19" s="1"/>
  <c r="R477" i="17"/>
  <c r="AD476" i="17"/>
  <c r="D457" i="21" s="1"/>
  <c r="K696" i="20"/>
  <c r="H696" i="20"/>
  <c r="L696" i="20" s="1"/>
  <c r="F697" i="20" s="1"/>
  <c r="L694" i="17"/>
  <c r="F695" i="17" s="1"/>
  <c r="AA524" i="17"/>
  <c r="E525" i="18"/>
  <c r="AA524" i="20"/>
  <c r="AA524" i="19"/>
  <c r="AD524" i="19" s="1"/>
  <c r="E505" i="21" s="1"/>
  <c r="U472" i="20"/>
  <c r="H697" i="20" l="1"/>
  <c r="G525" i="18"/>
  <c r="I525" i="18" s="1"/>
  <c r="H695" i="17"/>
  <c r="U477" i="17"/>
  <c r="X472" i="20"/>
  <c r="Y472" i="20" s="1"/>
  <c r="Y630" i="19"/>
  <c r="R631" i="19" s="1"/>
  <c r="R473" i="20" l="1"/>
  <c r="AD472" i="20"/>
  <c r="F453" i="21" s="1"/>
  <c r="L697" i="20"/>
  <c r="F698" i="20" s="1"/>
  <c r="J695" i="17"/>
  <c r="K695" i="17" s="1"/>
  <c r="K697" i="20"/>
  <c r="U631" i="19"/>
  <c r="X631" i="19"/>
  <c r="Y631" i="19" s="1"/>
  <c r="R632" i="19" s="1"/>
  <c r="X477" i="17"/>
  <c r="Y477" i="17" s="1"/>
  <c r="J525" i="18"/>
  <c r="R478" i="17" l="1"/>
  <c r="AD477" i="17"/>
  <c r="D458" i="21" s="1"/>
  <c r="U632" i="19"/>
  <c r="X632" i="19"/>
  <c r="Y632" i="19" s="1"/>
  <c r="R633" i="19" s="1"/>
  <c r="L695" i="17"/>
  <c r="F696" i="17" s="1"/>
  <c r="H698" i="20"/>
  <c r="E526" i="18"/>
  <c r="AA525" i="19"/>
  <c r="AD525" i="19" s="1"/>
  <c r="E506" i="21" s="1"/>
  <c r="AA525" i="17"/>
  <c r="AA525" i="20"/>
  <c r="U473" i="20"/>
  <c r="X473" i="20" s="1"/>
  <c r="U633" i="19" l="1"/>
  <c r="Y633" i="19" s="1"/>
  <c r="R634" i="19" s="1"/>
  <c r="X633" i="19"/>
  <c r="K696" i="17"/>
  <c r="H696" i="17"/>
  <c r="L696" i="17" s="1"/>
  <c r="F697" i="17" s="1"/>
  <c r="G526" i="18"/>
  <c r="I526" i="18"/>
  <c r="J526" i="18"/>
  <c r="Y473" i="20"/>
  <c r="J698" i="20"/>
  <c r="K698" i="20" s="1"/>
  <c r="L698" i="20" s="1"/>
  <c r="F699" i="20" s="1"/>
  <c r="U478" i="17"/>
  <c r="X478" i="17" s="1"/>
  <c r="H697" i="17" l="1"/>
  <c r="K697" i="17" s="1"/>
  <c r="H699" i="20"/>
  <c r="K699" i="20" s="1"/>
  <c r="U634" i="19"/>
  <c r="X634" i="19"/>
  <c r="Y634" i="19" s="1"/>
  <c r="R635" i="19" s="1"/>
  <c r="E527" i="18"/>
  <c r="AA526" i="17"/>
  <c r="AA526" i="19"/>
  <c r="AD526" i="19" s="1"/>
  <c r="E507" i="21" s="1"/>
  <c r="AA526" i="20"/>
  <c r="R474" i="20"/>
  <c r="AD473" i="20"/>
  <c r="F454" i="21" s="1"/>
  <c r="Y478" i="17"/>
  <c r="U635" i="19" l="1"/>
  <c r="X635" i="19" s="1"/>
  <c r="L699" i="20"/>
  <c r="F700" i="20" s="1"/>
  <c r="H527" i="18"/>
  <c r="J527" i="18"/>
  <c r="G527" i="18"/>
  <c r="I527" i="18"/>
  <c r="L697" i="17"/>
  <c r="F698" i="17" s="1"/>
  <c r="R479" i="17"/>
  <c r="AD478" i="17"/>
  <c r="D459" i="21" s="1"/>
  <c r="U474" i="20"/>
  <c r="X474" i="20" s="1"/>
  <c r="E528" i="18" l="1"/>
  <c r="AA527" i="20"/>
  <c r="AA527" i="19"/>
  <c r="AD527" i="19" s="1"/>
  <c r="E508" i="21" s="1"/>
  <c r="AA527" i="17"/>
  <c r="Y635" i="19"/>
  <c r="R636" i="19" s="1"/>
  <c r="X479" i="17"/>
  <c r="U479" i="17"/>
  <c r="Y479" i="17" s="1"/>
  <c r="H700" i="20"/>
  <c r="K700" i="20" s="1"/>
  <c r="H698" i="17"/>
  <c r="Y474" i="20"/>
  <c r="R480" i="17" l="1"/>
  <c r="AD479" i="17"/>
  <c r="D460" i="21" s="1"/>
  <c r="U636" i="19"/>
  <c r="X636" i="19"/>
  <c r="Y636" i="19"/>
  <c r="R637" i="19" s="1"/>
  <c r="R475" i="20"/>
  <c r="AD474" i="20"/>
  <c r="F455" i="21" s="1"/>
  <c r="L700" i="20"/>
  <c r="F701" i="20" s="1"/>
  <c r="J698" i="17"/>
  <c r="K698" i="17" s="1"/>
  <c r="G528" i="18"/>
  <c r="I528" i="18"/>
  <c r="J528" i="18"/>
  <c r="H701" i="20" l="1"/>
  <c r="J701" i="20" s="1"/>
  <c r="AA528" i="20"/>
  <c r="AA528" i="17"/>
  <c r="AA528" i="19"/>
  <c r="AD528" i="19" s="1"/>
  <c r="E509" i="21" s="1"/>
  <c r="E529" i="18"/>
  <c r="U480" i="17"/>
  <c r="Y637" i="19"/>
  <c r="R638" i="19" s="1"/>
  <c r="U637" i="19"/>
  <c r="X637" i="19"/>
  <c r="U475" i="20"/>
  <c r="X475" i="20" s="1"/>
  <c r="L698" i="17"/>
  <c r="F699" i="17" s="1"/>
  <c r="H699" i="17" l="1"/>
  <c r="K699" i="17" s="1"/>
  <c r="X480" i="17"/>
  <c r="Y480" i="17" s="1"/>
  <c r="U638" i="19"/>
  <c r="X638" i="19" s="1"/>
  <c r="Y475" i="20"/>
  <c r="G529" i="18"/>
  <c r="I529" i="18" s="1"/>
  <c r="K701" i="20"/>
  <c r="L701" i="20" s="1"/>
  <c r="F702" i="20" s="1"/>
  <c r="H702" i="20" l="1"/>
  <c r="K702" i="20" s="1"/>
  <c r="R481" i="17"/>
  <c r="AD480" i="17"/>
  <c r="D461" i="21" s="1"/>
  <c r="L699" i="17"/>
  <c r="F700" i="17" s="1"/>
  <c r="R476" i="20"/>
  <c r="AD475" i="20"/>
  <c r="F456" i="21" s="1"/>
  <c r="Y638" i="19"/>
  <c r="R639" i="19" s="1"/>
  <c r="J529" i="18"/>
  <c r="E530" i="18" l="1"/>
  <c r="AA529" i="20"/>
  <c r="AA529" i="17"/>
  <c r="AA529" i="19"/>
  <c r="AD529" i="19" s="1"/>
  <c r="E510" i="21" s="1"/>
  <c r="L702" i="20"/>
  <c r="F703" i="20" s="1"/>
  <c r="K700" i="17"/>
  <c r="H700" i="17"/>
  <c r="L700" i="17" s="1"/>
  <c r="F701" i="17" s="1"/>
  <c r="U481" i="17"/>
  <c r="U639" i="19"/>
  <c r="U476" i="20"/>
  <c r="X476" i="20" s="1"/>
  <c r="H701" i="17" l="1"/>
  <c r="J701" i="17" s="1"/>
  <c r="H703" i="20"/>
  <c r="Y476" i="20"/>
  <c r="X481" i="17"/>
  <c r="Y481" i="17" s="1"/>
  <c r="X639" i="19"/>
  <c r="Y639" i="19" s="1"/>
  <c r="R640" i="19" s="1"/>
  <c r="G530" i="18"/>
  <c r="H530" i="18"/>
  <c r="I530" i="18"/>
  <c r="J530" i="18" s="1"/>
  <c r="U640" i="19" l="1"/>
  <c r="Y640" i="19" s="1"/>
  <c r="R641" i="19" s="1"/>
  <c r="X640" i="19"/>
  <c r="AA530" i="17"/>
  <c r="E531" i="18"/>
  <c r="AA530" i="20"/>
  <c r="AA530" i="19"/>
  <c r="AD530" i="19" s="1"/>
  <c r="E511" i="21" s="1"/>
  <c r="R482" i="17"/>
  <c r="AD481" i="17"/>
  <c r="D462" i="21" s="1"/>
  <c r="L703" i="20"/>
  <c r="F704" i="20" s="1"/>
  <c r="R477" i="20"/>
  <c r="AD476" i="20"/>
  <c r="F457" i="21" s="1"/>
  <c r="K701" i="17"/>
  <c r="L701" i="17" s="1"/>
  <c r="F702" i="17" s="1"/>
  <c r="K703" i="20"/>
  <c r="H702" i="17" l="1"/>
  <c r="K702" i="17" s="1"/>
  <c r="U641" i="19"/>
  <c r="X641" i="19" s="1"/>
  <c r="Y641" i="19" s="1"/>
  <c r="R642" i="19" s="1"/>
  <c r="G531" i="18"/>
  <c r="J531" i="18" s="1"/>
  <c r="I531" i="18"/>
  <c r="U477" i="20"/>
  <c r="X477" i="20" s="1"/>
  <c r="U482" i="17"/>
  <c r="X482" i="17" s="1"/>
  <c r="H704" i="20"/>
  <c r="J704" i="20" s="1"/>
  <c r="U642" i="19" l="1"/>
  <c r="Y642" i="19" s="1"/>
  <c r="R643" i="19" s="1"/>
  <c r="X642" i="19"/>
  <c r="AA531" i="17"/>
  <c r="E532" i="18"/>
  <c r="AA531" i="20"/>
  <c r="AA531" i="19"/>
  <c r="AD531" i="19" s="1"/>
  <c r="E512" i="21" s="1"/>
  <c r="K704" i="20"/>
  <c r="L704" i="20"/>
  <c r="F705" i="20" s="1"/>
  <c r="Y477" i="20"/>
  <c r="L702" i="17"/>
  <c r="F703" i="17" s="1"/>
  <c r="Y482" i="17"/>
  <c r="U643" i="19" l="1"/>
  <c r="X643" i="19"/>
  <c r="Y643" i="19" s="1"/>
  <c r="R644" i="19" s="1"/>
  <c r="R483" i="17"/>
  <c r="AD482" i="17"/>
  <c r="D463" i="21" s="1"/>
  <c r="G532" i="18"/>
  <c r="I532" i="18" s="1"/>
  <c r="J532" i="18" s="1"/>
  <c r="R478" i="20"/>
  <c r="AD477" i="20"/>
  <c r="F458" i="21" s="1"/>
  <c r="H705" i="20"/>
  <c r="K705" i="20" s="1"/>
  <c r="L705" i="20" s="1"/>
  <c r="F706" i="20" s="1"/>
  <c r="H703" i="17"/>
  <c r="K703" i="17" s="1"/>
  <c r="H706" i="20" l="1"/>
  <c r="K706" i="20" s="1"/>
  <c r="E533" i="18"/>
  <c r="AA532" i="19"/>
  <c r="AD532" i="19" s="1"/>
  <c r="E513" i="21" s="1"/>
  <c r="AA532" i="17"/>
  <c r="AA532" i="20"/>
  <c r="U644" i="19"/>
  <c r="X644" i="19"/>
  <c r="Y644" i="19"/>
  <c r="R645" i="19" s="1"/>
  <c r="L703" i="17"/>
  <c r="F704" i="17" s="1"/>
  <c r="X483" i="17"/>
  <c r="U483" i="17"/>
  <c r="Y483" i="17" s="1"/>
  <c r="U478" i="20"/>
  <c r="X478" i="20" s="1"/>
  <c r="R484" i="17" l="1"/>
  <c r="AD483" i="17"/>
  <c r="D464" i="21" s="1"/>
  <c r="Y478" i="20"/>
  <c r="G533" i="18"/>
  <c r="J533" i="18" s="1"/>
  <c r="H533" i="18"/>
  <c r="I533" i="18"/>
  <c r="L706" i="20"/>
  <c r="F707" i="20" s="1"/>
  <c r="J704" i="17"/>
  <c r="K704" i="17"/>
  <c r="L704" i="17" s="1"/>
  <c r="F705" i="17" s="1"/>
  <c r="H704" i="17"/>
  <c r="U645" i="19"/>
  <c r="X645" i="19"/>
  <c r="Y645" i="19" s="1"/>
  <c r="R646" i="19" s="1"/>
  <c r="AA533" i="19" l="1"/>
  <c r="AD533" i="19" s="1"/>
  <c r="E514" i="21" s="1"/>
  <c r="AA533" i="20"/>
  <c r="AA533" i="17"/>
  <c r="E534" i="18"/>
  <c r="U646" i="19"/>
  <c r="X646" i="19" s="1"/>
  <c r="H705" i="17"/>
  <c r="K705" i="17" s="1"/>
  <c r="R479" i="20"/>
  <c r="AD478" i="20"/>
  <c r="F459" i="21" s="1"/>
  <c r="H707" i="20"/>
  <c r="X484" i="17"/>
  <c r="Y484" i="17" s="1"/>
  <c r="U484" i="17"/>
  <c r="R485" i="17" l="1"/>
  <c r="AD484" i="17"/>
  <c r="D465" i="21" s="1"/>
  <c r="K707" i="20"/>
  <c r="L707" i="20" s="1"/>
  <c r="F708" i="20" s="1"/>
  <c r="Y646" i="19"/>
  <c r="R647" i="19" s="1"/>
  <c r="L705" i="17"/>
  <c r="F706" i="17" s="1"/>
  <c r="U479" i="20"/>
  <c r="G534" i="18"/>
  <c r="J534" i="18" s="1"/>
  <c r="I534" i="18"/>
  <c r="J707" i="20"/>
  <c r="H708" i="20" l="1"/>
  <c r="K708" i="20" s="1"/>
  <c r="AA534" i="20"/>
  <c r="AA534" i="19"/>
  <c r="AD534" i="19" s="1"/>
  <c r="E515" i="21" s="1"/>
  <c r="AA534" i="17"/>
  <c r="E535" i="18"/>
  <c r="U647" i="19"/>
  <c r="X647" i="19"/>
  <c r="Y647" i="19"/>
  <c r="R648" i="19" s="1"/>
  <c r="X479" i="20"/>
  <c r="Y479" i="20" s="1"/>
  <c r="H706" i="17"/>
  <c r="K706" i="17" s="1"/>
  <c r="U485" i="17"/>
  <c r="X485" i="17" s="1"/>
  <c r="R480" i="20" l="1"/>
  <c r="AD479" i="20"/>
  <c r="F460" i="21" s="1"/>
  <c r="U648" i="19"/>
  <c r="X648" i="19" s="1"/>
  <c r="Y648" i="19" s="1"/>
  <c r="R649" i="19" s="1"/>
  <c r="L708" i="20"/>
  <c r="F709" i="20" s="1"/>
  <c r="Y485" i="17"/>
  <c r="G535" i="18"/>
  <c r="I535" i="18"/>
  <c r="J535" i="18"/>
  <c r="L706" i="17"/>
  <c r="F707" i="17" s="1"/>
  <c r="U649" i="19" l="1"/>
  <c r="X649" i="19" s="1"/>
  <c r="Y649" i="19" s="1"/>
  <c r="R650" i="19" s="1"/>
  <c r="H709" i="20"/>
  <c r="K709" i="20" s="1"/>
  <c r="H707" i="17"/>
  <c r="J707" i="17" s="1"/>
  <c r="E536" i="18"/>
  <c r="AA535" i="20"/>
  <c r="AA535" i="17"/>
  <c r="AA535" i="19"/>
  <c r="AD535" i="19" s="1"/>
  <c r="E516" i="21" s="1"/>
  <c r="R486" i="17"/>
  <c r="AD485" i="17"/>
  <c r="D466" i="21" s="1"/>
  <c r="X480" i="20"/>
  <c r="Y480" i="20" s="1"/>
  <c r="U480" i="20"/>
  <c r="R481" i="20" l="1"/>
  <c r="AD480" i="20"/>
  <c r="F461" i="21" s="1"/>
  <c r="U650" i="19"/>
  <c r="X650" i="19"/>
  <c r="Y650" i="19"/>
  <c r="R651" i="19" s="1"/>
  <c r="U486" i="17"/>
  <c r="K707" i="17"/>
  <c r="L707" i="17" s="1"/>
  <c r="F708" i="17" s="1"/>
  <c r="H536" i="18"/>
  <c r="J536" i="18" s="1"/>
  <c r="G536" i="18"/>
  <c r="I536" i="18"/>
  <c r="L709" i="20"/>
  <c r="F710" i="20" s="1"/>
  <c r="E537" i="18" l="1"/>
  <c r="AA536" i="20"/>
  <c r="AA536" i="17"/>
  <c r="AA536" i="19"/>
  <c r="AD536" i="19" s="1"/>
  <c r="E517" i="21" s="1"/>
  <c r="K708" i="17"/>
  <c r="H708" i="17"/>
  <c r="L708" i="17" s="1"/>
  <c r="F709" i="17" s="1"/>
  <c r="U651" i="19"/>
  <c r="X651" i="19"/>
  <c r="Y651" i="19"/>
  <c r="R652" i="19" s="1"/>
  <c r="H710" i="20"/>
  <c r="X486" i="17"/>
  <c r="Y486" i="17" s="1"/>
  <c r="X481" i="20"/>
  <c r="Y481" i="20"/>
  <c r="U481" i="20"/>
  <c r="R487" i="17" l="1"/>
  <c r="AD486" i="17"/>
  <c r="D467" i="21" s="1"/>
  <c r="H709" i="17"/>
  <c r="L710" i="20"/>
  <c r="F711" i="20" s="1"/>
  <c r="R482" i="20"/>
  <c r="AD481" i="20"/>
  <c r="F462" i="21" s="1"/>
  <c r="X652" i="19"/>
  <c r="Y652" i="19" s="1"/>
  <c r="R653" i="19" s="1"/>
  <c r="U652" i="19"/>
  <c r="J710" i="20"/>
  <c r="K710" i="20" s="1"/>
  <c r="G537" i="18"/>
  <c r="I537" i="18" s="1"/>
  <c r="J537" i="18" s="1"/>
  <c r="E538" i="18" l="1"/>
  <c r="AA537" i="17"/>
  <c r="AA537" i="19"/>
  <c r="AD537" i="19" s="1"/>
  <c r="E518" i="21" s="1"/>
  <c r="AA537" i="20"/>
  <c r="L709" i="17"/>
  <c r="F710" i="17" s="1"/>
  <c r="U653" i="19"/>
  <c r="X653" i="19" s="1"/>
  <c r="K709" i="17"/>
  <c r="H711" i="20"/>
  <c r="K711" i="20" s="1"/>
  <c r="U482" i="20"/>
  <c r="U487" i="17"/>
  <c r="X487" i="17" l="1"/>
  <c r="Y487" i="17" s="1"/>
  <c r="J710" i="17"/>
  <c r="L710" i="17" s="1"/>
  <c r="F711" i="17" s="1"/>
  <c r="K710" i="17"/>
  <c r="H710" i="17"/>
  <c r="L711" i="20"/>
  <c r="F712" i="20" s="1"/>
  <c r="X482" i="20"/>
  <c r="Y482" i="20" s="1"/>
  <c r="Y653" i="19"/>
  <c r="R654" i="19" s="1"/>
  <c r="G538" i="18"/>
  <c r="I538" i="18"/>
  <c r="J538" i="18" s="1"/>
  <c r="R483" i="20" l="1"/>
  <c r="AD482" i="20"/>
  <c r="F463" i="21" s="1"/>
  <c r="E539" i="18"/>
  <c r="AA538" i="19"/>
  <c r="AD538" i="19" s="1"/>
  <c r="E519" i="21" s="1"/>
  <c r="AA538" i="20"/>
  <c r="AA538" i="17"/>
  <c r="H711" i="17"/>
  <c r="K711" i="17" s="1"/>
  <c r="R488" i="17"/>
  <c r="AD487" i="17"/>
  <c r="D468" i="21" s="1"/>
  <c r="X654" i="19"/>
  <c r="U654" i="19"/>
  <c r="Y654" i="19" s="1"/>
  <c r="R655" i="19" s="1"/>
  <c r="H712" i="20"/>
  <c r="K712" i="20" s="1"/>
  <c r="U655" i="19" l="1"/>
  <c r="Y655" i="19" s="1"/>
  <c r="R656" i="19" s="1"/>
  <c r="X655" i="19"/>
  <c r="L712" i="20"/>
  <c r="F713" i="20" s="1"/>
  <c r="G539" i="18"/>
  <c r="H539" i="18" s="1"/>
  <c r="I539" i="18"/>
  <c r="X488" i="17"/>
  <c r="Y488" i="17"/>
  <c r="U488" i="17"/>
  <c r="L711" i="17"/>
  <c r="F712" i="17" s="1"/>
  <c r="U483" i="20"/>
  <c r="U656" i="19" l="1"/>
  <c r="X656" i="19"/>
  <c r="Y656" i="19"/>
  <c r="R657" i="19" s="1"/>
  <c r="X483" i="20"/>
  <c r="Y483" i="20" s="1"/>
  <c r="R489" i="17"/>
  <c r="AD488" i="17"/>
  <c r="D469" i="21" s="1"/>
  <c r="H713" i="20"/>
  <c r="K712" i="17"/>
  <c r="H712" i="17"/>
  <c r="L712" i="17" s="1"/>
  <c r="F713" i="17" s="1"/>
  <c r="J539" i="18"/>
  <c r="R484" i="20" l="1"/>
  <c r="AD483" i="20"/>
  <c r="F464" i="21" s="1"/>
  <c r="H713" i="17"/>
  <c r="U489" i="17"/>
  <c r="X489" i="17" s="1"/>
  <c r="J713" i="20"/>
  <c r="K713" i="20" s="1"/>
  <c r="X657" i="19"/>
  <c r="Y657" i="19" s="1"/>
  <c r="R658" i="19" s="1"/>
  <c r="U657" i="19"/>
  <c r="AA539" i="20"/>
  <c r="E540" i="18"/>
  <c r="AA539" i="19"/>
  <c r="AD539" i="19" s="1"/>
  <c r="E520" i="21" s="1"/>
  <c r="AA539" i="17"/>
  <c r="U658" i="19" l="1"/>
  <c r="X658" i="19"/>
  <c r="Y658" i="19"/>
  <c r="R659" i="19" s="1"/>
  <c r="J713" i="17"/>
  <c r="G540" i="18"/>
  <c r="J540" i="18" s="1"/>
  <c r="I540" i="18"/>
  <c r="Y489" i="17"/>
  <c r="L713" i="20"/>
  <c r="F714" i="20" s="1"/>
  <c r="U484" i="20"/>
  <c r="X484" i="20" s="1"/>
  <c r="E541" i="18" l="1"/>
  <c r="AA540" i="20"/>
  <c r="AA540" i="19"/>
  <c r="AD540" i="19" s="1"/>
  <c r="E521" i="21" s="1"/>
  <c r="AA540" i="17"/>
  <c r="X659" i="19"/>
  <c r="Y659" i="19" s="1"/>
  <c r="R660" i="19" s="1"/>
  <c r="U659" i="19"/>
  <c r="R490" i="17"/>
  <c r="AD489" i="17"/>
  <c r="D470" i="21" s="1"/>
  <c r="K713" i="17"/>
  <c r="L713" i="17" s="1"/>
  <c r="F714" i="17" s="1"/>
  <c r="Y484" i="20"/>
  <c r="H714" i="20"/>
  <c r="K714" i="20" s="1"/>
  <c r="U660" i="19" l="1"/>
  <c r="X660" i="19"/>
  <c r="Y660" i="19"/>
  <c r="R661" i="19" s="1"/>
  <c r="H714" i="17"/>
  <c r="K714" i="17" s="1"/>
  <c r="R485" i="20"/>
  <c r="AD484" i="20"/>
  <c r="F465" i="21" s="1"/>
  <c r="I541" i="18"/>
  <c r="J541" i="18"/>
  <c r="G541" i="18"/>
  <c r="U490" i="17"/>
  <c r="L714" i="20"/>
  <c r="F715" i="20" s="1"/>
  <c r="AA541" i="17" l="1"/>
  <c r="E542" i="18"/>
  <c r="AA541" i="19"/>
  <c r="AD541" i="19" s="1"/>
  <c r="E522" i="21" s="1"/>
  <c r="AA541" i="20"/>
  <c r="K715" i="20"/>
  <c r="H715" i="20"/>
  <c r="L715" i="20" s="1"/>
  <c r="F716" i="20" s="1"/>
  <c r="L714" i="17"/>
  <c r="F715" i="17" s="1"/>
  <c r="U661" i="19"/>
  <c r="X661" i="19"/>
  <c r="Y661" i="19"/>
  <c r="R662" i="19" s="1"/>
  <c r="X490" i="17"/>
  <c r="Y490" i="17" s="1"/>
  <c r="U485" i="20"/>
  <c r="H716" i="20" l="1"/>
  <c r="R491" i="17"/>
  <c r="AD490" i="17"/>
  <c r="D471" i="21" s="1"/>
  <c r="U662" i="19"/>
  <c r="X485" i="20"/>
  <c r="Y485" i="20" s="1"/>
  <c r="H715" i="17"/>
  <c r="K715" i="17" s="1"/>
  <c r="G542" i="18"/>
  <c r="H542" i="18" s="1"/>
  <c r="I542" i="18"/>
  <c r="R486" i="20" l="1"/>
  <c r="AD485" i="20"/>
  <c r="F466" i="21" s="1"/>
  <c r="X491" i="17"/>
  <c r="Y491" i="17" s="1"/>
  <c r="U491" i="17"/>
  <c r="L715" i="17"/>
  <c r="F716" i="17" s="1"/>
  <c r="J542" i="18"/>
  <c r="X662" i="19"/>
  <c r="Y662" i="19" s="1"/>
  <c r="R663" i="19" s="1"/>
  <c r="J716" i="20"/>
  <c r="R492" i="17" l="1"/>
  <c r="AD491" i="17"/>
  <c r="D472" i="21" s="1"/>
  <c r="U663" i="19"/>
  <c r="X663" i="19"/>
  <c r="Y663" i="19"/>
  <c r="R664" i="19" s="1"/>
  <c r="H716" i="17"/>
  <c r="K716" i="20"/>
  <c r="L716" i="20" s="1"/>
  <c r="F717" i="20" s="1"/>
  <c r="U486" i="20"/>
  <c r="X486" i="20" s="1"/>
  <c r="Y486" i="20" s="1"/>
  <c r="AA542" i="19"/>
  <c r="AD542" i="19" s="1"/>
  <c r="E523" i="21" s="1"/>
  <c r="E543" i="18"/>
  <c r="AA542" i="17"/>
  <c r="AA542" i="20"/>
  <c r="R487" i="20" l="1"/>
  <c r="AD486" i="20"/>
  <c r="F467" i="21" s="1"/>
  <c r="H717" i="20"/>
  <c r="K717" i="20" s="1"/>
  <c r="U664" i="19"/>
  <c r="X664" i="19" s="1"/>
  <c r="G543" i="18"/>
  <c r="I543" i="18" s="1"/>
  <c r="J716" i="17"/>
  <c r="X492" i="17"/>
  <c r="Y492" i="17" s="1"/>
  <c r="U492" i="17"/>
  <c r="R493" i="17" l="1"/>
  <c r="AD492" i="17"/>
  <c r="D473" i="21" s="1"/>
  <c r="Y664" i="19"/>
  <c r="R665" i="19" s="1"/>
  <c r="K716" i="17"/>
  <c r="L716" i="17" s="1"/>
  <c r="F717" i="17" s="1"/>
  <c r="X487" i="20"/>
  <c r="Y487" i="20"/>
  <c r="U487" i="20"/>
  <c r="L717" i="20"/>
  <c r="F718" i="20" s="1"/>
  <c r="J543" i="18"/>
  <c r="H717" i="17" l="1"/>
  <c r="K717" i="17" s="1"/>
  <c r="R488" i="20"/>
  <c r="AD487" i="20"/>
  <c r="F468" i="21" s="1"/>
  <c r="E544" i="18"/>
  <c r="AA543" i="20"/>
  <c r="AA543" i="17"/>
  <c r="AA543" i="19"/>
  <c r="AD543" i="19" s="1"/>
  <c r="E524" i="21" s="1"/>
  <c r="U665" i="19"/>
  <c r="X665" i="19"/>
  <c r="Y665" i="19"/>
  <c r="R666" i="19" s="1"/>
  <c r="H718" i="20"/>
  <c r="K718" i="20" s="1"/>
  <c r="U493" i="17"/>
  <c r="X493" i="17" s="1"/>
  <c r="G544" i="18" l="1"/>
  <c r="I544" i="18"/>
  <c r="J544" i="18"/>
  <c r="Y493" i="17"/>
  <c r="U666" i="19"/>
  <c r="U488" i="20"/>
  <c r="L717" i="17"/>
  <c r="F718" i="17" s="1"/>
  <c r="L718" i="20"/>
  <c r="F719" i="20" s="1"/>
  <c r="E545" i="18" l="1"/>
  <c r="AA544" i="20"/>
  <c r="AA544" i="19"/>
  <c r="AD544" i="19" s="1"/>
  <c r="E525" i="21" s="1"/>
  <c r="AA544" i="17"/>
  <c r="R494" i="17"/>
  <c r="AD493" i="17"/>
  <c r="D474" i="21" s="1"/>
  <c r="H718" i="17"/>
  <c r="X666" i="19"/>
  <c r="Y666" i="19" s="1"/>
  <c r="R667" i="19" s="1"/>
  <c r="X488" i="20"/>
  <c r="Y488" i="20" s="1"/>
  <c r="H719" i="20"/>
  <c r="U667" i="19" l="1"/>
  <c r="Y667" i="19" s="1"/>
  <c r="R668" i="19" s="1"/>
  <c r="X667" i="19"/>
  <c r="K719" i="20"/>
  <c r="R489" i="20"/>
  <c r="AD488" i="20"/>
  <c r="F469" i="21" s="1"/>
  <c r="G545" i="18"/>
  <c r="I545" i="18" s="1"/>
  <c r="H545" i="18"/>
  <c r="J719" i="20"/>
  <c r="L719" i="20" s="1"/>
  <c r="F720" i="20" s="1"/>
  <c r="K718" i="17"/>
  <c r="L718" i="17" s="1"/>
  <c r="F719" i="17" s="1"/>
  <c r="X494" i="17"/>
  <c r="Y494" i="17" s="1"/>
  <c r="U494" i="17"/>
  <c r="H720" i="20" l="1"/>
  <c r="R495" i="17"/>
  <c r="AD494" i="17"/>
  <c r="D475" i="21" s="1"/>
  <c r="H719" i="17"/>
  <c r="J719" i="17" s="1"/>
  <c r="K719" i="17" s="1"/>
  <c r="U668" i="19"/>
  <c r="X668" i="19" s="1"/>
  <c r="Y668" i="19" s="1"/>
  <c r="R669" i="19" s="1"/>
  <c r="U489" i="20"/>
  <c r="X489" i="20" s="1"/>
  <c r="J545" i="18"/>
  <c r="U669" i="19" l="1"/>
  <c r="Y669" i="19" s="1"/>
  <c r="R670" i="19" s="1"/>
  <c r="X669" i="19"/>
  <c r="AA545" i="17"/>
  <c r="AA545" i="19"/>
  <c r="AD545" i="19" s="1"/>
  <c r="E526" i="21" s="1"/>
  <c r="E546" i="18"/>
  <c r="AA545" i="20"/>
  <c r="U495" i="17"/>
  <c r="X495" i="17" s="1"/>
  <c r="K720" i="20"/>
  <c r="L720" i="20" s="1"/>
  <c r="F721" i="20" s="1"/>
  <c r="Y489" i="20"/>
  <c r="L719" i="17"/>
  <c r="F720" i="17" s="1"/>
  <c r="H721" i="20" l="1"/>
  <c r="K721" i="20" s="1"/>
  <c r="U670" i="19"/>
  <c r="X670" i="19"/>
  <c r="Y670" i="19" s="1"/>
  <c r="R671" i="19" s="1"/>
  <c r="Y495" i="17"/>
  <c r="H720" i="17"/>
  <c r="R490" i="20"/>
  <c r="AD489" i="20"/>
  <c r="F470" i="21" s="1"/>
  <c r="G546" i="18"/>
  <c r="I546" i="18"/>
  <c r="J546" i="18"/>
  <c r="U671" i="19" l="1"/>
  <c r="X671" i="19" s="1"/>
  <c r="K720" i="17"/>
  <c r="L720" i="17" s="1"/>
  <c r="F721" i="17" s="1"/>
  <c r="L721" i="20"/>
  <c r="F722" i="20" s="1"/>
  <c r="AA546" i="17"/>
  <c r="AA546" i="20"/>
  <c r="AA546" i="19"/>
  <c r="AD546" i="19" s="1"/>
  <c r="E527" i="21" s="1"/>
  <c r="E547" i="18"/>
  <c r="X490" i="20"/>
  <c r="Y490" i="20"/>
  <c r="U490" i="20"/>
  <c r="R496" i="17"/>
  <c r="AD495" i="17"/>
  <c r="D476" i="21" s="1"/>
  <c r="H721" i="17" l="1"/>
  <c r="K721" i="17" s="1"/>
  <c r="L721" i="17" s="1"/>
  <c r="F722" i="17" s="1"/>
  <c r="R491" i="20"/>
  <c r="AD490" i="20"/>
  <c r="F471" i="21" s="1"/>
  <c r="J722" i="20"/>
  <c r="H722" i="20"/>
  <c r="K722" i="20" s="1"/>
  <c r="Y671" i="19"/>
  <c r="R672" i="19" s="1"/>
  <c r="G547" i="18"/>
  <c r="U496" i="17"/>
  <c r="L722" i="20" l="1"/>
  <c r="F723" i="20" s="1"/>
  <c r="J547" i="18"/>
  <c r="J722" i="17"/>
  <c r="H722" i="17"/>
  <c r="I547" i="18"/>
  <c r="U672" i="19"/>
  <c r="X496" i="17"/>
  <c r="Y496" i="17" s="1"/>
  <c r="U491" i="20"/>
  <c r="X491" i="20" s="1"/>
  <c r="R497" i="17" l="1"/>
  <c r="AD496" i="17"/>
  <c r="D477" i="21" s="1"/>
  <c r="AA547" i="17"/>
  <c r="AA547" i="19"/>
  <c r="AD547" i="19" s="1"/>
  <c r="E528" i="21" s="1"/>
  <c r="E548" i="18"/>
  <c r="AA547" i="20"/>
  <c r="K722" i="17"/>
  <c r="L722" i="17" s="1"/>
  <c r="F723" i="17" s="1"/>
  <c r="H723" i="20"/>
  <c r="K723" i="20" s="1"/>
  <c r="X672" i="19"/>
  <c r="Y672" i="19" s="1"/>
  <c r="R673" i="19" s="1"/>
  <c r="Y491" i="20"/>
  <c r="U673" i="19" l="1"/>
  <c r="Y673" i="19" s="1"/>
  <c r="R674" i="19" s="1"/>
  <c r="X673" i="19"/>
  <c r="H723" i="17"/>
  <c r="L723" i="20"/>
  <c r="F724" i="20" s="1"/>
  <c r="U497" i="17"/>
  <c r="X497" i="17" s="1"/>
  <c r="R492" i="20"/>
  <c r="AD491" i="20"/>
  <c r="F472" i="21" s="1"/>
  <c r="G548" i="18"/>
  <c r="H548" i="18"/>
  <c r="I548" i="18"/>
  <c r="J548" i="18" s="1"/>
  <c r="AA548" i="17" l="1"/>
  <c r="AA548" i="20"/>
  <c r="AA548" i="19"/>
  <c r="AD548" i="19" s="1"/>
  <c r="E529" i="21" s="1"/>
  <c r="E549" i="18"/>
  <c r="U674" i="19"/>
  <c r="U492" i="20"/>
  <c r="X492" i="20" s="1"/>
  <c r="K723" i="17"/>
  <c r="L723" i="17" s="1"/>
  <c r="F724" i="17" s="1"/>
  <c r="Y497" i="17"/>
  <c r="H724" i="20"/>
  <c r="K724" i="20" s="1"/>
  <c r="H724" i="17" l="1"/>
  <c r="Y492" i="20"/>
  <c r="G549" i="18"/>
  <c r="J549" i="18" s="1"/>
  <c r="I549" i="18"/>
  <c r="L724" i="20"/>
  <c r="F725" i="20" s="1"/>
  <c r="X674" i="19"/>
  <c r="Y674" i="19" s="1"/>
  <c r="R675" i="19" s="1"/>
  <c r="R498" i="17"/>
  <c r="AD497" i="17"/>
  <c r="D478" i="21" s="1"/>
  <c r="U675" i="19" l="1"/>
  <c r="X675" i="19" s="1"/>
  <c r="Y675" i="19" s="1"/>
  <c r="R676" i="19" s="1"/>
  <c r="AA549" i="19"/>
  <c r="AD549" i="19" s="1"/>
  <c r="E530" i="21" s="1"/>
  <c r="AA549" i="20"/>
  <c r="AA549" i="17"/>
  <c r="E550" i="18"/>
  <c r="L724" i="17"/>
  <c r="F725" i="17" s="1"/>
  <c r="H725" i="20"/>
  <c r="K724" i="17"/>
  <c r="R493" i="20"/>
  <c r="AD492" i="20"/>
  <c r="F473" i="21" s="1"/>
  <c r="U498" i="17"/>
  <c r="X498" i="17" s="1"/>
  <c r="U676" i="19" l="1"/>
  <c r="X676" i="19" s="1"/>
  <c r="Y676" i="19" s="1"/>
  <c r="R677" i="19" s="1"/>
  <c r="Y498" i="17"/>
  <c r="J725" i="20"/>
  <c r="U493" i="20"/>
  <c r="H725" i="17"/>
  <c r="I550" i="18"/>
  <c r="J550" i="18"/>
  <c r="G550" i="18"/>
  <c r="U677" i="19" l="1"/>
  <c r="X493" i="20"/>
  <c r="Y493" i="20" s="1"/>
  <c r="AA550" i="19"/>
  <c r="AD550" i="19" s="1"/>
  <c r="E531" i="21" s="1"/>
  <c r="AA550" i="20"/>
  <c r="AA550" i="17"/>
  <c r="E551" i="18"/>
  <c r="R499" i="17"/>
  <c r="AD498" i="17"/>
  <c r="D479" i="21" s="1"/>
  <c r="J725" i="17"/>
  <c r="K725" i="20"/>
  <c r="L725" i="20" s="1"/>
  <c r="F726" i="20" s="1"/>
  <c r="R494" i="20" l="1"/>
  <c r="AD493" i="20"/>
  <c r="F474" i="21" s="1"/>
  <c r="H726" i="20"/>
  <c r="L725" i="17"/>
  <c r="F726" i="17" s="1"/>
  <c r="X677" i="19"/>
  <c r="Y677" i="19" s="1"/>
  <c r="R678" i="19" s="1"/>
  <c r="K725" i="17"/>
  <c r="G551" i="18"/>
  <c r="H551" i="18" s="1"/>
  <c r="U499" i="17"/>
  <c r="X499" i="17" s="1"/>
  <c r="U678" i="19" l="1"/>
  <c r="Y499" i="17"/>
  <c r="K726" i="20"/>
  <c r="L726" i="20" s="1"/>
  <c r="F727" i="20" s="1"/>
  <c r="H726" i="17"/>
  <c r="K726" i="17" s="1"/>
  <c r="I551" i="18"/>
  <c r="J551" i="18" s="1"/>
  <c r="X494" i="20"/>
  <c r="U494" i="20"/>
  <c r="Y494" i="20" s="1"/>
  <c r="AA551" i="17" l="1"/>
  <c r="AA551" i="19"/>
  <c r="AD551" i="19" s="1"/>
  <c r="E532" i="21" s="1"/>
  <c r="AA551" i="20"/>
  <c r="E552" i="18"/>
  <c r="K727" i="20"/>
  <c r="L727" i="20"/>
  <c r="F728" i="20" s="1"/>
  <c r="H727" i="20"/>
  <c r="R495" i="20"/>
  <c r="AD494" i="20"/>
  <c r="F475" i="21" s="1"/>
  <c r="Y678" i="19"/>
  <c r="R679" i="19" s="1"/>
  <c r="L726" i="17"/>
  <c r="F727" i="17" s="1"/>
  <c r="R500" i="17"/>
  <c r="AD499" i="17"/>
  <c r="D480" i="21" s="1"/>
  <c r="X678" i="19"/>
  <c r="U500" i="17" l="1"/>
  <c r="X500" i="17" s="1"/>
  <c r="X679" i="19"/>
  <c r="Y679" i="19"/>
  <c r="R680" i="19" s="1"/>
  <c r="U679" i="19"/>
  <c r="G552" i="18"/>
  <c r="I552" i="18"/>
  <c r="J552" i="18"/>
  <c r="H728" i="20"/>
  <c r="J728" i="20" s="1"/>
  <c r="H727" i="17"/>
  <c r="U495" i="20"/>
  <c r="X495" i="20" s="1"/>
  <c r="Y495" i="20" s="1"/>
  <c r="R496" i="20" l="1"/>
  <c r="AD495" i="20"/>
  <c r="F476" i="21" s="1"/>
  <c r="K728" i="20"/>
  <c r="L728" i="20"/>
  <c r="F729" i="20" s="1"/>
  <c r="Y680" i="19"/>
  <c r="R681" i="19" s="1"/>
  <c r="U680" i="19"/>
  <c r="X680" i="19"/>
  <c r="Y500" i="17"/>
  <c r="K727" i="17"/>
  <c r="L727" i="17" s="1"/>
  <c r="F728" i="17" s="1"/>
  <c r="AA552" i="17"/>
  <c r="E553" i="18"/>
  <c r="AA552" i="20"/>
  <c r="AA552" i="19"/>
  <c r="AD552" i="19" s="1"/>
  <c r="E533" i="21" s="1"/>
  <c r="H728" i="17" l="1"/>
  <c r="U681" i="19"/>
  <c r="X681" i="19" s="1"/>
  <c r="Y681" i="19" s="1"/>
  <c r="R682" i="19" s="1"/>
  <c r="G553" i="18"/>
  <c r="I553" i="18"/>
  <c r="J553" i="18"/>
  <c r="H729" i="20"/>
  <c r="K729" i="20" s="1"/>
  <c r="L729" i="20" s="1"/>
  <c r="F730" i="20" s="1"/>
  <c r="R501" i="17"/>
  <c r="AD500" i="17"/>
  <c r="D481" i="21" s="1"/>
  <c r="U496" i="20"/>
  <c r="X496" i="20" s="1"/>
  <c r="Y496" i="20" s="1"/>
  <c r="R497" i="20" l="1"/>
  <c r="AD496" i="20"/>
  <c r="F477" i="21" s="1"/>
  <c r="H730" i="20"/>
  <c r="U682" i="19"/>
  <c r="X682" i="19" s="1"/>
  <c r="Y682" i="19" s="1"/>
  <c r="R683" i="19" s="1"/>
  <c r="J728" i="17"/>
  <c r="L728" i="17" s="1"/>
  <c r="F729" i="17" s="1"/>
  <c r="K728" i="17"/>
  <c r="E554" i="18"/>
  <c r="AA553" i="20"/>
  <c r="AA553" i="19"/>
  <c r="AD553" i="19" s="1"/>
  <c r="E534" i="21" s="1"/>
  <c r="AA553" i="17"/>
  <c r="U501" i="17"/>
  <c r="H729" i="17" l="1"/>
  <c r="K729" i="17" s="1"/>
  <c r="U683" i="19"/>
  <c r="X501" i="17"/>
  <c r="Y501" i="17" s="1"/>
  <c r="K730" i="20"/>
  <c r="L730" i="20" s="1"/>
  <c r="F731" i="20" s="1"/>
  <c r="H554" i="18"/>
  <c r="J554" i="18"/>
  <c r="G554" i="18"/>
  <c r="I554" i="18"/>
  <c r="X497" i="20"/>
  <c r="Y497" i="20"/>
  <c r="U497" i="20"/>
  <c r="H731" i="20" l="1"/>
  <c r="J731" i="20" s="1"/>
  <c r="R502" i="17"/>
  <c r="AD501" i="17"/>
  <c r="D482" i="21" s="1"/>
  <c r="R498" i="20"/>
  <c r="AD497" i="20"/>
  <c r="F478" i="21" s="1"/>
  <c r="AA554" i="17"/>
  <c r="AA554" i="19"/>
  <c r="AD554" i="19" s="1"/>
  <c r="E535" i="21" s="1"/>
  <c r="E555" i="18"/>
  <c r="AA554" i="20"/>
  <c r="X683" i="19"/>
  <c r="Y683" i="19" s="1"/>
  <c r="R684" i="19" s="1"/>
  <c r="L729" i="17"/>
  <c r="F730" i="17" s="1"/>
  <c r="U684" i="19" l="1"/>
  <c r="X684" i="19" s="1"/>
  <c r="G555" i="18"/>
  <c r="I555" i="18" s="1"/>
  <c r="J555" i="18" s="1"/>
  <c r="K731" i="20"/>
  <c r="U502" i="17"/>
  <c r="X502" i="17" s="1"/>
  <c r="L731" i="20"/>
  <c r="F732" i="20" s="1"/>
  <c r="X498" i="20"/>
  <c r="U498" i="20"/>
  <c r="Y498" i="20" s="1"/>
  <c r="H730" i="17"/>
  <c r="AA555" i="19" l="1"/>
  <c r="AD555" i="19" s="1"/>
  <c r="E536" i="21" s="1"/>
  <c r="AA555" i="20"/>
  <c r="AA555" i="17"/>
  <c r="E556" i="18"/>
  <c r="R499" i="20"/>
  <c r="AD498" i="20"/>
  <c r="F479" i="21" s="1"/>
  <c r="H732" i="20"/>
  <c r="K732" i="20" s="1"/>
  <c r="K730" i="17"/>
  <c r="L730" i="17" s="1"/>
  <c r="F731" i="17" s="1"/>
  <c r="Y684" i="19"/>
  <c r="R685" i="19" s="1"/>
  <c r="Y502" i="17"/>
  <c r="H731" i="17" l="1"/>
  <c r="Y685" i="19"/>
  <c r="R686" i="19" s="1"/>
  <c r="U685" i="19"/>
  <c r="X685" i="19"/>
  <c r="U499" i="20"/>
  <c r="G556" i="18"/>
  <c r="J556" i="18" s="1"/>
  <c r="I556" i="18"/>
  <c r="L732" i="20"/>
  <c r="F733" i="20" s="1"/>
  <c r="R503" i="17"/>
  <c r="AD502" i="17"/>
  <c r="D483" i="21" s="1"/>
  <c r="E557" i="18" l="1"/>
  <c r="AA556" i="17"/>
  <c r="AA556" i="20"/>
  <c r="AA556" i="19"/>
  <c r="AD556" i="19" s="1"/>
  <c r="E537" i="21" s="1"/>
  <c r="X499" i="20"/>
  <c r="Y499" i="20" s="1"/>
  <c r="H733" i="20"/>
  <c r="K733" i="20" s="1"/>
  <c r="J731" i="17"/>
  <c r="K731" i="17" s="1"/>
  <c r="U686" i="19"/>
  <c r="X686" i="19"/>
  <c r="Y686" i="19"/>
  <c r="R687" i="19" s="1"/>
  <c r="U503" i="17"/>
  <c r="X503" i="17" s="1"/>
  <c r="R500" i="20" l="1"/>
  <c r="AD499" i="20"/>
  <c r="F480" i="21" s="1"/>
  <c r="L733" i="20"/>
  <c r="F734" i="20" s="1"/>
  <c r="U687" i="19"/>
  <c r="X687" i="19" s="1"/>
  <c r="G557" i="18"/>
  <c r="I557" i="18"/>
  <c r="H557" i="18"/>
  <c r="J557" i="18"/>
  <c r="L731" i="17"/>
  <c r="F732" i="17" s="1"/>
  <c r="Y503" i="17"/>
  <c r="AA557" i="20" l="1"/>
  <c r="AA557" i="19"/>
  <c r="AD557" i="19" s="1"/>
  <c r="E538" i="21" s="1"/>
  <c r="E558" i="18"/>
  <c r="AA557" i="17"/>
  <c r="K732" i="17"/>
  <c r="L732" i="17"/>
  <c r="F733" i="17" s="1"/>
  <c r="H732" i="17"/>
  <c r="Y687" i="19"/>
  <c r="R688" i="19" s="1"/>
  <c r="H734" i="20"/>
  <c r="R504" i="17"/>
  <c r="AD503" i="17"/>
  <c r="D484" i="21" s="1"/>
  <c r="U500" i="20"/>
  <c r="X500" i="20" s="1"/>
  <c r="J734" i="20" l="1"/>
  <c r="L734" i="20" s="1"/>
  <c r="F735" i="20" s="1"/>
  <c r="G558" i="18"/>
  <c r="J558" i="18" s="1"/>
  <c r="I558" i="18"/>
  <c r="H733" i="17"/>
  <c r="K733" i="17" s="1"/>
  <c r="K734" i="20"/>
  <c r="Y500" i="20"/>
  <c r="Y688" i="19"/>
  <c r="R689" i="19" s="1"/>
  <c r="U688" i="19"/>
  <c r="X688" i="19"/>
  <c r="U504" i="17"/>
  <c r="X504" i="17" s="1"/>
  <c r="AA558" i="17" l="1"/>
  <c r="AA558" i="20"/>
  <c r="AA558" i="19"/>
  <c r="AD558" i="19" s="1"/>
  <c r="E539" i="21" s="1"/>
  <c r="E559" i="18"/>
  <c r="K735" i="20"/>
  <c r="L735" i="20"/>
  <c r="F736" i="20" s="1"/>
  <c r="H735" i="20"/>
  <c r="U689" i="19"/>
  <c r="X689" i="19"/>
  <c r="Y689" i="19"/>
  <c r="R690" i="19" s="1"/>
  <c r="R501" i="20"/>
  <c r="AD500" i="20"/>
  <c r="F481" i="21" s="1"/>
  <c r="Y504" i="17"/>
  <c r="L733" i="17"/>
  <c r="F734" i="17" s="1"/>
  <c r="H736" i="20" l="1"/>
  <c r="K736" i="20" s="1"/>
  <c r="X501" i="20"/>
  <c r="Y501" i="20"/>
  <c r="U501" i="20"/>
  <c r="U690" i="19"/>
  <c r="X690" i="19"/>
  <c r="Y690" i="19"/>
  <c r="R691" i="19" s="1"/>
  <c r="I559" i="18"/>
  <c r="J559" i="18"/>
  <c r="G559" i="18"/>
  <c r="H734" i="17"/>
  <c r="R505" i="17"/>
  <c r="AD504" i="17"/>
  <c r="D485" i="21" s="1"/>
  <c r="R502" i="20" l="1"/>
  <c r="AD501" i="20"/>
  <c r="F482" i="21" s="1"/>
  <c r="U505" i="17"/>
  <c r="X505" i="17" s="1"/>
  <c r="J734" i="17"/>
  <c r="K734" i="17" s="1"/>
  <c r="L736" i="20"/>
  <c r="F737" i="20" s="1"/>
  <c r="E560" i="18"/>
  <c r="AA559" i="20"/>
  <c r="AA559" i="19"/>
  <c r="AD559" i="19" s="1"/>
  <c r="E540" i="21" s="1"/>
  <c r="AA559" i="17"/>
  <c r="U691" i="19"/>
  <c r="X691" i="19"/>
  <c r="Y691" i="19" s="1"/>
  <c r="R692" i="19" s="1"/>
  <c r="U692" i="19" l="1"/>
  <c r="X692" i="19" s="1"/>
  <c r="Y505" i="17"/>
  <c r="X502" i="20"/>
  <c r="U502" i="20"/>
  <c r="Y502" i="20" s="1"/>
  <c r="G560" i="18"/>
  <c r="H560" i="18"/>
  <c r="I560" i="18"/>
  <c r="J560" i="18"/>
  <c r="H737" i="20"/>
  <c r="J737" i="20" s="1"/>
  <c r="L734" i="17"/>
  <c r="F735" i="17" s="1"/>
  <c r="R503" i="20" l="1"/>
  <c r="AD502" i="20"/>
  <c r="F483" i="21" s="1"/>
  <c r="H735" i="17"/>
  <c r="K735" i="17" s="1"/>
  <c r="R506" i="17"/>
  <c r="AD505" i="17"/>
  <c r="D486" i="21" s="1"/>
  <c r="AA560" i="20"/>
  <c r="AA560" i="17"/>
  <c r="E561" i="18"/>
  <c r="AA560" i="19"/>
  <c r="AD560" i="19" s="1"/>
  <c r="E541" i="21" s="1"/>
  <c r="Y692" i="19"/>
  <c r="R693" i="19" s="1"/>
  <c r="K737" i="20"/>
  <c r="L737" i="20" s="1"/>
  <c r="F738" i="20" s="1"/>
  <c r="H738" i="20" l="1"/>
  <c r="U693" i="19"/>
  <c r="X693" i="19"/>
  <c r="Y693" i="19"/>
  <c r="R694" i="19" s="1"/>
  <c r="L735" i="17"/>
  <c r="F736" i="17" s="1"/>
  <c r="G561" i="18"/>
  <c r="I561" i="18"/>
  <c r="J561" i="18"/>
  <c r="U506" i="17"/>
  <c r="X506" i="17" s="1"/>
  <c r="Y506" i="17" s="1"/>
  <c r="U503" i="20"/>
  <c r="R507" i="17" l="1"/>
  <c r="AD506" i="17"/>
  <c r="D487" i="21" s="1"/>
  <c r="L738" i="20"/>
  <c r="F739" i="20" s="1"/>
  <c r="AA561" i="17"/>
  <c r="E562" i="18"/>
  <c r="AA561" i="19"/>
  <c r="AD561" i="19" s="1"/>
  <c r="E542" i="21" s="1"/>
  <c r="AA561" i="20"/>
  <c r="X503" i="20"/>
  <c r="Y503" i="20" s="1"/>
  <c r="U694" i="19"/>
  <c r="X694" i="19"/>
  <c r="Y694" i="19" s="1"/>
  <c r="R695" i="19" s="1"/>
  <c r="K738" i="20"/>
  <c r="H736" i="17"/>
  <c r="U695" i="19" l="1"/>
  <c r="X695" i="19"/>
  <c r="Y695" i="19"/>
  <c r="R696" i="19" s="1"/>
  <c r="R504" i="20"/>
  <c r="AD503" i="20"/>
  <c r="F484" i="21" s="1"/>
  <c r="G562" i="18"/>
  <c r="I562" i="18"/>
  <c r="J562" i="18"/>
  <c r="K739" i="20"/>
  <c r="L739" i="20"/>
  <c r="F740" i="20" s="1"/>
  <c r="H739" i="20"/>
  <c r="U507" i="17"/>
  <c r="K736" i="17"/>
  <c r="L736" i="17" s="1"/>
  <c r="F737" i="17" s="1"/>
  <c r="H737" i="17" l="1"/>
  <c r="H740" i="20"/>
  <c r="X507" i="17"/>
  <c r="Y507" i="17" s="1"/>
  <c r="X504" i="20"/>
  <c r="Y504" i="20" s="1"/>
  <c r="U504" i="20"/>
  <c r="U696" i="19"/>
  <c r="X696" i="19" s="1"/>
  <c r="AA562" i="20"/>
  <c r="AA562" i="19"/>
  <c r="AD562" i="19" s="1"/>
  <c r="E543" i="21" s="1"/>
  <c r="E563" i="18"/>
  <c r="AA562" i="17"/>
  <c r="R505" i="20" l="1"/>
  <c r="AD504" i="20"/>
  <c r="F485" i="21" s="1"/>
  <c r="R508" i="17"/>
  <c r="AD507" i="17"/>
  <c r="D488" i="21" s="1"/>
  <c r="K740" i="20"/>
  <c r="L737" i="17"/>
  <c r="F738" i="17" s="1"/>
  <c r="J737" i="17"/>
  <c r="J740" i="20"/>
  <c r="K737" i="17"/>
  <c r="Y696" i="19"/>
  <c r="R697" i="19" s="1"/>
  <c r="G563" i="18"/>
  <c r="I563" i="18" s="1"/>
  <c r="H563" i="18"/>
  <c r="U697" i="19" l="1"/>
  <c r="Y697" i="19" s="1"/>
  <c r="R698" i="19" s="1"/>
  <c r="X697" i="19"/>
  <c r="U508" i="17"/>
  <c r="H738" i="17"/>
  <c r="K738" i="17" s="1"/>
  <c r="L740" i="20"/>
  <c r="F741" i="20" s="1"/>
  <c r="J563" i="18"/>
  <c r="X505" i="20"/>
  <c r="U505" i="20"/>
  <c r="Y505" i="20" s="1"/>
  <c r="R506" i="20" l="1"/>
  <c r="AD505" i="20"/>
  <c r="F486" i="21" s="1"/>
  <c r="U698" i="19"/>
  <c r="X698" i="19"/>
  <c r="Y698" i="19" s="1"/>
  <c r="R699" i="19" s="1"/>
  <c r="X508" i="17"/>
  <c r="Y508" i="17" s="1"/>
  <c r="E564" i="18"/>
  <c r="AA563" i="20"/>
  <c r="AA563" i="17"/>
  <c r="AA563" i="19"/>
  <c r="AD563" i="19" s="1"/>
  <c r="E544" i="21" s="1"/>
  <c r="K741" i="20"/>
  <c r="H741" i="20"/>
  <c r="L741" i="20" s="1"/>
  <c r="F742" i="20" s="1"/>
  <c r="L738" i="17"/>
  <c r="F739" i="17" s="1"/>
  <c r="R509" i="17" l="1"/>
  <c r="AD508" i="17"/>
  <c r="D489" i="21" s="1"/>
  <c r="H742" i="20"/>
  <c r="U699" i="19"/>
  <c r="X699" i="19" s="1"/>
  <c r="H739" i="17"/>
  <c r="X506" i="20"/>
  <c r="U506" i="20"/>
  <c r="Y506" i="20" s="1"/>
  <c r="G564" i="18"/>
  <c r="J564" i="18" s="1"/>
  <c r="I564" i="18"/>
  <c r="AA564" i="20" l="1"/>
  <c r="AA564" i="17"/>
  <c r="E565" i="18"/>
  <c r="AA564" i="19"/>
  <c r="AD564" i="19" s="1"/>
  <c r="E545" i="21" s="1"/>
  <c r="R507" i="20"/>
  <c r="AD506" i="20"/>
  <c r="F487" i="21" s="1"/>
  <c r="K739" i="17"/>
  <c r="L739" i="17" s="1"/>
  <c r="F740" i="17" s="1"/>
  <c r="K742" i="20"/>
  <c r="L742" i="20" s="1"/>
  <c r="F743" i="20" s="1"/>
  <c r="Y699" i="19"/>
  <c r="R700" i="19" s="1"/>
  <c r="U509" i="17"/>
  <c r="X509" i="17" s="1"/>
  <c r="Y509" i="17" s="1"/>
  <c r="H743" i="20" l="1"/>
  <c r="R510" i="17"/>
  <c r="AD509" i="17"/>
  <c r="D490" i="21" s="1"/>
  <c r="H740" i="17"/>
  <c r="J740" i="17" s="1"/>
  <c r="U700" i="19"/>
  <c r="G565" i="18"/>
  <c r="I565" i="18"/>
  <c r="J565" i="18"/>
  <c r="U507" i="20"/>
  <c r="X507" i="20" s="1"/>
  <c r="J743" i="20" l="1"/>
  <c r="E566" i="18"/>
  <c r="AA565" i="19"/>
  <c r="AD565" i="19" s="1"/>
  <c r="E546" i="21" s="1"/>
  <c r="AA565" i="17"/>
  <c r="AA565" i="20"/>
  <c r="U510" i="17"/>
  <c r="L740" i="17"/>
  <c r="F741" i="17" s="1"/>
  <c r="Y507" i="20"/>
  <c r="X700" i="19"/>
  <c r="Y700" i="19" s="1"/>
  <c r="R701" i="19" s="1"/>
  <c r="K740" i="17"/>
  <c r="U701" i="19" l="1"/>
  <c r="X701" i="19"/>
  <c r="Y701" i="19"/>
  <c r="R702" i="19" s="1"/>
  <c r="L743" i="20"/>
  <c r="F744" i="20" s="1"/>
  <c r="K741" i="17"/>
  <c r="H741" i="17"/>
  <c r="L741" i="17" s="1"/>
  <c r="F742" i="17" s="1"/>
  <c r="X510" i="17"/>
  <c r="Y510" i="17" s="1"/>
  <c r="G566" i="18"/>
  <c r="H566" i="18"/>
  <c r="K743" i="20"/>
  <c r="R508" i="20"/>
  <c r="AD507" i="20"/>
  <c r="F488" i="21" s="1"/>
  <c r="H742" i="17" l="1"/>
  <c r="K742" i="17" s="1"/>
  <c r="R511" i="17"/>
  <c r="AD510" i="17"/>
  <c r="D491" i="21" s="1"/>
  <c r="U508" i="20"/>
  <c r="H744" i="20"/>
  <c r="K744" i="20" s="1"/>
  <c r="U702" i="19"/>
  <c r="X702" i="19" s="1"/>
  <c r="Y702" i="19" s="1"/>
  <c r="R703" i="19" s="1"/>
  <c r="I566" i="18"/>
  <c r="J566" i="18" s="1"/>
  <c r="U703" i="19" l="1"/>
  <c r="Y703" i="19" s="1"/>
  <c r="R704" i="19" s="1"/>
  <c r="X703" i="19"/>
  <c r="E567" i="18"/>
  <c r="AA566" i="20"/>
  <c r="AA566" i="19"/>
  <c r="AD566" i="19" s="1"/>
  <c r="E547" i="21" s="1"/>
  <c r="AA566" i="17"/>
  <c r="U511" i="17"/>
  <c r="L744" i="20"/>
  <c r="F745" i="20" s="1"/>
  <c r="X508" i="20"/>
  <c r="Y508" i="20" s="1"/>
  <c r="L742" i="17"/>
  <c r="F743" i="17" s="1"/>
  <c r="R509" i="20" l="1"/>
  <c r="AD508" i="20"/>
  <c r="F489" i="21" s="1"/>
  <c r="U704" i="19"/>
  <c r="Y704" i="19" s="1"/>
  <c r="R705" i="19" s="1"/>
  <c r="X704" i="19"/>
  <c r="H745" i="20"/>
  <c r="X511" i="17"/>
  <c r="Y511" i="17" s="1"/>
  <c r="H743" i="17"/>
  <c r="J743" i="17" s="1"/>
  <c r="G567" i="18"/>
  <c r="I567" i="18" s="1"/>
  <c r="R512" i="17" l="1"/>
  <c r="AD511" i="17"/>
  <c r="D492" i="21" s="1"/>
  <c r="U705" i="19"/>
  <c r="K743" i="17"/>
  <c r="L743" i="17" s="1"/>
  <c r="F744" i="17" s="1"/>
  <c r="J567" i="18"/>
  <c r="K745" i="20"/>
  <c r="L745" i="20" s="1"/>
  <c r="F746" i="20" s="1"/>
  <c r="X509" i="20"/>
  <c r="Y509" i="20" s="1"/>
  <c r="U509" i="20"/>
  <c r="H746" i="20" l="1"/>
  <c r="K744" i="17"/>
  <c r="H744" i="17"/>
  <c r="L744" i="17" s="1"/>
  <c r="F745" i="17" s="1"/>
  <c r="R510" i="20"/>
  <c r="AD509" i="20"/>
  <c r="F490" i="21" s="1"/>
  <c r="X705" i="19"/>
  <c r="Y705" i="19" s="1"/>
  <c r="R706" i="19" s="1"/>
  <c r="AA567" i="20"/>
  <c r="E568" i="18"/>
  <c r="AA567" i="19"/>
  <c r="AD567" i="19" s="1"/>
  <c r="E548" i="21" s="1"/>
  <c r="AA567" i="17"/>
  <c r="U512" i="17"/>
  <c r="H745" i="17" l="1"/>
  <c r="K745" i="17" s="1"/>
  <c r="U706" i="19"/>
  <c r="J746" i="20"/>
  <c r="K746" i="20" s="1"/>
  <c r="L746" i="20" s="1"/>
  <c r="F747" i="20" s="1"/>
  <c r="X512" i="17"/>
  <c r="Y512" i="17" s="1"/>
  <c r="U510" i="20"/>
  <c r="I568" i="18"/>
  <c r="J568" i="18" s="1"/>
  <c r="G568" i="18"/>
  <c r="AA568" i="17" l="1"/>
  <c r="AA568" i="20"/>
  <c r="E569" i="18"/>
  <c r="AA568" i="19"/>
  <c r="AD568" i="19" s="1"/>
  <c r="E549" i="21" s="1"/>
  <c r="Y510" i="20"/>
  <c r="R513" i="17"/>
  <c r="AD512" i="17"/>
  <c r="D493" i="21" s="1"/>
  <c r="H747" i="20"/>
  <c r="K747" i="20" s="1"/>
  <c r="L747" i="20" s="1"/>
  <c r="F748" i="20" s="1"/>
  <c r="X706" i="19"/>
  <c r="Y706" i="19" s="1"/>
  <c r="R707" i="19" s="1"/>
  <c r="X510" i="20"/>
  <c r="L745" i="17"/>
  <c r="F746" i="17" s="1"/>
  <c r="U707" i="19" l="1"/>
  <c r="X707" i="19"/>
  <c r="Y707" i="19"/>
  <c r="R708" i="19" s="1"/>
  <c r="H748" i="20"/>
  <c r="R511" i="20"/>
  <c r="AD510" i="20"/>
  <c r="F491" i="21" s="1"/>
  <c r="G569" i="18"/>
  <c r="I569" i="18"/>
  <c r="H569" i="18"/>
  <c r="J569" i="18"/>
  <c r="H746" i="17"/>
  <c r="J746" i="17" s="1"/>
  <c r="X513" i="17"/>
  <c r="U513" i="17"/>
  <c r="Y513" i="17" s="1"/>
  <c r="R514" i="17" l="1"/>
  <c r="AD513" i="17"/>
  <c r="D494" i="21" s="1"/>
  <c r="K748" i="20"/>
  <c r="L748" i="20" s="1"/>
  <c r="F749" i="20" s="1"/>
  <c r="X708" i="19"/>
  <c r="Y708" i="19"/>
  <c r="R709" i="19" s="1"/>
  <c r="U708" i="19"/>
  <c r="E570" i="18"/>
  <c r="AA569" i="20"/>
  <c r="AA569" i="17"/>
  <c r="AA569" i="19"/>
  <c r="AD569" i="19" s="1"/>
  <c r="E550" i="21" s="1"/>
  <c r="K746" i="17"/>
  <c r="L746" i="17" s="1"/>
  <c r="F747" i="17" s="1"/>
  <c r="U511" i="20"/>
  <c r="X511" i="20" s="1"/>
  <c r="H747" i="17" l="1"/>
  <c r="K747" i="17" s="1"/>
  <c r="J749" i="20"/>
  <c r="K749" i="20" s="1"/>
  <c r="L749" i="20" s="1"/>
  <c r="F750" i="20" s="1"/>
  <c r="H749" i="20"/>
  <c r="U709" i="19"/>
  <c r="X709" i="19" s="1"/>
  <c r="Y511" i="20"/>
  <c r="U514" i="17"/>
  <c r="G570" i="18"/>
  <c r="J570" i="18" s="1"/>
  <c r="I570" i="18"/>
  <c r="H750" i="20" l="1"/>
  <c r="K750" i="20" s="1"/>
  <c r="AA570" i="20"/>
  <c r="AA570" i="19"/>
  <c r="AD570" i="19" s="1"/>
  <c r="E551" i="21" s="1"/>
  <c r="E571" i="18"/>
  <c r="AA570" i="17"/>
  <c r="R512" i="20"/>
  <c r="AD511" i="20"/>
  <c r="F492" i="21" s="1"/>
  <c r="X514" i="17"/>
  <c r="Y514" i="17" s="1"/>
  <c r="L747" i="17"/>
  <c r="F748" i="17" s="1"/>
  <c r="Y709" i="19"/>
  <c r="R710" i="19" s="1"/>
  <c r="R515" i="17" l="1"/>
  <c r="AD514" i="17"/>
  <c r="D495" i="21" s="1"/>
  <c r="H748" i="17"/>
  <c r="L750" i="20"/>
  <c r="F751" i="20" s="1"/>
  <c r="U512" i="20"/>
  <c r="X512" i="20" s="1"/>
  <c r="X710" i="19"/>
  <c r="U710" i="19"/>
  <c r="Y710" i="19" s="1"/>
  <c r="R711" i="19" s="1"/>
  <c r="G571" i="18"/>
  <c r="I571" i="18"/>
  <c r="J571" i="18"/>
  <c r="U711" i="19" l="1"/>
  <c r="X711" i="19"/>
  <c r="Y711" i="19"/>
  <c r="R712" i="19" s="1"/>
  <c r="AA571" i="20"/>
  <c r="AA571" i="19"/>
  <c r="AD571" i="19" s="1"/>
  <c r="E552" i="21" s="1"/>
  <c r="E572" i="18"/>
  <c r="AA571" i="17"/>
  <c r="K748" i="17"/>
  <c r="L748" i="17" s="1"/>
  <c r="F749" i="17" s="1"/>
  <c r="Y512" i="20"/>
  <c r="K751" i="20"/>
  <c r="L751" i="20"/>
  <c r="F752" i="20" s="1"/>
  <c r="H751" i="20"/>
  <c r="U515" i="17"/>
  <c r="X515" i="17" s="1"/>
  <c r="H749" i="17" l="1"/>
  <c r="H752" i="20"/>
  <c r="Y515" i="17"/>
  <c r="R513" i="20"/>
  <c r="AD512" i="20"/>
  <c r="F493" i="21" s="1"/>
  <c r="U712" i="19"/>
  <c r="Y712" i="19" s="1"/>
  <c r="R713" i="19" s="1"/>
  <c r="X712" i="19"/>
  <c r="H572" i="18"/>
  <c r="J572" i="18" s="1"/>
  <c r="G572" i="18"/>
  <c r="I572" i="18"/>
  <c r="U713" i="19" l="1"/>
  <c r="X713" i="19"/>
  <c r="Y713" i="19" s="1"/>
  <c r="R714" i="19" s="1"/>
  <c r="AA572" i="17"/>
  <c r="AA572" i="19"/>
  <c r="AD572" i="19" s="1"/>
  <c r="E553" i="21" s="1"/>
  <c r="AA572" i="20"/>
  <c r="E573" i="18"/>
  <c r="K749" i="17"/>
  <c r="U513" i="20"/>
  <c r="X513" i="20" s="1"/>
  <c r="R516" i="17"/>
  <c r="AD515" i="17"/>
  <c r="D496" i="21" s="1"/>
  <c r="J749" i="17"/>
  <c r="L749" i="17"/>
  <c r="F750" i="17" s="1"/>
  <c r="J752" i="20"/>
  <c r="U714" i="19" l="1"/>
  <c r="X714" i="19"/>
  <c r="Y714" i="19"/>
  <c r="R715" i="19" s="1"/>
  <c r="Y513" i="20"/>
  <c r="K752" i="20"/>
  <c r="L752" i="20" s="1"/>
  <c r="F753" i="20" s="1"/>
  <c r="H750" i="17"/>
  <c r="X516" i="17"/>
  <c r="U516" i="17"/>
  <c r="Y516" i="17" s="1"/>
  <c r="G573" i="18"/>
  <c r="I573" i="18"/>
  <c r="J573" i="18"/>
  <c r="H753" i="20" l="1"/>
  <c r="K753" i="20" s="1"/>
  <c r="R517" i="17"/>
  <c r="AD516" i="17"/>
  <c r="D497" i="21" s="1"/>
  <c r="E574" i="18"/>
  <c r="AA573" i="19"/>
  <c r="AD573" i="19" s="1"/>
  <c r="E554" i="21" s="1"/>
  <c r="AA573" i="17"/>
  <c r="AA573" i="20"/>
  <c r="R514" i="20"/>
  <c r="AD513" i="20"/>
  <c r="F494" i="21" s="1"/>
  <c r="U715" i="19"/>
  <c r="X715" i="19"/>
  <c r="Y715" i="19" s="1"/>
  <c r="R716" i="19" s="1"/>
  <c r="K750" i="17"/>
  <c r="L750" i="17" s="1"/>
  <c r="F751" i="17" s="1"/>
  <c r="U716" i="19" l="1"/>
  <c r="X716" i="19"/>
  <c r="Y716" i="19" s="1"/>
  <c r="R717" i="19" s="1"/>
  <c r="H751" i="17"/>
  <c r="K751" i="17" s="1"/>
  <c r="U514" i="20"/>
  <c r="L753" i="20"/>
  <c r="F754" i="20" s="1"/>
  <c r="U517" i="17"/>
  <c r="X517" i="17" s="1"/>
  <c r="G574" i="18"/>
  <c r="J574" i="18" s="1"/>
  <c r="I574" i="18"/>
  <c r="U717" i="19" l="1"/>
  <c r="X717" i="19"/>
  <c r="Y717" i="19" s="1"/>
  <c r="R718" i="19" s="1"/>
  <c r="AA574" i="19"/>
  <c r="AD574" i="19" s="1"/>
  <c r="E555" i="21" s="1"/>
  <c r="AA574" i="20"/>
  <c r="AA574" i="17"/>
  <c r="E575" i="18"/>
  <c r="H754" i="20"/>
  <c r="K754" i="20" s="1"/>
  <c r="L751" i="17"/>
  <c r="F752" i="17" s="1"/>
  <c r="Y517" i="17"/>
  <c r="X514" i="20"/>
  <c r="Y514" i="20" s="1"/>
  <c r="U718" i="19" l="1"/>
  <c r="R515" i="20"/>
  <c r="AD514" i="20"/>
  <c r="F495" i="21" s="1"/>
  <c r="L754" i="20"/>
  <c r="F755" i="20" s="1"/>
  <c r="G575" i="18"/>
  <c r="I575" i="18" s="1"/>
  <c r="H752" i="17"/>
  <c r="J752" i="17" s="1"/>
  <c r="R518" i="17"/>
  <c r="AD517" i="17"/>
  <c r="D498" i="21" s="1"/>
  <c r="U518" i="17" l="1"/>
  <c r="U515" i="20"/>
  <c r="X515" i="20" s="1"/>
  <c r="Y515" i="20" s="1"/>
  <c r="K752" i="17"/>
  <c r="L752" i="17" s="1"/>
  <c r="F753" i="17" s="1"/>
  <c r="X718" i="19"/>
  <c r="Y718" i="19" s="1"/>
  <c r="R719" i="19" s="1"/>
  <c r="H575" i="18"/>
  <c r="J575" i="18" s="1"/>
  <c r="H755" i="20"/>
  <c r="J755" i="20" s="1"/>
  <c r="K755" i="20" s="1"/>
  <c r="R516" i="20" l="1"/>
  <c r="AD515" i="20"/>
  <c r="F496" i="21" s="1"/>
  <c r="U719" i="19"/>
  <c r="Y719" i="19" s="1"/>
  <c r="R720" i="19" s="1"/>
  <c r="X719" i="19"/>
  <c r="K753" i="17"/>
  <c r="H753" i="17"/>
  <c r="L753" i="17" s="1"/>
  <c r="F754" i="17" s="1"/>
  <c r="Y518" i="17"/>
  <c r="AA575" i="17"/>
  <c r="E576" i="18"/>
  <c r="AA575" i="19"/>
  <c r="AD575" i="19" s="1"/>
  <c r="E556" i="21" s="1"/>
  <c r="AA575" i="20"/>
  <c r="X518" i="17"/>
  <c r="L755" i="20"/>
  <c r="H754" i="17" l="1"/>
  <c r="U720" i="19"/>
  <c r="X720" i="19" s="1"/>
  <c r="Y720" i="19" s="1"/>
  <c r="R721" i="19" s="1"/>
  <c r="R519" i="17"/>
  <c r="AD518" i="17"/>
  <c r="D499" i="21" s="1"/>
  <c r="G576" i="18"/>
  <c r="J576" i="18" s="1"/>
  <c r="I576" i="18"/>
  <c r="U516" i="20"/>
  <c r="U721" i="19" l="1"/>
  <c r="X721" i="19"/>
  <c r="Y721" i="19"/>
  <c r="R722" i="19" s="1"/>
  <c r="AA576" i="19"/>
  <c r="AD576" i="19" s="1"/>
  <c r="E557" i="21" s="1"/>
  <c r="E577" i="18"/>
  <c r="AA576" i="20"/>
  <c r="AA576" i="17"/>
  <c r="L754" i="17"/>
  <c r="F755" i="17" s="1"/>
  <c r="K754" i="17"/>
  <c r="X516" i="20"/>
  <c r="Y516" i="20" s="1"/>
  <c r="X519" i="17"/>
  <c r="U519" i="17"/>
  <c r="Y519" i="17" s="1"/>
  <c r="R520" i="17" l="1"/>
  <c r="AD519" i="17"/>
  <c r="D500" i="21" s="1"/>
  <c r="R517" i="20"/>
  <c r="AD516" i="20"/>
  <c r="F497" i="21" s="1"/>
  <c r="J755" i="17"/>
  <c r="K755" i="17" s="1"/>
  <c r="H755" i="17"/>
  <c r="G577" i="18"/>
  <c r="U722" i="19"/>
  <c r="X722" i="19"/>
  <c r="Y722" i="19"/>
  <c r="R723" i="19" s="1"/>
  <c r="L755" i="17" l="1"/>
  <c r="I577" i="18"/>
  <c r="J577" i="18" s="1"/>
  <c r="U517" i="20"/>
  <c r="U723" i="19"/>
  <c r="Y723" i="19" s="1"/>
  <c r="R724" i="19" s="1"/>
  <c r="X723" i="19"/>
  <c r="U520" i="17"/>
  <c r="U724" i="19" l="1"/>
  <c r="X724" i="19" s="1"/>
  <c r="Y724" i="19" s="1"/>
  <c r="R725" i="19" s="1"/>
  <c r="E578" i="18"/>
  <c r="AA577" i="19"/>
  <c r="AD577" i="19" s="1"/>
  <c r="E558" i="21" s="1"/>
  <c r="AA577" i="17"/>
  <c r="AA577" i="20"/>
  <c r="X520" i="17"/>
  <c r="Y520" i="17" s="1"/>
  <c r="X517" i="20"/>
  <c r="Y517" i="20" s="1"/>
  <c r="R521" i="17" l="1"/>
  <c r="AD520" i="17"/>
  <c r="D501" i="21" s="1"/>
  <c r="R518" i="20"/>
  <c r="AD517" i="20"/>
  <c r="F498" i="21" s="1"/>
  <c r="U725" i="19"/>
  <c r="X725" i="19" s="1"/>
  <c r="G578" i="18"/>
  <c r="H578" i="18"/>
  <c r="I578" i="18"/>
  <c r="J578" i="18"/>
  <c r="Y725" i="19" l="1"/>
  <c r="R726" i="19" s="1"/>
  <c r="AA578" i="20"/>
  <c r="AA578" i="19"/>
  <c r="AD578" i="19" s="1"/>
  <c r="E559" i="21" s="1"/>
  <c r="E579" i="18"/>
  <c r="AA578" i="17"/>
  <c r="X518" i="20"/>
  <c r="Y518" i="20"/>
  <c r="U518" i="20"/>
  <c r="U521" i="17"/>
  <c r="X521" i="17" s="1"/>
  <c r="U726" i="19" l="1"/>
  <c r="X726" i="19"/>
  <c r="Y726" i="19" s="1"/>
  <c r="R727" i="19" s="1"/>
  <c r="R519" i="20"/>
  <c r="AD518" i="20"/>
  <c r="F499" i="21" s="1"/>
  <c r="Y521" i="17"/>
  <c r="G579" i="18"/>
  <c r="I579" i="18"/>
  <c r="J579" i="18"/>
  <c r="U727" i="19" l="1"/>
  <c r="X727" i="19"/>
  <c r="Y727" i="19" s="1"/>
  <c r="R728" i="19" s="1"/>
  <c r="AA579" i="17"/>
  <c r="AA579" i="20"/>
  <c r="E580" i="18"/>
  <c r="AA579" i="19"/>
  <c r="AD579" i="19" s="1"/>
  <c r="E560" i="21" s="1"/>
  <c r="U519" i="20"/>
  <c r="X519" i="20" s="1"/>
  <c r="R522" i="17"/>
  <c r="AD521" i="17"/>
  <c r="D502" i="21" s="1"/>
  <c r="U728" i="19" l="1"/>
  <c r="X728" i="19"/>
  <c r="Y728" i="19"/>
  <c r="R729" i="19" s="1"/>
  <c r="G580" i="18"/>
  <c r="I580" i="18"/>
  <c r="J580" i="18"/>
  <c r="Y519" i="20"/>
  <c r="U522" i="17"/>
  <c r="X522" i="17" l="1"/>
  <c r="Y522" i="17" s="1"/>
  <c r="AA580" i="20"/>
  <c r="AA580" i="17"/>
  <c r="E581" i="18"/>
  <c r="AA580" i="19"/>
  <c r="AD580" i="19" s="1"/>
  <c r="E561" i="21" s="1"/>
  <c r="U729" i="19"/>
  <c r="X729" i="19"/>
  <c r="Y729" i="19"/>
  <c r="R730" i="19" s="1"/>
  <c r="R520" i="20"/>
  <c r="AD519" i="20"/>
  <c r="F500" i="21" s="1"/>
  <c r="R523" i="17" l="1"/>
  <c r="AD522" i="17"/>
  <c r="D503" i="21" s="1"/>
  <c r="U730" i="19"/>
  <c r="X730" i="19"/>
  <c r="Y730" i="19" s="1"/>
  <c r="R731" i="19" s="1"/>
  <c r="G581" i="18"/>
  <c r="H581" i="18" s="1"/>
  <c r="I581" i="18"/>
  <c r="X520" i="20"/>
  <c r="Y520" i="20"/>
  <c r="U520" i="20"/>
  <c r="U731" i="19" l="1"/>
  <c r="Y731" i="19" s="1"/>
  <c r="R732" i="19" s="1"/>
  <c r="X731" i="19"/>
  <c r="R521" i="20"/>
  <c r="AD520" i="20"/>
  <c r="F501" i="21" s="1"/>
  <c r="J581" i="18"/>
  <c r="U523" i="17"/>
  <c r="X523" i="17" s="1"/>
  <c r="U732" i="19" l="1"/>
  <c r="X732" i="19"/>
  <c r="Y732" i="19" s="1"/>
  <c r="R733" i="19" s="1"/>
  <c r="E582" i="18"/>
  <c r="AA581" i="17"/>
  <c r="AA581" i="20"/>
  <c r="AA581" i="19"/>
  <c r="AD581" i="19" s="1"/>
  <c r="E562" i="21" s="1"/>
  <c r="Y523" i="17"/>
  <c r="U521" i="20"/>
  <c r="X521" i="20" s="1"/>
  <c r="U733" i="19" l="1"/>
  <c r="X733" i="19"/>
  <c r="Y733" i="19"/>
  <c r="R734" i="19" s="1"/>
  <c r="Y521" i="20"/>
  <c r="R524" i="17"/>
  <c r="AD523" i="17"/>
  <c r="D504" i="21" s="1"/>
  <c r="G582" i="18"/>
  <c r="I582" i="18"/>
  <c r="J582" i="18"/>
  <c r="U524" i="17" l="1"/>
  <c r="X524" i="17" s="1"/>
  <c r="U734" i="19"/>
  <c r="X734" i="19" s="1"/>
  <c r="Y734" i="19" s="1"/>
  <c r="R735" i="19" s="1"/>
  <c r="R522" i="20"/>
  <c r="AD521" i="20"/>
  <c r="F502" i="21" s="1"/>
  <c r="AA582" i="19"/>
  <c r="AD582" i="19" s="1"/>
  <c r="E563" i="21" s="1"/>
  <c r="AA582" i="20"/>
  <c r="E583" i="18"/>
  <c r="AA582" i="17"/>
  <c r="U735" i="19" l="1"/>
  <c r="Y735" i="19" s="1"/>
  <c r="R736" i="19" s="1"/>
  <c r="X735" i="19"/>
  <c r="Y524" i="17"/>
  <c r="G583" i="18"/>
  <c r="I583" i="18" s="1"/>
  <c r="U522" i="20"/>
  <c r="X522" i="20" s="1"/>
  <c r="U736" i="19" l="1"/>
  <c r="X736" i="19"/>
  <c r="Y736" i="19" s="1"/>
  <c r="R737" i="19" s="1"/>
  <c r="R525" i="17"/>
  <c r="AD524" i="17"/>
  <c r="D505" i="21" s="1"/>
  <c r="J583" i="18"/>
  <c r="Y522" i="20"/>
  <c r="U737" i="19" l="1"/>
  <c r="X737" i="19" s="1"/>
  <c r="U525" i="17"/>
  <c r="X525" i="17" s="1"/>
  <c r="AA583" i="20"/>
  <c r="AA583" i="19"/>
  <c r="AD583" i="19" s="1"/>
  <c r="E564" i="21" s="1"/>
  <c r="E584" i="18"/>
  <c r="AA583" i="17"/>
  <c r="R523" i="20"/>
  <c r="AD522" i="20"/>
  <c r="F503" i="21" s="1"/>
  <c r="Y525" i="17" l="1"/>
  <c r="Y737" i="19"/>
  <c r="R738" i="19" s="1"/>
  <c r="U523" i="20"/>
  <c r="G584" i="18"/>
  <c r="I584" i="18"/>
  <c r="H584" i="18"/>
  <c r="J584" i="18"/>
  <c r="X523" i="20" l="1"/>
  <c r="Y523" i="20" s="1"/>
  <c r="U738" i="19"/>
  <c r="Y738" i="19" s="1"/>
  <c r="R739" i="19" s="1"/>
  <c r="X738" i="19"/>
  <c r="AA584" i="20"/>
  <c r="AA584" i="19"/>
  <c r="AD584" i="19" s="1"/>
  <c r="E565" i="21" s="1"/>
  <c r="AA584" i="17"/>
  <c r="E585" i="18"/>
  <c r="R526" i="17"/>
  <c r="AD525" i="17"/>
  <c r="D506" i="21" s="1"/>
  <c r="U739" i="19" l="1"/>
  <c r="X739" i="19" s="1"/>
  <c r="R524" i="20"/>
  <c r="AD523" i="20"/>
  <c r="F504" i="21" s="1"/>
  <c r="U526" i="17"/>
  <c r="G585" i="18"/>
  <c r="I585" i="18" s="1"/>
  <c r="U524" i="20" l="1"/>
  <c r="X524" i="20" s="1"/>
  <c r="X526" i="17"/>
  <c r="Y526" i="17" s="1"/>
  <c r="Y739" i="19"/>
  <c r="R740" i="19" s="1"/>
  <c r="J585" i="18"/>
  <c r="R527" i="17" l="1"/>
  <c r="AD526" i="17"/>
  <c r="D507" i="21" s="1"/>
  <c r="U740" i="19"/>
  <c r="X740" i="19"/>
  <c r="Y740" i="19"/>
  <c r="R741" i="19" s="1"/>
  <c r="Y524" i="20"/>
  <c r="AA585" i="17"/>
  <c r="E586" i="18"/>
  <c r="AA585" i="20"/>
  <c r="AA585" i="19"/>
  <c r="AD585" i="19" s="1"/>
  <c r="E566" i="21" s="1"/>
  <c r="R525" i="20" l="1"/>
  <c r="AD524" i="20"/>
  <c r="F505" i="21" s="1"/>
  <c r="U741" i="19"/>
  <c r="X741" i="19"/>
  <c r="Y741" i="19"/>
  <c r="R742" i="19" s="1"/>
  <c r="G586" i="18"/>
  <c r="I586" i="18" s="1"/>
  <c r="X527" i="17"/>
  <c r="Y527" i="17"/>
  <c r="U527" i="17"/>
  <c r="R528" i="17" l="1"/>
  <c r="AD527" i="17"/>
  <c r="D508" i="21" s="1"/>
  <c r="U742" i="19"/>
  <c r="X742" i="19" s="1"/>
  <c r="Y742" i="19" s="1"/>
  <c r="R743" i="19" s="1"/>
  <c r="U525" i="20"/>
  <c r="X525" i="20" s="1"/>
  <c r="Y525" i="20" s="1"/>
  <c r="J586" i="18"/>
  <c r="R526" i="20" l="1"/>
  <c r="AD525" i="20"/>
  <c r="F506" i="21" s="1"/>
  <c r="U743" i="19"/>
  <c r="AA586" i="17"/>
  <c r="AA586" i="19"/>
  <c r="AD586" i="19" s="1"/>
  <c r="E567" i="21" s="1"/>
  <c r="E587" i="18"/>
  <c r="AA586" i="20"/>
  <c r="U528" i="17"/>
  <c r="X528" i="17" s="1"/>
  <c r="X743" i="19" l="1"/>
  <c r="Y743" i="19" s="1"/>
  <c r="R744" i="19" s="1"/>
  <c r="Y528" i="17"/>
  <c r="G587" i="18"/>
  <c r="H587" i="18" s="1"/>
  <c r="U526" i="20"/>
  <c r="U744" i="19" l="1"/>
  <c r="X526" i="20"/>
  <c r="Y526" i="20" s="1"/>
  <c r="R529" i="17"/>
  <c r="AD528" i="17"/>
  <c r="D509" i="21" s="1"/>
  <c r="I587" i="18"/>
  <c r="J587" i="18" s="1"/>
  <c r="AA587" i="17" l="1"/>
  <c r="E588" i="18"/>
  <c r="AA587" i="19"/>
  <c r="AD587" i="19" s="1"/>
  <c r="E568" i="21" s="1"/>
  <c r="AA587" i="20"/>
  <c r="R527" i="20"/>
  <c r="AD526" i="20"/>
  <c r="F507" i="21" s="1"/>
  <c r="U529" i="17"/>
  <c r="X744" i="19"/>
  <c r="Y744" i="19" s="1"/>
  <c r="R745" i="19" s="1"/>
  <c r="U745" i="19" l="1"/>
  <c r="X745" i="19" s="1"/>
  <c r="X529" i="17"/>
  <c r="Y529" i="17" s="1"/>
  <c r="G588" i="18"/>
  <c r="I588" i="18" s="1"/>
  <c r="U527" i="20"/>
  <c r="X527" i="20" s="1"/>
  <c r="R530" i="17" l="1"/>
  <c r="AD529" i="17"/>
  <c r="D510" i="21" s="1"/>
  <c r="Y527" i="20"/>
  <c r="J588" i="18"/>
  <c r="Y745" i="19"/>
  <c r="R746" i="19" s="1"/>
  <c r="U746" i="19" l="1"/>
  <c r="X746" i="19"/>
  <c r="Y746" i="19" s="1"/>
  <c r="R747" i="19" s="1"/>
  <c r="R528" i="20"/>
  <c r="AD527" i="20"/>
  <c r="F508" i="21" s="1"/>
  <c r="AA588" i="19"/>
  <c r="AD588" i="19" s="1"/>
  <c r="AA588" i="20"/>
  <c r="AA588" i="17"/>
  <c r="E589" i="18"/>
  <c r="U530" i="17"/>
  <c r="X530" i="17" s="1"/>
  <c r="U747" i="19" l="1"/>
  <c r="X747" i="19"/>
  <c r="Y747" i="19"/>
  <c r="R748" i="19" s="1"/>
  <c r="G589" i="18"/>
  <c r="I589" i="18"/>
  <c r="J589" i="18"/>
  <c r="Y530" i="17"/>
  <c r="U528" i="20"/>
  <c r="X528" i="20" s="1"/>
  <c r="AA589" i="19" l="1"/>
  <c r="AD589" i="19" s="1"/>
  <c r="E590" i="18"/>
  <c r="AA589" i="17"/>
  <c r="AA589" i="20"/>
  <c r="Y528" i="20"/>
  <c r="U748" i="19"/>
  <c r="X748" i="19" s="1"/>
  <c r="R531" i="17"/>
  <c r="AD530" i="17"/>
  <c r="D511" i="21" s="1"/>
  <c r="U531" i="17" l="1"/>
  <c r="X531" i="17" s="1"/>
  <c r="R529" i="20"/>
  <c r="AD528" i="20"/>
  <c r="F509" i="21" s="1"/>
  <c r="G590" i="18"/>
  <c r="H590" i="18"/>
  <c r="I590" i="18"/>
  <c r="J590" i="18"/>
  <c r="Y748" i="19"/>
  <c r="R749" i="19" s="1"/>
  <c r="U529" i="20" l="1"/>
  <c r="X529" i="20" s="1"/>
  <c r="Y531" i="17"/>
  <c r="X749" i="19"/>
  <c r="Y749" i="19" s="1"/>
  <c r="R750" i="19" s="1"/>
  <c r="U749" i="19"/>
  <c r="AA590" i="17"/>
  <c r="AA590" i="20"/>
  <c r="AA590" i="19"/>
  <c r="AD590" i="19" s="1"/>
  <c r="E591" i="18"/>
  <c r="U750" i="19" l="1"/>
  <c r="Y750" i="19" s="1"/>
  <c r="R751" i="19" s="1"/>
  <c r="X750" i="19"/>
  <c r="G591" i="18"/>
  <c r="I591" i="18"/>
  <c r="J591" i="18"/>
  <c r="R532" i="17"/>
  <c r="AD531" i="17"/>
  <c r="D512" i="21" s="1"/>
  <c r="Y529" i="20"/>
  <c r="U751" i="19" l="1"/>
  <c r="AA591" i="20"/>
  <c r="E592" i="18"/>
  <c r="AA591" i="19"/>
  <c r="AD591" i="19" s="1"/>
  <c r="AA591" i="17"/>
  <c r="R530" i="20"/>
  <c r="AD529" i="20"/>
  <c r="F510" i="21" s="1"/>
  <c r="U532" i="17"/>
  <c r="X532" i="17" s="1"/>
  <c r="X751" i="19" l="1"/>
  <c r="Y751" i="19" s="1"/>
  <c r="R752" i="19" s="1"/>
  <c r="Y532" i="17"/>
  <c r="G592" i="18"/>
  <c r="U530" i="20"/>
  <c r="U752" i="19" l="1"/>
  <c r="Y752" i="19"/>
  <c r="R753" i="19" s="1"/>
  <c r="X752" i="19"/>
  <c r="I592" i="18"/>
  <c r="J592" i="18" s="1"/>
  <c r="R533" i="17"/>
  <c r="AD532" i="17"/>
  <c r="D513" i="21" s="1"/>
  <c r="X530" i="20"/>
  <c r="Y530" i="20" s="1"/>
  <c r="AA592" i="19" l="1"/>
  <c r="AD592" i="19" s="1"/>
  <c r="E593" i="18"/>
  <c r="AA592" i="20"/>
  <c r="AA592" i="17"/>
  <c r="R531" i="20"/>
  <c r="AD530" i="20"/>
  <c r="F511" i="21" s="1"/>
  <c r="U753" i="19"/>
  <c r="X753" i="19"/>
  <c r="Y753" i="19"/>
  <c r="R754" i="19" s="1"/>
  <c r="U533" i="17"/>
  <c r="X533" i="17" s="1"/>
  <c r="G593" i="18" l="1"/>
  <c r="H593" i="18" s="1"/>
  <c r="J593" i="18" s="1"/>
  <c r="I593" i="18"/>
  <c r="Y533" i="17"/>
  <c r="U531" i="20"/>
  <c r="X531" i="20" s="1"/>
  <c r="U754" i="19"/>
  <c r="Y754" i="19" s="1"/>
  <c r="R755" i="19" s="1"/>
  <c r="X754" i="19"/>
  <c r="U755" i="19" l="1"/>
  <c r="X755" i="19" s="1"/>
  <c r="AA593" i="20"/>
  <c r="E594" i="18"/>
  <c r="AA593" i="17"/>
  <c r="AA593" i="19"/>
  <c r="AD593" i="19" s="1"/>
  <c r="Y531" i="20"/>
  <c r="R534" i="17"/>
  <c r="AD533" i="17"/>
  <c r="D514" i="21" s="1"/>
  <c r="G594" i="18" l="1"/>
  <c r="R532" i="20"/>
  <c r="AD531" i="20"/>
  <c r="F512" i="21" s="1"/>
  <c r="Y755" i="19"/>
  <c r="U534" i="17"/>
  <c r="J594" i="18" l="1"/>
  <c r="X534" i="17"/>
  <c r="Y534" i="17" s="1"/>
  <c r="U532" i="20"/>
  <c r="X532" i="20" s="1"/>
  <c r="I594" i="18"/>
  <c r="R535" i="17" l="1"/>
  <c r="AD534" i="17"/>
  <c r="D515" i="21" s="1"/>
  <c r="AA594" i="19"/>
  <c r="AD594" i="19" s="1"/>
  <c r="E595" i="18"/>
  <c r="AA594" i="20"/>
  <c r="AA594" i="17"/>
  <c r="Y532" i="20"/>
  <c r="G595" i="18" l="1"/>
  <c r="R533" i="20"/>
  <c r="AD532" i="20"/>
  <c r="F513" i="21" s="1"/>
  <c r="U535" i="17"/>
  <c r="X535" i="17" s="1"/>
  <c r="I595" i="18" l="1"/>
  <c r="J595" i="18" s="1"/>
  <c r="U533" i="20"/>
  <c r="X533" i="20" s="1"/>
  <c r="Y535" i="17"/>
  <c r="AA595" i="20" l="1"/>
  <c r="AA595" i="17"/>
  <c r="E596" i="18"/>
  <c r="AA595" i="19"/>
  <c r="AD595" i="19" s="1"/>
  <c r="R536" i="17"/>
  <c r="AD535" i="17"/>
  <c r="D516" i="21" s="1"/>
  <c r="Y533" i="20"/>
  <c r="U536" i="17" l="1"/>
  <c r="X536" i="17" s="1"/>
  <c r="I596" i="18"/>
  <c r="J596" i="18"/>
  <c r="G596" i="18"/>
  <c r="H596" i="18"/>
  <c r="R534" i="20"/>
  <c r="AD533" i="20"/>
  <c r="F514" i="21" s="1"/>
  <c r="AA596" i="17" l="1"/>
  <c r="AA596" i="20"/>
  <c r="AA596" i="19"/>
  <c r="AD596" i="19" s="1"/>
  <c r="E597" i="18"/>
  <c r="Y536" i="17"/>
  <c r="U534" i="20"/>
  <c r="X534" i="20" s="1"/>
  <c r="Y534" i="20" s="1"/>
  <c r="R535" i="20" l="1"/>
  <c r="AD534" i="20"/>
  <c r="F515" i="21" s="1"/>
  <c r="R537" i="17"/>
  <c r="AD536" i="17"/>
  <c r="D517" i="21" s="1"/>
  <c r="G597" i="18"/>
  <c r="I597" i="18" s="1"/>
  <c r="J597" i="18" l="1"/>
  <c r="U537" i="17"/>
  <c r="X537" i="17" s="1"/>
  <c r="X535" i="20"/>
  <c r="Y535" i="20" s="1"/>
  <c r="U535" i="20"/>
  <c r="R536" i="20" l="1"/>
  <c r="AD535" i="20"/>
  <c r="F516" i="21" s="1"/>
  <c r="Y537" i="17"/>
  <c r="AA597" i="20"/>
  <c r="E598" i="18"/>
  <c r="AA597" i="19"/>
  <c r="AD597" i="19" s="1"/>
  <c r="AA597" i="17"/>
  <c r="G598" i="18" l="1"/>
  <c r="I598" i="18"/>
  <c r="J598" i="18" s="1"/>
  <c r="R538" i="17"/>
  <c r="AD537" i="17"/>
  <c r="D518" i="21" s="1"/>
  <c r="U536" i="20"/>
  <c r="AA598" i="19" l="1"/>
  <c r="AD598" i="19" s="1"/>
  <c r="E599" i="18"/>
  <c r="AA598" i="17"/>
  <c r="AA598" i="20"/>
  <c r="X538" i="17"/>
  <c r="U538" i="17"/>
  <c r="Y538" i="17" s="1"/>
  <c r="X536" i="20"/>
  <c r="Y536" i="20" s="1"/>
  <c r="R539" i="17" l="1"/>
  <c r="AD538" i="17"/>
  <c r="D519" i="21" s="1"/>
  <c r="R537" i="20"/>
  <c r="AD536" i="20"/>
  <c r="F517" i="21" s="1"/>
  <c r="I599" i="18"/>
  <c r="J599" i="18"/>
  <c r="G599" i="18"/>
  <c r="H599" i="18"/>
  <c r="E600" i="18" l="1"/>
  <c r="AA599" i="17"/>
  <c r="AA599" i="20"/>
  <c r="AA599" i="19"/>
  <c r="AD599" i="19" s="1"/>
  <c r="X537" i="20"/>
  <c r="Y537" i="20" s="1"/>
  <c r="U537" i="20"/>
  <c r="U539" i="17"/>
  <c r="X539" i="17" s="1"/>
  <c r="R538" i="20" l="1"/>
  <c r="AD537" i="20"/>
  <c r="F518" i="21" s="1"/>
  <c r="Y539" i="17"/>
  <c r="G600" i="18"/>
  <c r="I600" i="18" s="1"/>
  <c r="R540" i="17" l="1"/>
  <c r="AD539" i="17"/>
  <c r="D520" i="21" s="1"/>
  <c r="J600" i="18"/>
  <c r="U538" i="20"/>
  <c r="X538" i="20" l="1"/>
  <c r="Y538" i="20" s="1"/>
  <c r="AA600" i="17"/>
  <c r="AA600" i="20"/>
  <c r="AA600" i="19"/>
  <c r="AD600" i="19" s="1"/>
  <c r="E601" i="18"/>
  <c r="U540" i="17"/>
  <c r="X540" i="17" s="1"/>
  <c r="R539" i="20" l="1"/>
  <c r="AD538" i="20"/>
  <c r="F519" i="21" s="1"/>
  <c r="G601" i="18"/>
  <c r="I601" i="18" s="1"/>
  <c r="J601" i="18" s="1"/>
  <c r="Y540" i="17"/>
  <c r="AA601" i="19" l="1"/>
  <c r="AD601" i="19" s="1"/>
  <c r="AA601" i="17"/>
  <c r="E602" i="18"/>
  <c r="AA601" i="20"/>
  <c r="R541" i="17"/>
  <c r="AD540" i="17"/>
  <c r="D521" i="21" s="1"/>
  <c r="U539" i="20"/>
  <c r="X539" i="20" s="1"/>
  <c r="U541" i="17" l="1"/>
  <c r="X541" i="17" s="1"/>
  <c r="G602" i="18"/>
  <c r="H602" i="18" s="1"/>
  <c r="Y539" i="20"/>
  <c r="R540" i="20" l="1"/>
  <c r="AD539" i="20"/>
  <c r="F520" i="21" s="1"/>
  <c r="I602" i="18"/>
  <c r="J602" i="18" s="1"/>
  <c r="Y541" i="17"/>
  <c r="AA602" i="17" l="1"/>
  <c r="E603" i="18"/>
  <c r="AA602" i="19"/>
  <c r="AD602" i="19" s="1"/>
  <c r="AA602" i="20"/>
  <c r="R542" i="17"/>
  <c r="AD541" i="17"/>
  <c r="D522" i="21" s="1"/>
  <c r="U540" i="20"/>
  <c r="X540" i="20" s="1"/>
  <c r="G603" i="18" l="1"/>
  <c r="J603" i="18" s="1"/>
  <c r="I603" i="18"/>
  <c r="X542" i="17"/>
  <c r="Y542" i="17" s="1"/>
  <c r="U542" i="17"/>
  <c r="Y540" i="20"/>
  <c r="R543" i="17" l="1"/>
  <c r="AD542" i="17"/>
  <c r="D523" i="21" s="1"/>
  <c r="AA603" i="20"/>
  <c r="AA603" i="17"/>
  <c r="AA603" i="19"/>
  <c r="AD603" i="19" s="1"/>
  <c r="E604" i="18"/>
  <c r="R541" i="20"/>
  <c r="AD540" i="20"/>
  <c r="F521" i="21" s="1"/>
  <c r="G604" i="18" l="1"/>
  <c r="X541" i="20"/>
  <c r="U541" i="20"/>
  <c r="Y541" i="20" s="1"/>
  <c r="U543" i="17"/>
  <c r="X543" i="17" s="1"/>
  <c r="R542" i="20" l="1"/>
  <c r="AD541" i="20"/>
  <c r="F522" i="21" s="1"/>
  <c r="Y543" i="17"/>
  <c r="I604" i="18"/>
  <c r="J604" i="18" s="1"/>
  <c r="AA604" i="20" l="1"/>
  <c r="AA604" i="19"/>
  <c r="AD604" i="19" s="1"/>
  <c r="AA604" i="17"/>
  <c r="E605" i="18"/>
  <c r="R544" i="17"/>
  <c r="AD543" i="17"/>
  <c r="D524" i="21" s="1"/>
  <c r="U542" i="20"/>
  <c r="U544" i="17" l="1"/>
  <c r="X544" i="17" s="1"/>
  <c r="G605" i="18"/>
  <c r="I605" i="18" s="1"/>
  <c r="X542" i="20"/>
  <c r="Y542" i="20" s="1"/>
  <c r="R543" i="20" l="1"/>
  <c r="AD542" i="20"/>
  <c r="F523" i="21" s="1"/>
  <c r="H605" i="18"/>
  <c r="Y544" i="17"/>
  <c r="J605" i="18"/>
  <c r="R545" i="17" l="1"/>
  <c r="AD544" i="17"/>
  <c r="D525" i="21" s="1"/>
  <c r="AA605" i="17"/>
  <c r="E606" i="18"/>
  <c r="AA605" i="20"/>
  <c r="AA605" i="19"/>
  <c r="AD605" i="19" s="1"/>
  <c r="U543" i="20"/>
  <c r="X543" i="20" s="1"/>
  <c r="G606" i="18" l="1"/>
  <c r="I606" i="18" s="1"/>
  <c r="J606" i="18" s="1"/>
  <c r="Y543" i="20"/>
  <c r="U545" i="17"/>
  <c r="X545" i="17" s="1"/>
  <c r="AA606" i="17" l="1"/>
  <c r="E607" i="18"/>
  <c r="AA606" i="19"/>
  <c r="AD606" i="19" s="1"/>
  <c r="AA606" i="20"/>
  <c r="R544" i="20"/>
  <c r="AD543" i="20"/>
  <c r="F524" i="21" s="1"/>
  <c r="Y545" i="17"/>
  <c r="U544" i="20" l="1"/>
  <c r="X544" i="20" s="1"/>
  <c r="G607" i="18"/>
  <c r="J607" i="18" s="1"/>
  <c r="I607" i="18"/>
  <c r="R546" i="17"/>
  <c r="AD545" i="17"/>
  <c r="D526" i="21" s="1"/>
  <c r="AA607" i="17" l="1"/>
  <c r="AA607" i="20"/>
  <c r="E608" i="18"/>
  <c r="AA607" i="19"/>
  <c r="AD607" i="19" s="1"/>
  <c r="X546" i="17"/>
  <c r="Y546" i="17" s="1"/>
  <c r="U546" i="17"/>
  <c r="Y544" i="20"/>
  <c r="R547" i="17" l="1"/>
  <c r="AD546" i="17"/>
  <c r="D527" i="21" s="1"/>
  <c r="G608" i="18"/>
  <c r="I608" i="18" s="1"/>
  <c r="H608" i="18"/>
  <c r="R545" i="20"/>
  <c r="AD544" i="20"/>
  <c r="F525" i="21" s="1"/>
  <c r="J608" i="18" l="1"/>
  <c r="U545" i="20"/>
  <c r="X545" i="20" s="1"/>
  <c r="Y545" i="20" s="1"/>
  <c r="X547" i="17"/>
  <c r="Y547" i="17"/>
  <c r="U547" i="17"/>
  <c r="R546" i="20" l="1"/>
  <c r="AD545" i="20"/>
  <c r="F526" i="21" s="1"/>
  <c r="R548" i="17"/>
  <c r="AD547" i="17"/>
  <c r="D528" i="21" s="1"/>
  <c r="AA608" i="20"/>
  <c r="AA608" i="19"/>
  <c r="AD608" i="19" s="1"/>
  <c r="AA608" i="17"/>
  <c r="E609" i="18"/>
  <c r="U548" i="17" l="1"/>
  <c r="X548" i="17" s="1"/>
  <c r="G609" i="18"/>
  <c r="U546" i="20"/>
  <c r="X546" i="20" s="1"/>
  <c r="Y546" i="20" l="1"/>
  <c r="Y548" i="17"/>
  <c r="I609" i="18"/>
  <c r="J609" i="18" s="1"/>
  <c r="AA609" i="19" l="1"/>
  <c r="AD609" i="19" s="1"/>
  <c r="AA609" i="20"/>
  <c r="AA609" i="17"/>
  <c r="E610" i="18"/>
  <c r="R549" i="17"/>
  <c r="AD548" i="17"/>
  <c r="D529" i="21" s="1"/>
  <c r="R547" i="20"/>
  <c r="AD546" i="20"/>
  <c r="F527" i="21" s="1"/>
  <c r="G610" i="18" l="1"/>
  <c r="I610" i="18"/>
  <c r="J610" i="18"/>
  <c r="X549" i="17"/>
  <c r="Y549" i="17" s="1"/>
  <c r="U549" i="17"/>
  <c r="U547" i="20"/>
  <c r="R550" i="17" l="1"/>
  <c r="AD549" i="17"/>
  <c r="D530" i="21" s="1"/>
  <c r="AA610" i="19"/>
  <c r="AD610" i="19" s="1"/>
  <c r="E611" i="18"/>
  <c r="AA610" i="20"/>
  <c r="AA610" i="17"/>
  <c r="X547" i="20"/>
  <c r="Y547" i="20" s="1"/>
  <c r="R548" i="20" l="1"/>
  <c r="AD547" i="20"/>
  <c r="F528" i="21" s="1"/>
  <c r="G611" i="18"/>
  <c r="J611" i="18" s="1"/>
  <c r="I611" i="18"/>
  <c r="H611" i="18"/>
  <c r="U550" i="17"/>
  <c r="AA611" i="19" l="1"/>
  <c r="AD611" i="19" s="1"/>
  <c r="E612" i="18"/>
  <c r="AA611" i="17"/>
  <c r="AA611" i="20"/>
  <c r="X550" i="17"/>
  <c r="Y550" i="17" s="1"/>
  <c r="U548" i="20"/>
  <c r="X548" i="20" s="1"/>
  <c r="R551" i="17" l="1"/>
  <c r="AD550" i="17"/>
  <c r="D531" i="21" s="1"/>
  <c r="G612" i="18"/>
  <c r="Y548" i="20"/>
  <c r="I612" i="18" l="1"/>
  <c r="J612" i="18" s="1"/>
  <c r="R549" i="20"/>
  <c r="AD548" i="20"/>
  <c r="F529" i="21" s="1"/>
  <c r="X551" i="17"/>
  <c r="Y551" i="17" s="1"/>
  <c r="U551" i="17"/>
  <c r="R552" i="17" l="1"/>
  <c r="AD551" i="17"/>
  <c r="D532" i="21" s="1"/>
  <c r="AA612" i="20"/>
  <c r="E613" i="18"/>
  <c r="AA612" i="19"/>
  <c r="AD612" i="19" s="1"/>
  <c r="AA612" i="17"/>
  <c r="U549" i="20"/>
  <c r="X549" i="20" s="1"/>
  <c r="G613" i="18" l="1"/>
  <c r="I613" i="18" s="1"/>
  <c r="Y549" i="20"/>
  <c r="U552" i="17"/>
  <c r="X552" i="17" s="1"/>
  <c r="R550" i="20" l="1"/>
  <c r="AD549" i="20"/>
  <c r="F530" i="21" s="1"/>
  <c r="Y552" i="17"/>
  <c r="J613" i="18"/>
  <c r="AA613" i="17" l="1"/>
  <c r="AA613" i="20"/>
  <c r="AA613" i="19"/>
  <c r="AD613" i="19" s="1"/>
  <c r="E614" i="18"/>
  <c r="R553" i="17"/>
  <c r="AD552" i="17"/>
  <c r="D533" i="21" s="1"/>
  <c r="U550" i="20"/>
  <c r="X550" i="20" s="1"/>
  <c r="G614" i="18" l="1"/>
  <c r="H614" i="18"/>
  <c r="I614" i="18"/>
  <c r="J614" i="18"/>
  <c r="U553" i="17"/>
  <c r="X553" i="17" s="1"/>
  <c r="Y553" i="17" s="1"/>
  <c r="Y550" i="20"/>
  <c r="R554" i="17" l="1"/>
  <c r="AD553" i="17"/>
  <c r="D534" i="21" s="1"/>
  <c r="AA614" i="17"/>
  <c r="AA614" i="20"/>
  <c r="AA614" i="19"/>
  <c r="AD614" i="19" s="1"/>
  <c r="E615" i="18"/>
  <c r="R551" i="20"/>
  <c r="AD550" i="20"/>
  <c r="F531" i="21" s="1"/>
  <c r="G615" i="18" l="1"/>
  <c r="I615" i="18"/>
  <c r="J615" i="18" s="1"/>
  <c r="U551" i="20"/>
  <c r="X551" i="20" s="1"/>
  <c r="Y551" i="20" s="1"/>
  <c r="U554" i="17"/>
  <c r="X554" i="17" s="1"/>
  <c r="R552" i="20" l="1"/>
  <c r="AD551" i="20"/>
  <c r="F532" i="21" s="1"/>
  <c r="AA615" i="17"/>
  <c r="AA615" i="20"/>
  <c r="E616" i="18"/>
  <c r="AA615" i="19"/>
  <c r="AD615" i="19" s="1"/>
  <c r="Y554" i="17"/>
  <c r="G616" i="18" l="1"/>
  <c r="I616" i="18" s="1"/>
  <c r="J616" i="18" s="1"/>
  <c r="R555" i="17"/>
  <c r="AD554" i="17"/>
  <c r="D535" i="21" s="1"/>
  <c r="U552" i="20"/>
  <c r="AA616" i="19" l="1"/>
  <c r="AD616" i="19" s="1"/>
  <c r="AA616" i="17"/>
  <c r="E617" i="18"/>
  <c r="AA616" i="20"/>
  <c r="X552" i="20"/>
  <c r="Y552" i="20" s="1"/>
  <c r="U555" i="17"/>
  <c r="X555" i="17" s="1"/>
  <c r="R553" i="20" l="1"/>
  <c r="AD552" i="20"/>
  <c r="F533" i="21" s="1"/>
  <c r="G617" i="18"/>
  <c r="I617" i="18" s="1"/>
  <c r="Y555" i="17"/>
  <c r="R556" i="17" l="1"/>
  <c r="AD555" i="17"/>
  <c r="D536" i="21" s="1"/>
  <c r="H617" i="18"/>
  <c r="J617" i="18" s="1"/>
  <c r="Y553" i="20"/>
  <c r="X553" i="20"/>
  <c r="U553" i="20"/>
  <c r="AA617" i="19" l="1"/>
  <c r="AD617" i="19" s="1"/>
  <c r="AA617" i="17"/>
  <c r="AA617" i="20"/>
  <c r="E618" i="18"/>
  <c r="R554" i="20"/>
  <c r="AD553" i="20"/>
  <c r="F534" i="21" s="1"/>
  <c r="U556" i="17"/>
  <c r="X556" i="17" s="1"/>
  <c r="U554" i="20" l="1"/>
  <c r="X554" i="20" s="1"/>
  <c r="G618" i="18"/>
  <c r="I618" i="18" s="1"/>
  <c r="Y556" i="17"/>
  <c r="R557" i="17" l="1"/>
  <c r="AD556" i="17"/>
  <c r="D537" i="21" s="1"/>
  <c r="Y554" i="20"/>
  <c r="J618" i="18"/>
  <c r="R555" i="20" l="1"/>
  <c r="AD554" i="20"/>
  <c r="F535" i="21" s="1"/>
  <c r="AA618" i="20"/>
  <c r="AA618" i="19"/>
  <c r="AD618" i="19" s="1"/>
  <c r="E619" i="18"/>
  <c r="AA618" i="17"/>
  <c r="U557" i="17"/>
  <c r="X557" i="17" s="1"/>
  <c r="G619" i="18" l="1"/>
  <c r="I619" i="18"/>
  <c r="J619" i="18" s="1"/>
  <c r="Y557" i="17"/>
  <c r="U555" i="20"/>
  <c r="X555" i="20" s="1"/>
  <c r="AA619" i="19" l="1"/>
  <c r="AD619" i="19" s="1"/>
  <c r="AA619" i="17"/>
  <c r="AA619" i="20"/>
  <c r="E620" i="18"/>
  <c r="R558" i="17"/>
  <c r="AD557" i="17"/>
  <c r="D538" i="21" s="1"/>
  <c r="Y555" i="20"/>
  <c r="G620" i="18" l="1"/>
  <c r="H620" i="18"/>
  <c r="I620" i="18"/>
  <c r="J620" i="18"/>
  <c r="X558" i="17"/>
  <c r="Y558" i="17" s="1"/>
  <c r="U558" i="17"/>
  <c r="R556" i="20"/>
  <c r="AD555" i="20"/>
  <c r="F536" i="21" s="1"/>
  <c r="R559" i="17" l="1"/>
  <c r="AD558" i="17"/>
  <c r="D539" i="21" s="1"/>
  <c r="U556" i="20"/>
  <c r="X556" i="20" s="1"/>
  <c r="E621" i="18"/>
  <c r="AA620" i="19"/>
  <c r="AD620" i="19" s="1"/>
  <c r="AA620" i="17"/>
  <c r="AA620" i="20"/>
  <c r="G621" i="18" l="1"/>
  <c r="J621" i="18" s="1"/>
  <c r="I621" i="18"/>
  <c r="Y556" i="20"/>
  <c r="U559" i="17"/>
  <c r="X559" i="17" s="1"/>
  <c r="AA621" i="20" l="1"/>
  <c r="AA621" i="19"/>
  <c r="AD621" i="19" s="1"/>
  <c r="AA621" i="17"/>
  <c r="E622" i="18"/>
  <c r="R557" i="20"/>
  <c r="AD556" i="20"/>
  <c r="F537" i="21" s="1"/>
  <c r="Y559" i="17"/>
  <c r="U557" i="20" l="1"/>
  <c r="G622" i="18"/>
  <c r="I622" i="18" s="1"/>
  <c r="R560" i="17"/>
  <c r="AD559" i="17"/>
  <c r="D540" i="21" s="1"/>
  <c r="X557" i="20" l="1"/>
  <c r="Y557" i="20" s="1"/>
  <c r="J622" i="18"/>
  <c r="U560" i="17"/>
  <c r="R558" i="20" l="1"/>
  <c r="AD557" i="20"/>
  <c r="F538" i="21" s="1"/>
  <c r="X560" i="17"/>
  <c r="Y560" i="17" s="1"/>
  <c r="E623" i="18"/>
  <c r="AA622" i="19"/>
  <c r="AD622" i="19" s="1"/>
  <c r="AA622" i="20"/>
  <c r="AA622" i="17"/>
  <c r="R561" i="17" l="1"/>
  <c r="AD560" i="17"/>
  <c r="D541" i="21" s="1"/>
  <c r="G623" i="18"/>
  <c r="H623" i="18"/>
  <c r="I623" i="18"/>
  <c r="J623" i="18"/>
  <c r="U558" i="20"/>
  <c r="X558" i="20" s="1"/>
  <c r="Y558" i="20" l="1"/>
  <c r="E624" i="18"/>
  <c r="AA623" i="19"/>
  <c r="AD623" i="19" s="1"/>
  <c r="AA623" i="17"/>
  <c r="AA623" i="20"/>
  <c r="X561" i="17"/>
  <c r="U561" i="17"/>
  <c r="Y561" i="17" s="1"/>
  <c r="R562" i="17" l="1"/>
  <c r="AD561" i="17"/>
  <c r="D542" i="21" s="1"/>
  <c r="G624" i="18"/>
  <c r="R559" i="20"/>
  <c r="AD558" i="20"/>
  <c r="F539" i="21" s="1"/>
  <c r="U559" i="20" l="1"/>
  <c r="I624" i="18"/>
  <c r="J624" i="18" s="1"/>
  <c r="X562" i="17"/>
  <c r="U562" i="17"/>
  <c r="Y562" i="17" s="1"/>
  <c r="R563" i="17" l="1"/>
  <c r="AD562" i="17"/>
  <c r="D543" i="21" s="1"/>
  <c r="AA624" i="19"/>
  <c r="AD624" i="19" s="1"/>
  <c r="E625" i="18"/>
  <c r="AA624" i="17"/>
  <c r="AA624" i="20"/>
  <c r="X559" i="20"/>
  <c r="Y559" i="20" s="1"/>
  <c r="R560" i="20" l="1"/>
  <c r="AD559" i="20"/>
  <c r="F540" i="21" s="1"/>
  <c r="G625" i="18"/>
  <c r="I625" i="18"/>
  <c r="J625" i="18"/>
  <c r="U563" i="17"/>
  <c r="X563" i="17" s="1"/>
  <c r="Y563" i="17" s="1"/>
  <c r="R564" i="17" l="1"/>
  <c r="AD563" i="17"/>
  <c r="D544" i="21" s="1"/>
  <c r="AA625" i="19"/>
  <c r="AD625" i="19" s="1"/>
  <c r="AA625" i="17"/>
  <c r="E626" i="18"/>
  <c r="AA625" i="20"/>
  <c r="X560" i="20"/>
  <c r="U560" i="20"/>
  <c r="Y560" i="20" s="1"/>
  <c r="R561" i="20" l="1"/>
  <c r="AD560" i="20"/>
  <c r="F541" i="21" s="1"/>
  <c r="I626" i="18"/>
  <c r="J626" i="18"/>
  <c r="G626" i="18"/>
  <c r="H626" i="18"/>
  <c r="U564" i="17"/>
  <c r="X564" i="17" s="1"/>
  <c r="E627" i="18" l="1"/>
  <c r="AA626" i="19"/>
  <c r="AD626" i="19" s="1"/>
  <c r="AA626" i="20"/>
  <c r="AA626" i="17"/>
  <c r="Y564" i="17"/>
  <c r="X561" i="20"/>
  <c r="U561" i="20"/>
  <c r="Y561" i="20" s="1"/>
  <c r="R562" i="20" l="1"/>
  <c r="AD561" i="20"/>
  <c r="F542" i="21" s="1"/>
  <c r="R565" i="17"/>
  <c r="AD564" i="17"/>
  <c r="D545" i="21" s="1"/>
  <c r="G627" i="18"/>
  <c r="I627" i="18"/>
  <c r="J627" i="18"/>
  <c r="AA627" i="20" l="1"/>
  <c r="E628" i="18"/>
  <c r="AA627" i="17"/>
  <c r="AA627" i="19"/>
  <c r="AD627" i="19" s="1"/>
  <c r="Y565" i="17"/>
  <c r="X565" i="17"/>
  <c r="U565" i="17"/>
  <c r="U562" i="20"/>
  <c r="X562" i="20" s="1"/>
  <c r="R566" i="17" l="1"/>
  <c r="AD565" i="17"/>
  <c r="D546" i="21" s="1"/>
  <c r="Y562" i="20"/>
  <c r="G628" i="18"/>
  <c r="J628" i="18" s="1"/>
  <c r="I628" i="18"/>
  <c r="E629" i="18" l="1"/>
  <c r="AA628" i="19"/>
  <c r="AD628" i="19" s="1"/>
  <c r="AA628" i="20"/>
  <c r="AA628" i="17"/>
  <c r="R563" i="20"/>
  <c r="AD562" i="20"/>
  <c r="F543" i="21" s="1"/>
  <c r="U566" i="17"/>
  <c r="X566" i="17" s="1"/>
  <c r="U563" i="20" l="1"/>
  <c r="Y566" i="17"/>
  <c r="G629" i="18"/>
  <c r="I629" i="18"/>
  <c r="H629" i="18"/>
  <c r="J629" i="18"/>
  <c r="R567" i="17" l="1"/>
  <c r="AD566" i="17"/>
  <c r="D547" i="21" s="1"/>
  <c r="AA629" i="20"/>
  <c r="AA629" i="19"/>
  <c r="AD629" i="19" s="1"/>
  <c r="E630" i="18"/>
  <c r="AA629" i="17"/>
  <c r="X563" i="20"/>
  <c r="Y563" i="20" s="1"/>
  <c r="R564" i="20" l="1"/>
  <c r="AD563" i="20"/>
  <c r="F544" i="21" s="1"/>
  <c r="G630" i="18"/>
  <c r="I630" i="18" s="1"/>
  <c r="J630" i="18" s="1"/>
  <c r="U567" i="17"/>
  <c r="X567" i="17" s="1"/>
  <c r="E631" i="18" l="1"/>
  <c r="AA630" i="17"/>
  <c r="AA630" i="19"/>
  <c r="AD630" i="19" s="1"/>
  <c r="AA630" i="20"/>
  <c r="Y567" i="17"/>
  <c r="U564" i="20"/>
  <c r="X564" i="20" s="1"/>
  <c r="Y564" i="20" l="1"/>
  <c r="R568" i="17"/>
  <c r="AD567" i="17"/>
  <c r="D548" i="21" s="1"/>
  <c r="G631" i="18"/>
  <c r="I631" i="18" s="1"/>
  <c r="U568" i="17" l="1"/>
  <c r="X568" i="17" s="1"/>
  <c r="J631" i="18"/>
  <c r="R565" i="20"/>
  <c r="AD564" i="20"/>
  <c r="F545" i="21" s="1"/>
  <c r="U565" i="20" l="1"/>
  <c r="X565" i="20" s="1"/>
  <c r="AA631" i="19"/>
  <c r="AD631" i="19" s="1"/>
  <c r="E632" i="18"/>
  <c r="AA631" i="20"/>
  <c r="AA631" i="17"/>
  <c r="Y568" i="17"/>
  <c r="R569" i="17" l="1"/>
  <c r="AD568" i="17"/>
  <c r="D549" i="21" s="1"/>
  <c r="G632" i="18"/>
  <c r="H632" i="18"/>
  <c r="J632" i="18" s="1"/>
  <c r="I632" i="18"/>
  <c r="Y565" i="20"/>
  <c r="AA632" i="19" l="1"/>
  <c r="AD632" i="19" s="1"/>
  <c r="AA632" i="17"/>
  <c r="E633" i="18"/>
  <c r="AA632" i="20"/>
  <c r="R566" i="20"/>
  <c r="AD565" i="20"/>
  <c r="F546" i="21" s="1"/>
  <c r="U569" i="17"/>
  <c r="X569" i="17" l="1"/>
  <c r="Y569" i="17" s="1"/>
  <c r="X566" i="20"/>
  <c r="U566" i="20"/>
  <c r="Y566" i="20" s="1"/>
  <c r="G633" i="18"/>
  <c r="I633" i="18"/>
  <c r="J633" i="18"/>
  <c r="R567" i="20" l="1"/>
  <c r="AD566" i="20"/>
  <c r="F547" i="21" s="1"/>
  <c r="R570" i="17"/>
  <c r="AD569" i="17"/>
  <c r="D550" i="21" s="1"/>
  <c r="E634" i="18"/>
  <c r="AA633" i="17"/>
  <c r="AA633" i="19"/>
  <c r="AD633" i="19" s="1"/>
  <c r="AA633" i="20"/>
  <c r="G634" i="18" l="1"/>
  <c r="I634" i="18" s="1"/>
  <c r="U570" i="17"/>
  <c r="X567" i="20"/>
  <c r="U567" i="20"/>
  <c r="Y567" i="20" s="1"/>
  <c r="Y570" i="17" l="1"/>
  <c r="R568" i="20"/>
  <c r="AD567" i="20"/>
  <c r="F548" i="21" s="1"/>
  <c r="X570" i="17"/>
  <c r="J634" i="18"/>
  <c r="U568" i="20" l="1"/>
  <c r="X568" i="20" s="1"/>
  <c r="R571" i="17"/>
  <c r="AD570" i="17"/>
  <c r="D551" i="21" s="1"/>
  <c r="E635" i="18"/>
  <c r="AA634" i="20"/>
  <c r="AA634" i="19"/>
  <c r="AD634" i="19" s="1"/>
  <c r="AA634" i="17"/>
  <c r="Y568" i="20" l="1"/>
  <c r="H635" i="18"/>
  <c r="G635" i="18"/>
  <c r="J635" i="18" s="1"/>
  <c r="I635" i="18"/>
  <c r="X571" i="17"/>
  <c r="Y571" i="17"/>
  <c r="U571" i="17"/>
  <c r="AA635" i="19" l="1"/>
  <c r="AD635" i="19" s="1"/>
  <c r="E636" i="18"/>
  <c r="AA635" i="17"/>
  <c r="AA635" i="20"/>
  <c r="R569" i="20"/>
  <c r="AD568" i="20"/>
  <c r="F549" i="21" s="1"/>
  <c r="R572" i="17"/>
  <c r="AD571" i="17"/>
  <c r="D552" i="21" s="1"/>
  <c r="U569" i="20" l="1"/>
  <c r="X569" i="20" s="1"/>
  <c r="G636" i="18"/>
  <c r="I636" i="18" s="1"/>
  <c r="X572" i="17"/>
  <c r="U572" i="17"/>
  <c r="Y572" i="17" s="1"/>
  <c r="R573" i="17" l="1"/>
  <c r="AD572" i="17"/>
  <c r="D553" i="21" s="1"/>
  <c r="J636" i="18"/>
  <c r="Y569" i="20"/>
  <c r="AA636" i="19" l="1"/>
  <c r="AD636" i="19" s="1"/>
  <c r="AA636" i="20"/>
  <c r="AA636" i="17"/>
  <c r="E637" i="18"/>
  <c r="U573" i="17"/>
  <c r="X573" i="17" s="1"/>
  <c r="R570" i="20"/>
  <c r="AD569" i="20"/>
  <c r="F550" i="21" s="1"/>
  <c r="X570" i="20" l="1"/>
  <c r="Y570" i="20" s="1"/>
  <c r="U570" i="20"/>
  <c r="Y573" i="17"/>
  <c r="G637" i="18"/>
  <c r="I637" i="18"/>
  <c r="J637" i="18"/>
  <c r="R571" i="20" l="1"/>
  <c r="AD570" i="20"/>
  <c r="F551" i="21" s="1"/>
  <c r="AA637" i="19"/>
  <c r="AD637" i="19" s="1"/>
  <c r="E638" i="18"/>
  <c r="AA637" i="17"/>
  <c r="AA637" i="20"/>
  <c r="R574" i="17"/>
  <c r="AD573" i="17"/>
  <c r="D554" i="21" s="1"/>
  <c r="G638" i="18" l="1"/>
  <c r="I638" i="18" s="1"/>
  <c r="U574" i="17"/>
  <c r="X574" i="17" s="1"/>
  <c r="U571" i="20"/>
  <c r="Y571" i="20" l="1"/>
  <c r="H638" i="18"/>
  <c r="J638" i="18"/>
  <c r="X571" i="20"/>
  <c r="Y574" i="17"/>
  <c r="R572" i="20" l="1"/>
  <c r="AD571" i="20"/>
  <c r="F552" i="21" s="1"/>
  <c r="AA638" i="20"/>
  <c r="AA638" i="19"/>
  <c r="AD638" i="19" s="1"/>
  <c r="E639" i="18"/>
  <c r="AA638" i="17"/>
  <c r="R575" i="17"/>
  <c r="AD574" i="17"/>
  <c r="D555" i="21" s="1"/>
  <c r="G639" i="18" l="1"/>
  <c r="I639" i="18" s="1"/>
  <c r="U575" i="17"/>
  <c r="X575" i="17" s="1"/>
  <c r="X572" i="20"/>
  <c r="U572" i="20"/>
  <c r="Y572" i="20" s="1"/>
  <c r="R573" i="20" l="1"/>
  <c r="AD572" i="20"/>
  <c r="F553" i="21" s="1"/>
  <c r="Y575" i="17"/>
  <c r="J639" i="18"/>
  <c r="R576" i="17" l="1"/>
  <c r="AD575" i="17"/>
  <c r="D556" i="21" s="1"/>
  <c r="AA639" i="19"/>
  <c r="AD639" i="19" s="1"/>
  <c r="AA639" i="17"/>
  <c r="AA639" i="20"/>
  <c r="E640" i="18"/>
  <c r="U573" i="20"/>
  <c r="X573" i="20" s="1"/>
  <c r="Y573" i="20" l="1"/>
  <c r="G640" i="18"/>
  <c r="I640" i="18" s="1"/>
  <c r="J640" i="18" s="1"/>
  <c r="U576" i="17"/>
  <c r="AA640" i="17" l="1"/>
  <c r="E641" i="18"/>
  <c r="AA640" i="20"/>
  <c r="AA640" i="19"/>
  <c r="AD640" i="19" s="1"/>
  <c r="X576" i="17"/>
  <c r="Y576" i="17" s="1"/>
  <c r="R574" i="20"/>
  <c r="AD573" i="20"/>
  <c r="F554" i="21" s="1"/>
  <c r="R577" i="17" l="1"/>
  <c r="AD576" i="17"/>
  <c r="D557" i="21" s="1"/>
  <c r="X574" i="20"/>
  <c r="U574" i="20"/>
  <c r="Y574" i="20" s="1"/>
  <c r="G641" i="18"/>
  <c r="H641" i="18"/>
  <c r="I641" i="18"/>
  <c r="J641" i="18" s="1"/>
  <c r="AA641" i="20" l="1"/>
  <c r="AA641" i="17"/>
  <c r="AA641" i="19"/>
  <c r="AD641" i="19" s="1"/>
  <c r="E642" i="18"/>
  <c r="R575" i="20"/>
  <c r="AD574" i="20"/>
  <c r="F555" i="21" s="1"/>
  <c r="U577" i="17"/>
  <c r="X577" i="17" s="1"/>
  <c r="Y577" i="17" l="1"/>
  <c r="U575" i="20"/>
  <c r="G642" i="18"/>
  <c r="I642" i="18" s="1"/>
  <c r="X575" i="20" l="1"/>
  <c r="Y575" i="20" s="1"/>
  <c r="J642" i="18"/>
  <c r="R578" i="17"/>
  <c r="AD577" i="17"/>
  <c r="D558" i="21" s="1"/>
  <c r="R576" i="20" l="1"/>
  <c r="AD575" i="20"/>
  <c r="F556" i="21" s="1"/>
  <c r="X578" i="17"/>
  <c r="U578" i="17"/>
  <c r="Y578" i="17" s="1"/>
  <c r="E643" i="18"/>
  <c r="AA642" i="20"/>
  <c r="AA642" i="17"/>
  <c r="AA642" i="19"/>
  <c r="AD642" i="19" s="1"/>
  <c r="R579" i="17" l="1"/>
  <c r="AD578" i="17"/>
  <c r="D559" i="21" s="1"/>
  <c r="G643" i="18"/>
  <c r="I643" i="18"/>
  <c r="J643" i="18"/>
  <c r="U576" i="20"/>
  <c r="X576" i="20" s="1"/>
  <c r="AA643" i="17" l="1"/>
  <c r="AA643" i="19"/>
  <c r="AD643" i="19" s="1"/>
  <c r="E644" i="18"/>
  <c r="AA643" i="20"/>
  <c r="Y576" i="20"/>
  <c r="X579" i="17"/>
  <c r="U579" i="17"/>
  <c r="Y579" i="17" s="1"/>
  <c r="R580" i="17" l="1"/>
  <c r="AD579" i="17"/>
  <c r="D560" i="21" s="1"/>
  <c r="G644" i="18"/>
  <c r="I644" i="18" s="1"/>
  <c r="H644" i="18"/>
  <c r="R577" i="20"/>
  <c r="AD576" i="20"/>
  <c r="F557" i="21" s="1"/>
  <c r="J644" i="18" l="1"/>
  <c r="U577" i="20"/>
  <c r="X577" i="20" s="1"/>
  <c r="X580" i="17"/>
  <c r="Y580" i="17"/>
  <c r="U580" i="17"/>
  <c r="R581" i="17" l="1"/>
  <c r="AD580" i="17"/>
  <c r="D561" i="21" s="1"/>
  <c r="Y577" i="20"/>
  <c r="AA644" i="20"/>
  <c r="E645" i="18"/>
  <c r="AA644" i="17"/>
  <c r="AA644" i="19"/>
  <c r="AD644" i="19" s="1"/>
  <c r="R578" i="20" l="1"/>
  <c r="AD577" i="20"/>
  <c r="F558" i="21" s="1"/>
  <c r="G645" i="18"/>
  <c r="U581" i="17"/>
  <c r="X581" i="17" s="1"/>
  <c r="J645" i="18" l="1"/>
  <c r="I645" i="18"/>
  <c r="Y581" i="17"/>
  <c r="U578" i="20"/>
  <c r="R582" i="17" l="1"/>
  <c r="AD581" i="17"/>
  <c r="D562" i="21" s="1"/>
  <c r="X578" i="20"/>
  <c r="Y578" i="20" s="1"/>
  <c r="AA645" i="17"/>
  <c r="AA645" i="19"/>
  <c r="AD645" i="19" s="1"/>
  <c r="AA645" i="20"/>
  <c r="E646" i="18"/>
  <c r="R579" i="20" l="1"/>
  <c r="AD578" i="20"/>
  <c r="F559" i="21" s="1"/>
  <c r="G646" i="18"/>
  <c r="I646" i="18"/>
  <c r="J646" i="18"/>
  <c r="U582" i="17"/>
  <c r="X582" i="17" s="1"/>
  <c r="Y582" i="17" s="1"/>
  <c r="R583" i="17" l="1"/>
  <c r="AD582" i="17"/>
  <c r="D563" i="21" s="1"/>
  <c r="E647" i="18"/>
  <c r="AA646" i="17"/>
  <c r="AA646" i="20"/>
  <c r="AA646" i="19"/>
  <c r="AD646" i="19" s="1"/>
  <c r="U579" i="20"/>
  <c r="X579" i="20" s="1"/>
  <c r="G647" i="18" l="1"/>
  <c r="H647" i="18" s="1"/>
  <c r="I647" i="18"/>
  <c r="Y579" i="20"/>
  <c r="U583" i="17"/>
  <c r="J647" i="18" l="1"/>
  <c r="X583" i="17"/>
  <c r="Y583" i="17" s="1"/>
  <c r="R580" i="20"/>
  <c r="AD579" i="20"/>
  <c r="F560" i="21" s="1"/>
  <c r="R584" i="17" l="1"/>
  <c r="AD583" i="17"/>
  <c r="D564" i="21" s="1"/>
  <c r="U580" i="20"/>
  <c r="X580" i="20" s="1"/>
  <c r="AA647" i="19"/>
  <c r="AD647" i="19" s="1"/>
  <c r="AA647" i="17"/>
  <c r="E648" i="18"/>
  <c r="AA647" i="20"/>
  <c r="Y580" i="20" l="1"/>
  <c r="G648" i="18"/>
  <c r="I648" i="18"/>
  <c r="J648" i="18" s="1"/>
  <c r="U584" i="17"/>
  <c r="X584" i="17" s="1"/>
  <c r="AA648" i="19" l="1"/>
  <c r="AD648" i="19" s="1"/>
  <c r="AA648" i="20"/>
  <c r="E649" i="18"/>
  <c r="AA648" i="17"/>
  <c r="Y584" i="17"/>
  <c r="R581" i="20"/>
  <c r="AD580" i="20"/>
  <c r="F561" i="21" s="1"/>
  <c r="R585" i="17" l="1"/>
  <c r="AD584" i="17"/>
  <c r="D565" i="21" s="1"/>
  <c r="G649" i="18"/>
  <c r="I649" i="18"/>
  <c r="J649" i="18"/>
  <c r="U581" i="20"/>
  <c r="X581" i="20" s="1"/>
  <c r="Y581" i="20" l="1"/>
  <c r="E650" i="18"/>
  <c r="AA649" i="17"/>
  <c r="AA649" i="19"/>
  <c r="AD649" i="19" s="1"/>
  <c r="AA649" i="20"/>
  <c r="X585" i="17"/>
  <c r="U585" i="17"/>
  <c r="Y585" i="17" s="1"/>
  <c r="R586" i="17" l="1"/>
  <c r="AD585" i="17"/>
  <c r="D566" i="21" s="1"/>
  <c r="G650" i="18"/>
  <c r="H650" i="18" s="1"/>
  <c r="J650" i="18" s="1"/>
  <c r="I650" i="18"/>
  <c r="R582" i="20"/>
  <c r="AD581" i="20"/>
  <c r="F562" i="21" s="1"/>
  <c r="E651" i="18" l="1"/>
  <c r="AA650" i="17"/>
  <c r="AA650" i="20"/>
  <c r="AA650" i="19"/>
  <c r="AD650" i="19" s="1"/>
  <c r="X582" i="20"/>
  <c r="Y582" i="20" s="1"/>
  <c r="U582" i="20"/>
  <c r="U586" i="17"/>
  <c r="X586" i="17" s="1"/>
  <c r="R583" i="20" l="1"/>
  <c r="AD582" i="20"/>
  <c r="F563" i="21" s="1"/>
  <c r="Y586" i="17"/>
  <c r="J651" i="18"/>
  <c r="G651" i="18"/>
  <c r="I651" i="18"/>
  <c r="AA651" i="19" l="1"/>
  <c r="AD651" i="19" s="1"/>
  <c r="AA651" i="17"/>
  <c r="E652" i="18"/>
  <c r="AA651" i="20"/>
  <c r="R587" i="17"/>
  <c r="AD586" i="17"/>
  <c r="D567" i="21" s="1"/>
  <c r="X583" i="20"/>
  <c r="Y583" i="20" s="1"/>
  <c r="U583" i="20"/>
  <c r="R584" i="20" l="1"/>
  <c r="AD583" i="20"/>
  <c r="F564" i="21" s="1"/>
  <c r="G652" i="18"/>
  <c r="U587" i="17"/>
  <c r="J652" i="18" l="1"/>
  <c r="I652" i="18"/>
  <c r="X587" i="17"/>
  <c r="Y587" i="17" s="1"/>
  <c r="X584" i="20"/>
  <c r="Y584" i="20"/>
  <c r="U584" i="20"/>
  <c r="R588" i="17" l="1"/>
  <c r="AD587" i="17"/>
  <c r="D568" i="21" s="1"/>
  <c r="AA652" i="20"/>
  <c r="AA652" i="17"/>
  <c r="AA652" i="19"/>
  <c r="AD652" i="19" s="1"/>
  <c r="E653" i="18"/>
  <c r="R585" i="20"/>
  <c r="AD584" i="20"/>
  <c r="F565" i="21" s="1"/>
  <c r="G653" i="18" l="1"/>
  <c r="I653" i="18"/>
  <c r="H653" i="18"/>
  <c r="J653" i="18"/>
  <c r="U585" i="20"/>
  <c r="X585" i="20" s="1"/>
  <c r="U588" i="17"/>
  <c r="X588" i="17" s="1"/>
  <c r="AA653" i="17" l="1"/>
  <c r="E654" i="18"/>
  <c r="AA653" i="19"/>
  <c r="AD653" i="19" s="1"/>
  <c r="AA653" i="20"/>
  <c r="Y588" i="17"/>
  <c r="Y585" i="20"/>
  <c r="R589" i="17" l="1"/>
  <c r="AD588" i="17"/>
  <c r="G654" i="18"/>
  <c r="I654" i="18"/>
  <c r="J654" i="18"/>
  <c r="R586" i="20"/>
  <c r="AD585" i="20"/>
  <c r="F566" i="21" s="1"/>
  <c r="AA654" i="20" l="1"/>
  <c r="AA654" i="17"/>
  <c r="AA654" i="19"/>
  <c r="AD654" i="19" s="1"/>
  <c r="E655" i="18"/>
  <c r="X586" i="20"/>
  <c r="Y586" i="20" s="1"/>
  <c r="U586" i="20"/>
  <c r="U589" i="17"/>
  <c r="R587" i="20" l="1"/>
  <c r="AD586" i="20"/>
  <c r="F567" i="21" s="1"/>
  <c r="G655" i="18"/>
  <c r="I655" i="18" s="1"/>
  <c r="J655" i="18" s="1"/>
  <c r="X589" i="17"/>
  <c r="Y589" i="17" s="1"/>
  <c r="R590" i="17" l="1"/>
  <c r="AD589" i="17"/>
  <c r="AA655" i="17"/>
  <c r="AA655" i="19"/>
  <c r="AD655" i="19" s="1"/>
  <c r="E656" i="18"/>
  <c r="AA655" i="20"/>
  <c r="U587" i="20"/>
  <c r="X587" i="20" s="1"/>
  <c r="G656" i="18" l="1"/>
  <c r="Y587" i="20"/>
  <c r="U590" i="17"/>
  <c r="X590" i="17" s="1"/>
  <c r="I656" i="18" l="1"/>
  <c r="H656" i="18"/>
  <c r="J656" i="18" s="1"/>
  <c r="Y590" i="17"/>
  <c r="R588" i="20"/>
  <c r="AD587" i="20"/>
  <c r="F568" i="21" s="1"/>
  <c r="AA656" i="19" l="1"/>
  <c r="AD656" i="19" s="1"/>
  <c r="AA656" i="17"/>
  <c r="AA656" i="20"/>
  <c r="E657" i="18"/>
  <c r="AE20" i="21"/>
  <c r="AE18" i="21"/>
  <c r="K57" i="2" s="1"/>
  <c r="AE19" i="21"/>
  <c r="U588" i="20"/>
  <c r="R591" i="17"/>
  <c r="AD590" i="17"/>
  <c r="G657" i="18" l="1"/>
  <c r="I657" i="18"/>
  <c r="J657" i="18"/>
  <c r="Y591" i="17"/>
  <c r="X591" i="17"/>
  <c r="U591" i="17"/>
  <c r="X588" i="20"/>
  <c r="Y588" i="20" s="1"/>
  <c r="R589" i="20" l="1"/>
  <c r="AD588" i="20"/>
  <c r="R592" i="17"/>
  <c r="AD591" i="17"/>
  <c r="AA657" i="20"/>
  <c r="AA657" i="19"/>
  <c r="AD657" i="19" s="1"/>
  <c r="E658" i="18"/>
  <c r="AA657" i="17"/>
  <c r="U592" i="17" l="1"/>
  <c r="X592" i="17" s="1"/>
  <c r="Y592" i="17" s="1"/>
  <c r="G658" i="18"/>
  <c r="I658" i="18" s="1"/>
  <c r="U589" i="20"/>
  <c r="X589" i="20" s="1"/>
  <c r="R593" i="17" l="1"/>
  <c r="AD592" i="17"/>
  <c r="Y589" i="20"/>
  <c r="J658" i="18"/>
  <c r="R590" i="20" l="1"/>
  <c r="AD589" i="20"/>
  <c r="E659" i="18"/>
  <c r="AA658" i="20"/>
  <c r="AA658" i="17"/>
  <c r="AA658" i="19"/>
  <c r="AD658" i="19" s="1"/>
  <c r="U593" i="17"/>
  <c r="X593" i="17" s="1"/>
  <c r="G659" i="18" l="1"/>
  <c r="I659" i="18"/>
  <c r="H659" i="18"/>
  <c r="J659" i="18"/>
  <c r="Y593" i="17"/>
  <c r="U590" i="20"/>
  <c r="X590" i="20" s="1"/>
  <c r="R594" i="17" l="1"/>
  <c r="AD593" i="17"/>
  <c r="Y590" i="20"/>
  <c r="AA659" i="17"/>
  <c r="E660" i="18"/>
  <c r="AA659" i="20"/>
  <c r="AA659" i="19"/>
  <c r="AD659" i="19" s="1"/>
  <c r="G660" i="18" l="1"/>
  <c r="R591" i="20"/>
  <c r="AD590" i="20"/>
  <c r="U594" i="17"/>
  <c r="X594" i="17" l="1"/>
  <c r="Y594" i="17" s="1"/>
  <c r="I660" i="18"/>
  <c r="J660" i="18" s="1"/>
  <c r="X591" i="20"/>
  <c r="Y591" i="20" s="1"/>
  <c r="U591" i="20"/>
  <c r="R592" i="20" l="1"/>
  <c r="AD591" i="20"/>
  <c r="AA660" i="17"/>
  <c r="AA660" i="20"/>
  <c r="AA660" i="19"/>
  <c r="AD660" i="19" s="1"/>
  <c r="E661" i="18"/>
  <c r="R595" i="17"/>
  <c r="AD594" i="17"/>
  <c r="G661" i="18" l="1"/>
  <c r="I661" i="18" s="1"/>
  <c r="X595" i="17"/>
  <c r="U595" i="17"/>
  <c r="Y595" i="17" s="1"/>
  <c r="U592" i="20"/>
  <c r="R596" i="17" l="1"/>
  <c r="AD595" i="17"/>
  <c r="X592" i="20"/>
  <c r="Y592" i="20" s="1"/>
  <c r="J661" i="18"/>
  <c r="R593" i="20" l="1"/>
  <c r="AD592" i="20"/>
  <c r="AA661" i="19"/>
  <c r="AD661" i="19" s="1"/>
  <c r="AA661" i="20"/>
  <c r="E662" i="18"/>
  <c r="AA661" i="17"/>
  <c r="U596" i="17"/>
  <c r="X596" i="17" s="1"/>
  <c r="Y596" i="17" l="1"/>
  <c r="G662" i="18"/>
  <c r="H662" i="18" s="1"/>
  <c r="J662" i="18" s="1"/>
  <c r="I662" i="18"/>
  <c r="X593" i="20"/>
  <c r="U593" i="20"/>
  <c r="Y593" i="20" s="1"/>
  <c r="R594" i="20" l="1"/>
  <c r="AD593" i="20"/>
  <c r="AA662" i="17"/>
  <c r="AA662" i="19"/>
  <c r="AD662" i="19" s="1"/>
  <c r="E663" i="18"/>
  <c r="AA662" i="20"/>
  <c r="R597" i="17"/>
  <c r="AD596" i="17"/>
  <c r="G663" i="18" l="1"/>
  <c r="I663" i="18"/>
  <c r="J663" i="18"/>
  <c r="X597" i="17"/>
  <c r="U597" i="17"/>
  <c r="Y597" i="17" s="1"/>
  <c r="U594" i="20"/>
  <c r="X594" i="20" s="1"/>
  <c r="R598" i="17" l="1"/>
  <c r="AD597" i="17"/>
  <c r="Y594" i="20"/>
  <c r="E664" i="18"/>
  <c r="AA663" i="20"/>
  <c r="AA663" i="19"/>
  <c r="AD663" i="19" s="1"/>
  <c r="AA663" i="17"/>
  <c r="G664" i="18" l="1"/>
  <c r="I664" i="18"/>
  <c r="J664" i="18"/>
  <c r="R595" i="20"/>
  <c r="AD594" i="20"/>
  <c r="U598" i="17"/>
  <c r="E665" i="18" l="1"/>
  <c r="AA664" i="20"/>
  <c r="AA664" i="17"/>
  <c r="AA664" i="19"/>
  <c r="AD664" i="19" s="1"/>
  <c r="X595" i="20"/>
  <c r="U595" i="20"/>
  <c r="Y595" i="20" s="1"/>
  <c r="X598" i="17"/>
  <c r="Y598" i="17" s="1"/>
  <c r="R596" i="20" l="1"/>
  <c r="AD595" i="20"/>
  <c r="R599" i="17"/>
  <c r="AD598" i="17"/>
  <c r="I665" i="18"/>
  <c r="G665" i="18"/>
  <c r="J665" i="18" s="1"/>
  <c r="H665" i="18"/>
  <c r="AA665" i="20" l="1"/>
  <c r="AA665" i="19"/>
  <c r="AD665" i="19" s="1"/>
  <c r="E666" i="18"/>
  <c r="AA665" i="17"/>
  <c r="X599" i="17"/>
  <c r="U599" i="17"/>
  <c r="Y599" i="17" s="1"/>
  <c r="X596" i="20"/>
  <c r="U596" i="20"/>
  <c r="Y596" i="20" s="1"/>
  <c r="R600" i="17" l="1"/>
  <c r="AD599" i="17"/>
  <c r="R597" i="20"/>
  <c r="AD596" i="20"/>
  <c r="G666" i="18"/>
  <c r="I666" i="18" s="1"/>
  <c r="U597" i="20" l="1"/>
  <c r="X597" i="20" s="1"/>
  <c r="J666" i="18"/>
  <c r="X600" i="17"/>
  <c r="Y600" i="17"/>
  <c r="U600" i="17"/>
  <c r="R601" i="17" l="1"/>
  <c r="AD600" i="17"/>
  <c r="AA666" i="20"/>
  <c r="AA666" i="17"/>
  <c r="E667" i="18"/>
  <c r="AA666" i="19"/>
  <c r="AD666" i="19" s="1"/>
  <c r="Y597" i="20"/>
  <c r="G667" i="18" l="1"/>
  <c r="I667" i="18"/>
  <c r="J667" i="18"/>
  <c r="R598" i="20"/>
  <c r="AD597" i="20"/>
  <c r="U601" i="17"/>
  <c r="E668" i="18" l="1"/>
  <c r="AA667" i="19"/>
  <c r="AD667" i="19" s="1"/>
  <c r="AA667" i="20"/>
  <c r="AA667" i="17"/>
  <c r="X598" i="20"/>
  <c r="U598" i="20"/>
  <c r="Y598" i="20" s="1"/>
  <c r="X601" i="17"/>
  <c r="Y601" i="17" s="1"/>
  <c r="R599" i="20" l="1"/>
  <c r="AD598" i="20"/>
  <c r="R602" i="17"/>
  <c r="AD601" i="17"/>
  <c r="G668" i="18"/>
  <c r="H668" i="18" s="1"/>
  <c r="U602" i="17" l="1"/>
  <c r="X602" i="17" s="1"/>
  <c r="I668" i="18"/>
  <c r="J668" i="18" s="1"/>
  <c r="U599" i="20"/>
  <c r="X599" i="20" s="1"/>
  <c r="Y599" i="20" s="1"/>
  <c r="R600" i="20" l="1"/>
  <c r="AD599" i="20"/>
  <c r="E669" i="18"/>
  <c r="AA668" i="17"/>
  <c r="AA668" i="19"/>
  <c r="AD668" i="19" s="1"/>
  <c r="AA668" i="20"/>
  <c r="Y602" i="17"/>
  <c r="G669" i="18" l="1"/>
  <c r="J669" i="18" s="1"/>
  <c r="I669" i="18"/>
  <c r="R603" i="17"/>
  <c r="AD602" i="17"/>
  <c r="U600" i="20"/>
  <c r="X600" i="20" s="1"/>
  <c r="AA669" i="20" l="1"/>
  <c r="AA669" i="17"/>
  <c r="E670" i="18"/>
  <c r="AA669" i="19"/>
  <c r="AD669" i="19" s="1"/>
  <c r="Y600" i="20"/>
  <c r="U603" i="17"/>
  <c r="X603" i="17" s="1"/>
  <c r="Y603" i="17" l="1"/>
  <c r="R601" i="20"/>
  <c r="AD600" i="20"/>
  <c r="G670" i="18"/>
  <c r="I670" i="18" l="1"/>
  <c r="J670" i="18" s="1"/>
  <c r="U601" i="20"/>
  <c r="R604" i="17"/>
  <c r="AD603" i="17"/>
  <c r="AA670" i="17" l="1"/>
  <c r="AA670" i="19"/>
  <c r="AD670" i="19" s="1"/>
  <c r="AA670" i="20"/>
  <c r="E671" i="18"/>
  <c r="X601" i="20"/>
  <c r="Y601" i="20" s="1"/>
  <c r="U604" i="17"/>
  <c r="X604" i="17" s="1"/>
  <c r="Y604" i="17" s="1"/>
  <c r="R605" i="17" l="1"/>
  <c r="AD604" i="17"/>
  <c r="R602" i="20"/>
  <c r="AD601" i="20"/>
  <c r="G671" i="18"/>
  <c r="I671" i="18" s="1"/>
  <c r="U602" i="20" l="1"/>
  <c r="X602" i="20" s="1"/>
  <c r="H671" i="18"/>
  <c r="J671" i="18" s="1"/>
  <c r="Y605" i="17"/>
  <c r="X605" i="17"/>
  <c r="U605" i="17"/>
  <c r="E672" i="18" l="1"/>
  <c r="AA671" i="19"/>
  <c r="AD671" i="19" s="1"/>
  <c r="AA671" i="17"/>
  <c r="AA671" i="20"/>
  <c r="R606" i="17"/>
  <c r="AD605" i="17"/>
  <c r="Y602" i="20"/>
  <c r="U606" i="17" l="1"/>
  <c r="X606" i="17" s="1"/>
  <c r="R603" i="20"/>
  <c r="AD602" i="20"/>
  <c r="G672" i="18"/>
  <c r="I672" i="18"/>
  <c r="J672" i="18"/>
  <c r="U603" i="20" l="1"/>
  <c r="X603" i="20" s="1"/>
  <c r="E673" i="18"/>
  <c r="AA672" i="17"/>
  <c r="AA672" i="19"/>
  <c r="AD672" i="19" s="1"/>
  <c r="AA672" i="20"/>
  <c r="Y606" i="17"/>
  <c r="G673" i="18" l="1"/>
  <c r="I673" i="18"/>
  <c r="J673" i="18"/>
  <c r="R607" i="17"/>
  <c r="AD606" i="17"/>
  <c r="Y603" i="20"/>
  <c r="U607" i="17" l="1"/>
  <c r="X607" i="17" s="1"/>
  <c r="AA673" i="19"/>
  <c r="AD673" i="19" s="1"/>
  <c r="E674" i="18"/>
  <c r="AA673" i="17"/>
  <c r="AA673" i="20"/>
  <c r="R604" i="20"/>
  <c r="AD603" i="20"/>
  <c r="G674" i="18" l="1"/>
  <c r="H674" i="18"/>
  <c r="X604" i="20"/>
  <c r="U604" i="20"/>
  <c r="Y604" i="20" s="1"/>
  <c r="Y607" i="17"/>
  <c r="R605" i="20" l="1"/>
  <c r="AD604" i="20"/>
  <c r="R608" i="17"/>
  <c r="AD607" i="17"/>
  <c r="I674" i="18"/>
  <c r="J674" i="18" s="1"/>
  <c r="AA674" i="19" l="1"/>
  <c r="AD674" i="19" s="1"/>
  <c r="E675" i="18"/>
  <c r="AA674" i="20"/>
  <c r="AA674" i="17"/>
  <c r="X608" i="17"/>
  <c r="Y608" i="17" s="1"/>
  <c r="U608" i="17"/>
  <c r="U605" i="20"/>
  <c r="X605" i="20" s="1"/>
  <c r="R609" i="17" l="1"/>
  <c r="AD608" i="17"/>
  <c r="Y605" i="20"/>
  <c r="G675" i="18"/>
  <c r="J675" i="18" s="1"/>
  <c r="I675" i="18"/>
  <c r="AA675" i="20" l="1"/>
  <c r="AA675" i="19"/>
  <c r="AD675" i="19" s="1"/>
  <c r="E676" i="18"/>
  <c r="AA675" i="17"/>
  <c r="X609" i="17"/>
  <c r="Y609" i="17" s="1"/>
  <c r="U609" i="17"/>
  <c r="R606" i="20"/>
  <c r="AD605" i="20"/>
  <c r="R610" i="17" l="1"/>
  <c r="AD609" i="17"/>
  <c r="G676" i="18"/>
  <c r="I676" i="18"/>
  <c r="J676" i="18"/>
  <c r="X606" i="20"/>
  <c r="U606" i="20"/>
  <c r="Y606" i="20" s="1"/>
  <c r="R607" i="20" l="1"/>
  <c r="AD606" i="20"/>
  <c r="AA676" i="19"/>
  <c r="AD676" i="19" s="1"/>
  <c r="AA676" i="17"/>
  <c r="AA676" i="20"/>
  <c r="E677" i="18"/>
  <c r="U610" i="17"/>
  <c r="X610" i="17" s="1"/>
  <c r="G677" i="18" l="1"/>
  <c r="H677" i="18"/>
  <c r="I677" i="18"/>
  <c r="J677" i="18"/>
  <c r="Y610" i="17"/>
  <c r="U607" i="20"/>
  <c r="AA677" i="19" l="1"/>
  <c r="AD677" i="19" s="1"/>
  <c r="AA677" i="17"/>
  <c r="AA677" i="20"/>
  <c r="E678" i="18"/>
  <c r="X607" i="20"/>
  <c r="Y607" i="20" s="1"/>
  <c r="R611" i="17"/>
  <c r="AD610" i="17"/>
  <c r="R608" i="20" l="1"/>
  <c r="AD607" i="20"/>
  <c r="G678" i="18"/>
  <c r="J678" i="18" s="1"/>
  <c r="I678" i="18"/>
  <c r="U611" i="17"/>
  <c r="X611" i="17" s="1"/>
  <c r="AA678" i="17" l="1"/>
  <c r="AA678" i="20"/>
  <c r="AA678" i="19"/>
  <c r="AD678" i="19" s="1"/>
  <c r="E679" i="18"/>
  <c r="Y611" i="17"/>
  <c r="X608" i="20"/>
  <c r="U608" i="20"/>
  <c r="Y608" i="20" s="1"/>
  <c r="R609" i="20" l="1"/>
  <c r="AD608" i="20"/>
  <c r="R612" i="17"/>
  <c r="AD611" i="17"/>
  <c r="I679" i="18"/>
  <c r="G679" i="18"/>
  <c r="J679" i="18" s="1"/>
  <c r="AA679" i="17" l="1"/>
  <c r="E680" i="18"/>
  <c r="AA679" i="20"/>
  <c r="AA679" i="19"/>
  <c r="AD679" i="19" s="1"/>
  <c r="X612" i="17"/>
  <c r="Y612" i="17" s="1"/>
  <c r="U612" i="17"/>
  <c r="U609" i="20"/>
  <c r="X609" i="20" s="1"/>
  <c r="R613" i="17" l="1"/>
  <c r="AD612" i="17"/>
  <c r="Y609" i="20"/>
  <c r="G680" i="18"/>
  <c r="H680" i="18" s="1"/>
  <c r="I680" i="18" l="1"/>
  <c r="J680" i="18" s="1"/>
  <c r="R610" i="20"/>
  <c r="AD609" i="20"/>
  <c r="X613" i="17"/>
  <c r="Y613" i="17"/>
  <c r="U613" i="17"/>
  <c r="AA680" i="20" l="1"/>
  <c r="E681" i="18"/>
  <c r="AA680" i="17"/>
  <c r="AA680" i="19"/>
  <c r="AD680" i="19" s="1"/>
  <c r="R614" i="17"/>
  <c r="AD613" i="17"/>
  <c r="U610" i="20"/>
  <c r="X610" i="20" s="1"/>
  <c r="U614" i="17" l="1"/>
  <c r="Y610" i="20"/>
  <c r="G681" i="18"/>
  <c r="I681" i="18" s="1"/>
  <c r="R611" i="20" l="1"/>
  <c r="AD610" i="20"/>
  <c r="X614" i="17"/>
  <c r="Y614" i="17" s="1"/>
  <c r="J681" i="18"/>
  <c r="R615" i="17" l="1"/>
  <c r="AD614" i="17"/>
  <c r="AA681" i="20"/>
  <c r="E682" i="18"/>
  <c r="AA681" i="17"/>
  <c r="AA681" i="19"/>
  <c r="AD681" i="19" s="1"/>
  <c r="U611" i="20"/>
  <c r="X611" i="20" s="1"/>
  <c r="G682" i="18" l="1"/>
  <c r="I682" i="18"/>
  <c r="J682" i="18"/>
  <c r="Y611" i="20"/>
  <c r="U615" i="17"/>
  <c r="X615" i="17" s="1"/>
  <c r="R612" i="20" l="1"/>
  <c r="AD611" i="20"/>
  <c r="AA682" i="17"/>
  <c r="AA682" i="20"/>
  <c r="AA682" i="19"/>
  <c r="AD682" i="19" s="1"/>
  <c r="E683" i="18"/>
  <c r="Y615" i="17"/>
  <c r="G683" i="18" l="1"/>
  <c r="I683" i="18" s="1"/>
  <c r="H683" i="18"/>
  <c r="R616" i="17"/>
  <c r="AD615" i="17"/>
  <c r="U612" i="20"/>
  <c r="J683" i="18" l="1"/>
  <c r="X612" i="20"/>
  <c r="Y612" i="20" s="1"/>
  <c r="U616" i="17"/>
  <c r="R613" i="20" l="1"/>
  <c r="AD612" i="20"/>
  <c r="X616" i="17"/>
  <c r="Y616" i="17" s="1"/>
  <c r="AA683" i="17"/>
  <c r="E684" i="18"/>
  <c r="AA683" i="19"/>
  <c r="AD683" i="19" s="1"/>
  <c r="AA683" i="20"/>
  <c r="R617" i="17" l="1"/>
  <c r="AD616" i="17"/>
  <c r="X613" i="20"/>
  <c r="Y613" i="20" s="1"/>
  <c r="U613" i="20"/>
  <c r="G684" i="18"/>
  <c r="I684" i="18"/>
  <c r="J684" i="18" s="1"/>
  <c r="AA684" i="19" l="1"/>
  <c r="AD684" i="19" s="1"/>
  <c r="E685" i="18"/>
  <c r="AA684" i="17"/>
  <c r="AA684" i="20"/>
  <c r="R614" i="20"/>
  <c r="AD613" i="20"/>
  <c r="U617" i="17"/>
  <c r="X617" i="17" s="1"/>
  <c r="Y617" i="17" l="1"/>
  <c r="G685" i="18"/>
  <c r="I685" i="18"/>
  <c r="J685" i="18"/>
  <c r="X614" i="20"/>
  <c r="U614" i="20"/>
  <c r="Y614" i="20" s="1"/>
  <c r="R615" i="20" l="1"/>
  <c r="AD614" i="20"/>
  <c r="AA685" i="19"/>
  <c r="AD685" i="19" s="1"/>
  <c r="E686" i="18"/>
  <c r="AA685" i="20"/>
  <c r="AA685" i="17"/>
  <c r="R618" i="17"/>
  <c r="AD617" i="17"/>
  <c r="G686" i="18" l="1"/>
  <c r="I686" i="18"/>
  <c r="H686" i="18"/>
  <c r="J686" i="18"/>
  <c r="U618" i="17"/>
  <c r="X618" i="17" s="1"/>
  <c r="U615" i="20"/>
  <c r="X615" i="20" s="1"/>
  <c r="AA686" i="17" l="1"/>
  <c r="AA686" i="20"/>
  <c r="E687" i="18"/>
  <c r="AA686" i="19"/>
  <c r="AD686" i="19" s="1"/>
  <c r="Y615" i="20"/>
  <c r="Y618" i="17"/>
  <c r="R619" i="17" l="1"/>
  <c r="AD618" i="17"/>
  <c r="R616" i="20"/>
  <c r="AD615" i="20"/>
  <c r="G687" i="18"/>
  <c r="I687" i="18" s="1"/>
  <c r="J687" i="18" l="1"/>
  <c r="U616" i="20"/>
  <c r="X616" i="20" s="1"/>
  <c r="Y616" i="20" s="1"/>
  <c r="X619" i="17"/>
  <c r="Y619" i="17"/>
  <c r="U619" i="17"/>
  <c r="R617" i="20" l="1"/>
  <c r="AD616" i="20"/>
  <c r="R620" i="17"/>
  <c r="AD619" i="17"/>
  <c r="AA687" i="19"/>
  <c r="AD687" i="19" s="1"/>
  <c r="E688" i="18"/>
  <c r="AA687" i="17"/>
  <c r="AA687" i="20"/>
  <c r="G688" i="18" l="1"/>
  <c r="I688" i="18" s="1"/>
  <c r="U620" i="17"/>
  <c r="X620" i="17" s="1"/>
  <c r="U617" i="20"/>
  <c r="X617" i="20" s="1"/>
  <c r="Y620" i="17" l="1"/>
  <c r="Y617" i="20"/>
  <c r="J688" i="18"/>
  <c r="E689" i="18" l="1"/>
  <c r="AA688" i="19"/>
  <c r="AD688" i="19" s="1"/>
  <c r="AA688" i="17"/>
  <c r="AA688" i="20"/>
  <c r="R618" i="20"/>
  <c r="AD617" i="20"/>
  <c r="R621" i="17"/>
  <c r="AD620" i="17"/>
  <c r="U618" i="20" l="1"/>
  <c r="X621" i="17"/>
  <c r="U621" i="17"/>
  <c r="Y621" i="17" s="1"/>
  <c r="G689" i="18"/>
  <c r="H689" i="18"/>
  <c r="I689" i="18"/>
  <c r="J689" i="18"/>
  <c r="R622" i="17" l="1"/>
  <c r="AD621" i="17"/>
  <c r="X618" i="20"/>
  <c r="Y618" i="20" s="1"/>
  <c r="AA689" i="20"/>
  <c r="AA689" i="17"/>
  <c r="AA689" i="19"/>
  <c r="AD689" i="19" s="1"/>
  <c r="E690" i="18"/>
  <c r="R619" i="20" l="1"/>
  <c r="AD618" i="20"/>
  <c r="G690" i="18"/>
  <c r="I690" i="18"/>
  <c r="J690" i="18" s="1"/>
  <c r="U622" i="17"/>
  <c r="X622" i="17" s="1"/>
  <c r="Y622" i="17" s="1"/>
  <c r="R623" i="17" l="1"/>
  <c r="AD622" i="17"/>
  <c r="E691" i="18"/>
  <c r="AA690" i="20"/>
  <c r="AA690" i="19"/>
  <c r="AD690" i="19" s="1"/>
  <c r="AA690" i="17"/>
  <c r="U619" i="20"/>
  <c r="G691" i="18" l="1"/>
  <c r="I691" i="18"/>
  <c r="J691" i="18"/>
  <c r="X619" i="20"/>
  <c r="Y619" i="20" s="1"/>
  <c r="U623" i="17"/>
  <c r="X623" i="17" s="1"/>
  <c r="R620" i="20" l="1"/>
  <c r="AD619" i="20"/>
  <c r="AA691" i="20"/>
  <c r="AA691" i="17"/>
  <c r="E692" i="18"/>
  <c r="AA691" i="19"/>
  <c r="AD691" i="19" s="1"/>
  <c r="Y623" i="17"/>
  <c r="G692" i="18" l="1"/>
  <c r="H692" i="18" s="1"/>
  <c r="I692" i="18"/>
  <c r="R624" i="17"/>
  <c r="AD623" i="17"/>
  <c r="U620" i="20"/>
  <c r="X620" i="20" l="1"/>
  <c r="Y620" i="20" s="1"/>
  <c r="J692" i="18"/>
  <c r="U624" i="17"/>
  <c r="R621" i="20" l="1"/>
  <c r="AD620" i="20"/>
  <c r="X624" i="17"/>
  <c r="Y624" i="17" s="1"/>
  <c r="AA692" i="17"/>
  <c r="AA692" i="20"/>
  <c r="E693" i="18"/>
  <c r="AA692" i="19"/>
  <c r="AD692" i="19" s="1"/>
  <c r="R625" i="17" l="1"/>
  <c r="AD624" i="17"/>
  <c r="U621" i="20"/>
  <c r="X621" i="20" s="1"/>
  <c r="G693" i="18"/>
  <c r="I693" i="18"/>
  <c r="J693" i="18"/>
  <c r="Y621" i="20" l="1"/>
  <c r="E694" i="18"/>
  <c r="AA693" i="19"/>
  <c r="AD693" i="19" s="1"/>
  <c r="AA693" i="20"/>
  <c r="AA693" i="17"/>
  <c r="X625" i="17"/>
  <c r="U625" i="17"/>
  <c r="Y625" i="17" s="1"/>
  <c r="R626" i="17" l="1"/>
  <c r="AD625" i="17"/>
  <c r="G694" i="18"/>
  <c r="R622" i="20"/>
  <c r="AD621" i="20"/>
  <c r="I694" i="18" l="1"/>
  <c r="J694" i="18" s="1"/>
  <c r="U622" i="20"/>
  <c r="X626" i="17"/>
  <c r="U626" i="17"/>
  <c r="Y626" i="17" s="1"/>
  <c r="R627" i="17" l="1"/>
  <c r="AD626" i="17"/>
  <c r="Y622" i="20"/>
  <c r="AA694" i="19"/>
  <c r="AD694" i="19" s="1"/>
  <c r="E695" i="18"/>
  <c r="AA694" i="20"/>
  <c r="AA694" i="17"/>
  <c r="X622" i="20"/>
  <c r="G695" i="18" l="1"/>
  <c r="H695" i="18" s="1"/>
  <c r="J695" i="18" s="1"/>
  <c r="I695" i="18"/>
  <c r="R623" i="20"/>
  <c r="AD622" i="20"/>
  <c r="U627" i="17"/>
  <c r="X627" i="17" s="1"/>
  <c r="AA695" i="17" l="1"/>
  <c r="AA695" i="19"/>
  <c r="AD695" i="19" s="1"/>
  <c r="E696" i="18"/>
  <c r="AA695" i="20"/>
  <c r="X623" i="20"/>
  <c r="Y623" i="20" s="1"/>
  <c r="U623" i="20"/>
  <c r="Y627" i="17"/>
  <c r="R624" i="20" l="1"/>
  <c r="AD623" i="20"/>
  <c r="G696" i="18"/>
  <c r="R628" i="17"/>
  <c r="AD627" i="17"/>
  <c r="I696" i="18" l="1"/>
  <c r="J696" i="18" s="1"/>
  <c r="U628" i="17"/>
  <c r="X628" i="17" s="1"/>
  <c r="X624" i="20"/>
  <c r="U624" i="20"/>
  <c r="Y624" i="20" s="1"/>
  <c r="R625" i="20" l="1"/>
  <c r="AD624" i="20"/>
  <c r="AA696" i="20"/>
  <c r="AA696" i="19"/>
  <c r="AD696" i="19" s="1"/>
  <c r="AA696" i="17"/>
  <c r="E697" i="18"/>
  <c r="Y628" i="17"/>
  <c r="G697" i="18" l="1"/>
  <c r="R629" i="17"/>
  <c r="AD628" i="17"/>
  <c r="U625" i="20"/>
  <c r="X625" i="20" s="1"/>
  <c r="U629" i="17" l="1"/>
  <c r="X629" i="17" s="1"/>
  <c r="Y625" i="20"/>
  <c r="I697" i="18"/>
  <c r="J697" i="18" s="1"/>
  <c r="AA697" i="19" l="1"/>
  <c r="AD697" i="19" s="1"/>
  <c r="AA697" i="17"/>
  <c r="AA697" i="20"/>
  <c r="E698" i="18"/>
  <c r="R626" i="20"/>
  <c r="AD625" i="20"/>
  <c r="Y629" i="17"/>
  <c r="G698" i="18" l="1"/>
  <c r="H698" i="18"/>
  <c r="I698" i="18"/>
  <c r="J698" i="18"/>
  <c r="X626" i="20"/>
  <c r="Y626" i="20"/>
  <c r="U626" i="20"/>
  <c r="R630" i="17"/>
  <c r="AD629" i="17"/>
  <c r="AA698" i="17" l="1"/>
  <c r="E699" i="18"/>
  <c r="AA698" i="19"/>
  <c r="AD698" i="19" s="1"/>
  <c r="AA698" i="20"/>
  <c r="R627" i="20"/>
  <c r="AD626" i="20"/>
  <c r="U630" i="17"/>
  <c r="X630" i="17" s="1"/>
  <c r="Y630" i="17" l="1"/>
  <c r="U627" i="20"/>
  <c r="X627" i="20" s="1"/>
  <c r="G699" i="18"/>
  <c r="I699" i="18"/>
  <c r="J699" i="18"/>
  <c r="AA699" i="20" l="1"/>
  <c r="E700" i="18"/>
  <c r="AA699" i="19"/>
  <c r="AD699" i="19" s="1"/>
  <c r="AA699" i="17"/>
  <c r="Y627" i="20"/>
  <c r="R631" i="17"/>
  <c r="AD630" i="17"/>
  <c r="R628" i="20" l="1"/>
  <c r="AD627" i="20"/>
  <c r="U631" i="17"/>
  <c r="X631" i="17" s="1"/>
  <c r="Y631" i="17" s="1"/>
  <c r="G700" i="18"/>
  <c r="I700" i="18"/>
  <c r="J700" i="18"/>
  <c r="R632" i="17" l="1"/>
  <c r="AD631" i="17"/>
  <c r="E701" i="18"/>
  <c r="AA700" i="20"/>
  <c r="AA700" i="19"/>
  <c r="AD700" i="19" s="1"/>
  <c r="AA700" i="17"/>
  <c r="U628" i="20"/>
  <c r="G701" i="18" l="1"/>
  <c r="H701" i="18" s="1"/>
  <c r="X628" i="20"/>
  <c r="Y628" i="20" s="1"/>
  <c r="U632" i="17"/>
  <c r="R629" i="20" l="1"/>
  <c r="AD628" i="20"/>
  <c r="I701" i="18"/>
  <c r="J701" i="18" s="1"/>
  <c r="X632" i="17"/>
  <c r="Y632" i="17" s="1"/>
  <c r="R633" i="17" l="1"/>
  <c r="AD632" i="17"/>
  <c r="AA701" i="19"/>
  <c r="AD701" i="19" s="1"/>
  <c r="AA701" i="17"/>
  <c r="AA701" i="20"/>
  <c r="E702" i="18"/>
  <c r="U629" i="20"/>
  <c r="X629" i="20" s="1"/>
  <c r="G702" i="18" l="1"/>
  <c r="I702" i="18"/>
  <c r="J702" i="18"/>
  <c r="Y629" i="20"/>
  <c r="U633" i="17"/>
  <c r="X633" i="17" s="1"/>
  <c r="R630" i="20" l="1"/>
  <c r="AD629" i="20"/>
  <c r="E703" i="18"/>
  <c r="AA702" i="19"/>
  <c r="AD702" i="19" s="1"/>
  <c r="AA702" i="20"/>
  <c r="AA702" i="17"/>
  <c r="Y633" i="17"/>
  <c r="G703" i="18" l="1"/>
  <c r="I703" i="18"/>
  <c r="J703" i="18"/>
  <c r="R634" i="17"/>
  <c r="AD633" i="17"/>
  <c r="U630" i="20"/>
  <c r="U634" i="17" l="1"/>
  <c r="X634" i="17" s="1"/>
  <c r="AA703" i="17"/>
  <c r="E704" i="18"/>
  <c r="AA703" i="20"/>
  <c r="AA703" i="19"/>
  <c r="AD703" i="19" s="1"/>
  <c r="X630" i="20"/>
  <c r="Y630" i="20" s="1"/>
  <c r="R631" i="20" l="1"/>
  <c r="AD630" i="20"/>
  <c r="G704" i="18"/>
  <c r="I704" i="18" s="1"/>
  <c r="Y634" i="17"/>
  <c r="H704" i="18" l="1"/>
  <c r="J704" i="18" s="1"/>
  <c r="R635" i="17"/>
  <c r="AD634" i="17"/>
  <c r="U631" i="20"/>
  <c r="X631" i="20" s="1"/>
  <c r="Y631" i="20" l="1"/>
  <c r="U635" i="17"/>
  <c r="AA704" i="17"/>
  <c r="AA704" i="19"/>
  <c r="AD704" i="19" s="1"/>
  <c r="AA704" i="20"/>
  <c r="E705" i="18"/>
  <c r="X635" i="17" l="1"/>
  <c r="Y635" i="17" s="1"/>
  <c r="G705" i="18"/>
  <c r="J705" i="18" s="1"/>
  <c r="I705" i="18"/>
  <c r="R632" i="20"/>
  <c r="AD631" i="20"/>
  <c r="AA705" i="20" l="1"/>
  <c r="AA705" i="19"/>
  <c r="AD705" i="19" s="1"/>
  <c r="AA705" i="17"/>
  <c r="E706" i="18"/>
  <c r="R636" i="17"/>
  <c r="AD635" i="17"/>
  <c r="U632" i="20"/>
  <c r="X632" i="20" l="1"/>
  <c r="Y632" i="20" s="1"/>
  <c r="U636" i="17"/>
  <c r="I706" i="18"/>
  <c r="G706" i="18"/>
  <c r="J706" i="18" s="1"/>
  <c r="AA706" i="20" l="1"/>
  <c r="E707" i="18"/>
  <c r="AA706" i="17"/>
  <c r="AA706" i="19"/>
  <c r="AD706" i="19" s="1"/>
  <c r="Y636" i="17"/>
  <c r="R633" i="20"/>
  <c r="AD632" i="20"/>
  <c r="X636" i="17"/>
  <c r="U633" i="20" l="1"/>
  <c r="R637" i="17"/>
  <c r="AD636" i="17"/>
  <c r="G707" i="18"/>
  <c r="I707" i="18"/>
  <c r="H707" i="18"/>
  <c r="J707" i="18"/>
  <c r="E708" i="18" l="1"/>
  <c r="AA707" i="17"/>
  <c r="AA707" i="19"/>
  <c r="AD707" i="19" s="1"/>
  <c r="AA707" i="20"/>
  <c r="X633" i="20"/>
  <c r="Y633" i="20" s="1"/>
  <c r="U637" i="17"/>
  <c r="X637" i="17" s="1"/>
  <c r="R634" i="20" l="1"/>
  <c r="AD633" i="20"/>
  <c r="Y637" i="17"/>
  <c r="G708" i="18"/>
  <c r="I708" i="18" s="1"/>
  <c r="R638" i="17" l="1"/>
  <c r="AD637" i="17"/>
  <c r="J708" i="18"/>
  <c r="U634" i="20"/>
  <c r="X634" i="20" l="1"/>
  <c r="Y634" i="20" s="1"/>
  <c r="AA708" i="20"/>
  <c r="E709" i="18"/>
  <c r="AA708" i="17"/>
  <c r="AA708" i="19"/>
  <c r="AD708" i="19" s="1"/>
  <c r="U638" i="17"/>
  <c r="X638" i="17" s="1"/>
  <c r="R635" i="20" l="1"/>
  <c r="AD634" i="20"/>
  <c r="G709" i="18"/>
  <c r="I709" i="18" s="1"/>
  <c r="J709" i="18" s="1"/>
  <c r="Y638" i="17"/>
  <c r="AA709" i="20" l="1"/>
  <c r="E710" i="18"/>
  <c r="AA709" i="19"/>
  <c r="AD709" i="19" s="1"/>
  <c r="AA709" i="17"/>
  <c r="R639" i="17"/>
  <c r="AD638" i="17"/>
  <c r="U635" i="20"/>
  <c r="U639" i="17" l="1"/>
  <c r="X639" i="17" s="1"/>
  <c r="X635" i="20"/>
  <c r="Y635" i="20" s="1"/>
  <c r="I710" i="18"/>
  <c r="G710" i="18"/>
  <c r="J710" i="18" s="1"/>
  <c r="H710" i="18"/>
  <c r="R636" i="20" l="1"/>
  <c r="AD635" i="20"/>
  <c r="AA710" i="19"/>
  <c r="AD710" i="19" s="1"/>
  <c r="AA710" i="17"/>
  <c r="AA710" i="20"/>
  <c r="E711" i="18"/>
  <c r="Y639" i="17"/>
  <c r="G711" i="18" l="1"/>
  <c r="I711" i="18"/>
  <c r="J711" i="18" s="1"/>
  <c r="R640" i="17"/>
  <c r="AD639" i="17"/>
  <c r="U636" i="20"/>
  <c r="E712" i="18" l="1"/>
  <c r="AA711" i="17"/>
  <c r="AA711" i="20"/>
  <c r="AA711" i="19"/>
  <c r="AD711" i="19" s="1"/>
  <c r="X636" i="20"/>
  <c r="Y636" i="20" s="1"/>
  <c r="U640" i="17"/>
  <c r="R637" i="20" l="1"/>
  <c r="AD636" i="20"/>
  <c r="G712" i="18"/>
  <c r="J712" i="18" s="1"/>
  <c r="I712" i="18"/>
  <c r="X640" i="17"/>
  <c r="Y640" i="17" s="1"/>
  <c r="R641" i="17" l="1"/>
  <c r="AD640" i="17"/>
  <c r="AA712" i="20"/>
  <c r="E713" i="18"/>
  <c r="AA712" i="17"/>
  <c r="AA712" i="19"/>
  <c r="AD712" i="19" s="1"/>
  <c r="U637" i="20"/>
  <c r="G713" i="18" l="1"/>
  <c r="I713" i="18"/>
  <c r="H713" i="18"/>
  <c r="J713" i="18" s="1"/>
  <c r="X637" i="20"/>
  <c r="Y637" i="20" s="1"/>
  <c r="U641" i="17"/>
  <c r="R638" i="20" l="1"/>
  <c r="AD637" i="20"/>
  <c r="AA713" i="17"/>
  <c r="E714" i="18"/>
  <c r="AA713" i="19"/>
  <c r="AD713" i="19" s="1"/>
  <c r="AA713" i="20"/>
  <c r="X641" i="17"/>
  <c r="Y641" i="17" s="1"/>
  <c r="R642" i="17" l="1"/>
  <c r="AD641" i="17"/>
  <c r="G714" i="18"/>
  <c r="J714" i="18" s="1"/>
  <c r="I714" i="18"/>
  <c r="U638" i="20"/>
  <c r="X638" i="20" s="1"/>
  <c r="Y638" i="20" s="1"/>
  <c r="R639" i="20" l="1"/>
  <c r="AD638" i="20"/>
  <c r="AA714" i="19"/>
  <c r="AD714" i="19" s="1"/>
  <c r="AA714" i="20"/>
  <c r="E715" i="18"/>
  <c r="AA714" i="17"/>
  <c r="U642" i="17"/>
  <c r="X642" i="17" s="1"/>
  <c r="G715" i="18" l="1"/>
  <c r="I715" i="18" s="1"/>
  <c r="Y642" i="17"/>
  <c r="U639" i="20"/>
  <c r="R643" i="17" l="1"/>
  <c r="AD642" i="17"/>
  <c r="J715" i="18"/>
  <c r="X639" i="20"/>
  <c r="Y639" i="20" s="1"/>
  <c r="R640" i="20" l="1"/>
  <c r="AD639" i="20"/>
  <c r="U643" i="17"/>
  <c r="X643" i="17" s="1"/>
  <c r="AA715" i="20"/>
  <c r="AA715" i="19"/>
  <c r="AD715" i="19" s="1"/>
  <c r="E716" i="18"/>
  <c r="AA715" i="17"/>
  <c r="Y643" i="17" l="1"/>
  <c r="G716" i="18"/>
  <c r="J716" i="18" s="1"/>
  <c r="H716" i="18"/>
  <c r="I716" i="18"/>
  <c r="U640" i="20"/>
  <c r="X640" i="20" s="1"/>
  <c r="AA716" i="20" l="1"/>
  <c r="AA716" i="19"/>
  <c r="AD716" i="19" s="1"/>
  <c r="AA716" i="17"/>
  <c r="E717" i="18"/>
  <c r="R644" i="17"/>
  <c r="AD643" i="17"/>
  <c r="Y640" i="20"/>
  <c r="U644" i="17" l="1"/>
  <c r="X644" i="17" s="1"/>
  <c r="G717" i="18"/>
  <c r="I717" i="18"/>
  <c r="J717" i="18"/>
  <c r="R641" i="20"/>
  <c r="AD640" i="20"/>
  <c r="E718" i="18" l="1"/>
  <c r="AA717" i="20"/>
  <c r="AA717" i="17"/>
  <c r="AA717" i="19"/>
  <c r="AD717" i="19" s="1"/>
  <c r="Y644" i="17"/>
  <c r="U641" i="20"/>
  <c r="X641" i="20" s="1"/>
  <c r="Y641" i="20" s="1"/>
  <c r="R642" i="20" l="1"/>
  <c r="AD641" i="20"/>
  <c r="R645" i="17"/>
  <c r="AD644" i="17"/>
  <c r="G718" i="18"/>
  <c r="I718" i="18"/>
  <c r="J718" i="18"/>
  <c r="AA718" i="20" l="1"/>
  <c r="AA718" i="19"/>
  <c r="AD718" i="19" s="1"/>
  <c r="AA718" i="17"/>
  <c r="E719" i="18"/>
  <c r="X645" i="17"/>
  <c r="Y645" i="17" s="1"/>
  <c r="U645" i="17"/>
  <c r="U642" i="20"/>
  <c r="X642" i="20" s="1"/>
  <c r="Y642" i="20" s="1"/>
  <c r="R646" i="17" l="1"/>
  <c r="AD645" i="17"/>
  <c r="R643" i="20"/>
  <c r="AD642" i="20"/>
  <c r="H719" i="18"/>
  <c r="J719" i="18" s="1"/>
  <c r="G719" i="18"/>
  <c r="I719" i="18"/>
  <c r="AA719" i="17" l="1"/>
  <c r="AA719" i="19"/>
  <c r="AD719" i="19" s="1"/>
  <c r="AA719" i="20"/>
  <c r="E720" i="18"/>
  <c r="X643" i="20"/>
  <c r="Y643" i="20" s="1"/>
  <c r="U643" i="20"/>
  <c r="U646" i="17"/>
  <c r="R644" i="20" l="1"/>
  <c r="AD643" i="20"/>
  <c r="X646" i="17"/>
  <c r="Y646" i="17" s="1"/>
  <c r="G720" i="18"/>
  <c r="J720" i="18" s="1"/>
  <c r="I720" i="18"/>
  <c r="E721" i="18" l="1"/>
  <c r="AA720" i="17"/>
  <c r="AA720" i="19"/>
  <c r="AD720" i="19" s="1"/>
  <c r="AA720" i="20"/>
  <c r="R647" i="17"/>
  <c r="AD646" i="17"/>
  <c r="U644" i="20"/>
  <c r="X644" i="20" s="1"/>
  <c r="U647" i="17" l="1"/>
  <c r="X647" i="17" s="1"/>
  <c r="Y644" i="20"/>
  <c r="G721" i="18"/>
  <c r="I721" i="18"/>
  <c r="J721" i="18"/>
  <c r="R645" i="20" l="1"/>
  <c r="AD644" i="20"/>
  <c r="AA721" i="17"/>
  <c r="AA721" i="20"/>
  <c r="AA721" i="19"/>
  <c r="AD721" i="19" s="1"/>
  <c r="E722" i="18"/>
  <c r="Y647" i="17"/>
  <c r="G722" i="18" l="1"/>
  <c r="H722" i="18"/>
  <c r="I722" i="18"/>
  <c r="J722" i="18" s="1"/>
  <c r="R648" i="17"/>
  <c r="AD647" i="17"/>
  <c r="U645" i="20"/>
  <c r="X645" i="20" s="1"/>
  <c r="AA722" i="17" l="1"/>
  <c r="E723" i="18"/>
  <c r="AA722" i="19"/>
  <c r="AD722" i="19" s="1"/>
  <c r="AA722" i="20"/>
  <c r="Y645" i="20"/>
  <c r="X648" i="17"/>
  <c r="U648" i="17"/>
  <c r="Y648" i="17" s="1"/>
  <c r="R649" i="17" l="1"/>
  <c r="AD648" i="17"/>
  <c r="G723" i="18"/>
  <c r="J723" i="18" s="1"/>
  <c r="I723" i="18"/>
  <c r="R646" i="20"/>
  <c r="AD645" i="20"/>
  <c r="AA723" i="19" l="1"/>
  <c r="AD723" i="19" s="1"/>
  <c r="AA723" i="17"/>
  <c r="AA723" i="20"/>
  <c r="E724" i="18"/>
  <c r="X646" i="20"/>
  <c r="Y646" i="20" s="1"/>
  <c r="U646" i="20"/>
  <c r="U649" i="17"/>
  <c r="R647" i="20" l="1"/>
  <c r="AD646" i="20"/>
  <c r="Y649" i="17"/>
  <c r="I724" i="18"/>
  <c r="J724" i="18" s="1"/>
  <c r="G724" i="18"/>
  <c r="X649" i="17"/>
  <c r="E725" i="18" l="1"/>
  <c r="AA724" i="19"/>
  <c r="AD724" i="19" s="1"/>
  <c r="AA724" i="20"/>
  <c r="AA724" i="17"/>
  <c r="R650" i="17"/>
  <c r="AD649" i="17"/>
  <c r="U647" i="20"/>
  <c r="X647" i="20" s="1"/>
  <c r="U650" i="17" l="1"/>
  <c r="X650" i="17" s="1"/>
  <c r="Y647" i="20"/>
  <c r="G725" i="18"/>
  <c r="H725" i="18"/>
  <c r="I725" i="18"/>
  <c r="J725" i="18"/>
  <c r="R648" i="20" l="1"/>
  <c r="AD647" i="20"/>
  <c r="Y650" i="17"/>
  <c r="AA725" i="19"/>
  <c r="AD725" i="19" s="1"/>
  <c r="E726" i="18"/>
  <c r="AA725" i="20"/>
  <c r="AA725" i="17"/>
  <c r="G726" i="18" l="1"/>
  <c r="I726" i="18" s="1"/>
  <c r="J726" i="18" s="1"/>
  <c r="R651" i="17"/>
  <c r="AD650" i="17"/>
  <c r="U648" i="20"/>
  <c r="AA726" i="20" l="1"/>
  <c r="E727" i="18"/>
  <c r="AA726" i="17"/>
  <c r="AA726" i="19"/>
  <c r="AD726" i="19" s="1"/>
  <c r="U651" i="17"/>
  <c r="X651" i="17" s="1"/>
  <c r="Y651" i="17" s="1"/>
  <c r="X648" i="20"/>
  <c r="Y648" i="20" s="1"/>
  <c r="R649" i="20" l="1"/>
  <c r="AD648" i="20"/>
  <c r="R652" i="17"/>
  <c r="AD651" i="17"/>
  <c r="G727" i="18"/>
  <c r="I727" i="18"/>
  <c r="J727" i="18"/>
  <c r="AA727" i="19" l="1"/>
  <c r="AD727" i="19" s="1"/>
  <c r="AA727" i="17"/>
  <c r="E728" i="18"/>
  <c r="AA727" i="20"/>
  <c r="X652" i="17"/>
  <c r="Y652" i="17"/>
  <c r="U652" i="17"/>
  <c r="U649" i="20"/>
  <c r="X649" i="20" s="1"/>
  <c r="R653" i="17" l="1"/>
  <c r="AD652" i="17"/>
  <c r="G728" i="18"/>
  <c r="H728" i="18" s="1"/>
  <c r="I728" i="18"/>
  <c r="Y649" i="20"/>
  <c r="J728" i="18" l="1"/>
  <c r="R650" i="20"/>
  <c r="AD649" i="20"/>
  <c r="U653" i="17"/>
  <c r="X653" i="17" l="1"/>
  <c r="Y653" i="17" s="1"/>
  <c r="U650" i="20"/>
  <c r="X650" i="20" s="1"/>
  <c r="AA728" i="19"/>
  <c r="AD728" i="19" s="1"/>
  <c r="E729" i="18"/>
  <c r="AA728" i="17"/>
  <c r="AA728" i="20"/>
  <c r="R654" i="17" l="1"/>
  <c r="AD653" i="17"/>
  <c r="Y650" i="20"/>
  <c r="G729" i="18"/>
  <c r="I729" i="18" s="1"/>
  <c r="R651" i="20" l="1"/>
  <c r="AD650" i="20"/>
  <c r="J729" i="18"/>
  <c r="U654" i="17"/>
  <c r="X654" i="17" s="1"/>
  <c r="Y654" i="17" l="1"/>
  <c r="AA729" i="19"/>
  <c r="AD729" i="19" s="1"/>
  <c r="AA729" i="20"/>
  <c r="E730" i="18"/>
  <c r="AA729" i="17"/>
  <c r="U651" i="20"/>
  <c r="X651" i="20" s="1"/>
  <c r="Y651" i="20" s="1"/>
  <c r="R652" i="20" l="1"/>
  <c r="AD651" i="20"/>
  <c r="G730" i="18"/>
  <c r="I730" i="18"/>
  <c r="J730" i="18" s="1"/>
  <c r="R655" i="17"/>
  <c r="AD654" i="17"/>
  <c r="AA730" i="19" l="1"/>
  <c r="AD730" i="19" s="1"/>
  <c r="AA730" i="20"/>
  <c r="E731" i="18"/>
  <c r="AA730" i="17"/>
  <c r="X655" i="17"/>
  <c r="Y655" i="17" s="1"/>
  <c r="U655" i="17"/>
  <c r="U652" i="20"/>
  <c r="X652" i="20" s="1"/>
  <c r="R656" i="17" l="1"/>
  <c r="AD655" i="17"/>
  <c r="G731" i="18"/>
  <c r="I731" i="18"/>
  <c r="H731" i="18"/>
  <c r="J731" i="18" s="1"/>
  <c r="Y652" i="20"/>
  <c r="AA731" i="20" l="1"/>
  <c r="AA731" i="17"/>
  <c r="E732" i="18"/>
  <c r="AA731" i="19"/>
  <c r="AD731" i="19" s="1"/>
  <c r="R653" i="20"/>
  <c r="AD652" i="20"/>
  <c r="U656" i="17"/>
  <c r="X656" i="17" s="1"/>
  <c r="U653" i="20" l="1"/>
  <c r="X653" i="20" s="1"/>
  <c r="G732" i="18"/>
  <c r="I732" i="18" s="1"/>
  <c r="Y656" i="17"/>
  <c r="J732" i="18" l="1"/>
  <c r="Y653" i="20"/>
  <c r="R657" i="17"/>
  <c r="AD656" i="17"/>
  <c r="U657" i="17" l="1"/>
  <c r="X657" i="17" s="1"/>
  <c r="R654" i="20"/>
  <c r="AD653" i="20"/>
  <c r="AA732" i="19"/>
  <c r="AD732" i="19" s="1"/>
  <c r="AA732" i="17"/>
  <c r="E733" i="18"/>
  <c r="AA732" i="20"/>
  <c r="U654" i="20" l="1"/>
  <c r="G733" i="18"/>
  <c r="I733" i="18" s="1"/>
  <c r="Y657" i="17"/>
  <c r="J733" i="18" l="1"/>
  <c r="X654" i="20"/>
  <c r="Y654" i="20" s="1"/>
  <c r="R658" i="17"/>
  <c r="AD657" i="17"/>
  <c r="R655" i="20" l="1"/>
  <c r="AD654" i="20"/>
  <c r="E734" i="18"/>
  <c r="AA733" i="20"/>
  <c r="AA733" i="19"/>
  <c r="AD733" i="19" s="1"/>
  <c r="AA733" i="17"/>
  <c r="U658" i="17"/>
  <c r="G734" i="18" l="1"/>
  <c r="J734" i="18" s="1"/>
  <c r="I734" i="18"/>
  <c r="H734" i="18"/>
  <c r="X658" i="17"/>
  <c r="Y658" i="17" s="1"/>
  <c r="U655" i="20"/>
  <c r="X655" i="20" s="1"/>
  <c r="Y655" i="20" s="1"/>
  <c r="R656" i="20" l="1"/>
  <c r="AD655" i="20"/>
  <c r="R659" i="17"/>
  <c r="AD658" i="17"/>
  <c r="AA734" i="17"/>
  <c r="AA734" i="19"/>
  <c r="AD734" i="19" s="1"/>
  <c r="AA734" i="20"/>
  <c r="E735" i="18"/>
  <c r="G735" i="18" l="1"/>
  <c r="I735" i="18"/>
  <c r="J735" i="18" s="1"/>
  <c r="X659" i="17"/>
  <c r="Y659" i="17"/>
  <c r="U659" i="17"/>
  <c r="U656" i="20"/>
  <c r="E736" i="18" l="1"/>
  <c r="AA735" i="19"/>
  <c r="AD735" i="19" s="1"/>
  <c r="AA735" i="20"/>
  <c r="AA735" i="17"/>
  <c r="X656" i="20"/>
  <c r="Y656" i="20" s="1"/>
  <c r="R660" i="17"/>
  <c r="AD659" i="17"/>
  <c r="R657" i="20" l="1"/>
  <c r="AD656" i="20"/>
  <c r="G736" i="18"/>
  <c r="I736" i="18"/>
  <c r="J736" i="18" s="1"/>
  <c r="U660" i="17"/>
  <c r="E737" i="18" l="1"/>
  <c r="AA736" i="20"/>
  <c r="AA736" i="17"/>
  <c r="AA736" i="19"/>
  <c r="AD736" i="19" s="1"/>
  <c r="X660" i="17"/>
  <c r="Y660" i="17" s="1"/>
  <c r="U657" i="20"/>
  <c r="X657" i="20" s="1"/>
  <c r="R661" i="17" l="1"/>
  <c r="AD660" i="17"/>
  <c r="G737" i="18"/>
  <c r="I737" i="18" s="1"/>
  <c r="H737" i="18"/>
  <c r="Y657" i="20"/>
  <c r="J737" i="18" l="1"/>
  <c r="R658" i="20"/>
  <c r="AD657" i="20"/>
  <c r="U661" i="17"/>
  <c r="X661" i="17" s="1"/>
  <c r="Y661" i="17" l="1"/>
  <c r="U658" i="20"/>
  <c r="X658" i="20" s="1"/>
  <c r="AA737" i="17"/>
  <c r="E738" i="18"/>
  <c r="AA737" i="20"/>
  <c r="AA737" i="19"/>
  <c r="AD737" i="19" s="1"/>
  <c r="Y658" i="20" l="1"/>
  <c r="G738" i="18"/>
  <c r="I738" i="18"/>
  <c r="J738" i="18"/>
  <c r="R662" i="17"/>
  <c r="AD661" i="17"/>
  <c r="R659" i="20" l="1"/>
  <c r="AD658" i="20"/>
  <c r="AA738" i="20"/>
  <c r="AA738" i="17"/>
  <c r="E739" i="18"/>
  <c r="AA738" i="19"/>
  <c r="AD738" i="19" s="1"/>
  <c r="U662" i="17"/>
  <c r="X662" i="17" s="1"/>
  <c r="G739" i="18" l="1"/>
  <c r="I739" i="18"/>
  <c r="J739" i="18" s="1"/>
  <c r="Y662" i="17"/>
  <c r="U659" i="20"/>
  <c r="AA739" i="20" l="1"/>
  <c r="AA739" i="19"/>
  <c r="AD739" i="19" s="1"/>
  <c r="AA739" i="17"/>
  <c r="E740" i="18"/>
  <c r="R663" i="17"/>
  <c r="AD662" i="17"/>
  <c r="X659" i="20"/>
  <c r="Y659" i="20" s="1"/>
  <c r="R660" i="20" l="1"/>
  <c r="AD659" i="20"/>
  <c r="G740" i="18"/>
  <c r="I740" i="18"/>
  <c r="H740" i="18"/>
  <c r="J740" i="18"/>
  <c r="U663" i="17"/>
  <c r="AA740" i="17" l="1"/>
  <c r="AA740" i="20"/>
  <c r="AA740" i="19"/>
  <c r="AD740" i="19" s="1"/>
  <c r="E741" i="18"/>
  <c r="X663" i="17"/>
  <c r="Y663" i="17" s="1"/>
  <c r="U660" i="20"/>
  <c r="X660" i="20" s="1"/>
  <c r="R664" i="17" l="1"/>
  <c r="AD663" i="17"/>
  <c r="G741" i="18"/>
  <c r="J741" i="18" s="1"/>
  <c r="I741" i="18"/>
  <c r="Y660" i="20"/>
  <c r="AA741" i="19" l="1"/>
  <c r="AD741" i="19" s="1"/>
  <c r="AA741" i="17"/>
  <c r="AA741" i="20"/>
  <c r="E742" i="18"/>
  <c r="R661" i="20"/>
  <c r="AD660" i="20"/>
  <c r="U664" i="17"/>
  <c r="G742" i="18" l="1"/>
  <c r="I742" i="18" s="1"/>
  <c r="X664" i="17"/>
  <c r="Y664" i="17" s="1"/>
  <c r="U661" i="20"/>
  <c r="X661" i="20" s="1"/>
  <c r="R665" i="17" l="1"/>
  <c r="AD664" i="17"/>
  <c r="Y661" i="20"/>
  <c r="J742" i="18"/>
  <c r="E743" i="18" l="1"/>
  <c r="AA742" i="17"/>
  <c r="AA742" i="20"/>
  <c r="AA742" i="19"/>
  <c r="AD742" i="19" s="1"/>
  <c r="R662" i="20"/>
  <c r="AD661" i="20"/>
  <c r="U665" i="17"/>
  <c r="U662" i="20" l="1"/>
  <c r="X665" i="17"/>
  <c r="Y665" i="17" s="1"/>
  <c r="G743" i="18"/>
  <c r="H743" i="18"/>
  <c r="I743" i="18"/>
  <c r="J743" i="18"/>
  <c r="R666" i="17" l="1"/>
  <c r="AD665" i="17"/>
  <c r="Y662" i="20"/>
  <c r="AA743" i="20"/>
  <c r="AA743" i="19"/>
  <c r="AD743" i="19" s="1"/>
  <c r="E744" i="18"/>
  <c r="AA743" i="17"/>
  <c r="X662" i="20"/>
  <c r="G744" i="18" l="1"/>
  <c r="I744" i="18"/>
  <c r="J744" i="18"/>
  <c r="R663" i="20"/>
  <c r="AD662" i="20"/>
  <c r="U666" i="17"/>
  <c r="AA744" i="17" l="1"/>
  <c r="E745" i="18"/>
  <c r="AA744" i="20"/>
  <c r="AA744" i="19"/>
  <c r="AD744" i="19" s="1"/>
  <c r="U663" i="20"/>
  <c r="X663" i="20" s="1"/>
  <c r="Y663" i="20" s="1"/>
  <c r="X666" i="17"/>
  <c r="Y666" i="17" s="1"/>
  <c r="R667" i="17" l="1"/>
  <c r="AD666" i="17"/>
  <c r="R664" i="20"/>
  <c r="AD663" i="20"/>
  <c r="G745" i="18"/>
  <c r="I745" i="18"/>
  <c r="J745" i="18"/>
  <c r="E746" i="18" l="1"/>
  <c r="AA745" i="20"/>
  <c r="AA745" i="17"/>
  <c r="AA745" i="19"/>
  <c r="AD745" i="19" s="1"/>
  <c r="X664" i="20"/>
  <c r="Y664" i="20" s="1"/>
  <c r="U664" i="20"/>
  <c r="U667" i="17"/>
  <c r="X667" i="17" s="1"/>
  <c r="R665" i="20" l="1"/>
  <c r="AD664" i="20"/>
  <c r="Y667" i="17"/>
  <c r="I746" i="18"/>
  <c r="G746" i="18"/>
  <c r="J746" i="18" s="1"/>
  <c r="H746" i="18"/>
  <c r="AA746" i="17" l="1"/>
  <c r="E747" i="18"/>
  <c r="AA746" i="19"/>
  <c r="AD746" i="19" s="1"/>
  <c r="AA746" i="20"/>
  <c r="R668" i="17"/>
  <c r="AD667" i="17"/>
  <c r="U665" i="20"/>
  <c r="X665" i="20" l="1"/>
  <c r="Y665" i="20" s="1"/>
  <c r="G747" i="18"/>
  <c r="I747" i="18" s="1"/>
  <c r="U668" i="17"/>
  <c r="X668" i="17" s="1"/>
  <c r="R666" i="20" l="1"/>
  <c r="AD665" i="20"/>
  <c r="J747" i="18"/>
  <c r="Y668" i="17"/>
  <c r="R669" i="17" l="1"/>
  <c r="AD668" i="17"/>
  <c r="AA747" i="17"/>
  <c r="E748" i="18"/>
  <c r="AA747" i="20"/>
  <c r="AA747" i="19"/>
  <c r="AD747" i="19" s="1"/>
  <c r="U666" i="20"/>
  <c r="X666" i="20" s="1"/>
  <c r="G748" i="18" l="1"/>
  <c r="I748" i="18"/>
  <c r="J748" i="18"/>
  <c r="Y666" i="20"/>
  <c r="U669" i="17"/>
  <c r="X669" i="17" s="1"/>
  <c r="Y669" i="17" l="1"/>
  <c r="R667" i="20"/>
  <c r="AD666" i="20"/>
  <c r="E749" i="18"/>
  <c r="AA748" i="17"/>
  <c r="AA748" i="20"/>
  <c r="AA748" i="19"/>
  <c r="AD748" i="19" s="1"/>
  <c r="U667" i="20" l="1"/>
  <c r="G749" i="18"/>
  <c r="H749" i="18" s="1"/>
  <c r="R670" i="17"/>
  <c r="AD669" i="17"/>
  <c r="X667" i="20" l="1"/>
  <c r="Y667" i="20" s="1"/>
  <c r="U670" i="17"/>
  <c r="J749" i="18"/>
  <c r="I749" i="18"/>
  <c r="R668" i="20" l="1"/>
  <c r="AD667" i="20"/>
  <c r="X670" i="17"/>
  <c r="Y670" i="17" s="1"/>
  <c r="AA749" i="20"/>
  <c r="AA749" i="19"/>
  <c r="AD749" i="19" s="1"/>
  <c r="AA749" i="17"/>
  <c r="E750" i="18"/>
  <c r="R671" i="17" l="1"/>
  <c r="AD670" i="17"/>
  <c r="G750" i="18"/>
  <c r="J750" i="18" s="1"/>
  <c r="I750" i="18"/>
  <c r="X668" i="20"/>
  <c r="U668" i="20"/>
  <c r="Y668" i="20" s="1"/>
  <c r="R669" i="20" l="1"/>
  <c r="AD668" i="20"/>
  <c r="AA750" i="17"/>
  <c r="E751" i="18"/>
  <c r="AA750" i="20"/>
  <c r="AA750" i="19"/>
  <c r="AD750" i="19" s="1"/>
  <c r="U671" i="17"/>
  <c r="X671" i="17" s="1"/>
  <c r="G751" i="18" l="1"/>
  <c r="Y671" i="17"/>
  <c r="U669" i="20"/>
  <c r="R672" i="17" l="1"/>
  <c r="AD671" i="17"/>
  <c r="I751" i="18"/>
  <c r="J751" i="18" s="1"/>
  <c r="X669" i="20"/>
  <c r="Y669" i="20" s="1"/>
  <c r="R670" i="20" l="1"/>
  <c r="AD669" i="20"/>
  <c r="AA751" i="17"/>
  <c r="AA751" i="20"/>
  <c r="AA751" i="19"/>
  <c r="AD751" i="19" s="1"/>
  <c r="E752" i="18"/>
  <c r="U672" i="17"/>
  <c r="X672" i="17" s="1"/>
  <c r="G752" i="18" l="1"/>
  <c r="I752" i="18"/>
  <c r="H752" i="18"/>
  <c r="J752" i="18"/>
  <c r="Y672" i="17"/>
  <c r="U670" i="20"/>
  <c r="X670" i="20" s="1"/>
  <c r="Y670" i="20" l="1"/>
  <c r="E753" i="18"/>
  <c r="AA752" i="19"/>
  <c r="AD752" i="19" s="1"/>
  <c r="AA752" i="20"/>
  <c r="AA752" i="17"/>
  <c r="R673" i="17"/>
  <c r="AD672" i="17"/>
  <c r="U673" i="17" l="1"/>
  <c r="G753" i="18"/>
  <c r="J753" i="18" s="1"/>
  <c r="I753" i="18"/>
  <c r="R671" i="20"/>
  <c r="AD670" i="20"/>
  <c r="AA753" i="19" l="1"/>
  <c r="AD753" i="19" s="1"/>
  <c r="AA753" i="20"/>
  <c r="E754" i="18"/>
  <c r="AA753" i="17"/>
  <c r="X673" i="17"/>
  <c r="Y673" i="17" s="1"/>
  <c r="U671" i="20"/>
  <c r="X671" i="20" s="1"/>
  <c r="R674" i="17" l="1"/>
  <c r="AD673" i="17"/>
  <c r="G754" i="18"/>
  <c r="Y671" i="20"/>
  <c r="I754" i="18" l="1"/>
  <c r="J754" i="18" s="1"/>
  <c r="R672" i="20"/>
  <c r="AD671" i="20"/>
  <c r="X674" i="17"/>
  <c r="Y674" i="17" s="1"/>
  <c r="U674" i="17"/>
  <c r="R675" i="17" l="1"/>
  <c r="AD674" i="17"/>
  <c r="AA754" i="19"/>
  <c r="AD754" i="19" s="1"/>
  <c r="E755" i="18"/>
  <c r="AA754" i="17"/>
  <c r="AA754" i="20"/>
  <c r="U672" i="20"/>
  <c r="X672" i="20" s="1"/>
  <c r="G755" i="18" l="1"/>
  <c r="H755" i="18" s="1"/>
  <c r="I755" i="18"/>
  <c r="Y672" i="20"/>
  <c r="U675" i="17"/>
  <c r="X675" i="17" s="1"/>
  <c r="R673" i="20" l="1"/>
  <c r="AD672" i="20"/>
  <c r="J755" i="18"/>
  <c r="Y675" i="17"/>
  <c r="R676" i="17" l="1"/>
  <c r="AD675" i="17"/>
  <c r="AA755" i="17"/>
  <c r="AA755" i="20"/>
  <c r="AA755" i="19"/>
  <c r="AD755" i="19" s="1"/>
  <c r="X673" i="20"/>
  <c r="U673" i="20"/>
  <c r="Y673" i="20" s="1"/>
  <c r="R674" i="20" l="1"/>
  <c r="AD673" i="20"/>
  <c r="X676" i="17"/>
  <c r="Y676" i="17"/>
  <c r="U676" i="17"/>
  <c r="R677" i="17" l="1"/>
  <c r="AD676" i="17"/>
  <c r="U674" i="20"/>
  <c r="X674" i="20" l="1"/>
  <c r="Y674" i="20" s="1"/>
  <c r="U677" i="17"/>
  <c r="X677" i="17" s="1"/>
  <c r="R675" i="20" l="1"/>
  <c r="AD674" i="20"/>
  <c r="Y677" i="17"/>
  <c r="R678" i="17" l="1"/>
  <c r="AD677" i="17"/>
  <c r="U675" i="20"/>
  <c r="X675" i="20" l="1"/>
  <c r="Y675" i="20" s="1"/>
  <c r="U678" i="17"/>
  <c r="X678" i="17" s="1"/>
  <c r="R676" i="20" l="1"/>
  <c r="AD675" i="20"/>
  <c r="Y678" i="17"/>
  <c r="R679" i="17" l="1"/>
  <c r="AD678" i="17"/>
  <c r="U676" i="20"/>
  <c r="X676" i="20" l="1"/>
  <c r="Y676" i="20" s="1"/>
  <c r="U679" i="17"/>
  <c r="R677" i="20" l="1"/>
  <c r="AD676" i="20"/>
  <c r="X679" i="17"/>
  <c r="Y679" i="17" s="1"/>
  <c r="R680" i="17" l="1"/>
  <c r="AD679" i="17"/>
  <c r="U677" i="20"/>
  <c r="X677" i="20" l="1"/>
  <c r="Y677" i="20" s="1"/>
  <c r="U680" i="17"/>
  <c r="R678" i="20" l="1"/>
  <c r="AD677" i="20"/>
  <c r="X680" i="17"/>
  <c r="Y680" i="17" s="1"/>
  <c r="R681" i="17" l="1"/>
  <c r="AD680" i="17"/>
  <c r="U678" i="20"/>
  <c r="X678" i="20" s="1"/>
  <c r="Y678" i="20" l="1"/>
  <c r="U681" i="17"/>
  <c r="X681" i="17" s="1"/>
  <c r="Y681" i="17" l="1"/>
  <c r="R679" i="20"/>
  <c r="AD678" i="20"/>
  <c r="U679" i="20" l="1"/>
  <c r="X679" i="20" s="1"/>
  <c r="R682" i="17"/>
  <c r="AD681" i="17"/>
  <c r="U682" i="17" l="1"/>
  <c r="Y679" i="20"/>
  <c r="R680" i="20" l="1"/>
  <c r="AD679" i="20"/>
  <c r="X682" i="17"/>
  <c r="Y682" i="17" s="1"/>
  <c r="R683" i="17" l="1"/>
  <c r="AD682" i="17"/>
  <c r="U680" i="20"/>
  <c r="X680" i="20" l="1"/>
  <c r="Y680" i="20" s="1"/>
  <c r="U683" i="17"/>
  <c r="R681" i="20" l="1"/>
  <c r="AD680" i="20"/>
  <c r="X683" i="17"/>
  <c r="Y683" i="17" s="1"/>
  <c r="R684" i="17" l="1"/>
  <c r="AD683" i="17"/>
  <c r="U681" i="20"/>
  <c r="X681" i="20" l="1"/>
  <c r="Y681" i="20" s="1"/>
  <c r="U684" i="17"/>
  <c r="R682" i="20" l="1"/>
  <c r="AD681" i="20"/>
  <c r="X684" i="17"/>
  <c r="Y684" i="17" s="1"/>
  <c r="R685" i="17" l="1"/>
  <c r="AD684" i="17"/>
  <c r="U682" i="20"/>
  <c r="X682" i="20" s="1"/>
  <c r="Y682" i="20" l="1"/>
  <c r="X685" i="17"/>
  <c r="U685" i="17"/>
  <c r="Y685" i="17" s="1"/>
  <c r="R686" i="17" l="1"/>
  <c r="AD685" i="17"/>
  <c r="R683" i="20"/>
  <c r="AD682" i="20"/>
  <c r="U683" i="20" l="1"/>
  <c r="U686" i="17"/>
  <c r="X686" i="17" s="1"/>
  <c r="Y686" i="17" l="1"/>
  <c r="X683" i="20"/>
  <c r="Y683" i="20" s="1"/>
  <c r="R684" i="20" l="1"/>
  <c r="AD683" i="20"/>
  <c r="R687" i="17"/>
  <c r="AD686" i="17"/>
  <c r="U687" i="17" l="1"/>
  <c r="X687" i="17" s="1"/>
  <c r="U684" i="20"/>
  <c r="X684" i="20" l="1"/>
  <c r="Y684" i="20" s="1"/>
  <c r="Y687" i="17"/>
  <c r="R685" i="20" l="1"/>
  <c r="AD684" i="20"/>
  <c r="R688" i="17"/>
  <c r="AD687" i="17"/>
  <c r="U688" i="17" l="1"/>
  <c r="X688" i="17" s="1"/>
  <c r="U685" i="20"/>
  <c r="X685" i="20" s="1"/>
  <c r="Y685" i="20" l="1"/>
  <c r="Y688" i="17"/>
  <c r="R689" i="17" l="1"/>
  <c r="AD688" i="17"/>
  <c r="R686" i="20"/>
  <c r="AD685" i="20"/>
  <c r="U686" i="20" l="1"/>
  <c r="U689" i="17"/>
  <c r="X689" i="17" l="1"/>
  <c r="Y689" i="17" s="1"/>
  <c r="X686" i="20"/>
  <c r="Y686" i="20" s="1"/>
  <c r="R687" i="20" l="1"/>
  <c r="AD686" i="20"/>
  <c r="R690" i="17"/>
  <c r="AD689" i="17"/>
  <c r="U690" i="17" l="1"/>
  <c r="U687" i="20"/>
  <c r="X687" i="20" l="1"/>
  <c r="Y687" i="20" s="1"/>
  <c r="X690" i="17"/>
  <c r="Y690" i="17" s="1"/>
  <c r="R691" i="17" l="1"/>
  <c r="AD690" i="17"/>
  <c r="R688" i="20"/>
  <c r="AD687" i="20"/>
  <c r="U688" i="20" l="1"/>
  <c r="U691" i="17"/>
  <c r="X691" i="17" l="1"/>
  <c r="Y691" i="17" s="1"/>
  <c r="X688" i="20"/>
  <c r="Y688" i="20" s="1"/>
  <c r="R689" i="20" l="1"/>
  <c r="AD688" i="20"/>
  <c r="R692" i="17"/>
  <c r="AD691" i="17"/>
  <c r="U689" i="20" l="1"/>
  <c r="U692" i="17"/>
  <c r="X692" i="17" s="1"/>
  <c r="Y692" i="17" l="1"/>
  <c r="X689" i="20"/>
  <c r="Y689" i="20" s="1"/>
  <c r="R690" i="20" l="1"/>
  <c r="AD689" i="20"/>
  <c r="R693" i="17"/>
  <c r="AD692" i="17"/>
  <c r="U693" i="17" l="1"/>
  <c r="U690" i="20"/>
  <c r="X690" i="20" s="1"/>
  <c r="Y690" i="20" l="1"/>
  <c r="X693" i="17"/>
  <c r="Y693" i="17" s="1"/>
  <c r="R694" i="17" l="1"/>
  <c r="AD693" i="17"/>
  <c r="R691" i="20"/>
  <c r="AD690" i="20"/>
  <c r="U691" i="20" l="1"/>
  <c r="U694" i="17"/>
  <c r="X694" i="17" s="1"/>
  <c r="Y694" i="17" l="1"/>
  <c r="X691" i="20"/>
  <c r="Y691" i="20" s="1"/>
  <c r="R692" i="20" l="1"/>
  <c r="AD691" i="20"/>
  <c r="R695" i="17"/>
  <c r="AD694" i="17"/>
  <c r="U695" i="17" l="1"/>
  <c r="U692" i="20"/>
  <c r="X692" i="20" l="1"/>
  <c r="Y692" i="20" s="1"/>
  <c r="X695" i="17"/>
  <c r="Y695" i="17" s="1"/>
  <c r="R696" i="17" l="1"/>
  <c r="AD695" i="17"/>
  <c r="R693" i="20"/>
  <c r="AD692" i="20"/>
  <c r="U693" i="20" l="1"/>
  <c r="U696" i="17"/>
  <c r="X696" i="17" s="1"/>
  <c r="Y696" i="17" l="1"/>
  <c r="X693" i="20"/>
  <c r="Y693" i="20" s="1"/>
  <c r="R694" i="20" l="1"/>
  <c r="AD693" i="20"/>
  <c r="R697" i="17"/>
  <c r="AD696" i="17"/>
  <c r="U697" i="17" l="1"/>
  <c r="U694" i="20"/>
  <c r="X694" i="20" l="1"/>
  <c r="Y694" i="20" s="1"/>
  <c r="X697" i="17"/>
  <c r="Y697" i="17" s="1"/>
  <c r="R698" i="17" l="1"/>
  <c r="AD697" i="17"/>
  <c r="R695" i="20"/>
  <c r="AD694" i="20"/>
  <c r="U695" i="20" l="1"/>
  <c r="X695" i="20" s="1"/>
  <c r="U698" i="17"/>
  <c r="X698" i="17" s="1"/>
  <c r="Y698" i="17" l="1"/>
  <c r="Y695" i="20"/>
  <c r="R696" i="20" l="1"/>
  <c r="AD695" i="20"/>
  <c r="R699" i="17"/>
  <c r="AD698" i="17"/>
  <c r="U699" i="17" l="1"/>
  <c r="U696" i="20"/>
  <c r="X696" i="20" s="1"/>
  <c r="Y696" i="20" l="1"/>
  <c r="X699" i="17"/>
  <c r="Y699" i="17" s="1"/>
  <c r="R700" i="17" l="1"/>
  <c r="AD699" i="17"/>
  <c r="R697" i="20"/>
  <c r="AD696" i="20"/>
  <c r="U697" i="20" l="1"/>
  <c r="U700" i="17"/>
  <c r="X700" i="17" s="1"/>
  <c r="Y697" i="20" l="1"/>
  <c r="Y700" i="17"/>
  <c r="X697" i="20"/>
  <c r="R698" i="20" l="1"/>
  <c r="AD697" i="20"/>
  <c r="R701" i="17"/>
  <c r="AD700" i="17"/>
  <c r="U701" i="17" l="1"/>
  <c r="X701" i="17" s="1"/>
  <c r="U698" i="20"/>
  <c r="X698" i="20" l="1"/>
  <c r="Y698" i="20" s="1"/>
  <c r="Y701" i="17"/>
  <c r="R699" i="20" l="1"/>
  <c r="AD698" i="20"/>
  <c r="R702" i="17"/>
  <c r="AD701" i="17"/>
  <c r="U702" i="17" l="1"/>
  <c r="U699" i="20"/>
  <c r="X699" i="20" s="1"/>
  <c r="Y699" i="20" l="1"/>
  <c r="X702" i="17"/>
  <c r="Y702" i="17" s="1"/>
  <c r="R703" i="17" l="1"/>
  <c r="AD702" i="17"/>
  <c r="R700" i="20"/>
  <c r="AD699" i="20"/>
  <c r="U700" i="20" l="1"/>
  <c r="X700" i="20" s="1"/>
  <c r="U703" i="17"/>
  <c r="X703" i="17" s="1"/>
  <c r="Y703" i="17" l="1"/>
  <c r="Y700" i="20"/>
  <c r="R701" i="20" l="1"/>
  <c r="AD700" i="20"/>
  <c r="R704" i="17"/>
  <c r="AD703" i="17"/>
  <c r="U704" i="17" l="1"/>
  <c r="X704" i="17" s="1"/>
  <c r="U701" i="20"/>
  <c r="X701" i="20" l="1"/>
  <c r="Y701" i="20" s="1"/>
  <c r="Y704" i="17"/>
  <c r="R702" i="20" l="1"/>
  <c r="AD701" i="20"/>
  <c r="R705" i="17"/>
  <c r="AD704" i="17"/>
  <c r="U705" i="17" l="1"/>
  <c r="U702" i="20"/>
  <c r="X702" i="20" s="1"/>
  <c r="Y702" i="20" l="1"/>
  <c r="X705" i="17"/>
  <c r="Y705" i="17" s="1"/>
  <c r="R706" i="17" l="1"/>
  <c r="AD705" i="17"/>
  <c r="R703" i="20"/>
  <c r="AD702" i="20"/>
  <c r="U703" i="20" l="1"/>
  <c r="U706" i="17"/>
  <c r="X706" i="17" s="1"/>
  <c r="Y706" i="17" s="1"/>
  <c r="R707" i="17" l="1"/>
  <c r="AD706" i="17"/>
  <c r="X703" i="20"/>
  <c r="Y703" i="20" s="1"/>
  <c r="R704" i="20" l="1"/>
  <c r="AD703" i="20"/>
  <c r="U707" i="17"/>
  <c r="X707" i="17" s="1"/>
  <c r="Y707" i="17" l="1"/>
  <c r="U704" i="20"/>
  <c r="X704" i="20" s="1"/>
  <c r="Y704" i="20" l="1"/>
  <c r="R708" i="17"/>
  <c r="AD707" i="17"/>
  <c r="U708" i="17" l="1"/>
  <c r="X708" i="17" s="1"/>
  <c r="R705" i="20"/>
  <c r="AD704" i="20"/>
  <c r="U705" i="20" l="1"/>
  <c r="X705" i="20" s="1"/>
  <c r="Y708" i="17"/>
  <c r="R709" i="17" l="1"/>
  <c r="AD708" i="17"/>
  <c r="Y705" i="20"/>
  <c r="R706" i="20" l="1"/>
  <c r="AD705" i="20"/>
  <c r="U709" i="17"/>
  <c r="X709" i="17" s="1"/>
  <c r="Y709" i="17" l="1"/>
  <c r="X706" i="20"/>
  <c r="U706" i="20"/>
  <c r="Y706" i="20" s="1"/>
  <c r="R707" i="20" l="1"/>
  <c r="AD706" i="20"/>
  <c r="R710" i="17"/>
  <c r="AD709" i="17"/>
  <c r="U710" i="17" l="1"/>
  <c r="X710" i="17" s="1"/>
  <c r="U707" i="20"/>
  <c r="X707" i="20" s="1"/>
  <c r="Y707" i="20" l="1"/>
  <c r="Y710" i="17"/>
  <c r="R711" i="17" l="1"/>
  <c r="AD710" i="17"/>
  <c r="R708" i="20"/>
  <c r="AD707" i="20"/>
  <c r="U708" i="20" l="1"/>
  <c r="U711" i="17"/>
  <c r="X711" i="17" l="1"/>
  <c r="Y711" i="17" s="1"/>
  <c r="X708" i="20"/>
  <c r="Y708" i="20" s="1"/>
  <c r="R709" i="20" l="1"/>
  <c r="AD708" i="20"/>
  <c r="R712" i="17"/>
  <c r="AD711" i="17"/>
  <c r="U712" i="17" l="1"/>
  <c r="X712" i="17" s="1"/>
  <c r="U709" i="20"/>
  <c r="X709" i="20" l="1"/>
  <c r="Y709" i="20" s="1"/>
  <c r="Y712" i="17"/>
  <c r="R710" i="20" l="1"/>
  <c r="AD709" i="20"/>
  <c r="R713" i="17"/>
  <c r="AD712" i="17"/>
  <c r="U713" i="17" l="1"/>
  <c r="X713" i="17" s="1"/>
  <c r="U710" i="20"/>
  <c r="Y710" i="20" l="1"/>
  <c r="X710" i="20"/>
  <c r="Y713" i="17"/>
  <c r="R711" i="20" l="1"/>
  <c r="AD710" i="20"/>
  <c r="R714" i="17"/>
  <c r="AD713" i="17"/>
  <c r="U714" i="17" l="1"/>
  <c r="X714" i="17" s="1"/>
  <c r="U711" i="20"/>
  <c r="X711" i="20" s="1"/>
  <c r="Y711" i="20" l="1"/>
  <c r="Y714" i="17"/>
  <c r="R715" i="17" l="1"/>
  <c r="AD714" i="17"/>
  <c r="R712" i="20"/>
  <c r="AD711" i="20"/>
  <c r="U712" i="20" l="1"/>
  <c r="X712" i="20" s="1"/>
  <c r="U715" i="17"/>
  <c r="X715" i="17" s="1"/>
  <c r="Y715" i="17" l="1"/>
  <c r="Y712" i="20"/>
  <c r="R713" i="20" l="1"/>
  <c r="AD712" i="20"/>
  <c r="R716" i="17"/>
  <c r="AD715" i="17"/>
  <c r="U716" i="17" l="1"/>
  <c r="X716" i="17" s="1"/>
  <c r="U713" i="20"/>
  <c r="X713" i="20" s="1"/>
  <c r="Y713" i="20" l="1"/>
  <c r="Y716" i="17"/>
  <c r="R717" i="17" l="1"/>
  <c r="AD716" i="17"/>
  <c r="R714" i="20"/>
  <c r="AD713" i="20"/>
  <c r="U714" i="20" l="1"/>
  <c r="U717" i="17"/>
  <c r="X717" i="17" l="1"/>
  <c r="Y717" i="17" s="1"/>
  <c r="X714" i="20"/>
  <c r="Y714" i="20" s="1"/>
  <c r="R715" i="20" l="1"/>
  <c r="AD714" i="20"/>
  <c r="R718" i="17"/>
  <c r="AD717" i="17"/>
  <c r="U718" i="17" l="1"/>
  <c r="U715" i="20"/>
  <c r="X715" i="20" s="1"/>
  <c r="Y715" i="20" l="1"/>
  <c r="X718" i="17"/>
  <c r="Y718" i="17" s="1"/>
  <c r="R719" i="17" l="1"/>
  <c r="AD718" i="17"/>
  <c r="R716" i="20"/>
  <c r="AD715" i="20"/>
  <c r="U716" i="20" l="1"/>
  <c r="X716" i="20" s="1"/>
  <c r="U719" i="17"/>
  <c r="X719" i="17" l="1"/>
  <c r="Y719" i="17" s="1"/>
  <c r="Y716" i="20"/>
  <c r="R720" i="17" l="1"/>
  <c r="AD719" i="17"/>
  <c r="R717" i="20"/>
  <c r="AD716" i="20"/>
  <c r="U717" i="20" l="1"/>
  <c r="X717" i="20" s="1"/>
  <c r="Y717" i="20" s="1"/>
  <c r="U720" i="17"/>
  <c r="X720" i="17" s="1"/>
  <c r="R718" i="20" l="1"/>
  <c r="AD717" i="20"/>
  <c r="Y720" i="17"/>
  <c r="R721" i="17" l="1"/>
  <c r="AD720" i="17"/>
  <c r="U718" i="20"/>
  <c r="X718" i="20" s="1"/>
  <c r="Y718" i="20" l="1"/>
  <c r="U721" i="17"/>
  <c r="X721" i="17" s="1"/>
  <c r="Y721" i="17" s="1"/>
  <c r="R722" i="17" l="1"/>
  <c r="AD721" i="17"/>
  <c r="R719" i="20"/>
  <c r="AD718" i="20"/>
  <c r="U719" i="20" l="1"/>
  <c r="X719" i="20" s="1"/>
  <c r="U722" i="17"/>
  <c r="X722" i="17" l="1"/>
  <c r="Y722" i="17" s="1"/>
  <c r="Y719" i="20"/>
  <c r="R723" i="17" l="1"/>
  <c r="AD722" i="17"/>
  <c r="R720" i="20"/>
  <c r="AD719" i="20"/>
  <c r="U720" i="20" l="1"/>
  <c r="X720" i="20" s="1"/>
  <c r="U723" i="17"/>
  <c r="X723" i="17" s="1"/>
  <c r="Y723" i="17" l="1"/>
  <c r="Y720" i="20"/>
  <c r="R721" i="20" l="1"/>
  <c r="AD720" i="20"/>
  <c r="R724" i="17"/>
  <c r="AD723" i="17"/>
  <c r="U724" i="17" l="1"/>
  <c r="X724" i="17" s="1"/>
  <c r="U721" i="20"/>
  <c r="X721" i="20" l="1"/>
  <c r="Y721" i="20" s="1"/>
  <c r="Y724" i="17"/>
  <c r="R722" i="20" l="1"/>
  <c r="AD721" i="20"/>
  <c r="R725" i="17"/>
  <c r="AD724" i="17"/>
  <c r="U725" i="17" l="1"/>
  <c r="U722" i="20"/>
  <c r="X722" i="20" l="1"/>
  <c r="Y722" i="20" s="1"/>
  <c r="X725" i="17"/>
  <c r="Y725" i="17" s="1"/>
  <c r="R726" i="17" l="1"/>
  <c r="AD725" i="17"/>
  <c r="R723" i="20"/>
  <c r="AD722" i="20"/>
  <c r="U723" i="20" l="1"/>
  <c r="X723" i="20" s="1"/>
  <c r="U726" i="17"/>
  <c r="X726" i="17" l="1"/>
  <c r="Y726" i="17" s="1"/>
  <c r="Y723" i="20"/>
  <c r="R727" i="17" l="1"/>
  <c r="AD726" i="17"/>
  <c r="R724" i="20"/>
  <c r="AD723" i="20"/>
  <c r="U724" i="20" l="1"/>
  <c r="X724" i="20" s="1"/>
  <c r="U727" i="17"/>
  <c r="X727" i="17" s="1"/>
  <c r="Y727" i="17" l="1"/>
  <c r="Y724" i="20"/>
  <c r="R725" i="20" l="1"/>
  <c r="AD724" i="20"/>
  <c r="R728" i="17"/>
  <c r="AD727" i="17"/>
  <c r="U728" i="17" l="1"/>
  <c r="X728" i="17" s="1"/>
  <c r="U725" i="20"/>
  <c r="X725" i="20" l="1"/>
  <c r="Y725" i="20" s="1"/>
  <c r="Y728" i="17"/>
  <c r="R726" i="20" l="1"/>
  <c r="AD725" i="20"/>
  <c r="R729" i="17"/>
  <c r="AD728" i="17"/>
  <c r="U729" i="17" l="1"/>
  <c r="U726" i="20"/>
  <c r="X726" i="20" l="1"/>
  <c r="Y726" i="20" s="1"/>
  <c r="X729" i="17"/>
  <c r="Y729" i="17" s="1"/>
  <c r="R730" i="17" l="1"/>
  <c r="AD729" i="17"/>
  <c r="R727" i="20"/>
  <c r="AD726" i="20"/>
  <c r="U727" i="20" l="1"/>
  <c r="U730" i="17"/>
  <c r="X730" i="17" s="1"/>
  <c r="Y730" i="17" l="1"/>
  <c r="X727" i="20"/>
  <c r="Y727" i="20" s="1"/>
  <c r="R728" i="20" l="1"/>
  <c r="AD727" i="20"/>
  <c r="R731" i="17"/>
  <c r="AD730" i="17"/>
  <c r="U731" i="17" l="1"/>
  <c r="U728" i="20"/>
  <c r="X728" i="20" s="1"/>
  <c r="Y728" i="20" l="1"/>
  <c r="X731" i="17"/>
  <c r="Y731" i="17" s="1"/>
  <c r="R732" i="17" l="1"/>
  <c r="AD731" i="17"/>
  <c r="R729" i="20"/>
  <c r="AD728" i="20"/>
  <c r="U729" i="20" l="1"/>
  <c r="X729" i="20" s="1"/>
  <c r="U732" i="17"/>
  <c r="X732" i="17" s="1"/>
  <c r="Y732" i="17" l="1"/>
  <c r="Y729" i="20"/>
  <c r="R730" i="20" l="1"/>
  <c r="AD729" i="20"/>
  <c r="R733" i="17"/>
  <c r="AD732" i="17"/>
  <c r="U733" i="17" l="1"/>
  <c r="U730" i="20"/>
  <c r="X730" i="20" l="1"/>
  <c r="Y730" i="20" s="1"/>
  <c r="X733" i="17"/>
  <c r="Y733" i="17" s="1"/>
  <c r="R734" i="17" l="1"/>
  <c r="AD733" i="17"/>
  <c r="R731" i="20"/>
  <c r="AD730" i="20"/>
  <c r="U731" i="20" l="1"/>
  <c r="X731" i="20" s="1"/>
  <c r="U734" i="17"/>
  <c r="X734" i="17" s="1"/>
  <c r="Y734" i="17" l="1"/>
  <c r="Y731" i="20"/>
  <c r="R732" i="20" l="1"/>
  <c r="AD731" i="20"/>
  <c r="R735" i="17"/>
  <c r="AD734" i="17"/>
  <c r="U735" i="17" l="1"/>
  <c r="X735" i="17" s="1"/>
  <c r="Y735" i="17" s="1"/>
  <c r="U732" i="20"/>
  <c r="R736" i="17" l="1"/>
  <c r="AD735" i="17"/>
  <c r="X732" i="20"/>
  <c r="Y732" i="20" s="1"/>
  <c r="R733" i="20" l="1"/>
  <c r="AD732" i="20"/>
  <c r="U736" i="17"/>
  <c r="X736" i="17" s="1"/>
  <c r="Y736" i="17" s="1"/>
  <c r="R737" i="17" l="1"/>
  <c r="AD736" i="17"/>
  <c r="U733" i="20"/>
  <c r="X733" i="20" s="1"/>
  <c r="Y733" i="20" l="1"/>
  <c r="U737" i="17"/>
  <c r="X737" i="17" s="1"/>
  <c r="Y737" i="17" l="1"/>
  <c r="R734" i="20"/>
  <c r="AD733" i="20"/>
  <c r="U734" i="20" l="1"/>
  <c r="X734" i="20" s="1"/>
  <c r="R738" i="17"/>
  <c r="AD737" i="17"/>
  <c r="U738" i="17" l="1"/>
  <c r="X738" i="17" s="1"/>
  <c r="Y734" i="20"/>
  <c r="R735" i="20" l="1"/>
  <c r="AD734" i="20"/>
  <c r="Y738" i="17"/>
  <c r="R739" i="17" l="1"/>
  <c r="AD738" i="17"/>
  <c r="U735" i="20"/>
  <c r="X735" i="20" s="1"/>
  <c r="Y735" i="20" l="1"/>
  <c r="U739" i="17"/>
  <c r="X739" i="17" l="1"/>
  <c r="Y739" i="17" s="1"/>
  <c r="R736" i="20"/>
  <c r="AD735" i="20"/>
  <c r="R740" i="17" l="1"/>
  <c r="AD739" i="17"/>
  <c r="U736" i="20"/>
  <c r="X736" i="20" l="1"/>
  <c r="Y736" i="20" s="1"/>
  <c r="U740" i="17"/>
  <c r="X740" i="17" s="1"/>
  <c r="Y740" i="17" s="1"/>
  <c r="R741" i="17" l="1"/>
  <c r="AD740" i="17"/>
  <c r="R737" i="20"/>
  <c r="AD736" i="20"/>
  <c r="U737" i="20" l="1"/>
  <c r="X737" i="20" s="1"/>
  <c r="U741" i="17"/>
  <c r="X741" i="17" l="1"/>
  <c r="Y741" i="17" s="1"/>
  <c r="Y737" i="20"/>
  <c r="R742" i="17" l="1"/>
  <c r="AD741" i="17"/>
  <c r="R738" i="20"/>
  <c r="AD737" i="20"/>
  <c r="U738" i="20" l="1"/>
  <c r="U742" i="17"/>
  <c r="X742" i="17" l="1"/>
  <c r="Y742" i="17" s="1"/>
  <c r="X738" i="20"/>
  <c r="Y738" i="20" s="1"/>
  <c r="R739" i="20" l="1"/>
  <c r="AD738" i="20"/>
  <c r="R743" i="17"/>
  <c r="AD742" i="17"/>
  <c r="U743" i="17" l="1"/>
  <c r="X743" i="17" s="1"/>
  <c r="U739" i="20"/>
  <c r="X739" i="20" l="1"/>
  <c r="Y739" i="20" s="1"/>
  <c r="Y743" i="17"/>
  <c r="R740" i="20" l="1"/>
  <c r="AD739" i="20"/>
  <c r="R744" i="17"/>
  <c r="AD743" i="17"/>
  <c r="U744" i="17" l="1"/>
  <c r="X744" i="17" s="1"/>
  <c r="U740" i="20"/>
  <c r="X740" i="20" l="1"/>
  <c r="Y740" i="20" s="1"/>
  <c r="Y744" i="17"/>
  <c r="R741" i="20" l="1"/>
  <c r="AD740" i="20"/>
  <c r="R745" i="17"/>
  <c r="AD744" i="17"/>
  <c r="U745" i="17" l="1"/>
  <c r="U741" i="20"/>
  <c r="X741" i="20" l="1"/>
  <c r="Y741" i="20" s="1"/>
  <c r="X745" i="17"/>
  <c r="Y745" i="17" s="1"/>
  <c r="R746" i="17" l="1"/>
  <c r="AD745" i="17"/>
  <c r="R742" i="20"/>
  <c r="AD741" i="20"/>
  <c r="U742" i="20" l="1"/>
  <c r="X742" i="20" s="1"/>
  <c r="U746" i="17"/>
  <c r="X746" i="17" l="1"/>
  <c r="Y746" i="17" s="1"/>
  <c r="Y742" i="20"/>
  <c r="R747" i="17" l="1"/>
  <c r="AD746" i="17"/>
  <c r="R743" i="20"/>
  <c r="AD742" i="20"/>
  <c r="U743" i="20" l="1"/>
  <c r="X743" i="20" s="1"/>
  <c r="U747" i="17"/>
  <c r="X747" i="17" l="1"/>
  <c r="Y747" i="17" s="1"/>
  <c r="Y743" i="20"/>
  <c r="R748" i="17" l="1"/>
  <c r="AD747" i="17"/>
  <c r="R744" i="20"/>
  <c r="AD743" i="20"/>
  <c r="U744" i="20" l="1"/>
  <c r="X744" i="20" s="1"/>
  <c r="U748" i="17"/>
  <c r="X748" i="17" l="1"/>
  <c r="Y748" i="17" s="1"/>
  <c r="Y744" i="20"/>
  <c r="R749" i="17" l="1"/>
  <c r="AD748" i="17"/>
  <c r="R745" i="20"/>
  <c r="AD744" i="20"/>
  <c r="U745" i="20" l="1"/>
  <c r="X745" i="20" s="1"/>
  <c r="U749" i="17"/>
  <c r="X749" i="17" s="1"/>
  <c r="Y749" i="17" l="1"/>
  <c r="Y745" i="20"/>
  <c r="R746" i="20" l="1"/>
  <c r="AD745" i="20"/>
  <c r="R750" i="17"/>
  <c r="AD749" i="17"/>
  <c r="U750" i="17" l="1"/>
  <c r="U746" i="20"/>
  <c r="X746" i="20" l="1"/>
  <c r="Y746" i="20" s="1"/>
  <c r="X750" i="17"/>
  <c r="Y750" i="17" s="1"/>
  <c r="R751" i="17" l="1"/>
  <c r="AD750" i="17"/>
  <c r="R747" i="20"/>
  <c r="AD746" i="20"/>
  <c r="U747" i="20" l="1"/>
  <c r="X747" i="20" s="1"/>
  <c r="U751" i="17"/>
  <c r="X751" i="17" s="1"/>
  <c r="Y751" i="17" l="1"/>
  <c r="Y747" i="20"/>
  <c r="R748" i="20" l="1"/>
  <c r="AD747" i="20"/>
  <c r="R752" i="17"/>
  <c r="AD751" i="17"/>
  <c r="U752" i="17" l="1"/>
  <c r="U748" i="20"/>
  <c r="X748" i="20" l="1"/>
  <c r="Y748" i="20" s="1"/>
  <c r="X752" i="17"/>
  <c r="Y752" i="17" s="1"/>
  <c r="R753" i="17" l="1"/>
  <c r="AD752" i="17"/>
  <c r="R749" i="20"/>
  <c r="AD748" i="20"/>
  <c r="U749" i="20" l="1"/>
  <c r="X749" i="20" s="1"/>
  <c r="U753" i="17"/>
  <c r="X753" i="17" l="1"/>
  <c r="Y753" i="17" s="1"/>
  <c r="Y749" i="20"/>
  <c r="R754" i="17" l="1"/>
  <c r="AD753" i="17"/>
  <c r="R750" i="20"/>
  <c r="AD749" i="20"/>
  <c r="U750" i="20" l="1"/>
  <c r="X750" i="20" s="1"/>
  <c r="U754" i="17"/>
  <c r="X754" i="17" l="1"/>
  <c r="Y754" i="17" s="1"/>
  <c r="Y750" i="20"/>
  <c r="R755" i="17" l="1"/>
  <c r="AD754" i="17"/>
  <c r="R751" i="20"/>
  <c r="AD750" i="20"/>
  <c r="U751" i="20" l="1"/>
  <c r="U755" i="17"/>
  <c r="X755" i="17" s="1"/>
  <c r="Y755" i="17" l="1"/>
  <c r="AD755" i="17" s="1"/>
  <c r="X751" i="20"/>
  <c r="Y751" i="20" s="1"/>
  <c r="R752" i="20" l="1"/>
  <c r="AD751" i="20"/>
  <c r="U752" i="20" l="1"/>
  <c r="X752" i="20" s="1"/>
  <c r="Y752" i="20" l="1"/>
  <c r="R753" i="20" l="1"/>
  <c r="AD752" i="20"/>
  <c r="U753" i="20" l="1"/>
  <c r="X753" i="20" s="1"/>
  <c r="Y753" i="20" l="1"/>
  <c r="R754" i="20" l="1"/>
  <c r="AD753" i="20"/>
  <c r="U754" i="20" l="1"/>
  <c r="X754" i="20" l="1"/>
  <c r="Y754" i="20" s="1"/>
  <c r="R755" i="20" l="1"/>
  <c r="AD754" i="20"/>
  <c r="U755" i="20" l="1"/>
  <c r="X755" i="20" l="1"/>
  <c r="Y755" i="20" s="1"/>
  <c r="AD755" i="20" s="1"/>
</calcChain>
</file>

<file path=xl/comments1.xml><?xml version="1.0" encoding="utf-8"?>
<comments xmlns="http://schemas.openxmlformats.org/spreadsheetml/2006/main">
  <authors>
    <author>d_tarac</author>
  </authors>
  <commentList>
    <comment ref="AJ2" authorId="0" shapeId="0">
      <text>
        <r>
          <rPr>
            <b/>
            <sz val="8"/>
            <color indexed="81"/>
            <rFont val="Tahoma"/>
            <family val="2"/>
          </rPr>
          <t>Elige el artículo por el cual deseas adquirir tu plan</t>
        </r>
      </text>
    </comment>
    <comment ref="AJ3" authorId="0" shapeId="0">
      <text>
        <r>
          <rPr>
            <b/>
            <sz val="8"/>
            <color indexed="81"/>
            <rFont val="Tahoma"/>
            <family val="2"/>
          </rPr>
          <t>Si conoces tu tasa de impuestos, favor de modificarla. De lo contrario elegir 30%</t>
        </r>
      </text>
    </comment>
    <comment ref="AJ22" authorId="0" shapeId="0">
      <text>
        <r>
          <rPr>
            <b/>
            <sz val="8"/>
            <color indexed="81"/>
            <rFont val="Tahoma"/>
            <family val="2"/>
          </rPr>
          <t>Elige la cantidad que deseas aportar de acuerdo a la periodicidad que hayas elegido</t>
        </r>
      </text>
    </comment>
  </commentList>
</comments>
</file>

<file path=xl/sharedStrings.xml><?xml version="1.0" encoding="utf-8"?>
<sst xmlns="http://schemas.openxmlformats.org/spreadsheetml/2006/main" count="451" uniqueCount="155">
  <si>
    <t>Año</t>
  </si>
  <si>
    <t>Plazo</t>
  </si>
  <si>
    <t>Mes</t>
  </si>
  <si>
    <t>Edad</t>
  </si>
  <si>
    <t>Saldo Anterior</t>
  </si>
  <si>
    <t>Aportación</t>
  </si>
  <si>
    <t>Bono</t>
  </si>
  <si>
    <t>Interés</t>
  </si>
  <si>
    <t>Cargo Fijo</t>
  </si>
  <si>
    <t>Cargo Administrativo</t>
  </si>
  <si>
    <t>Cargo Gestión Inversión</t>
  </si>
  <si>
    <t>Periodicidad</t>
  </si>
  <si>
    <t>Portafolio</t>
  </si>
  <si>
    <t>Interés Anual</t>
  </si>
  <si>
    <t>Interés Mensual</t>
  </si>
  <si>
    <t>% Bono</t>
  </si>
  <si>
    <t>mensual</t>
  </si>
  <si>
    <t>trimestral</t>
  </si>
  <si>
    <t>semestral</t>
  </si>
  <si>
    <t>anual</t>
  </si>
  <si>
    <t>Incremento Inflación</t>
  </si>
  <si>
    <t>Inflación</t>
  </si>
  <si>
    <t>Saldo Final</t>
  </si>
  <si>
    <t>Udi</t>
  </si>
  <si>
    <t>Aportación Anual</t>
  </si>
  <si>
    <t>Hombre</t>
  </si>
  <si>
    <t>Conservador Pesos</t>
  </si>
  <si>
    <t>Conservador Dólares</t>
  </si>
  <si>
    <t>Conservador Euros</t>
  </si>
  <si>
    <t>Dinámico Pesos</t>
  </si>
  <si>
    <t>Dinámico Dólares</t>
  </si>
  <si>
    <t>Dinámico Euros</t>
  </si>
  <si>
    <t>Pesos Revaluables</t>
  </si>
  <si>
    <t>China</t>
  </si>
  <si>
    <t>Brasil</t>
  </si>
  <si>
    <t>Oro</t>
  </si>
  <si>
    <t>BRIC</t>
  </si>
  <si>
    <t>Artículo</t>
  </si>
  <si>
    <t>Actualización con inflación</t>
  </si>
  <si>
    <t>% ISR</t>
  </si>
  <si>
    <t>Comentarios:</t>
  </si>
  <si>
    <t>Mensual</t>
  </si>
  <si>
    <t>Si</t>
  </si>
  <si>
    <t xml:space="preserve">el monto de inversión no debe ser mayor al 10% del ingreso anual del cliente con un tope máximo de 5 SMGA ($92,290) anualmente , </t>
  </si>
  <si>
    <t>Trimestral</t>
  </si>
  <si>
    <t>No</t>
  </si>
  <si>
    <t xml:space="preserve">el monto de inversión no debe ser mayor a $152,000 anualmente , </t>
  </si>
  <si>
    <t>Semestral</t>
  </si>
  <si>
    <t xml:space="preserve">la distribución entre los diferentes portafolios tiene que sumar 100% , </t>
  </si>
  <si>
    <t>Anual</t>
  </si>
  <si>
    <t>Mujer</t>
  </si>
  <si>
    <t>Pesos</t>
  </si>
  <si>
    <t>Euros</t>
  </si>
  <si>
    <t>Conservador</t>
  </si>
  <si>
    <t>Balanceado</t>
  </si>
  <si>
    <t>Revaluables</t>
  </si>
  <si>
    <t>Dólares</t>
  </si>
  <si>
    <t>Mercados Emergentes</t>
  </si>
  <si>
    <t>Plazo Comprometido</t>
  </si>
  <si>
    <t>Incremento con Inflación</t>
  </si>
  <si>
    <t>Aportaciones Adicionales</t>
  </si>
  <si>
    <t>No aplica</t>
  </si>
  <si>
    <t>Bono Acreditado</t>
  </si>
  <si>
    <t>% de Bono Acreditado</t>
  </si>
  <si>
    <t>Anualmente desde un inicio</t>
  </si>
  <si>
    <t>Única aportación adicional</t>
  </si>
  <si>
    <t xml:space="preserve">La  tasa de rendimiento proyectada antes de cargos, de  </t>
  </si>
  <si>
    <t>%,corresponde a una estimación con base en rendimientos históricos, por lo que es de carácter informativo.  Por ningún motivo representa un compromiso futuro para Allianz México S.A., Compañía de Seguros.</t>
  </si>
  <si>
    <t>Portafolios</t>
  </si>
  <si>
    <t>Moderado</t>
  </si>
  <si>
    <t>Dinámico</t>
  </si>
  <si>
    <t>Resumen de Resultados</t>
  </si>
  <si>
    <t>Pesos (Mex)</t>
  </si>
  <si>
    <t>Aportaciones Acumuladas</t>
  </si>
  <si>
    <t>Dólares USA</t>
  </si>
  <si>
    <t>Distribución de fondos</t>
  </si>
  <si>
    <t>Tasa</t>
  </si>
  <si>
    <t>Moderado Pesos</t>
  </si>
  <si>
    <t>Moderado Dólares</t>
  </si>
  <si>
    <t>Moderado Euros</t>
  </si>
  <si>
    <t>Tasa Ponderada Bruta</t>
  </si>
  <si>
    <t>Saldo Disponible</t>
  </si>
  <si>
    <t>Saldo del Fondo</t>
  </si>
  <si>
    <t>Mercado Emergentes</t>
  </si>
  <si>
    <t>Saldo Inicial</t>
  </si>
  <si>
    <t>Saldo Comprometido</t>
  </si>
  <si>
    <t>Simulador OptiMaxx plus</t>
  </si>
  <si>
    <t>Datos Generales</t>
  </si>
  <si>
    <t>Nombre</t>
  </si>
  <si>
    <t>Aportaciones</t>
  </si>
  <si>
    <t>Características</t>
  </si>
  <si>
    <t>Resumen</t>
  </si>
  <si>
    <t>% ISR del Cliente</t>
  </si>
  <si>
    <t>Aportación Acumulada</t>
  </si>
  <si>
    <t>Saldo disponible neto de retención de impuestos de Allianz</t>
  </si>
  <si>
    <t>Saldo Fondo</t>
  </si>
  <si>
    <t>Saldo Del Fondo</t>
  </si>
  <si>
    <t>Saldo disponible</t>
  </si>
  <si>
    <t>Saldo neto de retenciones</t>
  </si>
  <si>
    <t>Beneficio Fiscal Reinvertido</t>
  </si>
  <si>
    <t>Aportación Aual</t>
  </si>
  <si>
    <t>Reinvertido</t>
  </si>
  <si>
    <t>Beneficio Fiscal Re-invertido a una tasa del</t>
  </si>
  <si>
    <t>Tasa anual proyectada</t>
  </si>
  <si>
    <t>mensuales</t>
  </si>
  <si>
    <t>trimestrales</t>
  </si>
  <si>
    <t>semestrales</t>
  </si>
  <si>
    <t>anuales</t>
  </si>
  <si>
    <t>Tipo de Plan</t>
  </si>
  <si>
    <t>Todo retiro es acumulable al ingreso de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t>
  </si>
  <si>
    <t>Deducible 151</t>
  </si>
  <si>
    <t>Deducible 185</t>
  </si>
  <si>
    <t>Tope 151</t>
  </si>
  <si>
    <t>Tope 185</t>
  </si>
  <si>
    <t>Años</t>
  </si>
  <si>
    <t>Aportación Acum.</t>
  </si>
  <si>
    <t>Saldo proyectado a edad de 65</t>
  </si>
  <si>
    <t>Bono según la tabla</t>
  </si>
  <si>
    <t>Edad después del plazo</t>
  </si>
  <si>
    <t>Saldo proyectado a edad de 65 del cliente</t>
  </si>
  <si>
    <t>Alternativa del Cliente</t>
  </si>
  <si>
    <t>Base 151</t>
  </si>
  <si>
    <t>Base 185</t>
  </si>
  <si>
    <t>No Deducible 93</t>
  </si>
  <si>
    <t>Inflación anual</t>
  </si>
  <si>
    <t>Aportacion</t>
  </si>
  <si>
    <t>Valor con Inflación</t>
  </si>
  <si>
    <t>Periocidad</t>
  </si>
  <si>
    <t>Suma</t>
  </si>
  <si>
    <t>Intereses reales</t>
  </si>
  <si>
    <t>Saldo sin Bono</t>
  </si>
  <si>
    <t>Deducible Art. 151 (Antes Art. 176)</t>
  </si>
  <si>
    <t>Deducible Art. 185 (Antes Art. 218)</t>
  </si>
  <si>
    <t>Relación Intereses reales / Saldo</t>
  </si>
  <si>
    <t>Retiro</t>
  </si>
  <si>
    <t>Retiros</t>
  </si>
  <si>
    <t>Año de Retiro</t>
  </si>
  <si>
    <t>SMG</t>
  </si>
  <si>
    <t>5 SMG</t>
  </si>
  <si>
    <t>15 SMG</t>
  </si>
  <si>
    <t>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 Dicha retención actualmente es del 20%.</t>
  </si>
  <si>
    <t>Todo retiro es acumulable al ingreso del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t>
  </si>
  <si>
    <t>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exento de impuestos.</t>
  </si>
  <si>
    <t>La presente ilustración se ofrece únicamente a modo de guía y no debe ser considerada como un contrato desde el punto de vista legal. Para mayores detalles vea el folleto del cliente y las Condiciones de la Póliza. La presente ilustración se ofrece únicamente a modo de guía y no debe ser considerada como un contrato desde el punto de vista legal. Para mayores detalles vea el folleto del cliente y las Condiciones de la Póliza.</t>
  </si>
  <si>
    <t>Art. 93 (Antes Art. 109)</t>
  </si>
  <si>
    <t>Fideicomiso Art. 151 (Antes Art. 176)</t>
  </si>
  <si>
    <t>Retención</t>
  </si>
  <si>
    <t>APORRTACION MINIMA</t>
  </si>
  <si>
    <t>APORTACION MAXIMA</t>
  </si>
  <si>
    <t>El monto mínimo para cada fondo debe de ser de 12,000 pesos anuales</t>
  </si>
  <si>
    <t>De acuerdo a la Ley del Impuesto Sobre la Renta el importe de los depósitos, pagos o adquisiciones a que se refiere este artículo no podrán exceder en el año de calendario de que se trate, del equivalente a $152,000.00, considerando todos los conceptos. Por retiros se cobrará la tasa máxima vigente.</t>
  </si>
  <si>
    <t>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t>
  </si>
  <si>
    <t>5 UMA ANUAL</t>
  </si>
  <si>
    <t>De acuerdo a la Ley del Impuesto Sobre la Renta, el monto total de las deducciones personales no podrá exceder de la cantidad que resulte menor entre 5 UMAS anuales o del 10% de los ingresos anuales percibidos. El fondo exento a edad 65 será el equivalente a 15 salarios mínimos anuales (dicha exención se podrá realizar cada año) o 90 salarios mínimos anuales en una sola exhibición. Sobre excedente se pagará 20%.</t>
  </si>
  <si>
    <t>David Emanuel Partida Conde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</si>
</sst>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4" formatCode="_-&quot;$&quot;* #,##0.00_-;\-&quot;$&quot;* #,##0.00_-;_-&quot;$&quot;* &quot;-&quot;??_-;_-@_-"/>
    <numFmt numFmtId="43" formatCode="_-* #,##0.00_-;\-* #,##0.00_-;_-* &quot;-&quot;??_-;_-@_-"/>
    <numFmt numFmtId="164" formatCode="_-* #,##0.00\ _€_-;\-* #,##0.00\ _€_-;_-* &quot;-&quot;??\ _€_-;_-@_-"/>
    <numFmt numFmtId="165" formatCode="0.0%"/>
    <numFmt numFmtId="166" formatCode="#,##0.0"/>
    <numFmt numFmtId="167" formatCode="_-* #,##0_-;\-* #,##0_-;_-* &quot;-&quot;??_-;_-@_-"/>
    <numFmt numFmtId="168" formatCode="#,##0&quot; años&quot;"/>
    <numFmt numFmtId="169" formatCode="0.000%"/>
    <numFmt numFmtId="170" formatCode="#,##0_ ;\-#,##0\ "/>
    <numFmt numFmtId="171" formatCode="0.0000%"/>
    <numFmt numFmtId="172" formatCode="_-* #,##0.0000_-;\-* #,##0.0000_-;_-* &quot;-&quot;??_-;_-@_-"/>
  </numFmts>
  <fonts count="54">
    <font>
      <sz val="10"/>
      <name val="Arial"/>
    </font>
    <font>
      <sz val="10"/>
      <name val="Arial"/>
      <family val="2"/>
    </font>
    <font>
      <sz val="8"/>
      <name val="Allianz Sans"/>
      <family val="3"/>
    </font>
    <font>
      <sz val="8"/>
      <color indexed="9"/>
      <name val="Allianz Sans"/>
      <family val="3"/>
    </font>
    <font>
      <sz val="11"/>
      <color indexed="8"/>
      <name val="Calibri"/>
      <family val="2"/>
    </font>
    <font>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9"/>
      <name val="Calibri"/>
      <family val="2"/>
    </font>
    <font>
      <sz val="9"/>
      <color indexed="9"/>
      <name val="Calibri"/>
      <family val="2"/>
    </font>
    <font>
      <b/>
      <sz val="9"/>
      <name val="Calibri"/>
      <family val="2"/>
    </font>
    <font>
      <b/>
      <sz val="8"/>
      <color indexed="81"/>
      <name val="Tahoma"/>
      <family val="2"/>
    </font>
    <font>
      <b/>
      <sz val="8"/>
      <name val="Allianz Sans"/>
      <family val="3"/>
    </font>
    <font>
      <sz val="8"/>
      <color indexed="56"/>
      <name val="Allianz Sans"/>
      <family val="3"/>
    </font>
    <font>
      <sz val="8"/>
      <color indexed="18"/>
      <name val="Calibri"/>
      <family val="2"/>
    </font>
    <font>
      <sz val="9"/>
      <color indexed="18"/>
      <name val="Calibri"/>
      <family val="2"/>
    </font>
    <font>
      <sz val="8"/>
      <color indexed="18"/>
      <name val="Calibri"/>
      <family val="2"/>
    </font>
    <font>
      <sz val="10"/>
      <name val="Arial"/>
      <family val="2"/>
    </font>
    <font>
      <b/>
      <sz val="10"/>
      <name val="Arial"/>
      <family val="2"/>
    </font>
    <font>
      <b/>
      <sz val="10"/>
      <name val="Allianz Sans"/>
      <family val="3"/>
    </font>
    <font>
      <sz val="9"/>
      <name val="Allianz Sans"/>
      <family val="3"/>
    </font>
    <font>
      <sz val="9"/>
      <color indexed="9"/>
      <name val="Allianz Sans"/>
      <family val="3"/>
    </font>
    <font>
      <sz val="10"/>
      <name val="Allianz Sans"/>
      <family val="3"/>
    </font>
    <font>
      <b/>
      <sz val="9"/>
      <name val="Allianz Sans"/>
      <family val="3"/>
    </font>
    <font>
      <sz val="22"/>
      <color indexed="9"/>
      <name val="Allianz Sans"/>
      <family val="3"/>
    </font>
    <font>
      <b/>
      <u/>
      <sz val="10"/>
      <color indexed="56"/>
      <name val="Allianz Sans"/>
      <family val="3"/>
    </font>
    <font>
      <sz val="16"/>
      <color indexed="9"/>
      <name val="Allianz Sans"/>
      <family val="3"/>
    </font>
    <font>
      <b/>
      <sz val="10"/>
      <color indexed="10"/>
      <name val="Allianz Sans"/>
      <family val="3"/>
    </font>
    <font>
      <b/>
      <sz val="9"/>
      <color indexed="9"/>
      <name val="Allianz Sans"/>
      <family val="3"/>
    </font>
    <font>
      <b/>
      <sz val="10"/>
      <color indexed="56"/>
      <name val="Allianz Sans"/>
      <family val="3"/>
    </font>
    <font>
      <sz val="10"/>
      <color indexed="56"/>
      <name val="Allianz Sans"/>
      <family val="3"/>
    </font>
    <font>
      <b/>
      <sz val="8.5"/>
      <color indexed="56"/>
      <name val="Allianz Sans"/>
      <family val="3"/>
    </font>
    <font>
      <sz val="9"/>
      <color indexed="56"/>
      <name val="Allianz Sans"/>
      <family val="3"/>
    </font>
    <font>
      <b/>
      <sz val="9"/>
      <color indexed="10"/>
      <name val="Allianz Sans"/>
      <family val="3"/>
    </font>
    <font>
      <sz val="8"/>
      <color indexed="10"/>
      <name val="Allianz Sans"/>
      <family val="3"/>
    </font>
    <font>
      <sz val="11"/>
      <color indexed="9"/>
      <name val="Allianz Sans"/>
      <family val="3"/>
    </font>
    <font>
      <sz val="10"/>
      <color indexed="63"/>
      <name val="Allianz Sans"/>
      <family val="3"/>
    </font>
    <font>
      <sz val="10"/>
      <color indexed="10"/>
      <name val="Allianz Sans"/>
      <family val="3"/>
    </font>
    <font>
      <sz val="10"/>
      <color indexed="58"/>
      <name val="Allianz Sans"/>
      <family val="3"/>
    </font>
    <font>
      <b/>
      <u/>
      <sz val="9"/>
      <color indexed="9"/>
      <name val="Allianz Sans"/>
      <family val="3"/>
    </font>
    <font>
      <sz val="9"/>
      <color indexed="63"/>
      <name val="Allianz Sans"/>
      <family val="3"/>
    </font>
    <font>
      <b/>
      <sz val="9"/>
      <color indexed="56"/>
      <name val="Allianz Sans"/>
      <family val="3"/>
    </font>
    <font>
      <sz val="8"/>
      <color indexed="63"/>
      <name val="Allianz Sans"/>
      <family val="3"/>
    </font>
    <font>
      <sz val="9"/>
      <color indexed="10"/>
      <name val="Allianz Sans"/>
      <family val="3"/>
    </font>
    <font>
      <i/>
      <sz val="8"/>
      <name val="Allianz Sans"/>
      <family val="3"/>
    </font>
    <font>
      <sz val="7"/>
      <name val="Allianz Sans"/>
      <family val="3"/>
    </font>
    <font>
      <sz val="7"/>
      <color indexed="9"/>
      <name val="Allianz Sans"/>
      <family val="3"/>
    </font>
    <font>
      <b/>
      <u/>
      <sz val="9"/>
      <color theme="0"/>
      <name val="Allianz Sans"/>
      <family val="3"/>
    </font>
  </fonts>
  <fills count="3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2"/>
      </patternFill>
    </fill>
    <fill>
      <patternFill patternType="solid">
        <fgColor indexed="56"/>
        <bgColor indexed="64"/>
      </patternFill>
    </fill>
    <fill>
      <patternFill patternType="solid">
        <fgColor indexed="9"/>
        <bgColor indexed="64"/>
      </patternFill>
    </fill>
    <fill>
      <patternFill patternType="solid">
        <fgColor indexed="18"/>
        <bgColor indexed="64"/>
      </patternFill>
    </fill>
    <fill>
      <patternFill patternType="solid">
        <fgColor indexed="9"/>
        <bgColor indexed="44"/>
      </patternFill>
    </fill>
    <fill>
      <patternFill patternType="solid">
        <fgColor indexed="17"/>
        <bgColor indexed="64"/>
      </patternFill>
    </fill>
    <fill>
      <patternFill patternType="solid">
        <fgColor indexed="13"/>
        <bgColor indexed="64"/>
      </patternFill>
    </fill>
    <fill>
      <patternFill patternType="solid">
        <fgColor indexed="22"/>
        <bgColor indexed="64"/>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4" tint="0.39997558519241921"/>
        <bgColor indexed="64"/>
      </patternFill>
    </fill>
    <fill>
      <patternFill patternType="solid">
        <fgColor rgb="FF080163"/>
        <bgColor indexed="64"/>
      </patternFill>
    </fill>
  </fills>
  <borders count="78">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9"/>
      </top>
      <bottom/>
      <diagonal/>
    </border>
    <border>
      <left style="medium">
        <color indexed="56"/>
      </left>
      <right/>
      <top style="medium">
        <color indexed="56"/>
      </top>
      <bottom/>
      <diagonal/>
    </border>
    <border>
      <left/>
      <right/>
      <top style="medium">
        <color indexed="56"/>
      </top>
      <bottom/>
      <diagonal/>
    </border>
    <border>
      <left/>
      <right style="medium">
        <color indexed="56"/>
      </right>
      <top style="medium">
        <color indexed="56"/>
      </top>
      <bottom/>
      <diagonal/>
    </border>
    <border>
      <left style="medium">
        <color indexed="56"/>
      </left>
      <right/>
      <top/>
      <bottom style="medium">
        <color indexed="56"/>
      </bottom>
      <diagonal/>
    </border>
    <border>
      <left/>
      <right/>
      <top/>
      <bottom style="medium">
        <color indexed="56"/>
      </bottom>
      <diagonal/>
    </border>
    <border>
      <left/>
      <right style="medium">
        <color indexed="56"/>
      </right>
      <top/>
      <bottom style="medium">
        <color indexed="56"/>
      </bottom>
      <diagonal/>
    </border>
    <border>
      <left style="medium">
        <color indexed="56"/>
      </left>
      <right/>
      <top/>
      <bottom/>
      <diagonal/>
    </border>
    <border>
      <left/>
      <right style="medium">
        <color indexed="56"/>
      </right>
      <top/>
      <bottom/>
      <diagonal/>
    </border>
    <border>
      <left/>
      <right/>
      <top style="thin">
        <color indexed="64"/>
      </top>
      <bottom style="thin">
        <color indexed="64"/>
      </bottom>
      <diagonal/>
    </border>
    <border>
      <left style="medium">
        <color indexed="56"/>
      </left>
      <right style="thin">
        <color indexed="9"/>
      </right>
      <top style="medium">
        <color indexed="56"/>
      </top>
      <bottom style="thin">
        <color indexed="9"/>
      </bottom>
      <diagonal/>
    </border>
    <border>
      <left style="thin">
        <color indexed="9"/>
      </left>
      <right style="thin">
        <color indexed="9"/>
      </right>
      <top style="medium">
        <color indexed="56"/>
      </top>
      <bottom style="thin">
        <color indexed="9"/>
      </bottom>
      <diagonal/>
    </border>
    <border>
      <left/>
      <right style="thin">
        <color indexed="9"/>
      </right>
      <top style="medium">
        <color indexed="56"/>
      </top>
      <bottom style="thin">
        <color indexed="9"/>
      </bottom>
      <diagonal/>
    </border>
    <border>
      <left style="thin">
        <color indexed="9"/>
      </left>
      <right style="medium">
        <color indexed="56"/>
      </right>
      <top style="medium">
        <color indexed="56"/>
      </top>
      <bottom style="thin">
        <color indexed="9"/>
      </bottom>
      <diagonal/>
    </border>
    <border>
      <left style="medium">
        <color indexed="56"/>
      </left>
      <right style="thin">
        <color indexed="9"/>
      </right>
      <top style="thin">
        <color indexed="9"/>
      </top>
      <bottom style="medium">
        <color indexed="56"/>
      </bottom>
      <diagonal/>
    </border>
    <border>
      <left style="thin">
        <color indexed="9"/>
      </left>
      <right style="thin">
        <color indexed="9"/>
      </right>
      <top style="thin">
        <color indexed="9"/>
      </top>
      <bottom style="medium">
        <color indexed="56"/>
      </bottom>
      <diagonal/>
    </border>
    <border>
      <left/>
      <right style="thin">
        <color indexed="9"/>
      </right>
      <top style="thin">
        <color indexed="9"/>
      </top>
      <bottom style="medium">
        <color indexed="56"/>
      </bottom>
      <diagonal/>
    </border>
    <border>
      <left style="thin">
        <color indexed="9"/>
      </left>
      <right style="medium">
        <color indexed="56"/>
      </right>
      <top style="thin">
        <color indexed="9"/>
      </top>
      <bottom style="medium">
        <color indexed="56"/>
      </bottom>
      <diagonal/>
    </border>
    <border>
      <left/>
      <right style="thin">
        <color indexed="64"/>
      </right>
      <top style="thin">
        <color indexed="64"/>
      </top>
      <bottom style="thin">
        <color indexed="64"/>
      </bottom>
      <diagonal/>
    </border>
    <border>
      <left style="medium">
        <color indexed="56"/>
      </left>
      <right style="thin">
        <color indexed="9"/>
      </right>
      <top style="thin">
        <color indexed="56"/>
      </top>
      <bottom style="thin">
        <color indexed="56"/>
      </bottom>
      <diagonal/>
    </border>
    <border>
      <left style="thin">
        <color indexed="9"/>
      </left>
      <right style="medium">
        <color indexed="56"/>
      </right>
      <top style="thin">
        <color indexed="56"/>
      </top>
      <bottom style="thin">
        <color indexed="56"/>
      </bottom>
      <diagonal/>
    </border>
    <border>
      <left style="medium">
        <color indexed="56"/>
      </left>
      <right style="thin">
        <color indexed="9"/>
      </right>
      <top style="thin">
        <color indexed="56"/>
      </top>
      <bottom style="thin">
        <color indexed="9"/>
      </bottom>
      <diagonal/>
    </border>
    <border>
      <left style="thin">
        <color indexed="9"/>
      </left>
      <right style="thin">
        <color indexed="9"/>
      </right>
      <top style="thin">
        <color indexed="56"/>
      </top>
      <bottom style="thin">
        <color indexed="9"/>
      </bottom>
      <diagonal/>
    </border>
    <border>
      <left style="thin">
        <color indexed="9"/>
      </left>
      <right style="medium">
        <color indexed="56"/>
      </right>
      <top style="thin">
        <color indexed="56"/>
      </top>
      <bottom style="thin">
        <color indexed="9"/>
      </bottom>
      <diagonal/>
    </border>
    <border>
      <left style="medium">
        <color indexed="56"/>
      </left>
      <right style="thin">
        <color indexed="9"/>
      </right>
      <top style="thin">
        <color indexed="9"/>
      </top>
      <bottom style="thin">
        <color indexed="9"/>
      </bottom>
      <diagonal/>
    </border>
    <border>
      <left style="thin">
        <color indexed="9"/>
      </left>
      <right style="medium">
        <color indexed="56"/>
      </right>
      <top style="thin">
        <color indexed="9"/>
      </top>
      <bottom style="thin">
        <color indexed="9"/>
      </bottom>
      <diagonal/>
    </border>
    <border>
      <left/>
      <right style="thin">
        <color indexed="64"/>
      </right>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medium">
        <color indexed="55"/>
      </top>
      <bottom/>
      <diagonal/>
    </border>
    <border>
      <left style="medium">
        <color indexed="55"/>
      </left>
      <right/>
      <top style="medium">
        <color indexed="55"/>
      </top>
      <bottom style="medium">
        <color indexed="55"/>
      </bottom>
      <diagonal/>
    </border>
    <border>
      <left/>
      <right/>
      <top style="medium">
        <color indexed="55"/>
      </top>
      <bottom style="medium">
        <color indexed="55"/>
      </bottom>
      <diagonal/>
    </border>
    <border>
      <left/>
      <right style="medium">
        <color indexed="55"/>
      </right>
      <top style="medium">
        <color indexed="55"/>
      </top>
      <bottom style="medium">
        <color indexed="55"/>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9"/>
      </top>
      <bottom style="thin">
        <color indexed="9"/>
      </bottom>
      <diagonal/>
    </border>
    <border>
      <left/>
      <right style="medium">
        <color indexed="56"/>
      </right>
      <top style="thin">
        <color indexed="9"/>
      </top>
      <bottom style="thin">
        <color indexed="9"/>
      </bottom>
      <diagonal/>
    </border>
    <border>
      <left style="medium">
        <color indexed="56"/>
      </left>
      <right/>
      <top/>
      <bottom style="thin">
        <color indexed="56"/>
      </bottom>
      <diagonal/>
    </border>
    <border>
      <left/>
      <right/>
      <top/>
      <bottom style="thin">
        <color indexed="56"/>
      </bottom>
      <diagonal/>
    </border>
    <border>
      <left/>
      <right style="medium">
        <color indexed="56"/>
      </right>
      <top/>
      <bottom style="thin">
        <color indexed="56"/>
      </bottom>
      <diagonal/>
    </border>
    <border>
      <left style="medium">
        <color indexed="56"/>
      </left>
      <right/>
      <top style="thin">
        <color indexed="9"/>
      </top>
      <bottom style="thin">
        <color indexed="9"/>
      </bottom>
      <diagonal/>
    </border>
    <border>
      <left/>
      <right style="thin">
        <color indexed="9"/>
      </right>
      <top style="thin">
        <color indexed="9"/>
      </top>
      <bottom style="thin">
        <color indexed="9"/>
      </bottom>
      <diagonal/>
    </border>
    <border>
      <left style="medium">
        <color indexed="56"/>
      </left>
      <right/>
      <top style="thin">
        <color indexed="9"/>
      </top>
      <bottom/>
      <diagonal/>
    </border>
    <border>
      <left/>
      <right style="thin">
        <color indexed="9"/>
      </right>
      <top style="thin">
        <color indexed="9"/>
      </top>
      <bottom/>
      <diagonal/>
    </border>
    <border>
      <left style="thin">
        <color indexed="9"/>
      </left>
      <right/>
      <top style="medium">
        <color indexed="56"/>
      </top>
      <bottom style="thin">
        <color indexed="9"/>
      </bottom>
      <diagonal/>
    </border>
    <border>
      <left/>
      <right/>
      <top style="medium">
        <color indexed="56"/>
      </top>
      <bottom style="thin">
        <color indexed="9"/>
      </bottom>
      <diagonal/>
    </border>
    <border>
      <left style="thin">
        <color indexed="9"/>
      </left>
      <right/>
      <top style="thin">
        <color indexed="9"/>
      </top>
      <bottom/>
      <diagonal/>
    </border>
    <border>
      <left style="thin">
        <color indexed="9"/>
      </left>
      <right/>
      <top style="thin">
        <color indexed="9"/>
      </top>
      <bottom style="thin">
        <color indexed="9"/>
      </bottom>
      <diagonal/>
    </border>
    <border>
      <left/>
      <right/>
      <top style="medium">
        <color indexed="56"/>
      </top>
      <bottom style="medium">
        <color indexed="56"/>
      </bottom>
      <diagonal/>
    </border>
    <border>
      <left/>
      <right style="medium">
        <color indexed="56"/>
      </right>
      <top style="medium">
        <color indexed="56"/>
      </top>
      <bottom style="medium">
        <color indexed="56"/>
      </bottom>
      <diagonal/>
    </border>
    <border>
      <left style="thin">
        <color indexed="9"/>
      </left>
      <right/>
      <top style="thin">
        <color indexed="9"/>
      </top>
      <bottom style="medium">
        <color indexed="56"/>
      </bottom>
      <diagonal/>
    </border>
    <border>
      <left/>
      <right/>
      <top style="thin">
        <color indexed="9"/>
      </top>
      <bottom style="medium">
        <color indexed="56"/>
      </bottom>
      <diagonal/>
    </border>
    <border>
      <left style="thin">
        <color indexed="9"/>
      </left>
      <right/>
      <top style="thin">
        <color indexed="56"/>
      </top>
      <bottom style="thin">
        <color indexed="56"/>
      </bottom>
      <diagonal/>
    </border>
    <border>
      <left/>
      <right/>
      <top style="thin">
        <color indexed="56"/>
      </top>
      <bottom style="thin">
        <color indexed="56"/>
      </bottom>
      <diagonal/>
    </border>
    <border>
      <left/>
      <right style="thin">
        <color indexed="9"/>
      </right>
      <top style="thin">
        <color indexed="56"/>
      </top>
      <bottom style="thin">
        <color indexed="56"/>
      </bottom>
      <diagonal/>
    </border>
    <border>
      <left style="thin">
        <color indexed="9"/>
      </left>
      <right style="thin">
        <color indexed="9"/>
      </right>
      <top style="thin">
        <color indexed="9"/>
      </top>
      <bottom style="thin">
        <color indexed="9"/>
      </bottom>
      <diagonal/>
    </border>
    <border>
      <left style="medium">
        <color indexed="55"/>
      </left>
      <right/>
      <top style="medium">
        <color indexed="55"/>
      </top>
      <bottom/>
      <diagonal/>
    </border>
    <border>
      <left/>
      <right style="medium">
        <color indexed="55"/>
      </right>
      <top style="medium">
        <color indexed="55"/>
      </top>
      <bottom/>
      <diagonal/>
    </border>
    <border>
      <left style="medium">
        <color indexed="55"/>
      </left>
      <right/>
      <top/>
      <bottom style="medium">
        <color indexed="55"/>
      </bottom>
      <diagonal/>
    </border>
    <border>
      <left/>
      <right/>
      <top/>
      <bottom style="medium">
        <color indexed="55"/>
      </bottom>
      <diagonal/>
    </border>
    <border>
      <left/>
      <right style="medium">
        <color indexed="55"/>
      </right>
      <top/>
      <bottom style="medium">
        <color indexed="55"/>
      </bottom>
      <diagonal/>
    </border>
    <border>
      <left style="medium">
        <color indexed="56"/>
      </left>
      <right/>
      <top style="medium">
        <color indexed="56"/>
      </top>
      <bottom style="medium">
        <color indexed="56"/>
      </bottom>
      <diagonal/>
    </border>
    <border>
      <left style="medium">
        <color indexed="56"/>
      </left>
      <right style="thin">
        <color indexed="9"/>
      </right>
      <top/>
      <bottom style="thin">
        <color indexed="9"/>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right/>
      <top/>
      <bottom style="thin">
        <color indexed="9"/>
      </bottom>
      <diagonal/>
    </border>
    <border>
      <left/>
      <right style="medium">
        <color indexed="56"/>
      </right>
      <top/>
      <bottom style="thin">
        <color indexed="9"/>
      </bottom>
      <diagonal/>
    </border>
    <border>
      <left/>
      <right style="medium">
        <color indexed="56"/>
      </right>
      <top style="thin">
        <color indexed="9"/>
      </top>
      <bottom/>
      <diagonal/>
    </border>
  </borders>
  <cellStyleXfs count="36">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6" fillId="0" borderId="2" applyNumberFormat="0" applyFill="0" applyAlignment="0" applyProtection="0"/>
    <xf numFmtId="0" fontId="7" fillId="0" borderId="0" applyNumberFormat="0" applyFill="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8" fillId="7" borderId="1" applyNumberFormat="0" applyAlignment="0" applyProtection="0"/>
    <xf numFmtId="0" fontId="9" fillId="3"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0" fillId="20" borderId="0" applyNumberFormat="0" applyBorder="0" applyAlignment="0" applyProtection="0"/>
    <xf numFmtId="9" fontId="1" fillId="0" borderId="0" applyFont="0" applyFill="0" applyBorder="0" applyAlignment="0" applyProtection="0"/>
    <xf numFmtId="0" fontId="11" fillId="21" borderId="3" applyNumberFormat="0" applyAlignment="0" applyProtection="0"/>
    <xf numFmtId="0" fontId="12" fillId="0" borderId="0" applyNumberFormat="0" applyFill="0" applyBorder="0" applyAlignment="0" applyProtection="0"/>
    <xf numFmtId="0" fontId="13" fillId="0" borderId="4" applyNumberFormat="0" applyFill="0" applyAlignment="0" applyProtection="0"/>
  </cellStyleXfs>
  <cellXfs count="542">
    <xf numFmtId="0" fontId="0" fillId="0" borderId="0" xfId="0"/>
    <xf numFmtId="3" fontId="2" fillId="0" borderId="0" xfId="0" applyNumberFormat="1" applyFont="1"/>
    <xf numFmtId="3" fontId="2" fillId="0" borderId="0" xfId="0" applyNumberFormat="1" applyFont="1" applyAlignment="1">
      <alignment horizontal="center"/>
    </xf>
    <xf numFmtId="3" fontId="3" fillId="22" borderId="0" xfId="0" applyNumberFormat="1" applyFont="1" applyFill="1" applyAlignment="1">
      <alignment horizontal="center" vertical="center" wrapText="1"/>
    </xf>
    <xf numFmtId="3" fontId="2" fillId="0" borderId="0" xfId="0" applyNumberFormat="1" applyFont="1" applyFill="1"/>
    <xf numFmtId="9" fontId="0" fillId="0" borderId="0" xfId="0" applyNumberFormat="1"/>
    <xf numFmtId="3" fontId="15" fillId="22" borderId="0" xfId="0" applyNumberFormat="1" applyFont="1" applyFill="1" applyAlignment="1" applyProtection="1">
      <alignment horizontal="center" vertical="center"/>
    </xf>
    <xf numFmtId="165" fontId="2" fillId="0" borderId="0" xfId="32" applyNumberFormat="1" applyFont="1"/>
    <xf numFmtId="3" fontId="2" fillId="0" borderId="5" xfId="0" applyNumberFormat="1" applyFont="1" applyBorder="1" applyAlignment="1">
      <alignment horizontal="center"/>
    </xf>
    <xf numFmtId="3" fontId="2" fillId="0" borderId="0" xfId="0" applyNumberFormat="1" applyFont="1" applyBorder="1" applyAlignment="1">
      <alignment horizontal="center"/>
    </xf>
    <xf numFmtId="43" fontId="2" fillId="0" borderId="0" xfId="29" applyFont="1"/>
    <xf numFmtId="0" fontId="14" fillId="23" borderId="0" xfId="0" applyFont="1" applyFill="1"/>
    <xf numFmtId="0" fontId="14" fillId="23" borderId="0" xfId="0" applyFont="1" applyFill="1" applyAlignment="1">
      <alignment horizontal="center"/>
    </xf>
    <xf numFmtId="3" fontId="14" fillId="23" borderId="0" xfId="0" applyNumberFormat="1" applyFont="1" applyFill="1"/>
    <xf numFmtId="3" fontId="14" fillId="23" borderId="0" xfId="0" applyNumberFormat="1" applyFont="1" applyFill="1" applyAlignment="1">
      <alignment horizontal="center"/>
    </xf>
    <xf numFmtId="10" fontId="14" fillId="23" borderId="0" xfId="0" applyNumberFormat="1" applyFont="1" applyFill="1"/>
    <xf numFmtId="9" fontId="14" fillId="23" borderId="0" xfId="32" applyFont="1" applyFill="1"/>
    <xf numFmtId="43" fontId="14" fillId="23" borderId="0" xfId="29" applyFont="1" applyFill="1"/>
    <xf numFmtId="172" fontId="14" fillId="23" borderId="0" xfId="29" applyNumberFormat="1" applyFont="1" applyFill="1"/>
    <xf numFmtId="43" fontId="14" fillId="23" borderId="0" xfId="0" applyNumberFormat="1" applyFont="1" applyFill="1"/>
    <xf numFmtId="43" fontId="14" fillId="23" borderId="0" xfId="29" applyFont="1" applyFill="1" applyAlignment="1">
      <alignment horizontal="center"/>
    </xf>
    <xf numFmtId="171" fontId="14" fillId="23" borderId="0" xfId="0" applyNumberFormat="1" applyFont="1" applyFill="1"/>
    <xf numFmtId="0" fontId="15" fillId="24" borderId="0" xfId="0" applyFont="1" applyFill="1"/>
    <xf numFmtId="0" fontId="15" fillId="24" borderId="0" xfId="0" applyFont="1" applyFill="1" applyAlignment="1">
      <alignment horizontal="center"/>
    </xf>
    <xf numFmtId="0" fontId="14" fillId="23" borderId="5" xfId="0" applyFont="1" applyFill="1" applyBorder="1"/>
    <xf numFmtId="3" fontId="14" fillId="23" borderId="5" xfId="0" applyNumberFormat="1" applyFont="1" applyFill="1" applyBorder="1"/>
    <xf numFmtId="43" fontId="15" fillId="24" borderId="0" xfId="29" applyFont="1" applyFill="1" applyAlignment="1">
      <alignment horizontal="center"/>
    </xf>
    <xf numFmtId="43" fontId="14" fillId="23" borderId="5" xfId="29" applyFont="1" applyFill="1" applyBorder="1"/>
    <xf numFmtId="43" fontId="14" fillId="23" borderId="5" xfId="29" applyFont="1" applyFill="1" applyBorder="1" applyAlignment="1">
      <alignment horizontal="center"/>
    </xf>
    <xf numFmtId="0" fontId="14" fillId="23" borderId="5" xfId="0" applyFont="1" applyFill="1" applyBorder="1" applyAlignment="1">
      <alignment horizontal="center"/>
    </xf>
    <xf numFmtId="3" fontId="14" fillId="23" borderId="5" xfId="0" applyNumberFormat="1" applyFont="1" applyFill="1" applyBorder="1" applyAlignment="1">
      <alignment horizontal="center"/>
    </xf>
    <xf numFmtId="3" fontId="14" fillId="23" borderId="6" xfId="0" applyNumberFormat="1" applyFont="1" applyFill="1" applyBorder="1"/>
    <xf numFmtId="43" fontId="14" fillId="23" borderId="5" xfId="0" applyNumberFormat="1" applyFont="1" applyFill="1" applyBorder="1"/>
    <xf numFmtId="165" fontId="2" fillId="0" borderId="5" xfId="32" applyNumberFormat="1" applyFont="1" applyBorder="1" applyAlignment="1">
      <alignment horizontal="center"/>
    </xf>
    <xf numFmtId="3" fontId="2" fillId="0" borderId="5" xfId="0" applyNumberFormat="1" applyFont="1" applyBorder="1" applyAlignment="1">
      <alignment horizontal="left"/>
    </xf>
    <xf numFmtId="4" fontId="2" fillId="0" borderId="0" xfId="0" applyNumberFormat="1" applyFont="1"/>
    <xf numFmtId="4" fontId="3" fillId="22" borderId="0" xfId="0" applyNumberFormat="1" applyFont="1" applyFill="1" applyAlignment="1">
      <alignment horizontal="center" vertical="center" wrapText="1"/>
    </xf>
    <xf numFmtId="3" fontId="14" fillId="23" borderId="0" xfId="0" applyNumberFormat="1" applyFont="1" applyFill="1" applyAlignment="1">
      <alignment horizontal="center" vertical="center"/>
    </xf>
    <xf numFmtId="3" fontId="18" fillId="0" borderId="5" xfId="0" applyNumberFormat="1" applyFont="1" applyBorder="1" applyAlignment="1">
      <alignment horizontal="center"/>
    </xf>
    <xf numFmtId="3" fontId="15" fillId="29" borderId="0" xfId="0" applyNumberFormat="1" applyFont="1" applyFill="1" applyAlignment="1" applyProtection="1">
      <alignment horizontal="center" vertical="center"/>
    </xf>
    <xf numFmtId="43" fontId="14" fillId="23" borderId="7" xfId="29" applyFont="1" applyFill="1" applyBorder="1"/>
    <xf numFmtId="43" fontId="14" fillId="23" borderId="7" xfId="29" applyFont="1" applyFill="1" applyBorder="1" applyAlignment="1">
      <alignment horizontal="center"/>
    </xf>
    <xf numFmtId="0" fontId="14" fillId="23" borderId="7" xfId="0" applyFont="1" applyFill="1" applyBorder="1"/>
    <xf numFmtId="3" fontId="3" fillId="0" borderId="0" xfId="0" applyNumberFormat="1" applyFont="1" applyFill="1" applyAlignment="1">
      <alignment horizontal="center" vertical="center" wrapText="1"/>
    </xf>
    <xf numFmtId="3" fontId="18" fillId="0" borderId="0" xfId="0" applyNumberFormat="1" applyFont="1"/>
    <xf numFmtId="3" fontId="18" fillId="0" borderId="0" xfId="0" applyNumberFormat="1" applyFont="1" applyAlignment="1">
      <alignment horizontal="center"/>
    </xf>
    <xf numFmtId="43" fontId="16" fillId="23" borderId="0" xfId="29" applyFont="1" applyFill="1"/>
    <xf numFmtId="0" fontId="16" fillId="23" borderId="0" xfId="0" applyFont="1" applyFill="1"/>
    <xf numFmtId="0" fontId="16" fillId="23" borderId="0" xfId="0" applyFont="1" applyFill="1" applyAlignment="1">
      <alignment horizontal="center" vertical="center"/>
    </xf>
    <xf numFmtId="167" fontId="24" fillId="0" borderId="0" xfId="29" applyNumberFormat="1" applyFont="1"/>
    <xf numFmtId="0" fontId="24" fillId="0" borderId="0" xfId="0" applyFont="1"/>
    <xf numFmtId="3" fontId="24" fillId="30" borderId="0" xfId="0" applyNumberFormat="1" applyFont="1" applyFill="1"/>
    <xf numFmtId="9" fontId="24" fillId="30" borderId="0" xfId="32" applyFont="1" applyFill="1"/>
    <xf numFmtId="0" fontId="16" fillId="23" borderId="0" xfId="0" applyFont="1" applyFill="1" applyAlignment="1">
      <alignment horizontal="center"/>
    </xf>
    <xf numFmtId="3" fontId="16" fillId="23" borderId="0" xfId="0" applyNumberFormat="1" applyFont="1" applyFill="1" applyAlignment="1">
      <alignment horizontal="center"/>
    </xf>
    <xf numFmtId="43" fontId="16" fillId="23" borderId="0" xfId="29" applyFont="1" applyFill="1" applyAlignment="1">
      <alignment horizontal="left"/>
    </xf>
    <xf numFmtId="43" fontId="14" fillId="31" borderId="5" xfId="29" applyFont="1" applyFill="1" applyBorder="1"/>
    <xf numFmtId="3" fontId="16" fillId="30" borderId="0" xfId="0" applyNumberFormat="1" applyFont="1" applyFill="1" applyAlignment="1">
      <alignment horizontal="left"/>
    </xf>
    <xf numFmtId="0" fontId="16" fillId="30" borderId="0" xfId="0" applyFont="1" applyFill="1" applyAlignment="1">
      <alignment horizontal="left"/>
    </xf>
    <xf numFmtId="3" fontId="16" fillId="30" borderId="5" xfId="0" applyNumberFormat="1" applyFont="1" applyFill="1" applyBorder="1" applyAlignment="1">
      <alignment horizontal="center"/>
    </xf>
    <xf numFmtId="172" fontId="16" fillId="23" borderId="0" xfId="29" applyNumberFormat="1" applyFont="1" applyFill="1"/>
    <xf numFmtId="3" fontId="16" fillId="23" borderId="0" xfId="29" applyNumberFormat="1" applyFont="1" applyFill="1"/>
    <xf numFmtId="0" fontId="16" fillId="23" borderId="5" xfId="0" applyFont="1" applyFill="1" applyBorder="1" applyAlignment="1">
      <alignment horizontal="center"/>
    </xf>
    <xf numFmtId="172" fontId="16" fillId="23" borderId="5" xfId="29" applyNumberFormat="1" applyFont="1" applyFill="1" applyBorder="1" applyAlignment="1">
      <alignment horizontal="center"/>
    </xf>
    <xf numFmtId="3" fontId="2" fillId="0" borderId="0" xfId="0" applyNumberFormat="1" applyFont="1" applyFill="1" applyAlignment="1">
      <alignment horizontal="center"/>
    </xf>
    <xf numFmtId="4" fontId="2" fillId="0" borderId="0" xfId="0" applyNumberFormat="1" applyFont="1" applyFill="1"/>
    <xf numFmtId="165" fontId="2" fillId="0" borderId="0" xfId="32" applyNumberFormat="1" applyFont="1" applyFill="1"/>
    <xf numFmtId="9" fontId="2" fillId="0" borderId="0" xfId="32" applyFont="1" applyFill="1"/>
    <xf numFmtId="9" fontId="2" fillId="0" borderId="0" xfId="32" applyFont="1" applyFill="1" applyAlignment="1">
      <alignment horizontal="right"/>
    </xf>
    <xf numFmtId="3" fontId="2" fillId="31" borderId="0" xfId="0" applyNumberFormat="1" applyFont="1" applyFill="1"/>
    <xf numFmtId="3" fontId="2" fillId="31" borderId="0" xfId="0" applyNumberFormat="1" applyFont="1" applyFill="1" applyAlignment="1">
      <alignment horizontal="center"/>
    </xf>
    <xf numFmtId="3" fontId="2" fillId="31" borderId="0" xfId="0" applyNumberFormat="1" applyFont="1" applyFill="1" applyAlignment="1">
      <alignment horizontal="right"/>
    </xf>
    <xf numFmtId="165" fontId="2" fillId="31" borderId="0" xfId="32" applyNumberFormat="1" applyFont="1" applyFill="1"/>
    <xf numFmtId="10" fontId="2" fillId="31" borderId="0" xfId="32" applyNumberFormat="1" applyFont="1" applyFill="1"/>
    <xf numFmtId="9" fontId="2" fillId="31" borderId="0" xfId="32" applyFont="1" applyFill="1"/>
    <xf numFmtId="10" fontId="2" fillId="31" borderId="0" xfId="32" applyNumberFormat="1" applyFont="1" applyFill="1" applyAlignment="1">
      <alignment horizontal="right"/>
    </xf>
    <xf numFmtId="9" fontId="2" fillId="31" borderId="0" xfId="32" applyFont="1" applyFill="1" applyAlignment="1">
      <alignment horizontal="right"/>
    </xf>
    <xf numFmtId="4" fontId="2" fillId="31" borderId="0" xfId="0" applyNumberFormat="1" applyFont="1" applyFill="1" applyAlignment="1">
      <alignment horizontal="right"/>
    </xf>
    <xf numFmtId="3" fontId="18" fillId="31" borderId="0" xfId="0" applyNumberFormat="1" applyFont="1" applyFill="1"/>
    <xf numFmtId="165" fontId="18" fillId="31" borderId="0" xfId="32" applyNumberFormat="1" applyFont="1" applyFill="1" applyAlignment="1">
      <alignment horizontal="right"/>
    </xf>
    <xf numFmtId="165" fontId="18" fillId="31" borderId="0" xfId="32" applyNumberFormat="1" applyFont="1" applyFill="1"/>
    <xf numFmtId="10" fontId="18" fillId="31" borderId="0" xfId="32" applyNumberFormat="1" applyFont="1" applyFill="1"/>
    <xf numFmtId="9" fontId="19" fillId="31" borderId="0" xfId="32" applyFont="1" applyFill="1" applyAlignment="1">
      <alignment horizontal="right"/>
    </xf>
    <xf numFmtId="43" fontId="2" fillId="31" borderId="0" xfId="29" applyFont="1" applyFill="1"/>
    <xf numFmtId="3" fontId="2" fillId="32" borderId="0" xfId="0" applyNumberFormat="1" applyFont="1" applyFill="1"/>
    <xf numFmtId="166" fontId="2" fillId="31" borderId="0" xfId="0" applyNumberFormat="1" applyFont="1" applyFill="1" applyAlignment="1">
      <alignment horizontal="right"/>
    </xf>
    <xf numFmtId="0" fontId="16" fillId="23" borderId="0" xfId="0" applyFont="1" applyFill="1" applyAlignment="1">
      <alignment horizontal="left"/>
    </xf>
    <xf numFmtId="0" fontId="16" fillId="33" borderId="0" xfId="0" applyFont="1" applyFill="1" applyAlignment="1">
      <alignment horizontal="right"/>
    </xf>
    <xf numFmtId="167" fontId="16" fillId="33" borderId="0" xfId="29" applyNumberFormat="1" applyFont="1" applyFill="1" applyAlignment="1">
      <alignment horizontal="left"/>
    </xf>
    <xf numFmtId="167" fontId="14" fillId="23" borderId="0" xfId="29" applyNumberFormat="1" applyFont="1" applyFill="1"/>
    <xf numFmtId="3" fontId="14" fillId="23" borderId="0" xfId="0" applyNumberFormat="1" applyFont="1" applyFill="1" applyAlignment="1">
      <alignment horizontal="right"/>
    </xf>
    <xf numFmtId="167" fontId="16" fillId="23" borderId="0" xfId="0" applyNumberFormat="1" applyFont="1" applyFill="1"/>
    <xf numFmtId="0" fontId="16" fillId="31" borderId="0" xfId="0" applyFont="1" applyFill="1"/>
    <xf numFmtId="0" fontId="14" fillId="31" borderId="0" xfId="0" applyFont="1" applyFill="1"/>
    <xf numFmtId="9" fontId="14" fillId="23" borderId="0" xfId="29" applyNumberFormat="1" applyFont="1" applyFill="1"/>
    <xf numFmtId="0" fontId="14" fillId="29" borderId="0" xfId="0" applyFont="1" applyFill="1"/>
    <xf numFmtId="0" fontId="16" fillId="29" borderId="0" xfId="0" applyFont="1" applyFill="1"/>
    <xf numFmtId="167" fontId="14" fillId="29" borderId="0" xfId="29" applyNumberFormat="1" applyFont="1" applyFill="1"/>
    <xf numFmtId="167" fontId="16" fillId="29" borderId="0" xfId="0" applyNumberFormat="1" applyFont="1" applyFill="1"/>
    <xf numFmtId="167" fontId="14" fillId="31" borderId="0" xfId="0" applyNumberFormat="1" applyFont="1" applyFill="1"/>
    <xf numFmtId="167" fontId="14" fillId="23" borderId="0" xfId="0" applyNumberFormat="1" applyFont="1" applyFill="1"/>
    <xf numFmtId="167" fontId="14" fillId="23" borderId="0" xfId="0" applyNumberFormat="1" applyFont="1" applyFill="1" applyAlignment="1">
      <alignment horizontal="center"/>
    </xf>
    <xf numFmtId="9" fontId="16" fillId="30" borderId="0" xfId="32" applyFont="1" applyFill="1"/>
    <xf numFmtId="0" fontId="16" fillId="23" borderId="0" xfId="0" applyFont="1" applyFill="1" applyAlignment="1">
      <alignment horizontal="right"/>
    </xf>
    <xf numFmtId="167" fontId="16" fillId="23" borderId="0" xfId="29" applyNumberFormat="1" applyFont="1" applyFill="1"/>
    <xf numFmtId="0" fontId="16" fillId="23" borderId="0" xfId="29" applyNumberFormat="1" applyFont="1" applyFill="1"/>
    <xf numFmtId="3" fontId="16" fillId="23" borderId="0" xfId="0" applyNumberFormat="1" applyFont="1" applyFill="1" applyAlignment="1">
      <alignment horizontal="right"/>
    </xf>
    <xf numFmtId="3" fontId="2" fillId="34" borderId="0" xfId="0" applyNumberFormat="1" applyFont="1" applyFill="1" applyAlignment="1">
      <alignment horizontal="center"/>
    </xf>
    <xf numFmtId="10" fontId="16" fillId="23" borderId="0" xfId="32" applyNumberFormat="1" applyFont="1" applyFill="1"/>
    <xf numFmtId="10" fontId="16" fillId="23" borderId="0" xfId="32" applyNumberFormat="1" applyFont="1" applyFill="1" applyAlignment="1">
      <alignment horizontal="center"/>
    </xf>
    <xf numFmtId="164" fontId="14" fillId="23" borderId="0" xfId="0" applyNumberFormat="1" applyFont="1" applyFill="1"/>
    <xf numFmtId="3" fontId="26" fillId="0" borderId="0" xfId="0" applyNumberFormat="1" applyFont="1" applyAlignment="1" applyProtection="1">
      <alignment vertical="center"/>
    </xf>
    <xf numFmtId="3" fontId="27" fillId="23" borderId="0" xfId="0" applyNumberFormat="1" applyFont="1" applyFill="1" applyBorder="1" applyAlignment="1" applyProtection="1">
      <alignment vertical="center"/>
    </xf>
    <xf numFmtId="3" fontId="26" fillId="0" borderId="0" xfId="0" applyNumberFormat="1" applyFont="1" applyBorder="1" applyAlignment="1" applyProtection="1">
      <alignment vertical="center"/>
    </xf>
    <xf numFmtId="3" fontId="26" fillId="23" borderId="0" xfId="0" applyNumberFormat="1" applyFont="1" applyFill="1" applyBorder="1" applyAlignment="1" applyProtection="1">
      <alignment vertical="center"/>
    </xf>
    <xf numFmtId="3" fontId="26" fillId="22" borderId="0" xfId="0" applyNumberFormat="1" applyFont="1" applyFill="1" applyAlignment="1" applyProtection="1">
      <alignment vertical="center"/>
    </xf>
    <xf numFmtId="3" fontId="27" fillId="22" borderId="0" xfId="0" applyNumberFormat="1" applyFont="1" applyFill="1" applyAlignment="1" applyProtection="1">
      <alignment vertical="center"/>
    </xf>
    <xf numFmtId="0" fontId="28" fillId="0" borderId="0" xfId="0" applyFont="1" applyProtection="1"/>
    <xf numFmtId="0" fontId="28" fillId="0" borderId="8" xfId="0" applyFont="1" applyBorder="1" applyAlignment="1">
      <alignment horizontal="center"/>
    </xf>
    <xf numFmtId="0" fontId="28" fillId="0" borderId="9" xfId="0" applyFont="1" applyBorder="1" applyAlignment="1">
      <alignment horizontal="center"/>
    </xf>
    <xf numFmtId="0" fontId="28" fillId="0" borderId="10" xfId="0" applyFont="1" applyBorder="1" applyAlignment="1">
      <alignment horizontal="center"/>
    </xf>
    <xf numFmtId="0" fontId="28" fillId="0" borderId="11" xfId="0" applyFont="1" applyBorder="1" applyAlignment="1">
      <alignment horizontal="center"/>
    </xf>
    <xf numFmtId="3" fontId="27" fillId="22" borderId="0" xfId="0" applyNumberFormat="1" applyFont="1" applyFill="1" applyAlignment="1" applyProtection="1">
      <alignment horizontal="center" vertical="center"/>
    </xf>
    <xf numFmtId="0" fontId="28" fillId="0" borderId="0" xfId="0" applyFont="1" applyBorder="1" applyAlignment="1">
      <alignment horizontal="center"/>
    </xf>
    <xf numFmtId="0" fontId="28" fillId="0" borderId="12" xfId="0" applyFont="1" applyBorder="1" applyAlignment="1">
      <alignment horizontal="center"/>
    </xf>
    <xf numFmtId="0" fontId="28" fillId="0" borderId="13" xfId="0" applyFont="1" applyBorder="1" applyAlignment="1">
      <alignment horizontal="center"/>
    </xf>
    <xf numFmtId="0" fontId="28" fillId="0" borderId="14" xfId="0" applyFont="1" applyBorder="1" applyAlignment="1">
      <alignment horizontal="center"/>
    </xf>
    <xf numFmtId="0" fontId="27" fillId="22" borderId="0" xfId="0" applyNumberFormat="1" applyFont="1" applyFill="1" applyAlignment="1" applyProtection="1">
      <alignment horizontal="center" vertical="center"/>
    </xf>
    <xf numFmtId="9" fontId="27" fillId="22" borderId="0" xfId="32" applyFont="1" applyFill="1" applyAlignment="1" applyProtection="1">
      <alignment horizontal="center" vertical="center"/>
    </xf>
    <xf numFmtId="3" fontId="26" fillId="0" borderId="9" xfId="0" applyNumberFormat="1" applyFont="1" applyBorder="1" applyAlignment="1" applyProtection="1">
      <alignment vertical="center"/>
    </xf>
    <xf numFmtId="3" fontId="32" fillId="0" borderId="10" xfId="0" applyNumberFormat="1" applyFont="1" applyFill="1" applyBorder="1" applyAlignment="1" applyProtection="1">
      <alignment horizontal="center" vertical="center" wrapText="1"/>
    </xf>
    <xf numFmtId="3" fontId="32" fillId="0" borderId="11" xfId="0" applyNumberFormat="1" applyFont="1" applyFill="1" applyBorder="1" applyAlignment="1" applyProtection="1">
      <alignment horizontal="center" vertical="center" wrapText="1"/>
    </xf>
    <xf numFmtId="3" fontId="32" fillId="0" borderId="0" xfId="0" applyNumberFormat="1" applyFont="1" applyFill="1" applyBorder="1" applyAlignment="1" applyProtection="1">
      <alignment horizontal="center" vertical="center" wrapText="1"/>
    </xf>
    <xf numFmtId="0" fontId="27" fillId="22" borderId="0" xfId="0" applyNumberFormat="1" applyFont="1" applyFill="1" applyAlignment="1" applyProtection="1">
      <alignment horizontal="left" vertical="center"/>
    </xf>
    <xf numFmtId="3" fontId="26" fillId="0" borderId="15" xfId="0" applyNumberFormat="1" applyFont="1" applyBorder="1" applyAlignment="1" applyProtection="1">
      <alignment vertical="center"/>
    </xf>
    <xf numFmtId="3" fontId="26" fillId="0" borderId="16" xfId="0" applyNumberFormat="1" applyFont="1" applyBorder="1" applyAlignment="1" applyProtection="1">
      <alignment vertical="center"/>
    </xf>
    <xf numFmtId="3" fontId="33" fillId="0" borderId="0" xfId="0" applyNumberFormat="1" applyFont="1" applyBorder="1" applyAlignment="1" applyProtection="1">
      <alignment horizontal="center" wrapText="1"/>
    </xf>
    <xf numFmtId="3" fontId="34" fillId="22" borderId="0" xfId="0" applyNumberFormat="1" applyFont="1" applyFill="1" applyAlignment="1" applyProtection="1">
      <alignment vertical="center"/>
    </xf>
    <xf numFmtId="3" fontId="28" fillId="0" borderId="0" xfId="0" applyNumberFormat="1" applyFont="1" applyBorder="1" applyAlignment="1" applyProtection="1">
      <alignment vertical="center"/>
    </xf>
    <xf numFmtId="3" fontId="26" fillId="0" borderId="10" xfId="0" applyNumberFormat="1" applyFont="1" applyBorder="1" applyAlignment="1" applyProtection="1">
      <alignment vertical="center"/>
    </xf>
    <xf numFmtId="3" fontId="26" fillId="0" borderId="11" xfId="0" applyNumberFormat="1" applyFont="1" applyBorder="1" applyAlignment="1" applyProtection="1">
      <alignment vertical="center"/>
    </xf>
    <xf numFmtId="3" fontId="36" fillId="0" borderId="0" xfId="0" applyNumberFormat="1" applyFont="1" applyBorder="1" applyAlignment="1" applyProtection="1">
      <alignment vertical="top"/>
    </xf>
    <xf numFmtId="3" fontId="25" fillId="0" borderId="0" xfId="0" applyNumberFormat="1" applyFont="1" applyBorder="1" applyAlignment="1" applyProtection="1">
      <alignment vertical="top"/>
    </xf>
    <xf numFmtId="3" fontId="25" fillId="0" borderId="0" xfId="0" applyNumberFormat="1" applyFont="1" applyBorder="1" applyAlignment="1" applyProtection="1">
      <alignment vertical="center"/>
    </xf>
    <xf numFmtId="3" fontId="19" fillId="0" borderId="16" xfId="0" applyNumberFormat="1" applyFont="1" applyBorder="1" applyAlignment="1" applyProtection="1">
      <alignment vertical="top"/>
    </xf>
    <xf numFmtId="3" fontId="25" fillId="0" borderId="16" xfId="0" applyNumberFormat="1" applyFont="1" applyBorder="1" applyAlignment="1" applyProtection="1">
      <alignment vertical="top"/>
    </xf>
    <xf numFmtId="3" fontId="26" fillId="23" borderId="12" xfId="0" applyNumberFormat="1" applyFont="1" applyFill="1" applyBorder="1" applyAlignment="1" applyProtection="1">
      <alignment vertical="center"/>
    </xf>
    <xf numFmtId="168" fontId="36" fillId="25" borderId="13" xfId="0" applyNumberFormat="1" applyFont="1" applyFill="1" applyBorder="1" applyAlignment="1" applyProtection="1">
      <alignment horizontal="center" vertical="center" wrapText="1"/>
      <protection locked="0"/>
    </xf>
    <xf numFmtId="3" fontId="26" fillId="23" borderId="13" xfId="0" applyNumberFormat="1" applyFont="1" applyFill="1" applyBorder="1" applyAlignment="1" applyProtection="1">
      <alignment vertical="center" wrapText="1"/>
    </xf>
    <xf numFmtId="3" fontId="19" fillId="23" borderId="14" xfId="0" applyNumberFormat="1" applyFont="1" applyFill="1" applyBorder="1" applyAlignment="1" applyProtection="1">
      <alignment vertical="top" wrapText="1"/>
    </xf>
    <xf numFmtId="3" fontId="19" fillId="23" borderId="0" xfId="0" applyNumberFormat="1" applyFont="1" applyFill="1" applyBorder="1" applyAlignment="1" applyProtection="1">
      <alignment vertical="top" wrapText="1"/>
    </xf>
    <xf numFmtId="168" fontId="36" fillId="25" borderId="15" xfId="0" applyNumberFormat="1" applyFont="1" applyFill="1" applyBorder="1" applyAlignment="1" applyProtection="1">
      <alignment horizontal="center" vertical="center" wrapText="1"/>
      <protection locked="0"/>
    </xf>
    <xf numFmtId="168" fontId="36" fillId="25" borderId="0" xfId="0" applyNumberFormat="1" applyFont="1" applyFill="1" applyBorder="1" applyAlignment="1" applyProtection="1">
      <alignment horizontal="center" vertical="center" wrapText="1"/>
      <protection locked="0"/>
    </xf>
    <xf numFmtId="168" fontId="36" fillId="25" borderId="16" xfId="0" applyNumberFormat="1" applyFont="1" applyFill="1" applyBorder="1" applyAlignment="1" applyProtection="1">
      <alignment horizontal="center" vertical="center" wrapText="1"/>
      <protection locked="0"/>
    </xf>
    <xf numFmtId="3" fontId="26" fillId="23" borderId="0" xfId="0" applyNumberFormat="1" applyFont="1" applyFill="1" applyBorder="1" applyAlignment="1" applyProtection="1">
      <alignment vertical="center" wrapText="1"/>
    </xf>
    <xf numFmtId="3" fontId="26" fillId="23" borderId="9" xfId="0" applyNumberFormat="1" applyFont="1" applyFill="1" applyBorder="1" applyAlignment="1" applyProtection="1">
      <alignment vertical="center"/>
    </xf>
    <xf numFmtId="3" fontId="31" fillId="0" borderId="10" xfId="0" applyNumberFormat="1" applyFont="1" applyFill="1" applyBorder="1" applyAlignment="1" applyProtection="1">
      <alignment vertical="center" wrapText="1"/>
    </xf>
    <xf numFmtId="3" fontId="31" fillId="0" borderId="11" xfId="0" applyNumberFormat="1" applyFont="1" applyFill="1" applyBorder="1" applyAlignment="1" applyProtection="1">
      <alignment vertical="center" wrapText="1"/>
    </xf>
    <xf numFmtId="3" fontId="31" fillId="0" borderId="0" xfId="0" applyNumberFormat="1" applyFont="1" applyFill="1" applyBorder="1" applyAlignment="1" applyProtection="1">
      <alignment vertical="center" wrapText="1"/>
    </xf>
    <xf numFmtId="3" fontId="31" fillId="0" borderId="15" xfId="0" applyNumberFormat="1" applyFont="1" applyFill="1" applyBorder="1" applyAlignment="1" applyProtection="1">
      <alignment vertical="center" wrapText="1"/>
    </xf>
    <xf numFmtId="3" fontId="31" fillId="0" borderId="16" xfId="0" applyNumberFormat="1" applyFont="1" applyFill="1" applyBorder="1" applyAlignment="1" applyProtection="1">
      <alignment vertical="center" wrapText="1"/>
    </xf>
    <xf numFmtId="3" fontId="26" fillId="23" borderId="15" xfId="0" applyNumberFormat="1" applyFont="1" applyFill="1" applyBorder="1" applyAlignment="1" applyProtection="1">
      <alignment vertical="center"/>
    </xf>
    <xf numFmtId="0" fontId="28" fillId="0" borderId="0" xfId="0" applyFont="1" applyBorder="1" applyProtection="1"/>
    <xf numFmtId="0" fontId="28" fillId="0" borderId="16" xfId="0" applyFont="1" applyBorder="1" applyProtection="1"/>
    <xf numFmtId="3" fontId="19" fillId="0" borderId="0" xfId="0" applyNumberFormat="1" applyFont="1" applyBorder="1" applyAlignment="1" applyProtection="1">
      <alignment vertical="top"/>
    </xf>
    <xf numFmtId="3" fontId="26" fillId="23" borderId="16" xfId="0" applyNumberFormat="1" applyFont="1" applyFill="1" applyBorder="1" applyAlignment="1" applyProtection="1">
      <alignment vertical="center" wrapText="1"/>
    </xf>
    <xf numFmtId="3" fontId="26" fillId="23" borderId="15" xfId="0" applyNumberFormat="1" applyFont="1" applyFill="1" applyBorder="1" applyAlignment="1" applyProtection="1">
      <alignment vertical="center" wrapText="1"/>
    </xf>
    <xf numFmtId="3" fontId="35" fillId="0" borderId="15" xfId="0" applyNumberFormat="1" applyFont="1" applyBorder="1" applyAlignment="1" applyProtection="1">
      <alignment horizontal="center" vertical="top"/>
    </xf>
    <xf numFmtId="3" fontId="35" fillId="0" borderId="0" xfId="0" applyNumberFormat="1" applyFont="1" applyBorder="1" applyAlignment="1" applyProtection="1">
      <alignment horizontal="center" vertical="top"/>
    </xf>
    <xf numFmtId="3" fontId="27" fillId="22" borderId="17" xfId="0" applyNumberFormat="1" applyFont="1" applyFill="1" applyBorder="1" applyAlignment="1" applyProtection="1">
      <alignment vertical="center"/>
    </xf>
    <xf numFmtId="3" fontId="33" fillId="23" borderId="14" xfId="0" applyNumberFormat="1" applyFont="1" applyFill="1" applyBorder="1" applyAlignment="1" applyProtection="1">
      <alignment horizontal="center" wrapText="1"/>
    </xf>
    <xf numFmtId="0" fontId="28" fillId="23" borderId="0" xfId="0" applyFont="1" applyFill="1" applyBorder="1" applyProtection="1"/>
    <xf numFmtId="3" fontId="26" fillId="23" borderId="13" xfId="0" applyNumberFormat="1" applyFont="1" applyFill="1" applyBorder="1" applyAlignment="1" applyProtection="1">
      <alignment vertical="center"/>
    </xf>
    <xf numFmtId="3" fontId="2" fillId="23" borderId="13" xfId="0" applyNumberFormat="1" applyFont="1" applyFill="1" applyBorder="1" applyAlignment="1" applyProtection="1">
      <alignment vertical="top"/>
    </xf>
    <xf numFmtId="3" fontId="2" fillId="23" borderId="13" xfId="0" applyNumberFormat="1" applyFont="1" applyFill="1" applyBorder="1" applyAlignment="1" applyProtection="1">
      <alignment vertical="center"/>
    </xf>
    <xf numFmtId="3" fontId="35" fillId="23" borderId="13" xfId="0" applyNumberFormat="1" applyFont="1" applyFill="1" applyBorder="1" applyAlignment="1" applyProtection="1">
      <alignment vertical="center"/>
    </xf>
    <xf numFmtId="3" fontId="2" fillId="23" borderId="14" xfId="0" applyNumberFormat="1" applyFont="1" applyFill="1" applyBorder="1" applyAlignment="1" applyProtection="1">
      <alignment vertical="center"/>
    </xf>
    <xf numFmtId="3" fontId="26" fillId="23" borderId="0" xfId="0" applyNumberFormat="1" applyFont="1" applyFill="1" applyBorder="1" applyAlignment="1" applyProtection="1">
      <alignment horizontal="center" vertical="center"/>
    </xf>
    <xf numFmtId="0" fontId="28" fillId="23" borderId="12" xfId="0" applyFont="1" applyFill="1" applyBorder="1" applyProtection="1"/>
    <xf numFmtId="3" fontId="33" fillId="23" borderId="13" xfId="0" applyNumberFormat="1" applyFont="1" applyFill="1" applyBorder="1" applyAlignment="1" applyProtection="1">
      <alignment horizontal="center" wrapText="1"/>
    </xf>
    <xf numFmtId="3" fontId="2" fillId="0" borderId="0" xfId="0" applyNumberFormat="1" applyFont="1" applyBorder="1" applyAlignment="1" applyProtection="1">
      <alignment vertical="top"/>
    </xf>
    <xf numFmtId="3" fontId="2" fillId="0" borderId="0" xfId="0" applyNumberFormat="1" applyFont="1" applyBorder="1" applyAlignment="1" applyProtection="1">
      <alignment vertical="center"/>
    </xf>
    <xf numFmtId="3" fontId="27" fillId="22" borderId="0" xfId="0" applyNumberFormat="1" applyFont="1" applyFill="1" applyBorder="1" applyAlignment="1" applyProtection="1">
      <alignment vertical="center"/>
    </xf>
    <xf numFmtId="3" fontId="27" fillId="22" borderId="0" xfId="0" applyNumberFormat="1" applyFont="1" applyFill="1" applyBorder="1" applyAlignment="1" applyProtection="1">
      <alignment horizontal="center" vertical="center"/>
    </xf>
    <xf numFmtId="3" fontId="27" fillId="22" borderId="17" xfId="0" applyNumberFormat="1" applyFont="1" applyFill="1" applyBorder="1" applyAlignment="1" applyProtection="1">
      <alignment horizontal="center" vertical="center"/>
    </xf>
    <xf numFmtId="9" fontId="27" fillId="22" borderId="17" xfId="32" applyFont="1" applyFill="1" applyBorder="1" applyAlignment="1" applyProtection="1">
      <alignment horizontal="center" vertical="center"/>
    </xf>
    <xf numFmtId="3" fontId="26" fillId="22" borderId="17" xfId="0" applyNumberFormat="1" applyFont="1" applyFill="1" applyBorder="1" applyAlignment="1" applyProtection="1">
      <alignment vertical="center"/>
    </xf>
    <xf numFmtId="0" fontId="28" fillId="0" borderId="17" xfId="0" applyFont="1" applyBorder="1" applyProtection="1"/>
    <xf numFmtId="3" fontId="41" fillId="23" borderId="0" xfId="0" applyNumberFormat="1" applyFont="1" applyFill="1" applyBorder="1" applyAlignment="1" applyProtection="1">
      <alignment horizontal="center" vertical="center"/>
    </xf>
    <xf numFmtId="3" fontId="2" fillId="0" borderId="16" xfId="0" applyNumberFormat="1" applyFont="1" applyBorder="1" applyAlignment="1" applyProtection="1">
      <alignment vertical="center"/>
    </xf>
    <xf numFmtId="3" fontId="53" fillId="22" borderId="0" xfId="0" applyNumberFormat="1" applyFont="1" applyFill="1" applyAlignment="1" applyProtection="1">
      <alignment vertical="center"/>
    </xf>
    <xf numFmtId="3" fontId="2" fillId="0" borderId="15" xfId="0" applyNumberFormat="1" applyFont="1" applyBorder="1" applyAlignment="1" applyProtection="1">
      <alignment vertical="top"/>
    </xf>
    <xf numFmtId="3" fontId="33" fillId="0" borderId="16" xfId="0" applyNumberFormat="1" applyFont="1" applyBorder="1" applyAlignment="1" applyProtection="1">
      <alignment horizontal="center" wrapText="1"/>
    </xf>
    <xf numFmtId="3" fontId="26" fillId="0" borderId="12" xfId="0" applyNumberFormat="1" applyFont="1" applyBorder="1" applyAlignment="1" applyProtection="1">
      <alignment vertical="center"/>
    </xf>
    <xf numFmtId="3" fontId="2" fillId="0" borderId="14" xfId="0" applyNumberFormat="1" applyFont="1" applyBorder="1" applyAlignment="1" applyProtection="1">
      <alignment vertical="center"/>
    </xf>
    <xf numFmtId="9" fontId="44" fillId="0" borderId="12" xfId="32" applyFont="1" applyBorder="1" applyAlignment="1" applyProtection="1">
      <alignment horizontal="center" vertical="center"/>
      <protection locked="0"/>
    </xf>
    <xf numFmtId="3" fontId="26" fillId="0" borderId="13" xfId="0" applyNumberFormat="1" applyFont="1" applyBorder="1" applyAlignment="1" applyProtection="1">
      <alignment vertical="center"/>
    </xf>
    <xf numFmtId="3" fontId="33" fillId="0" borderId="13" xfId="0" applyNumberFormat="1" applyFont="1" applyBorder="1" applyAlignment="1" applyProtection="1">
      <alignment horizontal="center" wrapText="1"/>
    </xf>
    <xf numFmtId="3" fontId="33" fillId="0" borderId="14" xfId="0" applyNumberFormat="1" applyFont="1" applyBorder="1" applyAlignment="1" applyProtection="1">
      <alignment horizontal="center" wrapText="1"/>
    </xf>
    <xf numFmtId="3" fontId="28" fillId="0" borderId="0" xfId="0" applyNumberFormat="1" applyFont="1" applyBorder="1" applyProtection="1"/>
    <xf numFmtId="3" fontId="26" fillId="0" borderId="0" xfId="0" applyNumberFormat="1" applyFont="1" applyAlignment="1" applyProtection="1">
      <alignment horizontal="center" vertical="center"/>
    </xf>
    <xf numFmtId="3" fontId="27" fillId="23" borderId="0" xfId="0" applyNumberFormat="1" applyFont="1" applyFill="1" applyBorder="1" applyAlignment="1" applyProtection="1">
      <alignment horizontal="center" vertical="center"/>
    </xf>
    <xf numFmtId="3" fontId="26" fillId="0" borderId="0" xfId="0" applyNumberFormat="1" applyFont="1" applyBorder="1" applyAlignment="1" applyProtection="1">
      <alignment horizontal="center" vertical="center"/>
    </xf>
    <xf numFmtId="3" fontId="45" fillId="22" borderId="0" xfId="0" applyNumberFormat="1" applyFont="1" applyFill="1" applyAlignment="1" applyProtection="1">
      <alignment horizontal="left"/>
    </xf>
    <xf numFmtId="3" fontId="26" fillId="22" borderId="0" xfId="0" applyNumberFormat="1" applyFont="1" applyFill="1" applyAlignment="1" applyProtection="1">
      <alignment horizontal="center" vertical="center"/>
    </xf>
    <xf numFmtId="0" fontId="26" fillId="0" borderId="0" xfId="0" applyFont="1" applyAlignment="1" applyProtection="1">
      <alignment horizontal="center" vertical="center"/>
    </xf>
    <xf numFmtId="9" fontId="27" fillId="22" borderId="0" xfId="32" applyFont="1" applyFill="1" applyBorder="1" applyAlignment="1" applyProtection="1">
      <alignment horizontal="center" vertical="center"/>
    </xf>
    <xf numFmtId="3" fontId="26" fillId="22" borderId="0" xfId="0" applyNumberFormat="1" applyFont="1" applyFill="1" applyBorder="1" applyAlignment="1" applyProtection="1">
      <alignment vertical="center"/>
    </xf>
    <xf numFmtId="3" fontId="34" fillId="22" borderId="17" xfId="0" applyNumberFormat="1" applyFont="1" applyFill="1" applyBorder="1" applyAlignment="1" applyProtection="1">
      <alignment vertical="center"/>
    </xf>
    <xf numFmtId="3" fontId="26" fillId="0" borderId="17" xfId="0" applyNumberFormat="1" applyFont="1" applyBorder="1" applyAlignment="1" applyProtection="1">
      <alignment vertical="center"/>
    </xf>
    <xf numFmtId="3" fontId="27" fillId="22" borderId="5" xfId="0" applyNumberFormat="1" applyFont="1" applyFill="1" applyBorder="1" applyAlignment="1" applyProtection="1">
      <alignment horizontal="center" vertical="center"/>
    </xf>
    <xf numFmtId="3" fontId="26" fillId="22" borderId="5" xfId="0" applyNumberFormat="1" applyFont="1" applyFill="1" applyBorder="1" applyAlignment="1" applyProtection="1">
      <alignment vertical="center"/>
    </xf>
    <xf numFmtId="9" fontId="27" fillId="22" borderId="5" xfId="32" applyFont="1" applyFill="1" applyBorder="1" applyAlignment="1" applyProtection="1">
      <alignment horizontal="center" vertical="center"/>
    </xf>
    <xf numFmtId="4" fontId="27" fillId="22" borderId="0" xfId="32" applyNumberFormat="1" applyFont="1" applyFill="1" applyAlignment="1" applyProtection="1">
      <alignment horizontal="center" vertical="center"/>
    </xf>
    <xf numFmtId="3" fontId="38" fillId="0" borderId="18" xfId="0" applyNumberFormat="1" applyFont="1" applyBorder="1" applyAlignment="1" applyProtection="1">
      <alignment horizontal="left" vertical="center" indent="2"/>
    </xf>
    <xf numFmtId="3" fontId="47" fillId="23" borderId="19" xfId="0" applyNumberFormat="1" applyFont="1" applyFill="1" applyBorder="1" applyAlignment="1" applyProtection="1">
      <alignment vertical="top"/>
    </xf>
    <xf numFmtId="3" fontId="38" fillId="23" borderId="19" xfId="0" applyNumberFormat="1" applyFont="1" applyFill="1" applyBorder="1" applyAlignment="1" applyProtection="1">
      <alignment vertical="center"/>
    </xf>
    <xf numFmtId="3" fontId="38" fillId="0" borderId="20" xfId="0" applyNumberFormat="1" applyFont="1" applyBorder="1" applyAlignment="1" applyProtection="1">
      <alignment horizontal="left" vertical="center" indent="2"/>
    </xf>
    <xf numFmtId="0" fontId="38" fillId="23" borderId="19" xfId="0" applyFont="1" applyFill="1" applyBorder="1" applyAlignment="1">
      <alignment horizontal="center" vertical="center" wrapText="1"/>
    </xf>
    <xf numFmtId="0" fontId="28" fillId="23" borderId="21" xfId="0" applyFont="1" applyFill="1" applyBorder="1" applyAlignment="1">
      <alignment horizontal="center" vertical="center" wrapText="1"/>
    </xf>
    <xf numFmtId="3" fontId="38" fillId="0" borderId="22" xfId="0" applyNumberFormat="1" applyFont="1" applyBorder="1" applyAlignment="1" applyProtection="1">
      <alignment horizontal="left" vertical="center" indent="2"/>
    </xf>
    <xf numFmtId="0" fontId="38" fillId="23" borderId="23" xfId="0" applyFont="1" applyFill="1" applyBorder="1" applyAlignment="1" applyProtection="1"/>
    <xf numFmtId="3" fontId="38" fillId="23" borderId="23" xfId="0" applyNumberFormat="1" applyFont="1" applyFill="1" applyBorder="1" applyAlignment="1" applyProtection="1">
      <alignment vertical="center"/>
    </xf>
    <xf numFmtId="3" fontId="38" fillId="0" borderId="24" xfId="0" applyNumberFormat="1" applyFont="1" applyBorder="1" applyAlignment="1" applyProtection="1">
      <alignment horizontal="left" vertical="center" indent="2"/>
    </xf>
    <xf numFmtId="0" fontId="38" fillId="23" borderId="23" xfId="0" applyFont="1" applyFill="1" applyBorder="1" applyAlignment="1">
      <alignment horizontal="center" vertical="center" wrapText="1"/>
    </xf>
    <xf numFmtId="0" fontId="28" fillId="23" borderId="25" xfId="0" applyFont="1" applyFill="1" applyBorder="1" applyAlignment="1">
      <alignment horizontal="center" vertical="center" wrapText="1"/>
    </xf>
    <xf numFmtId="4" fontId="27" fillId="22" borderId="0" xfId="32" applyNumberFormat="1" applyFont="1" applyFill="1" applyAlignment="1" applyProtection="1">
      <alignment horizontal="left" vertical="center"/>
    </xf>
    <xf numFmtId="3" fontId="27" fillId="22" borderId="6" xfId="0" applyNumberFormat="1" applyFont="1" applyFill="1" applyBorder="1" applyAlignment="1" applyProtection="1">
      <alignment horizontal="center" vertical="center"/>
    </xf>
    <xf numFmtId="9" fontId="27" fillId="22" borderId="26" xfId="32" applyFont="1" applyFill="1" applyBorder="1" applyAlignment="1" applyProtection="1">
      <alignment horizontal="center" vertical="center"/>
    </xf>
    <xf numFmtId="3" fontId="27" fillId="26" borderId="0" xfId="0" applyNumberFormat="1" applyFont="1" applyFill="1" applyAlignment="1" applyProtection="1">
      <alignment vertical="center"/>
    </xf>
    <xf numFmtId="3" fontId="26" fillId="0" borderId="27" xfId="0" applyNumberFormat="1" applyFont="1" applyBorder="1" applyAlignment="1" applyProtection="1">
      <alignment vertical="center"/>
    </xf>
    <xf numFmtId="3" fontId="38" fillId="23" borderId="28" xfId="0" applyNumberFormat="1" applyFont="1" applyFill="1" applyBorder="1" applyAlignment="1" applyProtection="1">
      <alignment horizontal="justify" vertical="center" wrapText="1"/>
    </xf>
    <xf numFmtId="3" fontId="27" fillId="22" borderId="7" xfId="0" applyNumberFormat="1" applyFont="1" applyFill="1" applyBorder="1" applyAlignment="1" applyProtection="1">
      <alignment vertical="center"/>
    </xf>
    <xf numFmtId="3" fontId="27" fillId="22" borderId="5" xfId="0" applyNumberFormat="1" applyFont="1" applyFill="1" applyBorder="1" applyAlignment="1" applyProtection="1">
      <alignment vertical="center"/>
    </xf>
    <xf numFmtId="3" fontId="38" fillId="23" borderId="29" xfId="0" applyNumberFormat="1" applyFont="1" applyFill="1" applyBorder="1" applyAlignment="1" applyProtection="1">
      <alignment horizontal="justify" vertical="center" wrapText="1"/>
    </xf>
    <xf numFmtId="3" fontId="38" fillId="23" borderId="30" xfId="0" applyNumberFormat="1" applyFont="1" applyFill="1" applyBorder="1" applyAlignment="1" applyProtection="1">
      <alignment horizontal="justify" vertical="center" wrapText="1"/>
    </xf>
    <xf numFmtId="3" fontId="38" fillId="23" borderId="31" xfId="0" applyNumberFormat="1" applyFont="1" applyFill="1" applyBorder="1" applyAlignment="1" applyProtection="1">
      <alignment horizontal="justify" vertical="center" wrapText="1"/>
    </xf>
    <xf numFmtId="3" fontId="38" fillId="23" borderId="32" xfId="0" applyNumberFormat="1" applyFont="1" applyFill="1" applyBorder="1" applyAlignment="1" applyProtection="1">
      <alignment horizontal="justify" vertical="center" wrapText="1"/>
    </xf>
    <xf numFmtId="3" fontId="38" fillId="23" borderId="33" xfId="0" applyNumberFormat="1" applyFont="1" applyFill="1" applyBorder="1" applyAlignment="1" applyProtection="1">
      <alignment horizontal="justify" vertical="center" wrapText="1"/>
    </xf>
    <xf numFmtId="3" fontId="27" fillId="23" borderId="22" xfId="0" applyNumberFormat="1" applyFont="1" applyFill="1" applyBorder="1" applyAlignment="1" applyProtection="1">
      <alignment horizontal="center" vertical="center"/>
    </xf>
    <xf numFmtId="3" fontId="27" fillId="23" borderId="23" xfId="0" applyNumberFormat="1" applyFont="1" applyFill="1" applyBorder="1" applyAlignment="1" applyProtection="1">
      <alignment horizontal="center" vertical="center"/>
    </xf>
    <xf numFmtId="3" fontId="27" fillId="23" borderId="25" xfId="0" applyNumberFormat="1" applyFont="1" applyFill="1" applyBorder="1" applyAlignment="1" applyProtection="1">
      <alignment horizontal="center" vertical="center"/>
    </xf>
    <xf numFmtId="0" fontId="2" fillId="23" borderId="0" xfId="0" applyFont="1" applyFill="1" applyBorder="1" applyAlignment="1" applyProtection="1">
      <alignment vertical="center"/>
    </xf>
    <xf numFmtId="3" fontId="2" fillId="23" borderId="0" xfId="0" applyNumberFormat="1" applyFont="1" applyFill="1" applyBorder="1" applyAlignment="1" applyProtection="1">
      <alignment vertical="center"/>
    </xf>
    <xf numFmtId="0" fontId="2" fillId="23" borderId="0" xfId="0" applyFont="1" applyFill="1" applyBorder="1" applyAlignment="1" applyProtection="1">
      <alignment horizontal="left" vertical="center" wrapText="1"/>
    </xf>
    <xf numFmtId="3" fontId="18" fillId="23" borderId="0" xfId="0" applyNumberFormat="1" applyFont="1" applyFill="1" applyBorder="1" applyAlignment="1" applyProtection="1">
      <alignment horizontal="center" wrapText="1"/>
    </xf>
    <xf numFmtId="0" fontId="2" fillId="23" borderId="0" xfId="0" applyFont="1" applyFill="1" applyBorder="1" applyAlignment="1" applyProtection="1">
      <alignment horizontal="left" vertical="center"/>
    </xf>
    <xf numFmtId="0" fontId="28" fillId="23" borderId="0" xfId="0" applyFont="1" applyFill="1" applyBorder="1" applyAlignment="1" applyProtection="1">
      <alignment horizontal="left" vertical="center" wrapText="1"/>
    </xf>
    <xf numFmtId="3" fontId="33" fillId="23" borderId="0" xfId="0" applyNumberFormat="1" applyFont="1" applyFill="1" applyBorder="1" applyAlignment="1" applyProtection="1">
      <alignment horizontal="center" wrapText="1"/>
    </xf>
    <xf numFmtId="3" fontId="34" fillId="22" borderId="0" xfId="0" applyNumberFormat="1" applyFont="1" applyFill="1" applyBorder="1" applyAlignment="1" applyProtection="1">
      <alignment vertical="center"/>
    </xf>
    <xf numFmtId="0" fontId="28" fillId="23" borderId="0" xfId="0" applyFont="1" applyFill="1" applyBorder="1" applyAlignment="1" applyProtection="1"/>
    <xf numFmtId="9" fontId="27" fillId="22" borderId="0" xfId="32" applyFont="1" applyFill="1" applyBorder="1" applyAlignment="1" applyProtection="1">
      <alignment vertical="center"/>
    </xf>
    <xf numFmtId="9" fontId="27" fillId="22" borderId="0" xfId="32" applyFont="1" applyFill="1" applyAlignment="1" applyProtection="1">
      <alignment vertical="center"/>
    </xf>
    <xf numFmtId="0" fontId="26" fillId="0" borderId="0" xfId="0" applyFont="1" applyProtection="1"/>
    <xf numFmtId="3" fontId="27" fillId="22" borderId="0" xfId="0" applyNumberFormat="1" applyFont="1" applyFill="1" applyBorder="1" applyAlignment="1" applyProtection="1">
      <alignment horizontal="center" vertical="center" wrapText="1"/>
    </xf>
    <xf numFmtId="3" fontId="31" fillId="0" borderId="0" xfId="0" applyNumberFormat="1" applyFont="1" applyBorder="1" applyAlignment="1" applyProtection="1">
      <alignment vertical="center"/>
    </xf>
    <xf numFmtId="3" fontId="27" fillId="22" borderId="34" xfId="0" applyNumberFormat="1" applyFont="1" applyFill="1" applyBorder="1" applyAlignment="1" applyProtection="1">
      <alignment vertical="center"/>
    </xf>
    <xf numFmtId="3" fontId="19" fillId="23" borderId="0" xfId="0" applyNumberFormat="1" applyFont="1" applyFill="1" applyBorder="1" applyAlignment="1" applyProtection="1">
      <alignment vertical="top"/>
    </xf>
    <xf numFmtId="10" fontId="27" fillId="22" borderId="0" xfId="32" applyNumberFormat="1" applyFont="1" applyFill="1" applyAlignment="1" applyProtection="1">
      <alignment vertical="center"/>
    </xf>
    <xf numFmtId="3" fontId="39" fillId="0" borderId="7" xfId="0" applyNumberFormat="1" applyFont="1" applyBorder="1" applyAlignment="1" applyProtection="1">
      <alignment horizontal="centerContinuous" vertical="center"/>
    </xf>
    <xf numFmtId="3" fontId="49" fillId="0" borderId="7" xfId="0" applyNumberFormat="1" applyFont="1" applyBorder="1" applyAlignment="1" applyProtection="1">
      <alignment horizontal="centerContinuous" vertical="center"/>
    </xf>
    <xf numFmtId="3" fontId="49" fillId="0" borderId="0" xfId="0" applyNumberFormat="1" applyFont="1" applyBorder="1" applyAlignment="1" applyProtection="1">
      <alignment horizontal="centerContinuous" vertical="center"/>
    </xf>
    <xf numFmtId="0" fontId="26" fillId="27" borderId="35" xfId="0" applyFont="1" applyFill="1" applyBorder="1" applyProtection="1"/>
    <xf numFmtId="0" fontId="26" fillId="27" borderId="0" xfId="0" applyFont="1" applyFill="1" applyBorder="1" applyProtection="1"/>
    <xf numFmtId="3" fontId="26" fillId="0" borderId="7" xfId="0" applyNumberFormat="1" applyFont="1" applyBorder="1" applyAlignment="1" applyProtection="1">
      <alignment vertical="center"/>
    </xf>
    <xf numFmtId="3" fontId="26" fillId="27" borderId="7" xfId="0" applyNumberFormat="1" applyFont="1" applyFill="1" applyBorder="1" applyAlignment="1" applyProtection="1">
      <alignment vertical="center"/>
    </xf>
    <xf numFmtId="3" fontId="28" fillId="0" borderId="0" xfId="0" applyNumberFormat="1" applyFont="1" applyBorder="1" applyAlignment="1" applyProtection="1">
      <alignment horizontal="center" vertical="center" wrapText="1"/>
    </xf>
    <xf numFmtId="3" fontId="28" fillId="0" borderId="34" xfId="0" applyNumberFormat="1" applyFont="1" applyBorder="1" applyAlignment="1" applyProtection="1">
      <alignment horizontal="center" vertical="center" wrapText="1"/>
    </xf>
    <xf numFmtId="3" fontId="28" fillId="0" borderId="36" xfId="0" applyNumberFormat="1" applyFont="1" applyBorder="1" applyAlignment="1" applyProtection="1">
      <alignment horizontal="center" vertical="center"/>
    </xf>
    <xf numFmtId="3" fontId="28" fillId="0" borderId="0" xfId="0" applyNumberFormat="1" applyFont="1" applyBorder="1" applyAlignment="1" applyProtection="1">
      <alignment horizontal="center" vertical="center"/>
    </xf>
    <xf numFmtId="3" fontId="28" fillId="23" borderId="0" xfId="0" applyNumberFormat="1" applyFont="1" applyFill="1" applyBorder="1" applyAlignment="1" applyProtection="1">
      <alignment horizontal="center" vertical="center" wrapText="1"/>
    </xf>
    <xf numFmtId="3" fontId="28" fillId="23" borderId="0" xfId="0" applyNumberFormat="1" applyFont="1" applyFill="1" applyBorder="1" applyAlignment="1" applyProtection="1">
      <alignment vertical="center"/>
    </xf>
    <xf numFmtId="0" fontId="28" fillId="23" borderId="0" xfId="0" applyFont="1" applyFill="1" applyBorder="1" applyAlignment="1" applyProtection="1">
      <alignment horizontal="center" vertical="center" wrapText="1"/>
    </xf>
    <xf numFmtId="3" fontId="38" fillId="22" borderId="0" xfId="0" applyNumberFormat="1" applyFont="1" applyFill="1" applyAlignment="1" applyProtection="1">
      <alignment vertical="center"/>
    </xf>
    <xf numFmtId="0" fontId="27" fillId="0" borderId="0" xfId="0" applyFont="1" applyAlignment="1" applyProtection="1">
      <alignment vertical="center"/>
    </xf>
    <xf numFmtId="3" fontId="2" fillId="23" borderId="0" xfId="0" applyNumberFormat="1" applyFont="1" applyFill="1" applyBorder="1" applyAlignment="1" applyProtection="1">
      <alignment horizontal="center" vertical="center"/>
    </xf>
    <xf numFmtId="3" fontId="26" fillId="0" borderId="0" xfId="29" applyNumberFormat="1" applyFont="1" applyBorder="1" applyAlignment="1" applyProtection="1">
      <alignment horizontal="center" vertical="center" wrapText="1"/>
    </xf>
    <xf numFmtId="3" fontId="26" fillId="0" borderId="37" xfId="29" applyNumberFormat="1" applyFont="1" applyBorder="1" applyAlignment="1" applyProtection="1">
      <alignment horizontal="center" vertical="center" wrapText="1"/>
    </xf>
    <xf numFmtId="3" fontId="26" fillId="0" borderId="37" xfId="0" applyNumberFormat="1" applyFont="1" applyBorder="1" applyAlignment="1" applyProtection="1">
      <alignment horizontal="center" vertical="center" wrapText="1"/>
    </xf>
    <xf numFmtId="3" fontId="26" fillId="0" borderId="7" xfId="0" applyNumberFormat="1" applyFont="1" applyBorder="1" applyAlignment="1" applyProtection="1">
      <alignment horizontal="center" vertical="center" wrapText="1"/>
    </xf>
    <xf numFmtId="3" fontId="26" fillId="23" borderId="7" xfId="0" applyNumberFormat="1" applyFont="1" applyFill="1" applyBorder="1" applyAlignment="1" applyProtection="1">
      <alignment horizontal="center" vertical="center" wrapText="1"/>
    </xf>
    <xf numFmtId="3" fontId="26" fillId="23" borderId="0" xfId="0" applyNumberFormat="1" applyFont="1" applyFill="1" applyBorder="1" applyAlignment="1" applyProtection="1">
      <alignment horizontal="center" vertical="center" wrapText="1"/>
    </xf>
    <xf numFmtId="3" fontId="26" fillId="0" borderId="0" xfId="0" applyNumberFormat="1" applyFont="1" applyBorder="1" applyAlignment="1" applyProtection="1">
      <alignment horizontal="center" vertical="center" wrapText="1"/>
    </xf>
    <xf numFmtId="0" fontId="29" fillId="0" borderId="17" xfId="0" applyFont="1" applyBorder="1" applyAlignment="1" applyProtection="1">
      <alignment vertical="center"/>
    </xf>
    <xf numFmtId="3" fontId="29" fillId="0" borderId="17" xfId="29" applyNumberFormat="1" applyFont="1" applyBorder="1" applyAlignment="1" applyProtection="1">
      <alignment horizontal="left" vertical="center"/>
    </xf>
    <xf numFmtId="3" fontId="29" fillId="0" borderId="17" xfId="29" applyNumberFormat="1" applyFont="1" applyBorder="1" applyAlignment="1" applyProtection="1">
      <alignment horizontal="center" vertical="center"/>
    </xf>
    <xf numFmtId="3" fontId="29" fillId="0" borderId="17" xfId="0" applyNumberFormat="1" applyFont="1" applyBorder="1" applyAlignment="1" applyProtection="1">
      <alignment horizontal="center" vertical="center"/>
    </xf>
    <xf numFmtId="0" fontId="26" fillId="0" borderId="7" xfId="0" applyFont="1" applyBorder="1" applyAlignment="1" applyProtection="1">
      <alignment vertical="center"/>
    </xf>
    <xf numFmtId="0" fontId="26" fillId="0" borderId="0" xfId="0" applyFont="1" applyFill="1" applyBorder="1" applyAlignment="1" applyProtection="1">
      <alignment vertical="center"/>
    </xf>
    <xf numFmtId="3" fontId="26" fillId="0" borderId="0" xfId="29" applyNumberFormat="1" applyFont="1" applyFill="1" applyBorder="1" applyAlignment="1" applyProtection="1">
      <alignment horizontal="center" vertical="center"/>
    </xf>
    <xf numFmtId="3" fontId="26" fillId="0" borderId="0" xfId="0" applyNumberFormat="1" applyFont="1" applyFill="1" applyBorder="1" applyAlignment="1" applyProtection="1">
      <alignment horizontal="center" vertical="center"/>
    </xf>
    <xf numFmtId="3" fontId="26" fillId="0" borderId="35" xfId="0" applyNumberFormat="1" applyFont="1" applyFill="1" applyBorder="1" applyAlignment="1" applyProtection="1">
      <alignment horizontal="center" vertical="center"/>
    </xf>
    <xf numFmtId="0" fontId="26" fillId="0" borderId="35" xfId="0" applyFont="1" applyFill="1" applyBorder="1" applyAlignment="1" applyProtection="1">
      <alignment vertical="center"/>
    </xf>
    <xf numFmtId="0" fontId="2" fillId="0" borderId="0" xfId="0" applyFont="1" applyFill="1" applyBorder="1" applyAlignment="1" applyProtection="1">
      <alignment vertical="center"/>
    </xf>
    <xf numFmtId="3" fontId="2" fillId="0" borderId="0" xfId="29"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0" fontId="2" fillId="0" borderId="0" xfId="0" applyFont="1" applyBorder="1" applyAlignment="1" applyProtection="1">
      <alignment vertical="center"/>
    </xf>
    <xf numFmtId="0" fontId="26" fillId="0" borderId="0" xfId="0" applyFont="1" applyAlignment="1" applyProtection="1">
      <alignment vertical="center"/>
    </xf>
    <xf numFmtId="0" fontId="26" fillId="23" borderId="0" xfId="0" applyFont="1" applyFill="1" applyBorder="1" applyAlignment="1" applyProtection="1">
      <alignment vertical="center"/>
    </xf>
    <xf numFmtId="9" fontId="26" fillId="23" borderId="0" xfId="0" applyNumberFormat="1" applyFont="1" applyFill="1" applyBorder="1" applyAlignment="1" applyProtection="1">
      <alignment horizontal="center" vertical="center"/>
    </xf>
    <xf numFmtId="0" fontId="26" fillId="0" borderId="0" xfId="0" applyFont="1" applyBorder="1" applyAlignment="1" applyProtection="1">
      <alignment vertical="center"/>
    </xf>
    <xf numFmtId="0" fontId="26" fillId="0" borderId="7" xfId="0" applyFont="1" applyFill="1" applyBorder="1" applyAlignment="1" applyProtection="1">
      <alignment vertical="center"/>
    </xf>
    <xf numFmtId="3" fontId="26" fillId="23" borderId="7" xfId="0" applyNumberFormat="1" applyFont="1" applyFill="1" applyBorder="1" applyAlignment="1" applyProtection="1">
      <alignment horizontal="center" vertical="center"/>
    </xf>
    <xf numFmtId="3" fontId="26" fillId="0" borderId="7" xfId="0" applyNumberFormat="1" applyFont="1" applyFill="1" applyBorder="1" applyAlignment="1" applyProtection="1">
      <alignment horizontal="center" vertical="center"/>
    </xf>
    <xf numFmtId="3" fontId="51" fillId="0" borderId="0" xfId="0" applyNumberFormat="1" applyFont="1" applyBorder="1" applyAlignment="1" applyProtection="1">
      <alignment horizontal="center" vertical="center" wrapText="1"/>
    </xf>
    <xf numFmtId="3" fontId="52" fillId="23" borderId="0" xfId="0" applyNumberFormat="1" applyFont="1" applyFill="1" applyBorder="1" applyAlignment="1" applyProtection="1">
      <alignment vertical="center"/>
    </xf>
    <xf numFmtId="3" fontId="51" fillId="0" borderId="7" xfId="0" applyNumberFormat="1" applyFont="1" applyBorder="1" applyAlignment="1" applyProtection="1">
      <alignment horizontal="center" vertical="center" wrapText="1"/>
    </xf>
    <xf numFmtId="3" fontId="51" fillId="23" borderId="0" xfId="0" applyNumberFormat="1" applyFont="1" applyFill="1" applyBorder="1" applyAlignment="1" applyProtection="1">
      <alignment horizontal="center" vertical="center" wrapText="1"/>
    </xf>
    <xf numFmtId="3" fontId="51" fillId="0" borderId="0" xfId="0" applyNumberFormat="1" applyFont="1" applyAlignment="1" applyProtection="1">
      <alignment horizontal="center" vertical="center" wrapText="1"/>
    </xf>
    <xf numFmtId="170" fontId="26" fillId="23" borderId="0" xfId="30" applyNumberFormat="1" applyFont="1" applyFill="1" applyBorder="1" applyAlignment="1" applyProtection="1">
      <alignment horizontal="center"/>
    </xf>
    <xf numFmtId="3" fontId="26" fillId="0" borderId="0" xfId="0" applyNumberFormat="1" applyFont="1" applyFill="1" applyAlignment="1" applyProtection="1">
      <alignment vertical="center"/>
    </xf>
    <xf numFmtId="3" fontId="51" fillId="0" borderId="0" xfId="0" applyNumberFormat="1" applyFont="1" applyAlignment="1" applyProtection="1">
      <alignment vertical="center"/>
    </xf>
    <xf numFmtId="3" fontId="26" fillId="0" borderId="0" xfId="0" applyNumberFormat="1" applyFont="1" applyAlignment="1" applyProtection="1">
      <alignment horizontal="center" vertical="center" wrapText="1"/>
    </xf>
    <xf numFmtId="10" fontId="2" fillId="0" borderId="0" xfId="32" applyNumberFormat="1" applyFont="1"/>
    <xf numFmtId="43" fontId="14" fillId="31" borderId="5" xfId="29" applyFont="1" applyFill="1" applyBorder="1" applyAlignment="1">
      <alignment horizontal="center"/>
    </xf>
    <xf numFmtId="0" fontId="14" fillId="31" borderId="5" xfId="0" applyFont="1" applyFill="1" applyBorder="1"/>
    <xf numFmtId="3" fontId="14" fillId="31" borderId="5" xfId="0" applyNumberFormat="1" applyFont="1" applyFill="1" applyBorder="1"/>
    <xf numFmtId="3" fontId="14" fillId="31" borderId="0" xfId="0" applyNumberFormat="1" applyFont="1" applyFill="1"/>
    <xf numFmtId="172" fontId="14" fillId="31" borderId="0" xfId="29" applyNumberFormat="1" applyFont="1" applyFill="1"/>
    <xf numFmtId="43" fontId="14" fillId="31" borderId="0" xfId="29" applyFont="1" applyFill="1"/>
    <xf numFmtId="0" fontId="14" fillId="31" borderId="0" xfId="0" applyFont="1" applyFill="1" applyAlignment="1">
      <alignment horizontal="center"/>
    </xf>
    <xf numFmtId="3" fontId="29" fillId="28" borderId="6" xfId="0" applyNumberFormat="1" applyFont="1" applyFill="1" applyBorder="1" applyAlignment="1" applyProtection="1">
      <alignment horizontal="center" vertical="center"/>
      <protection locked="0"/>
    </xf>
    <xf numFmtId="3" fontId="29" fillId="28" borderId="17" xfId="0" applyNumberFormat="1" applyFont="1" applyFill="1" applyBorder="1" applyAlignment="1" applyProtection="1">
      <alignment horizontal="center" vertical="center"/>
      <protection locked="0"/>
    </xf>
    <xf numFmtId="3" fontId="29" fillId="28" borderId="26" xfId="0" applyNumberFormat="1" applyFont="1" applyFill="1" applyBorder="1" applyAlignment="1" applyProtection="1">
      <alignment horizontal="center" vertical="center"/>
      <protection locked="0"/>
    </xf>
    <xf numFmtId="3" fontId="38" fillId="0" borderId="38" xfId="0" applyNumberFormat="1" applyFont="1" applyBorder="1" applyAlignment="1" applyProtection="1">
      <alignment horizontal="center" vertical="top"/>
    </xf>
    <xf numFmtId="3" fontId="35" fillId="25" borderId="39" xfId="0" applyNumberFormat="1" applyFont="1" applyFill="1" applyBorder="1" applyAlignment="1" applyProtection="1">
      <alignment horizontal="center" vertical="center"/>
      <protection locked="0"/>
    </xf>
    <xf numFmtId="3" fontId="35" fillId="25" borderId="40" xfId="0" applyNumberFormat="1" applyFont="1" applyFill="1" applyBorder="1" applyAlignment="1" applyProtection="1">
      <alignment horizontal="center" vertical="center"/>
      <protection locked="0"/>
    </xf>
    <xf numFmtId="3" fontId="35" fillId="25" borderId="41" xfId="0" applyNumberFormat="1" applyFont="1" applyFill="1" applyBorder="1" applyAlignment="1" applyProtection="1">
      <alignment horizontal="center" vertical="center"/>
      <protection locked="0"/>
    </xf>
    <xf numFmtId="3" fontId="31" fillId="0" borderId="10" xfId="0" applyNumberFormat="1" applyFont="1" applyFill="1" applyBorder="1" applyAlignment="1" applyProtection="1">
      <alignment vertical="center" wrapText="1"/>
    </xf>
    <xf numFmtId="3" fontId="31" fillId="0" borderId="0" xfId="0" applyNumberFormat="1" applyFont="1" applyFill="1" applyBorder="1" applyAlignment="1" applyProtection="1">
      <alignment vertical="center" wrapText="1"/>
    </xf>
    <xf numFmtId="3" fontId="38" fillId="0" borderId="0" xfId="0" applyNumberFormat="1" applyFont="1" applyBorder="1" applyAlignment="1" applyProtection="1">
      <alignment horizontal="center" vertical="top"/>
    </xf>
    <xf numFmtId="3" fontId="38" fillId="0" borderId="0" xfId="0" applyNumberFormat="1" applyFont="1" applyBorder="1" applyAlignment="1" applyProtection="1">
      <alignment horizontal="center" vertical="top" wrapText="1"/>
    </xf>
    <xf numFmtId="3" fontId="30" fillId="35" borderId="9" xfId="0" applyNumberFormat="1" applyFont="1" applyFill="1" applyBorder="1" applyAlignment="1" applyProtection="1">
      <alignment horizontal="center" vertical="center" wrapText="1"/>
    </xf>
    <xf numFmtId="3" fontId="30" fillId="35" borderId="10" xfId="0" applyNumberFormat="1" applyFont="1" applyFill="1" applyBorder="1" applyAlignment="1" applyProtection="1">
      <alignment horizontal="center" vertical="center" wrapText="1"/>
    </xf>
    <xf numFmtId="3" fontId="30" fillId="35" borderId="11" xfId="0" applyNumberFormat="1" applyFont="1" applyFill="1" applyBorder="1" applyAlignment="1" applyProtection="1">
      <alignment horizontal="center" vertical="center" wrapText="1"/>
    </xf>
    <xf numFmtId="3" fontId="30" fillId="35" borderId="12" xfId="0" applyNumberFormat="1" applyFont="1" applyFill="1" applyBorder="1" applyAlignment="1" applyProtection="1">
      <alignment horizontal="center" vertical="center" wrapText="1"/>
    </xf>
    <xf numFmtId="3" fontId="30" fillId="35" borderId="13" xfId="0" applyNumberFormat="1" applyFont="1" applyFill="1" applyBorder="1" applyAlignment="1" applyProtection="1">
      <alignment horizontal="center" vertical="center" wrapText="1"/>
    </xf>
    <xf numFmtId="3" fontId="30" fillId="35" borderId="14" xfId="0" applyNumberFormat="1" applyFont="1" applyFill="1" applyBorder="1" applyAlignment="1" applyProtection="1">
      <alignment horizontal="center" vertical="center" wrapText="1"/>
    </xf>
    <xf numFmtId="3" fontId="31" fillId="0" borderId="10" xfId="0" applyNumberFormat="1" applyFont="1" applyFill="1" applyBorder="1" applyAlignment="1" applyProtection="1">
      <alignment horizontal="left" vertical="center" wrapText="1"/>
    </xf>
    <xf numFmtId="3" fontId="2" fillId="23" borderId="7" xfId="0" applyNumberFormat="1" applyFont="1" applyFill="1" applyBorder="1" applyAlignment="1" applyProtection="1">
      <alignment horizontal="center" vertical="center" wrapText="1"/>
    </xf>
    <xf numFmtId="3" fontId="2" fillId="23" borderId="42" xfId="0" applyNumberFormat="1" applyFont="1" applyFill="1" applyBorder="1" applyAlignment="1" applyProtection="1">
      <alignment horizontal="center" vertical="center" wrapText="1"/>
    </xf>
    <xf numFmtId="3" fontId="26" fillId="0" borderId="0" xfId="0" applyNumberFormat="1" applyFont="1" applyBorder="1" applyAlignment="1" applyProtection="1">
      <alignment horizontal="center" vertical="center"/>
    </xf>
    <xf numFmtId="3" fontId="2" fillId="23" borderId="0" xfId="0" applyNumberFormat="1" applyFont="1" applyFill="1" applyBorder="1" applyAlignment="1" applyProtection="1">
      <alignment horizontal="center" vertical="center" wrapText="1"/>
    </xf>
    <xf numFmtId="3" fontId="2" fillId="23" borderId="34" xfId="0" applyNumberFormat="1" applyFont="1" applyFill="1" applyBorder="1" applyAlignment="1" applyProtection="1">
      <alignment horizontal="center" vertical="center" wrapText="1"/>
    </xf>
    <xf numFmtId="9" fontId="29" fillId="28" borderId="6" xfId="32" applyFont="1" applyFill="1" applyBorder="1" applyAlignment="1" applyProtection="1">
      <alignment horizontal="center" vertical="center"/>
      <protection locked="0"/>
    </xf>
    <xf numFmtId="9" fontId="29" fillId="28" borderId="17" xfId="32" applyFont="1" applyFill="1" applyBorder="1" applyAlignment="1" applyProtection="1">
      <alignment horizontal="center" vertical="center"/>
      <protection locked="0"/>
    </xf>
    <xf numFmtId="9" fontId="29" fillId="28" borderId="26" xfId="32" applyFont="1" applyFill="1" applyBorder="1" applyAlignment="1" applyProtection="1">
      <alignment horizontal="center" vertical="center"/>
      <protection locked="0"/>
    </xf>
    <xf numFmtId="3" fontId="2" fillId="0" borderId="36" xfId="0" applyNumberFormat="1" applyFont="1" applyFill="1" applyBorder="1" applyAlignment="1" applyProtection="1">
      <alignment horizontal="center" vertical="center" wrapText="1"/>
    </xf>
    <xf numFmtId="3" fontId="2" fillId="0" borderId="0" xfId="0" applyNumberFormat="1" applyFont="1" applyFill="1" applyBorder="1" applyAlignment="1" applyProtection="1">
      <alignment horizontal="center" vertical="center" wrapText="1"/>
    </xf>
    <xf numFmtId="3" fontId="2" fillId="0" borderId="34" xfId="0" applyNumberFormat="1" applyFont="1" applyFill="1" applyBorder="1" applyAlignment="1" applyProtection="1">
      <alignment horizontal="center" vertical="center" wrapText="1"/>
    </xf>
    <xf numFmtId="3" fontId="26" fillId="0" borderId="35" xfId="0" applyNumberFormat="1" applyFont="1" applyBorder="1" applyAlignment="1" applyProtection="1">
      <alignment horizontal="center" vertical="center" wrapText="1"/>
    </xf>
    <xf numFmtId="3" fontId="26" fillId="0" borderId="0" xfId="0" applyNumberFormat="1" applyFont="1" applyBorder="1" applyAlignment="1" applyProtection="1">
      <alignment horizontal="center" vertical="center" wrapText="1"/>
    </xf>
    <xf numFmtId="3" fontId="26" fillId="0" borderId="7" xfId="0" applyNumberFormat="1" applyFont="1" applyBorder="1" applyAlignment="1" applyProtection="1">
      <alignment horizontal="center" vertical="center" wrapText="1"/>
    </xf>
    <xf numFmtId="3" fontId="2" fillId="0" borderId="36" xfId="29" applyNumberFormat="1" applyFont="1" applyBorder="1" applyAlignment="1" applyProtection="1">
      <alignment horizontal="center" vertical="center" wrapText="1"/>
    </xf>
    <xf numFmtId="3" fontId="2" fillId="0" borderId="0" xfId="29" applyNumberFormat="1" applyFont="1" applyBorder="1" applyAlignment="1" applyProtection="1">
      <alignment horizontal="center" vertical="center" wrapText="1"/>
    </xf>
    <xf numFmtId="3" fontId="2" fillId="0" borderId="34" xfId="29" applyNumberFormat="1" applyFont="1" applyBorder="1" applyAlignment="1" applyProtection="1">
      <alignment horizontal="center" vertical="center" wrapText="1"/>
    </xf>
    <xf numFmtId="170" fontId="2" fillId="23" borderId="0" xfId="30" applyNumberFormat="1" applyFont="1" applyFill="1" applyBorder="1" applyAlignment="1" applyProtection="1">
      <alignment horizontal="center"/>
    </xf>
    <xf numFmtId="170" fontId="2" fillId="23" borderId="34" xfId="30" applyNumberFormat="1" applyFont="1" applyFill="1" applyBorder="1" applyAlignment="1" applyProtection="1">
      <alignment horizontal="center"/>
    </xf>
    <xf numFmtId="0" fontId="51" fillId="0" borderId="0" xfId="0" applyFont="1" applyBorder="1" applyAlignment="1" applyProtection="1">
      <alignment horizontal="justify" vertical="top" wrapText="1"/>
    </xf>
    <xf numFmtId="0" fontId="28" fillId="0" borderId="0" xfId="0" applyFont="1" applyBorder="1" applyAlignment="1" applyProtection="1">
      <alignment horizontal="justify" vertical="top" wrapText="1"/>
    </xf>
    <xf numFmtId="0" fontId="28" fillId="0" borderId="34" xfId="0" applyFont="1" applyBorder="1" applyAlignment="1" applyProtection="1">
      <alignment horizontal="justify" vertical="top" wrapText="1"/>
    </xf>
    <xf numFmtId="0" fontId="28" fillId="0" borderId="7" xfId="0" applyFont="1" applyBorder="1" applyAlignment="1" applyProtection="1">
      <alignment horizontal="justify" vertical="top" wrapText="1"/>
    </xf>
    <xf numFmtId="0" fontId="28" fillId="0" borderId="42" xfId="0" applyFont="1" applyBorder="1" applyAlignment="1" applyProtection="1">
      <alignment horizontal="justify" vertical="top" wrapText="1"/>
    </xf>
    <xf numFmtId="3" fontId="51" fillId="0" borderId="35" xfId="0" applyNumberFormat="1" applyFont="1" applyBorder="1" applyAlignment="1" applyProtection="1">
      <alignment horizontal="justify" wrapText="1"/>
    </xf>
    <xf numFmtId="0" fontId="28" fillId="0" borderId="35" xfId="0" applyFont="1" applyBorder="1" applyAlignment="1" applyProtection="1">
      <alignment horizontal="justify" wrapText="1"/>
    </xf>
    <xf numFmtId="0" fontId="28" fillId="0" borderId="43" xfId="0" applyFont="1" applyBorder="1" applyAlignment="1" applyProtection="1">
      <alignment horizontal="justify" wrapText="1"/>
    </xf>
    <xf numFmtId="0" fontId="28" fillId="0" borderId="0" xfId="0" applyFont="1" applyBorder="1" applyAlignment="1" applyProtection="1">
      <alignment horizontal="justify" wrapText="1"/>
    </xf>
    <xf numFmtId="0" fontId="28" fillId="0" borderId="34" xfId="0" applyFont="1" applyBorder="1" applyAlignment="1" applyProtection="1">
      <alignment horizontal="justify" wrapText="1"/>
    </xf>
    <xf numFmtId="3" fontId="2" fillId="0" borderId="36" xfId="29" applyNumberFormat="1" applyFont="1" applyFill="1" applyBorder="1" applyAlignment="1" applyProtection="1">
      <alignment horizontal="left" vertical="center" indent="1"/>
    </xf>
    <xf numFmtId="3" fontId="2" fillId="0" borderId="0" xfId="29" applyNumberFormat="1" applyFont="1" applyFill="1" applyBorder="1" applyAlignment="1" applyProtection="1">
      <alignment horizontal="left" vertical="center" indent="1"/>
    </xf>
    <xf numFmtId="3" fontId="2" fillId="23" borderId="36" xfId="29" applyNumberFormat="1" applyFont="1" applyFill="1" applyBorder="1" applyAlignment="1" applyProtection="1">
      <alignment horizontal="left" vertical="center" indent="1"/>
    </xf>
    <xf numFmtId="3" fontId="2" fillId="23" borderId="0" xfId="29" applyNumberFormat="1" applyFont="1" applyFill="1" applyBorder="1" applyAlignment="1" applyProtection="1">
      <alignment horizontal="left" vertical="center" indent="1"/>
    </xf>
    <xf numFmtId="165" fontId="50" fillId="0" borderId="0" xfId="32" applyNumberFormat="1" applyFont="1" applyFill="1" applyBorder="1" applyAlignment="1" applyProtection="1">
      <alignment horizontal="center" vertical="center"/>
    </xf>
    <xf numFmtId="170" fontId="2" fillId="23" borderId="0" xfId="30" applyNumberFormat="1" applyFont="1" applyFill="1" applyBorder="1" applyAlignment="1" applyProtection="1">
      <alignment horizontal="center" vertical="center"/>
    </xf>
    <xf numFmtId="170" fontId="2" fillId="23" borderId="34" xfId="30" applyNumberFormat="1" applyFont="1" applyFill="1" applyBorder="1" applyAlignment="1" applyProtection="1">
      <alignment horizontal="center" vertical="center"/>
    </xf>
    <xf numFmtId="170" fontId="2" fillId="0" borderId="0" xfId="30" applyNumberFormat="1" applyFont="1" applyFill="1" applyBorder="1" applyAlignment="1" applyProtection="1">
      <alignment horizontal="center"/>
    </xf>
    <xf numFmtId="170" fontId="2" fillId="0" borderId="34" xfId="30" applyNumberFormat="1" applyFont="1" applyFill="1" applyBorder="1" applyAlignment="1" applyProtection="1">
      <alignment horizontal="center"/>
    </xf>
    <xf numFmtId="3" fontId="2" fillId="0" borderId="0" xfId="0" applyNumberFormat="1" applyFont="1" applyFill="1" applyBorder="1" applyAlignment="1" applyProtection="1">
      <alignment horizontal="center" vertical="center"/>
    </xf>
    <xf numFmtId="0" fontId="2" fillId="0" borderId="0" xfId="0" applyFont="1" applyFill="1" applyBorder="1" applyAlignment="1" applyProtection="1">
      <alignment horizontal="center" vertical="center"/>
    </xf>
    <xf numFmtId="3" fontId="2" fillId="23" borderId="0" xfId="0" applyNumberFormat="1" applyFont="1" applyFill="1" applyBorder="1" applyAlignment="1" applyProtection="1">
      <alignment horizontal="center" vertical="center"/>
    </xf>
    <xf numFmtId="0" fontId="2" fillId="23" borderId="0" xfId="0" applyFont="1" applyFill="1" applyBorder="1" applyAlignment="1" applyProtection="1">
      <alignment horizontal="center" vertical="center"/>
    </xf>
    <xf numFmtId="3" fontId="29" fillId="0" borderId="6" xfId="0" applyNumberFormat="1" applyFont="1" applyBorder="1" applyAlignment="1" applyProtection="1">
      <alignment horizontal="center" vertical="center"/>
    </xf>
    <xf numFmtId="3" fontId="29" fillId="0" borderId="17" xfId="0" applyNumberFormat="1" applyFont="1" applyBorder="1" applyAlignment="1" applyProtection="1">
      <alignment horizontal="center" vertical="center"/>
    </xf>
    <xf numFmtId="3" fontId="29" fillId="0" borderId="17" xfId="0" applyNumberFormat="1" applyFont="1" applyBorder="1" applyAlignment="1" applyProtection="1">
      <alignment horizontal="center" vertical="center" wrapText="1"/>
    </xf>
    <xf numFmtId="3" fontId="29" fillId="0" borderId="26" xfId="0" applyNumberFormat="1" applyFont="1" applyBorder="1" applyAlignment="1" applyProtection="1">
      <alignment horizontal="center" vertical="center" wrapText="1"/>
    </xf>
    <xf numFmtId="3" fontId="33" fillId="0" borderId="0" xfId="0" applyNumberFormat="1" applyFont="1" applyBorder="1" applyAlignment="1" applyProtection="1">
      <alignment horizontal="center" vertical="center"/>
    </xf>
    <xf numFmtId="3" fontId="39" fillId="0" borderId="7" xfId="0" applyNumberFormat="1" applyFont="1" applyBorder="1" applyAlignment="1" applyProtection="1">
      <alignment horizontal="center" vertical="center"/>
    </xf>
    <xf numFmtId="3" fontId="39" fillId="0" borderId="0" xfId="0" applyNumberFormat="1" applyFont="1" applyBorder="1" applyAlignment="1" applyProtection="1">
      <alignment horizontal="center" vertical="center"/>
    </xf>
    <xf numFmtId="3" fontId="2" fillId="23" borderId="36" xfId="0" applyNumberFormat="1" applyFont="1" applyFill="1" applyBorder="1" applyAlignment="1" applyProtection="1">
      <alignment horizontal="center" vertical="center"/>
    </xf>
    <xf numFmtId="3" fontId="26" fillId="0" borderId="44" xfId="0" applyNumberFormat="1" applyFont="1" applyBorder="1" applyAlignment="1" applyProtection="1">
      <alignment horizontal="center" vertical="center" wrapText="1"/>
    </xf>
    <xf numFmtId="3" fontId="26" fillId="0" borderId="36" xfId="0" applyNumberFormat="1" applyFont="1" applyBorder="1" applyAlignment="1" applyProtection="1">
      <alignment horizontal="center" vertical="center" wrapText="1"/>
    </xf>
    <xf numFmtId="3" fontId="26" fillId="0" borderId="37" xfId="0" applyNumberFormat="1" applyFont="1" applyBorder="1" applyAlignment="1" applyProtection="1">
      <alignment horizontal="center" vertical="center" wrapText="1"/>
    </xf>
    <xf numFmtId="3" fontId="26" fillId="0" borderId="43" xfId="0" applyNumberFormat="1" applyFont="1" applyBorder="1" applyAlignment="1" applyProtection="1">
      <alignment horizontal="center" vertical="center" wrapText="1"/>
    </xf>
    <xf numFmtId="3" fontId="26" fillId="0" borderId="34" xfId="0" applyNumberFormat="1" applyFont="1" applyBorder="1" applyAlignment="1" applyProtection="1">
      <alignment horizontal="center" vertical="center" wrapText="1"/>
    </xf>
    <xf numFmtId="3" fontId="26" fillId="0" borderId="42" xfId="0" applyNumberFormat="1" applyFont="1" applyBorder="1" applyAlignment="1" applyProtection="1">
      <alignment horizontal="center" vertical="center" wrapText="1"/>
    </xf>
    <xf numFmtId="3" fontId="26" fillId="0" borderId="6" xfId="0" applyNumberFormat="1" applyFont="1" applyBorder="1" applyAlignment="1" applyProtection="1">
      <alignment horizontal="center" vertical="center"/>
    </xf>
    <xf numFmtId="3" fontId="26" fillId="0" borderId="17" xfId="0" applyNumberFormat="1" applyFont="1" applyBorder="1" applyAlignment="1" applyProtection="1">
      <alignment horizontal="center" vertical="center"/>
    </xf>
    <xf numFmtId="3" fontId="26" fillId="0" borderId="26" xfId="0" applyNumberFormat="1" applyFont="1" applyBorder="1" applyAlignment="1" applyProtection="1">
      <alignment horizontal="center" vertical="center"/>
    </xf>
    <xf numFmtId="9" fontId="26" fillId="0" borderId="6" xfId="32" applyFont="1" applyBorder="1" applyAlignment="1" applyProtection="1">
      <alignment horizontal="center" vertical="center"/>
    </xf>
    <xf numFmtId="9" fontId="26" fillId="0" borderId="17" xfId="32" applyFont="1" applyBorder="1" applyAlignment="1" applyProtection="1">
      <alignment horizontal="center" vertical="center"/>
    </xf>
    <xf numFmtId="9" fontId="26" fillId="0" borderId="26" xfId="32" applyFont="1" applyBorder="1" applyAlignment="1" applyProtection="1">
      <alignment horizontal="center" vertical="center"/>
    </xf>
    <xf numFmtId="9" fontId="26" fillId="0" borderId="5" xfId="32" applyFont="1" applyBorder="1" applyAlignment="1" applyProtection="1">
      <alignment horizontal="center" vertical="center"/>
      <protection locked="0"/>
    </xf>
    <xf numFmtId="3" fontId="46" fillId="0" borderId="45" xfId="0" applyNumberFormat="1" applyFont="1" applyBorder="1" applyAlignment="1" applyProtection="1">
      <alignment horizontal="center" vertical="center"/>
    </xf>
    <xf numFmtId="3" fontId="46" fillId="0" borderId="46" xfId="0" applyNumberFormat="1" applyFont="1" applyBorder="1" applyAlignment="1" applyProtection="1">
      <alignment horizontal="center" vertical="center"/>
    </xf>
    <xf numFmtId="3" fontId="38" fillId="0" borderId="9" xfId="0" applyNumberFormat="1" applyFont="1" applyBorder="1" applyAlignment="1" applyProtection="1">
      <alignment horizontal="left" vertical="center" wrapText="1" indent="4"/>
    </xf>
    <xf numFmtId="3" fontId="38" fillId="0" borderId="10" xfId="0" applyNumberFormat="1" applyFont="1" applyBorder="1" applyAlignment="1" applyProtection="1">
      <alignment horizontal="left" vertical="center" wrapText="1" indent="4"/>
    </xf>
    <xf numFmtId="3" fontId="38" fillId="0" borderId="11" xfId="0" applyNumberFormat="1" applyFont="1" applyBorder="1" applyAlignment="1" applyProtection="1">
      <alignment horizontal="left" vertical="center" wrapText="1" indent="4"/>
    </xf>
    <xf numFmtId="3" fontId="38" fillId="0" borderId="15" xfId="0" applyNumberFormat="1" applyFont="1" applyBorder="1" applyAlignment="1" applyProtection="1">
      <alignment horizontal="left" vertical="center" wrapText="1" indent="4"/>
    </xf>
    <xf numFmtId="3" fontId="38" fillId="0" borderId="0" xfId="0" applyNumberFormat="1" applyFont="1" applyBorder="1" applyAlignment="1" applyProtection="1">
      <alignment horizontal="left" vertical="center" wrapText="1" indent="4"/>
    </xf>
    <xf numFmtId="3" fontId="38" fillId="0" borderId="16" xfId="0" applyNumberFormat="1" applyFont="1" applyBorder="1" applyAlignment="1" applyProtection="1">
      <alignment horizontal="left" vertical="center" wrapText="1" indent="4"/>
    </xf>
    <xf numFmtId="3" fontId="38" fillId="0" borderId="47" xfId="0" applyNumberFormat="1" applyFont="1" applyBorder="1" applyAlignment="1" applyProtection="1">
      <alignment horizontal="left" vertical="center" wrapText="1" indent="4"/>
    </xf>
    <xf numFmtId="3" fontId="38" fillId="0" borderId="48" xfId="0" applyNumberFormat="1" applyFont="1" applyBorder="1" applyAlignment="1" applyProtection="1">
      <alignment horizontal="left" vertical="center" wrapText="1" indent="4"/>
    </xf>
    <xf numFmtId="3" fontId="38" fillId="0" borderId="49" xfId="0" applyNumberFormat="1" applyFont="1" applyBorder="1" applyAlignment="1" applyProtection="1">
      <alignment horizontal="left" vertical="center" wrapText="1" indent="4"/>
    </xf>
    <xf numFmtId="3" fontId="46" fillId="0" borderId="50" xfId="0" applyNumberFormat="1" applyFont="1" applyBorder="1" applyAlignment="1" applyProtection="1">
      <alignment horizontal="center" vertical="center"/>
    </xf>
    <xf numFmtId="3" fontId="46" fillId="0" borderId="51" xfId="0" applyNumberFormat="1" applyFont="1" applyBorder="1" applyAlignment="1" applyProtection="1">
      <alignment horizontal="center" vertical="center"/>
    </xf>
    <xf numFmtId="3" fontId="46" fillId="0" borderId="52" xfId="0" applyNumberFormat="1" applyFont="1" applyBorder="1" applyAlignment="1" applyProtection="1">
      <alignment horizontal="center" vertical="center"/>
    </xf>
    <xf numFmtId="3" fontId="46" fillId="0" borderId="53" xfId="0" applyNumberFormat="1" applyFont="1" applyBorder="1" applyAlignment="1" applyProtection="1">
      <alignment horizontal="center" vertical="center"/>
    </xf>
    <xf numFmtId="3" fontId="46" fillId="0" borderId="12" xfId="0" applyNumberFormat="1" applyFont="1" applyBorder="1" applyAlignment="1" applyProtection="1">
      <alignment horizontal="center" vertical="center"/>
    </xf>
    <xf numFmtId="3" fontId="46" fillId="0" borderId="13" xfId="0" applyNumberFormat="1" applyFont="1" applyBorder="1" applyAlignment="1" applyProtection="1">
      <alignment horizontal="center" vertical="center"/>
    </xf>
    <xf numFmtId="10" fontId="38" fillId="23" borderId="54" xfId="0" applyNumberFormat="1" applyFont="1" applyFill="1" applyBorder="1" applyAlignment="1">
      <alignment horizontal="center" vertical="center" wrapText="1"/>
    </xf>
    <xf numFmtId="0" fontId="38" fillId="23" borderId="55" xfId="0" applyFont="1" applyFill="1" applyBorder="1" applyAlignment="1">
      <alignment horizontal="center" vertical="center" wrapText="1"/>
    </xf>
    <xf numFmtId="0" fontId="38" fillId="23" borderId="20" xfId="0" applyFont="1" applyFill="1" applyBorder="1" applyAlignment="1">
      <alignment horizontal="center" vertical="center" wrapText="1"/>
    </xf>
    <xf numFmtId="3" fontId="46" fillId="0" borderId="56" xfId="0" applyNumberFormat="1" applyFont="1" applyBorder="1" applyAlignment="1" applyProtection="1">
      <alignment horizontal="center" vertical="center"/>
    </xf>
    <xf numFmtId="3" fontId="46" fillId="0" borderId="57" xfId="32" applyNumberFormat="1" applyFont="1" applyBorder="1" applyAlignment="1" applyProtection="1">
      <alignment horizontal="center" vertical="center"/>
    </xf>
    <xf numFmtId="3" fontId="46" fillId="0" borderId="45" xfId="32" applyNumberFormat="1" applyFont="1" applyBorder="1" applyAlignment="1" applyProtection="1">
      <alignment horizontal="center" vertical="center"/>
    </xf>
    <xf numFmtId="3" fontId="46" fillId="0" borderId="56" xfId="32" applyNumberFormat="1" applyFont="1" applyBorder="1" applyAlignment="1" applyProtection="1">
      <alignment horizontal="center" vertical="center"/>
    </xf>
    <xf numFmtId="3" fontId="46" fillId="0" borderId="8" xfId="32" applyNumberFormat="1" applyFont="1" applyBorder="1" applyAlignment="1" applyProtection="1">
      <alignment horizontal="center" vertical="center"/>
    </xf>
    <xf numFmtId="3" fontId="46" fillId="0" borderId="8" xfId="0" applyNumberFormat="1" applyFont="1" applyBorder="1" applyAlignment="1" applyProtection="1">
      <alignment horizontal="center" vertical="center"/>
    </xf>
    <xf numFmtId="3" fontId="27" fillId="22" borderId="0" xfId="0" applyNumberFormat="1" applyFont="1" applyFill="1" applyBorder="1" applyAlignment="1" applyProtection="1">
      <alignment horizontal="center" vertical="center" wrapText="1"/>
    </xf>
    <xf numFmtId="9" fontId="38" fillId="0" borderId="58" xfId="32" applyFont="1" applyBorder="1" applyAlignment="1" applyProtection="1">
      <alignment horizontal="center" vertical="center"/>
      <protection locked="0"/>
    </xf>
    <xf numFmtId="0" fontId="38" fillId="0" borderId="58" xfId="0" applyFont="1" applyBorder="1" applyAlignment="1" applyProtection="1">
      <alignment horizontal="center" vertical="center" wrapText="1"/>
    </xf>
    <xf numFmtId="3" fontId="38" fillId="0" borderId="58" xfId="0" applyNumberFormat="1" applyFont="1" applyBorder="1" applyAlignment="1" applyProtection="1">
      <alignment horizontal="center" vertical="center" wrapText="1"/>
    </xf>
    <xf numFmtId="3" fontId="38" fillId="0" borderId="59" xfId="0" applyNumberFormat="1" applyFont="1" applyBorder="1" applyAlignment="1" applyProtection="1">
      <alignment horizontal="center" vertical="center" wrapText="1"/>
    </xf>
    <xf numFmtId="3" fontId="46" fillId="0" borderId="10" xfId="0" applyNumberFormat="1" applyFont="1" applyBorder="1" applyAlignment="1" applyProtection="1">
      <alignment horizontal="center" vertical="center"/>
    </xf>
    <xf numFmtId="3" fontId="46" fillId="0" borderId="0" xfId="0" applyNumberFormat="1" applyFont="1" applyBorder="1" applyAlignment="1" applyProtection="1">
      <alignment horizontal="center" vertical="center"/>
    </xf>
    <xf numFmtId="3" fontId="38" fillId="23" borderId="60" xfId="0" applyNumberFormat="1"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3" borderId="24" xfId="0" applyFont="1" applyFill="1" applyBorder="1" applyAlignment="1">
      <alignment horizontal="center" vertical="center" wrapText="1"/>
    </xf>
    <xf numFmtId="3" fontId="46" fillId="0" borderId="11" xfId="0" applyNumberFormat="1" applyFont="1" applyBorder="1" applyAlignment="1" applyProtection="1">
      <alignment horizontal="center" vertical="center"/>
    </xf>
    <xf numFmtId="3" fontId="46" fillId="0" borderId="16" xfId="0" applyNumberFormat="1" applyFont="1" applyBorder="1" applyAlignment="1" applyProtection="1">
      <alignment horizontal="center" vertical="center"/>
    </xf>
    <xf numFmtId="3" fontId="27" fillId="22" borderId="44" xfId="0" applyNumberFormat="1" applyFont="1" applyFill="1" applyBorder="1" applyAlignment="1" applyProtection="1">
      <alignment horizontal="center" vertical="center"/>
    </xf>
    <xf numFmtId="3" fontId="27" fillId="22" borderId="35" xfId="0" applyNumberFormat="1" applyFont="1" applyFill="1" applyBorder="1" applyAlignment="1" applyProtection="1">
      <alignment horizontal="center" vertical="center"/>
    </xf>
    <xf numFmtId="3" fontId="27" fillId="22" borderId="43" xfId="0" applyNumberFormat="1" applyFont="1" applyFill="1" applyBorder="1" applyAlignment="1" applyProtection="1">
      <alignment horizontal="center" vertical="center"/>
    </xf>
    <xf numFmtId="0" fontId="48" fillId="23" borderId="0" xfId="0" applyFont="1" applyFill="1" applyBorder="1" applyAlignment="1" applyProtection="1">
      <alignment horizontal="left" vertical="center" wrapText="1"/>
    </xf>
    <xf numFmtId="0" fontId="26" fillId="23" borderId="35" xfId="0" applyFont="1" applyFill="1" applyBorder="1" applyAlignment="1" applyProtection="1">
      <alignment horizontal="center" vertical="center" wrapText="1"/>
    </xf>
    <xf numFmtId="0" fontId="26" fillId="23" borderId="0" xfId="0" applyFont="1" applyFill="1" applyBorder="1" applyAlignment="1" applyProtection="1">
      <alignment horizontal="center" vertical="center" wrapText="1"/>
    </xf>
    <xf numFmtId="0" fontId="26" fillId="23" borderId="7" xfId="0" applyFont="1" applyFill="1" applyBorder="1" applyAlignment="1" applyProtection="1">
      <alignment horizontal="center" vertical="center" wrapText="1"/>
    </xf>
    <xf numFmtId="3" fontId="26" fillId="0" borderId="44" xfId="0" applyNumberFormat="1" applyFont="1" applyFill="1" applyBorder="1" applyAlignment="1" applyProtection="1">
      <alignment horizontal="center" vertical="center" wrapText="1"/>
    </xf>
    <xf numFmtId="3" fontId="26" fillId="0" borderId="35" xfId="0" applyNumberFormat="1" applyFont="1" applyFill="1" applyBorder="1" applyAlignment="1" applyProtection="1">
      <alignment horizontal="center" vertical="center" wrapText="1"/>
    </xf>
    <xf numFmtId="3" fontId="26" fillId="0" borderId="43" xfId="0" applyNumberFormat="1" applyFont="1" applyFill="1" applyBorder="1" applyAlignment="1" applyProtection="1">
      <alignment horizontal="center" vertical="center" wrapText="1"/>
    </xf>
    <xf numFmtId="3" fontId="26" fillId="0" borderId="36" xfId="0" applyNumberFormat="1" applyFont="1" applyFill="1" applyBorder="1" applyAlignment="1" applyProtection="1">
      <alignment horizontal="center" vertical="center" wrapText="1"/>
    </xf>
    <xf numFmtId="3" fontId="26" fillId="0" borderId="0" xfId="0" applyNumberFormat="1" applyFont="1" applyFill="1" applyBorder="1" applyAlignment="1" applyProtection="1">
      <alignment horizontal="center" vertical="center" wrapText="1"/>
    </xf>
    <xf numFmtId="3" fontId="26" fillId="0" borderId="34" xfId="0" applyNumberFormat="1" applyFont="1" applyFill="1" applyBorder="1" applyAlignment="1" applyProtection="1">
      <alignment horizontal="center" vertical="center" wrapText="1"/>
    </xf>
    <xf numFmtId="3" fontId="26" fillId="0" borderId="37" xfId="0" applyNumberFormat="1" applyFont="1" applyFill="1" applyBorder="1" applyAlignment="1" applyProtection="1">
      <alignment horizontal="center" vertical="center" wrapText="1"/>
    </xf>
    <xf numFmtId="3" fontId="26" fillId="0" borderId="7" xfId="0" applyNumberFormat="1" applyFont="1" applyFill="1" applyBorder="1" applyAlignment="1" applyProtection="1">
      <alignment horizontal="center" vertical="center" wrapText="1"/>
    </xf>
    <xf numFmtId="3" fontId="26" fillId="0" borderId="42" xfId="0" applyNumberFormat="1" applyFont="1" applyFill="1" applyBorder="1" applyAlignment="1" applyProtection="1">
      <alignment horizontal="center" vertical="center" wrapText="1"/>
    </xf>
    <xf numFmtId="165" fontId="25" fillId="0" borderId="5" xfId="32" applyNumberFormat="1" applyFont="1" applyBorder="1" applyAlignment="1" applyProtection="1">
      <alignment horizontal="center" vertical="center"/>
    </xf>
    <xf numFmtId="3" fontId="27" fillId="22" borderId="34" xfId="0" applyNumberFormat="1" applyFont="1" applyFill="1" applyBorder="1" applyAlignment="1" applyProtection="1">
      <alignment horizontal="center" vertical="center" wrapText="1"/>
    </xf>
    <xf numFmtId="168" fontId="35" fillId="25" borderId="39" xfId="0" applyNumberFormat="1" applyFont="1" applyFill="1" applyBorder="1" applyAlignment="1" applyProtection="1">
      <alignment horizontal="center" vertical="center"/>
      <protection locked="0"/>
    </xf>
    <xf numFmtId="168" fontId="35" fillId="25" borderId="40" xfId="0" applyNumberFormat="1" applyFont="1" applyFill="1" applyBorder="1" applyAlignment="1" applyProtection="1">
      <alignment horizontal="center" vertical="center"/>
      <protection locked="0"/>
    </xf>
    <xf numFmtId="168" fontId="35" fillId="25" borderId="41" xfId="0" applyNumberFormat="1" applyFont="1" applyFill="1" applyBorder="1" applyAlignment="1" applyProtection="1">
      <alignment horizontal="center" vertical="center"/>
      <protection locked="0"/>
    </xf>
    <xf numFmtId="3" fontId="36" fillId="0" borderId="0" xfId="0" applyNumberFormat="1" applyFont="1" applyBorder="1" applyAlignment="1" applyProtection="1">
      <alignment horizontal="center" vertical="top"/>
    </xf>
    <xf numFmtId="3" fontId="38" fillId="23" borderId="62" xfId="0" applyNumberFormat="1" applyFont="1" applyFill="1" applyBorder="1" applyAlignment="1" applyProtection="1">
      <alignment horizontal="justify" vertical="center" wrapText="1"/>
    </xf>
    <xf numFmtId="3" fontId="38" fillId="23" borderId="63" xfId="0" applyNumberFormat="1" applyFont="1" applyFill="1" applyBorder="1" applyAlignment="1" applyProtection="1">
      <alignment horizontal="justify" vertical="center" wrapText="1"/>
    </xf>
    <xf numFmtId="3" fontId="38" fillId="23" borderId="64" xfId="0" applyNumberFormat="1" applyFont="1" applyFill="1" applyBorder="1" applyAlignment="1" applyProtection="1">
      <alignment horizontal="justify" vertical="center" wrapText="1"/>
    </xf>
    <xf numFmtId="3" fontId="38" fillId="23" borderId="65" xfId="0" applyNumberFormat="1" applyFont="1" applyFill="1" applyBorder="1" applyAlignment="1" applyProtection="1">
      <alignment horizontal="justify" vertical="center" wrapText="1"/>
    </xf>
    <xf numFmtId="3" fontId="46" fillId="0" borderId="14" xfId="0" applyNumberFormat="1" applyFont="1" applyBorder="1" applyAlignment="1" applyProtection="1">
      <alignment horizontal="center" vertical="center"/>
    </xf>
    <xf numFmtId="3" fontId="35" fillId="23" borderId="39" xfId="0" applyNumberFormat="1" applyFont="1" applyFill="1" applyBorder="1" applyAlignment="1" applyProtection="1">
      <alignment horizontal="center" vertical="center" wrapText="1"/>
      <protection locked="0"/>
    </xf>
    <xf numFmtId="3" fontId="35" fillId="23" borderId="40" xfId="0" applyNumberFormat="1" applyFont="1" applyFill="1" applyBorder="1" applyAlignment="1" applyProtection="1">
      <alignment horizontal="center" vertical="center" wrapText="1"/>
      <protection locked="0"/>
    </xf>
    <xf numFmtId="3" fontId="35" fillId="23" borderId="41" xfId="0" applyNumberFormat="1" applyFont="1" applyFill="1" applyBorder="1" applyAlignment="1" applyProtection="1">
      <alignment horizontal="center" vertical="center" wrapText="1"/>
      <protection locked="0"/>
    </xf>
    <xf numFmtId="3" fontId="38" fillId="0" borderId="0" xfId="0" applyNumberFormat="1" applyFont="1" applyBorder="1" applyAlignment="1" applyProtection="1">
      <alignment horizontal="center" vertical="center"/>
    </xf>
    <xf numFmtId="9" fontId="35" fillId="23" borderId="66" xfId="32" applyFont="1" applyFill="1" applyBorder="1" applyAlignment="1" applyProtection="1">
      <alignment horizontal="center" vertical="center"/>
      <protection locked="0"/>
    </xf>
    <xf numFmtId="9" fontId="35" fillId="23" borderId="38" xfId="32" applyFont="1" applyFill="1" applyBorder="1" applyAlignment="1" applyProtection="1">
      <alignment horizontal="center" vertical="center"/>
      <protection locked="0"/>
    </xf>
    <xf numFmtId="9" fontId="35" fillId="23" borderId="67" xfId="32" applyFont="1" applyFill="1" applyBorder="1" applyAlignment="1" applyProtection="1">
      <alignment horizontal="center" vertical="center"/>
      <protection locked="0"/>
    </xf>
    <xf numFmtId="3" fontId="46" fillId="0" borderId="15" xfId="0" applyNumberFormat="1" applyFont="1" applyBorder="1" applyAlignment="1" applyProtection="1">
      <alignment horizontal="center" vertical="center"/>
    </xf>
    <xf numFmtId="3" fontId="38" fillId="23" borderId="0" xfId="0" applyNumberFormat="1" applyFont="1" applyFill="1" applyBorder="1" applyAlignment="1" applyProtection="1">
      <alignment horizontal="center" vertical="center"/>
    </xf>
    <xf numFmtId="9" fontId="35" fillId="23" borderId="39" xfId="32" applyFont="1" applyFill="1" applyBorder="1" applyAlignment="1" applyProtection="1">
      <alignment horizontal="center" vertical="center"/>
      <protection locked="0"/>
    </xf>
    <xf numFmtId="9" fontId="35" fillId="23" borderId="40" xfId="32" applyFont="1" applyFill="1" applyBorder="1" applyAlignment="1" applyProtection="1">
      <alignment horizontal="center" vertical="center"/>
      <protection locked="0"/>
    </xf>
    <xf numFmtId="9" fontId="35" fillId="23" borderId="41" xfId="32" applyFont="1" applyFill="1" applyBorder="1" applyAlignment="1" applyProtection="1">
      <alignment horizontal="center" vertical="center"/>
      <protection locked="0"/>
    </xf>
    <xf numFmtId="0" fontId="35" fillId="23" borderId="39" xfId="0" applyNumberFormat="1" applyFont="1" applyFill="1" applyBorder="1" applyAlignment="1" applyProtection="1">
      <alignment horizontal="center" vertical="center" wrapText="1"/>
    </xf>
    <xf numFmtId="0" fontId="35" fillId="23" borderId="40" xfId="0" applyNumberFormat="1" applyFont="1" applyFill="1" applyBorder="1" applyAlignment="1" applyProtection="1">
      <alignment horizontal="center" vertical="center" wrapText="1"/>
    </xf>
    <xf numFmtId="0" fontId="35" fillId="23" borderId="41" xfId="0" applyNumberFormat="1" applyFont="1" applyFill="1" applyBorder="1" applyAlignment="1" applyProtection="1">
      <alignment horizontal="center" vertical="center" wrapText="1"/>
    </xf>
    <xf numFmtId="9" fontId="35" fillId="23" borderId="39" xfId="32" applyFont="1" applyFill="1" applyBorder="1" applyAlignment="1" applyProtection="1">
      <alignment horizontal="center" vertical="center" wrapText="1"/>
      <protection locked="0"/>
    </xf>
    <xf numFmtId="9" fontId="35" fillId="23" borderId="40" xfId="32" applyFont="1" applyFill="1" applyBorder="1" applyAlignment="1" applyProtection="1">
      <alignment horizontal="center" vertical="center" wrapText="1"/>
      <protection locked="0"/>
    </xf>
    <xf numFmtId="9" fontId="35" fillId="23" borderId="41" xfId="32" applyFont="1" applyFill="1" applyBorder="1" applyAlignment="1" applyProtection="1">
      <alignment horizontal="center" vertical="center" wrapText="1"/>
      <protection locked="0"/>
    </xf>
    <xf numFmtId="9" fontId="37" fillId="23" borderId="39" xfId="32" applyFont="1" applyFill="1" applyBorder="1" applyAlignment="1" applyProtection="1">
      <alignment horizontal="center" vertical="center" wrapText="1"/>
      <protection locked="0"/>
    </xf>
    <xf numFmtId="9" fontId="37" fillId="23" borderId="40" xfId="32" applyFont="1" applyFill="1" applyBorder="1" applyAlignment="1" applyProtection="1">
      <alignment horizontal="center" vertical="center" wrapText="1"/>
      <protection locked="0"/>
    </xf>
    <xf numFmtId="9" fontId="37" fillId="23" borderId="41" xfId="32" applyFont="1" applyFill="1" applyBorder="1" applyAlignment="1" applyProtection="1">
      <alignment horizontal="center" vertical="center" wrapText="1"/>
      <protection locked="0"/>
    </xf>
    <xf numFmtId="0" fontId="43" fillId="0" borderId="13" xfId="0" applyFont="1" applyBorder="1" applyAlignment="1" applyProtection="1">
      <alignment horizontal="center"/>
    </xf>
    <xf numFmtId="0" fontId="38" fillId="0" borderId="0" xfId="0" applyFont="1" applyBorder="1"/>
    <xf numFmtId="9" fontId="35" fillId="23" borderId="68" xfId="32" applyFont="1" applyFill="1" applyBorder="1" applyAlignment="1" applyProtection="1">
      <alignment horizontal="center" vertical="center"/>
      <protection locked="0"/>
    </xf>
    <xf numFmtId="9" fontId="35" fillId="23" borderId="69" xfId="32" applyFont="1" applyFill="1" applyBorder="1" applyAlignment="1" applyProtection="1">
      <alignment horizontal="center" vertical="center"/>
      <protection locked="0"/>
    </xf>
    <xf numFmtId="9" fontId="35" fillId="23" borderId="70" xfId="32" applyFont="1" applyFill="1" applyBorder="1" applyAlignment="1" applyProtection="1">
      <alignment horizontal="center" vertical="center"/>
      <protection locked="0"/>
    </xf>
    <xf numFmtId="3" fontId="38" fillId="0" borderId="15" xfId="0" applyNumberFormat="1" applyFont="1" applyBorder="1" applyAlignment="1" applyProtection="1">
      <alignment horizontal="center" vertical="center"/>
    </xf>
    <xf numFmtId="3" fontId="36" fillId="23" borderId="15" xfId="0" applyNumberFormat="1" applyFont="1" applyFill="1" applyBorder="1" applyAlignment="1" applyProtection="1">
      <alignment horizontal="center" vertical="center"/>
    </xf>
    <xf numFmtId="3" fontId="36" fillId="23" borderId="0" xfId="0" applyNumberFormat="1" applyFont="1" applyFill="1" applyBorder="1" applyAlignment="1" applyProtection="1">
      <alignment horizontal="center" vertical="center"/>
    </xf>
    <xf numFmtId="3" fontId="38" fillId="23" borderId="15" xfId="0" applyNumberFormat="1" applyFont="1" applyFill="1" applyBorder="1" applyAlignment="1" applyProtection="1">
      <alignment horizontal="center" vertical="center"/>
    </xf>
    <xf numFmtId="3" fontId="38" fillId="0" borderId="71" xfId="0" applyNumberFormat="1" applyFont="1" applyBorder="1" applyAlignment="1" applyProtection="1">
      <alignment horizontal="center" vertical="center"/>
    </xf>
    <xf numFmtId="3" fontId="38" fillId="0" borderId="58" xfId="0" applyNumberFormat="1" applyFont="1" applyBorder="1" applyAlignment="1" applyProtection="1">
      <alignment horizontal="center" vertical="center"/>
    </xf>
    <xf numFmtId="0" fontId="38" fillId="0" borderId="58" xfId="0" applyFont="1" applyBorder="1" applyAlignment="1" applyProtection="1">
      <alignment horizontal="center" vertical="center"/>
    </xf>
    <xf numFmtId="9" fontId="38" fillId="0" borderId="59" xfId="32" applyFont="1" applyBorder="1" applyAlignment="1" applyProtection="1">
      <alignment horizontal="center" vertical="center"/>
      <protection locked="0"/>
    </xf>
    <xf numFmtId="3" fontId="46" fillId="0" borderId="72" xfId="0" applyNumberFormat="1" applyFont="1" applyBorder="1" applyAlignment="1" applyProtection="1">
      <alignment horizontal="center" vertical="center"/>
    </xf>
    <xf numFmtId="3" fontId="46" fillId="0" borderId="73" xfId="0" applyNumberFormat="1" applyFont="1" applyBorder="1" applyAlignment="1" applyProtection="1">
      <alignment horizontal="center" vertical="center"/>
    </xf>
    <xf numFmtId="3" fontId="46" fillId="0" borderId="73" xfId="32" applyNumberFormat="1" applyFont="1" applyBorder="1" applyAlignment="1" applyProtection="1">
      <alignment horizontal="center" vertical="center"/>
    </xf>
    <xf numFmtId="3" fontId="46" fillId="0" borderId="74" xfId="32" applyNumberFormat="1" applyFont="1" applyBorder="1" applyAlignment="1" applyProtection="1">
      <alignment horizontal="center" vertical="center"/>
    </xf>
    <xf numFmtId="3" fontId="46" fillId="0" borderId="57" xfId="0" applyNumberFormat="1" applyFont="1" applyBorder="1" applyAlignment="1" applyProtection="1">
      <alignment horizontal="center" vertical="center"/>
    </xf>
    <xf numFmtId="3" fontId="46" fillId="0" borderId="9" xfId="0" applyNumberFormat="1" applyFont="1" applyBorder="1" applyAlignment="1" applyProtection="1">
      <alignment horizontal="center" vertical="center"/>
    </xf>
    <xf numFmtId="3" fontId="38" fillId="23" borderId="23" xfId="0" applyNumberFormat="1" applyFont="1" applyFill="1" applyBorder="1" applyAlignment="1" applyProtection="1">
      <alignment horizontal="center" vertical="center"/>
    </xf>
    <xf numFmtId="3" fontId="38" fillId="23" borderId="25" xfId="0" applyNumberFormat="1" applyFont="1" applyFill="1" applyBorder="1" applyAlignment="1" applyProtection="1">
      <alignment horizontal="center" vertical="center"/>
    </xf>
    <xf numFmtId="3" fontId="38" fillId="0" borderId="19" xfId="0" applyNumberFormat="1" applyFont="1" applyBorder="1" applyAlignment="1" applyProtection="1">
      <alignment horizontal="center" vertical="center"/>
    </xf>
    <xf numFmtId="3" fontId="38" fillId="0" borderId="21" xfId="0" applyNumberFormat="1" applyFont="1" applyBorder="1" applyAlignment="1" applyProtection="1">
      <alignment horizontal="center" vertical="center"/>
    </xf>
    <xf numFmtId="3" fontId="46" fillId="0" borderId="75" xfId="0" applyNumberFormat="1" applyFont="1" applyBorder="1" applyAlignment="1" applyProtection="1">
      <alignment horizontal="center" vertical="center"/>
    </xf>
    <xf numFmtId="3" fontId="46" fillId="0" borderId="76" xfId="0" applyNumberFormat="1" applyFont="1" applyBorder="1" applyAlignment="1" applyProtection="1">
      <alignment horizontal="center" vertical="center"/>
    </xf>
    <xf numFmtId="3" fontId="42" fillId="23" borderId="39" xfId="0" applyNumberFormat="1" applyFont="1" applyFill="1" applyBorder="1" applyAlignment="1" applyProtection="1">
      <alignment horizontal="center" vertical="center" wrapText="1"/>
    </xf>
    <xf numFmtId="3" fontId="42" fillId="23" borderId="40" xfId="0" applyNumberFormat="1" applyFont="1" applyFill="1" applyBorder="1" applyAlignment="1" applyProtection="1">
      <alignment horizontal="center" vertical="center" wrapText="1"/>
    </xf>
    <xf numFmtId="3" fontId="42" fillId="23" borderId="41" xfId="0" applyNumberFormat="1" applyFont="1" applyFill="1" applyBorder="1" applyAlignment="1" applyProtection="1">
      <alignment horizontal="center" vertical="center" wrapText="1"/>
    </xf>
    <xf numFmtId="0" fontId="40" fillId="0" borderId="10" xfId="0" applyFont="1" applyBorder="1" applyAlignment="1" applyProtection="1">
      <alignment horizontal="center" vertical="center"/>
    </xf>
    <xf numFmtId="0" fontId="40" fillId="0" borderId="11" xfId="0" applyFont="1" applyBorder="1" applyAlignment="1" applyProtection="1">
      <alignment horizontal="center" vertical="center"/>
    </xf>
    <xf numFmtId="3" fontId="39" fillId="23" borderId="13" xfId="0" applyNumberFormat="1" applyFont="1" applyFill="1" applyBorder="1" applyAlignment="1" applyProtection="1">
      <alignment horizontal="center" vertical="center"/>
    </xf>
    <xf numFmtId="3" fontId="46" fillId="0" borderId="77" xfId="0" applyNumberFormat="1" applyFont="1" applyBorder="1" applyAlignment="1" applyProtection="1">
      <alignment horizontal="center" vertical="center"/>
    </xf>
    <xf numFmtId="3" fontId="31" fillId="0" borderId="10" xfId="0" applyNumberFormat="1" applyFont="1" applyFill="1" applyBorder="1" applyAlignment="1" applyProtection="1">
      <alignment horizontal="center" vertical="center" wrapText="1"/>
    </xf>
    <xf numFmtId="9" fontId="42" fillId="23" borderId="39" xfId="32" applyFont="1" applyFill="1" applyBorder="1" applyAlignment="1" applyProtection="1">
      <alignment horizontal="center" vertical="center" wrapText="1"/>
    </xf>
    <xf numFmtId="9" fontId="42" fillId="23" borderId="40" xfId="32" applyFont="1" applyFill="1" applyBorder="1" applyAlignment="1" applyProtection="1">
      <alignment horizontal="center" vertical="center" wrapText="1"/>
    </xf>
    <xf numFmtId="9" fontId="42" fillId="23" borderId="41" xfId="32" applyFont="1" applyFill="1" applyBorder="1" applyAlignment="1" applyProtection="1">
      <alignment horizontal="center" vertical="center" wrapText="1"/>
    </xf>
    <xf numFmtId="3" fontId="18" fillId="0" borderId="5" xfId="0" applyNumberFormat="1" applyFont="1" applyBorder="1" applyAlignment="1">
      <alignment horizontal="center"/>
    </xf>
    <xf numFmtId="165" fontId="20" fillId="0" borderId="0" xfId="0" applyNumberFormat="1" applyFont="1" applyAlignment="1">
      <alignment horizontal="center" vertical="top" wrapText="1" readingOrder="1"/>
    </xf>
    <xf numFmtId="165" fontId="22" fillId="0" borderId="0" xfId="0" applyNumberFormat="1" applyFont="1" applyAlignment="1">
      <alignment horizontal="center" vertical="top" wrapText="1" readingOrder="1"/>
    </xf>
    <xf numFmtId="0" fontId="20" fillId="0" borderId="0" xfId="0" applyFont="1" applyAlignment="1">
      <alignment horizontal="center" vertical="center" wrapText="1" readingOrder="1"/>
    </xf>
    <xf numFmtId="0" fontId="21" fillId="0" borderId="0" xfId="0" applyFont="1" applyAlignment="1">
      <alignment horizontal="center" wrapText="1" readingOrder="1"/>
    </xf>
    <xf numFmtId="0" fontId="24" fillId="0" borderId="0" xfId="0" applyFont="1" applyAlignment="1">
      <alignment horizontal="center" wrapText="1"/>
    </xf>
    <xf numFmtId="3" fontId="25" fillId="0" borderId="0" xfId="0" applyNumberFormat="1" applyFont="1" applyAlignment="1">
      <alignment horizontal="center" vertical="center" textRotation="255"/>
    </xf>
    <xf numFmtId="0" fontId="24" fillId="0" borderId="0" xfId="0" applyFont="1" applyAlignment="1">
      <alignment horizontal="center" vertical="center" textRotation="255"/>
    </xf>
    <xf numFmtId="0" fontId="14" fillId="23" borderId="0" xfId="0" applyFont="1" applyFill="1" applyAlignment="1">
      <alignment wrapText="1"/>
    </xf>
    <xf numFmtId="0" fontId="0" fillId="0" borderId="0" xfId="0" applyAlignment="1">
      <alignment wrapText="1"/>
    </xf>
    <xf numFmtId="0" fontId="14" fillId="23" borderId="0" xfId="0" applyFont="1" applyFill="1" applyAlignment="1">
      <alignment horizontal="left" wrapText="1"/>
    </xf>
    <xf numFmtId="0" fontId="0" fillId="0" borderId="0" xfId="0" applyAlignment="1">
      <alignment horizontal="left" wrapText="1"/>
    </xf>
    <xf numFmtId="169" fontId="14" fillId="23" borderId="0" xfId="32" applyNumberFormat="1" applyFont="1" applyFill="1" applyAlignment="1">
      <alignment horizontal="left" wrapText="1"/>
    </xf>
    <xf numFmtId="0" fontId="23" fillId="0" borderId="0" xfId="0" applyFont="1" applyAlignment="1">
      <alignment horizontal="left" wrapText="1"/>
    </xf>
    <xf numFmtId="0" fontId="15" fillId="26" borderId="0" xfId="0" applyFont="1" applyFill="1" applyAlignment="1">
      <alignment horizontal="center"/>
    </xf>
    <xf numFmtId="0" fontId="16" fillId="31" borderId="0" xfId="0" applyFont="1" applyFill="1" applyAlignment="1">
      <alignment wrapText="1"/>
    </xf>
    <xf numFmtId="0" fontId="24" fillId="31" borderId="0" xfId="0" applyFont="1" applyFill="1" applyAlignment="1">
      <alignment wrapText="1"/>
    </xf>
    <xf numFmtId="0" fontId="24" fillId="31" borderId="7" xfId="0" applyFont="1" applyFill="1" applyBorder="1" applyAlignment="1">
      <alignment wrapText="1"/>
    </xf>
  </cellXfs>
  <cellStyles count="36">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Celda vinculada" xfId="19" builtinId="24" customBuiltin="1"/>
    <cellStyle name="Encabezado 4" xfId="20" builtinId="19" customBuiltin="1"/>
    <cellStyle name="Énfasis1" xfId="21" builtinId="29" customBuiltin="1"/>
    <cellStyle name="Énfasis2" xfId="22" builtinId="33" customBuiltin="1"/>
    <cellStyle name="Énfasis3" xfId="23" builtinId="37" customBuiltin="1"/>
    <cellStyle name="Énfasis4" xfId="24" builtinId="41" customBuiltin="1"/>
    <cellStyle name="Énfasis5" xfId="25" builtinId="45" customBuiltin="1"/>
    <cellStyle name="Énfasis6" xfId="26" builtinId="49" customBuiltin="1"/>
    <cellStyle name="Entrada" xfId="27" builtinId="20" customBuiltin="1"/>
    <cellStyle name="Incorrecto" xfId="28" builtinId="27" customBuiltin="1"/>
    <cellStyle name="Millares" xfId="29" builtinId="3"/>
    <cellStyle name="Moneda" xfId="30" builtinId="4"/>
    <cellStyle name="Neutral" xfId="31" builtinId="28" customBuiltin="1"/>
    <cellStyle name="Normal" xfId="0" builtinId="0"/>
    <cellStyle name="Porcentaje" xfId="32" builtinId="5"/>
    <cellStyle name="Salida" xfId="33" builtinId="21" customBuiltin="1"/>
    <cellStyle name="Título" xfId="34" builtinId="15" customBuiltin="1"/>
    <cellStyle name="Total" xfId="35" builtinId="25" customBuiltin="1"/>
  </cellStyles>
  <dxfs count="1">
    <dxf>
      <font>
        <condense val="0"/>
        <extend val="0"/>
        <color indexed="9"/>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26</xdr:col>
      <xdr:colOff>161925</xdr:colOff>
      <xdr:row>2</xdr:row>
      <xdr:rowOff>28575</xdr:rowOff>
    </xdr:from>
    <xdr:to>
      <xdr:col>32</xdr:col>
      <xdr:colOff>66675</xdr:colOff>
      <xdr:row>3</xdr:row>
      <xdr:rowOff>276225</xdr:rowOff>
    </xdr:to>
    <xdr:pic>
      <xdr:nvPicPr>
        <xdr:cNvPr id="2161" name="Picture 5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62850" y="647700"/>
          <a:ext cx="17430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180975</xdr:colOff>
      <xdr:row>2</xdr:row>
      <xdr:rowOff>57150</xdr:rowOff>
    </xdr:from>
    <xdr:to>
      <xdr:col>32</xdr:col>
      <xdr:colOff>47625</xdr:colOff>
      <xdr:row>3</xdr:row>
      <xdr:rowOff>257175</xdr:rowOff>
    </xdr:to>
    <xdr:pic>
      <xdr:nvPicPr>
        <xdr:cNvPr id="2162" name="Imagen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t="44289"/>
        <a:stretch>
          <a:fillRect/>
        </a:stretch>
      </xdr:blipFill>
      <xdr:spPr bwMode="auto">
        <a:xfrm>
          <a:off x="7581900" y="676275"/>
          <a:ext cx="17049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19050</xdr:colOff>
      <xdr:row>6</xdr:row>
      <xdr:rowOff>19050</xdr:rowOff>
    </xdr:from>
    <xdr:to>
      <xdr:col>32</xdr:col>
      <xdr:colOff>200025</xdr:colOff>
      <xdr:row>16</xdr:row>
      <xdr:rowOff>123825</xdr:rowOff>
    </xdr:to>
    <xdr:pic>
      <xdr:nvPicPr>
        <xdr:cNvPr id="2163" name="Imagen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19975" y="1447800"/>
          <a:ext cx="2019300" cy="253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pageSetUpPr fitToPage="1"/>
  </sheetPr>
  <dimension ref="A1:IK705"/>
  <sheetViews>
    <sheetView showGridLines="0" tabSelected="1" topLeftCell="B1" zoomScale="95" zoomScaleNormal="85" workbookViewId="0">
      <selection activeCell="D9" sqref="D9"/>
    </sheetView>
  </sheetViews>
  <sheetFormatPr baseColWidth="10" defaultColWidth="0" defaultRowHeight="13.5" zeroHeight="1"/>
  <cols>
    <col min="1" max="1" width="3.42578125" style="111" hidden="1" customWidth="1"/>
    <col min="2" max="2" width="3.42578125" style="112" customWidth="1"/>
    <col min="3" max="3" width="6.7109375" style="111" customWidth="1"/>
    <col min="4" max="5" width="4.7109375" style="111" customWidth="1"/>
    <col min="6" max="6" width="5.85546875" style="111" customWidth="1"/>
    <col min="7" max="7" width="4.42578125" style="111" customWidth="1"/>
    <col min="8" max="9" width="3.42578125" style="111" customWidth="1"/>
    <col min="10" max="10" width="6.42578125" style="111" customWidth="1"/>
    <col min="11" max="11" width="3.42578125" style="111" customWidth="1"/>
    <col min="12" max="12" width="4.140625" style="111" customWidth="1"/>
    <col min="13" max="13" width="5.7109375" style="111" customWidth="1"/>
    <col min="14" max="15" width="4.140625" style="111" customWidth="1"/>
    <col min="16" max="16" width="7" style="111" customWidth="1"/>
    <col min="17" max="18" width="3.42578125" style="111" customWidth="1"/>
    <col min="19" max="19" width="2.140625" style="111" customWidth="1"/>
    <col min="20" max="20" width="5.140625" style="111" customWidth="1"/>
    <col min="21" max="22" width="4.140625" style="111" customWidth="1"/>
    <col min="23" max="23" width="10.7109375" style="111" customWidth="1"/>
    <col min="24" max="24" width="2" style="111" customWidth="1"/>
    <col min="25" max="25" width="1.7109375" style="111" customWidth="1"/>
    <col min="26" max="26" width="2.42578125" style="111" customWidth="1"/>
    <col min="27" max="27" width="4.28515625" style="111" customWidth="1"/>
    <col min="28" max="30" width="4.140625" style="111" customWidth="1"/>
    <col min="31" max="31" width="7.42578125" style="111" customWidth="1"/>
    <col min="32" max="33" width="3.42578125" style="111" customWidth="1"/>
    <col min="34" max="34" width="3.28515625" style="113" customWidth="1"/>
    <col min="35" max="35" width="3.42578125" style="114" hidden="1" customWidth="1"/>
    <col min="36" max="36" width="12.42578125" style="115" hidden="1" customWidth="1"/>
    <col min="37" max="37" width="13.7109375" style="115" hidden="1" customWidth="1"/>
    <col min="38" max="38" width="13.140625" style="115" hidden="1" customWidth="1"/>
    <col min="39" max="39" width="14.42578125" style="115" hidden="1" customWidth="1"/>
    <col min="40" max="40" width="18" style="115" hidden="1" customWidth="1"/>
    <col min="41" max="41" width="27.42578125" style="115" hidden="1" customWidth="1"/>
    <col min="42" max="42" width="15.140625" style="115" hidden="1" customWidth="1"/>
    <col min="43" max="44" width="10.42578125" style="116" hidden="1" customWidth="1"/>
    <col min="45" max="45" width="13" style="115" hidden="1" customWidth="1"/>
    <col min="46" max="46" width="28.42578125" style="115" hidden="1" customWidth="1"/>
    <col min="47" max="68" width="10.42578125" style="116" hidden="1" customWidth="1"/>
    <col min="69" max="75" width="2.42578125" style="115" hidden="1" customWidth="1"/>
    <col min="76" max="232" width="11.42578125" style="115" hidden="1" customWidth="1"/>
    <col min="233" max="237" width="11.42578125" style="117" hidden="1" customWidth="1"/>
    <col min="238" max="239" width="11.7109375" style="117" hidden="1" customWidth="1"/>
    <col min="240" max="244" width="11.42578125" style="117" hidden="1" customWidth="1"/>
    <col min="245" max="245" width="11.7109375" style="117" hidden="1" customWidth="1"/>
    <col min="246" max="16384" width="11.42578125" style="117" hidden="1"/>
  </cols>
  <sheetData>
    <row r="1" spans="3:50"/>
    <row r="2" spans="3:50" ht="35.25" customHeight="1" thickBot="1">
      <c r="AJ2" s="321">
        <v>109</v>
      </c>
      <c r="AK2" s="322"/>
      <c r="AL2" s="322"/>
      <c r="AM2" s="322"/>
      <c r="AN2" s="322"/>
      <c r="AO2" s="323"/>
      <c r="AP2" s="116"/>
      <c r="AS2" s="116"/>
      <c r="AT2" s="116"/>
    </row>
    <row r="3" spans="3:50" ht="18" customHeight="1">
      <c r="C3" s="332" t="s">
        <v>86</v>
      </c>
      <c r="D3" s="333"/>
      <c r="E3" s="333"/>
      <c r="F3" s="333"/>
      <c r="G3" s="333"/>
      <c r="H3" s="333"/>
      <c r="I3" s="333"/>
      <c r="J3" s="333"/>
      <c r="K3" s="333"/>
      <c r="L3" s="333"/>
      <c r="M3" s="333"/>
      <c r="N3" s="333"/>
      <c r="O3" s="333"/>
      <c r="P3" s="333"/>
      <c r="Q3" s="333"/>
      <c r="R3" s="333"/>
      <c r="S3" s="333"/>
      <c r="T3" s="333"/>
      <c r="U3" s="333"/>
      <c r="V3" s="333"/>
      <c r="W3" s="333"/>
      <c r="X3" s="333"/>
      <c r="Y3" s="334"/>
      <c r="Z3" s="118"/>
      <c r="AA3" s="119"/>
      <c r="AB3" s="120"/>
      <c r="AC3" s="120"/>
      <c r="AD3" s="120"/>
      <c r="AE3" s="120"/>
      <c r="AF3" s="120"/>
      <c r="AG3" s="121"/>
      <c r="AJ3" s="344">
        <v>0.3</v>
      </c>
      <c r="AK3" s="345"/>
      <c r="AL3" s="345"/>
      <c r="AM3" s="345"/>
      <c r="AN3" s="345"/>
      <c r="AO3" s="346"/>
      <c r="AP3" s="116"/>
      <c r="AQ3" s="122" t="s">
        <v>37</v>
      </c>
      <c r="AR3" s="122" t="s">
        <v>1</v>
      </c>
      <c r="AS3" s="122" t="s">
        <v>11</v>
      </c>
      <c r="AT3" s="122" t="s">
        <v>38</v>
      </c>
      <c r="AU3" s="122" t="s">
        <v>39</v>
      </c>
      <c r="AV3" s="116">
        <v>18</v>
      </c>
      <c r="AW3" s="116">
        <v>0</v>
      </c>
      <c r="AX3" s="116" t="s">
        <v>40</v>
      </c>
    </row>
    <row r="4" spans="3:50" ht="24" customHeight="1" thickBot="1">
      <c r="C4" s="335"/>
      <c r="D4" s="336"/>
      <c r="E4" s="336"/>
      <c r="F4" s="336"/>
      <c r="G4" s="336"/>
      <c r="H4" s="336"/>
      <c r="I4" s="336"/>
      <c r="J4" s="336"/>
      <c r="K4" s="336"/>
      <c r="L4" s="336"/>
      <c r="M4" s="336"/>
      <c r="N4" s="336"/>
      <c r="O4" s="336"/>
      <c r="P4" s="336"/>
      <c r="Q4" s="336"/>
      <c r="R4" s="336"/>
      <c r="S4" s="336"/>
      <c r="T4" s="336"/>
      <c r="U4" s="336"/>
      <c r="V4" s="336"/>
      <c r="W4" s="336"/>
      <c r="X4" s="336"/>
      <c r="Y4" s="337"/>
      <c r="Z4" s="123"/>
      <c r="AA4" s="124"/>
      <c r="AB4" s="125"/>
      <c r="AC4" s="125"/>
      <c r="AD4" s="125"/>
      <c r="AE4" s="125"/>
      <c r="AF4" s="125"/>
      <c r="AG4" s="126"/>
      <c r="AJ4" s="116">
        <f>+U71</f>
        <v>0</v>
      </c>
      <c r="AK4" s="116"/>
      <c r="AL4" s="116"/>
      <c r="AM4" s="116"/>
      <c r="AN4" s="116"/>
      <c r="AO4" s="127" t="s">
        <v>145</v>
      </c>
      <c r="AP4" s="127" t="s">
        <v>131</v>
      </c>
      <c r="AQ4" s="127">
        <v>151</v>
      </c>
      <c r="AR4" s="122">
        <v>5</v>
      </c>
      <c r="AS4" s="122" t="s">
        <v>41</v>
      </c>
      <c r="AT4" s="122" t="s">
        <v>42</v>
      </c>
      <c r="AU4" s="128">
        <v>0.1</v>
      </c>
      <c r="AV4" s="116">
        <f>+AV3+1</f>
        <v>19</v>
      </c>
      <c r="AW4" s="116">
        <f t="shared" ref="AW4:AW22" si="0">+AW3+1</f>
        <v>1</v>
      </c>
      <c r="AX4" s="116" t="s">
        <v>43</v>
      </c>
    </row>
    <row r="5" spans="3:50" ht="13.5" customHeight="1">
      <c r="C5" s="129"/>
      <c r="D5" s="328" t="s">
        <v>87</v>
      </c>
      <c r="E5" s="328"/>
      <c r="F5" s="328"/>
      <c r="G5" s="328"/>
      <c r="H5" s="328"/>
      <c r="I5" s="328"/>
      <c r="J5" s="328"/>
      <c r="K5" s="328"/>
      <c r="L5" s="328"/>
      <c r="M5" s="328"/>
      <c r="N5" s="328"/>
      <c r="O5" s="328"/>
      <c r="P5" s="328"/>
      <c r="Q5" s="328"/>
      <c r="R5" s="130"/>
      <c r="S5" s="130"/>
      <c r="T5" s="130"/>
      <c r="U5" s="130"/>
      <c r="V5" s="130"/>
      <c r="W5" s="130"/>
      <c r="X5" s="130"/>
      <c r="Y5" s="131"/>
      <c r="Z5" s="132"/>
      <c r="AA5" s="113"/>
      <c r="AB5" s="113"/>
      <c r="AC5" s="113"/>
      <c r="AD5" s="113"/>
      <c r="AE5" s="113"/>
      <c r="AF5" s="113"/>
      <c r="AG5" s="113"/>
      <c r="AJ5" s="116">
        <f>+Y14</f>
        <v>0</v>
      </c>
      <c r="AK5" s="116"/>
      <c r="AL5" s="116"/>
      <c r="AM5" s="116"/>
      <c r="AN5" s="116"/>
      <c r="AO5" s="133" t="s">
        <v>132</v>
      </c>
      <c r="AP5" s="127" t="s">
        <v>132</v>
      </c>
      <c r="AQ5" s="127">
        <v>185</v>
      </c>
      <c r="AR5" s="122">
        <f t="shared" ref="AR5:AR24" si="1">1+AR4</f>
        <v>6</v>
      </c>
      <c r="AS5" s="122" t="s">
        <v>44</v>
      </c>
      <c r="AT5" s="122" t="s">
        <v>45</v>
      </c>
      <c r="AU5" s="128">
        <v>0.15</v>
      </c>
      <c r="AV5" s="116">
        <f t="shared" ref="AV5:AV68" si="2">+AV4+1</f>
        <v>20</v>
      </c>
      <c r="AW5" s="116">
        <f t="shared" si="0"/>
        <v>2</v>
      </c>
      <c r="AX5" s="116" t="s">
        <v>46</v>
      </c>
    </row>
    <row r="6" spans="3:50" ht="8.25" customHeight="1" thickBot="1">
      <c r="C6" s="134"/>
      <c r="D6" s="329"/>
      <c r="E6" s="329"/>
      <c r="F6" s="329"/>
      <c r="G6" s="329"/>
      <c r="H6" s="329"/>
      <c r="I6" s="329"/>
      <c r="J6" s="329"/>
      <c r="K6" s="329"/>
      <c r="L6" s="329"/>
      <c r="M6" s="329"/>
      <c r="N6" s="329"/>
      <c r="O6" s="329"/>
      <c r="P6" s="329"/>
      <c r="Q6" s="329"/>
      <c r="R6" s="113"/>
      <c r="S6" s="113"/>
      <c r="T6" s="113"/>
      <c r="U6" s="113"/>
      <c r="V6" s="113"/>
      <c r="W6" s="113"/>
      <c r="X6" s="113"/>
      <c r="Y6" s="135"/>
      <c r="Z6" s="113"/>
      <c r="AA6" s="136"/>
      <c r="AB6" s="136"/>
      <c r="AC6" s="136"/>
      <c r="AD6" s="136"/>
      <c r="AE6" s="136"/>
      <c r="AF6" s="136"/>
      <c r="AG6" s="136"/>
      <c r="AJ6" s="116">
        <f>+AJ22</f>
        <v>0</v>
      </c>
      <c r="AK6" s="116"/>
      <c r="AL6" s="137"/>
      <c r="AM6" s="116"/>
      <c r="AN6" s="116"/>
      <c r="AO6" s="133" t="s">
        <v>144</v>
      </c>
      <c r="AP6" s="133" t="s">
        <v>144</v>
      </c>
      <c r="AQ6" s="127">
        <v>93</v>
      </c>
      <c r="AR6" s="122">
        <f t="shared" si="1"/>
        <v>7</v>
      </c>
      <c r="AS6" s="122" t="s">
        <v>47</v>
      </c>
      <c r="AT6" s="122"/>
      <c r="AU6" s="128">
        <v>0.2</v>
      </c>
      <c r="AV6" s="116">
        <f t="shared" si="2"/>
        <v>21</v>
      </c>
      <c r="AW6" s="116">
        <f t="shared" si="0"/>
        <v>3</v>
      </c>
      <c r="AX6" s="116" t="s">
        <v>48</v>
      </c>
    </row>
    <row r="7" spans="3:50" ht="20.25" customHeight="1" thickBot="1">
      <c r="C7" s="134"/>
      <c r="D7" s="325" t="s">
        <v>154</v>
      </c>
      <c r="E7" s="326"/>
      <c r="F7" s="326"/>
      <c r="G7" s="326"/>
      <c r="H7" s="326"/>
      <c r="I7" s="326"/>
      <c r="J7" s="326"/>
      <c r="K7" s="326"/>
      <c r="L7" s="326"/>
      <c r="M7" s="326"/>
      <c r="N7" s="326"/>
      <c r="O7" s="326"/>
      <c r="P7" s="326"/>
      <c r="Q7" s="327"/>
      <c r="R7" s="138"/>
      <c r="S7" s="138"/>
      <c r="T7" s="458">
        <v>29</v>
      </c>
      <c r="U7" s="459"/>
      <c r="V7" s="459"/>
      <c r="W7" s="460"/>
      <c r="X7" s="113"/>
      <c r="Y7" s="135"/>
      <c r="Z7" s="113"/>
      <c r="AA7" s="129"/>
      <c r="AB7" s="139"/>
      <c r="AC7" s="139"/>
      <c r="AD7" s="139"/>
      <c r="AE7" s="139"/>
      <c r="AF7" s="139"/>
      <c r="AG7" s="140"/>
      <c r="AJ7" s="116">
        <f>+J43</f>
        <v>0</v>
      </c>
      <c r="AL7" s="137"/>
      <c r="AM7" s="116"/>
      <c r="AN7" s="116"/>
      <c r="AO7" s="116"/>
      <c r="AP7" s="116"/>
      <c r="AQ7" s="122"/>
      <c r="AR7" s="122">
        <f t="shared" si="1"/>
        <v>8</v>
      </c>
      <c r="AS7" s="122" t="s">
        <v>49</v>
      </c>
      <c r="AT7" s="122"/>
      <c r="AU7" s="128">
        <v>0.25</v>
      </c>
      <c r="AV7" s="116">
        <f t="shared" si="2"/>
        <v>22</v>
      </c>
      <c r="AW7" s="116">
        <f t="shared" si="0"/>
        <v>4</v>
      </c>
    </row>
    <row r="8" spans="3:50" ht="17.25" customHeight="1">
      <c r="C8" s="134"/>
      <c r="D8" s="141" t="s">
        <v>88</v>
      </c>
      <c r="E8" s="142"/>
      <c r="F8" s="142"/>
      <c r="G8" s="142"/>
      <c r="H8" s="142"/>
      <c r="I8" s="142"/>
      <c r="J8" s="142"/>
      <c r="K8" s="142"/>
      <c r="L8" s="142"/>
      <c r="M8" s="142"/>
      <c r="N8" s="142"/>
      <c r="O8" s="142"/>
      <c r="P8" s="143"/>
      <c r="Q8" s="143"/>
      <c r="R8" s="142"/>
      <c r="S8" s="142"/>
      <c r="T8" s="461" t="s">
        <v>3</v>
      </c>
      <c r="U8" s="461"/>
      <c r="V8" s="461"/>
      <c r="W8" s="461"/>
      <c r="X8" s="113"/>
      <c r="Y8" s="144"/>
      <c r="Z8" s="113"/>
      <c r="AA8" s="134"/>
      <c r="AB8" s="113"/>
      <c r="AC8" s="113"/>
      <c r="AD8" s="142"/>
      <c r="AE8" s="142"/>
      <c r="AF8" s="142"/>
      <c r="AG8" s="145"/>
      <c r="AJ8" s="116"/>
      <c r="AL8" s="116"/>
      <c r="AM8" s="116"/>
      <c r="AN8" s="116"/>
      <c r="AO8" s="116"/>
      <c r="AP8" s="116"/>
      <c r="AQ8" s="122"/>
      <c r="AR8" s="122">
        <f t="shared" si="1"/>
        <v>9</v>
      </c>
      <c r="AS8" s="122"/>
      <c r="AT8" s="122"/>
      <c r="AU8" s="128">
        <v>0.3</v>
      </c>
      <c r="AV8" s="116">
        <f t="shared" si="2"/>
        <v>23</v>
      </c>
      <c r="AW8" s="116">
        <f t="shared" si="0"/>
        <v>5</v>
      </c>
    </row>
    <row r="9" spans="3:50" ht="14.25" thickBot="1">
      <c r="C9" s="146"/>
      <c r="D9" s="147"/>
      <c r="E9" s="147"/>
      <c r="F9" s="147"/>
      <c r="G9" s="147"/>
      <c r="H9" s="148"/>
      <c r="I9" s="148"/>
      <c r="J9" s="148"/>
      <c r="K9" s="148"/>
      <c r="L9" s="147"/>
      <c r="M9" s="147"/>
      <c r="N9" s="147"/>
      <c r="O9" s="147"/>
      <c r="P9" s="148"/>
      <c r="Q9" s="148"/>
      <c r="R9" s="148"/>
      <c r="S9" s="147"/>
      <c r="T9" s="147"/>
      <c r="U9" s="147"/>
      <c r="V9" s="147"/>
      <c r="W9" s="147"/>
      <c r="X9" s="147"/>
      <c r="Y9" s="149"/>
      <c r="Z9" s="150"/>
      <c r="AA9" s="151"/>
      <c r="AB9" s="152"/>
      <c r="AC9" s="152"/>
      <c r="AD9" s="152"/>
      <c r="AE9" s="152"/>
      <c r="AF9" s="152"/>
      <c r="AG9" s="153"/>
      <c r="AJ9" s="116"/>
      <c r="AL9" s="116"/>
      <c r="AM9" s="116"/>
      <c r="AN9" s="116"/>
      <c r="AO9" s="116"/>
      <c r="AP9" s="116"/>
      <c r="AQ9" s="122"/>
      <c r="AR9" s="122">
        <f t="shared" si="1"/>
        <v>10</v>
      </c>
      <c r="AS9" s="122"/>
      <c r="AT9" s="122"/>
      <c r="AU9" s="128">
        <v>0.32</v>
      </c>
      <c r="AV9" s="116">
        <f t="shared" si="2"/>
        <v>24</v>
      </c>
      <c r="AW9" s="116">
        <f t="shared" si="0"/>
        <v>6</v>
      </c>
    </row>
    <row r="10" spans="3:50" ht="14.25" thickBot="1">
      <c r="C10" s="114"/>
      <c r="D10" s="152"/>
      <c r="E10" s="152"/>
      <c r="F10" s="152"/>
      <c r="G10" s="152"/>
      <c r="H10" s="154"/>
      <c r="I10" s="154"/>
      <c r="J10" s="154"/>
      <c r="K10" s="154"/>
      <c r="L10" s="152"/>
      <c r="M10" s="152"/>
      <c r="N10" s="152"/>
      <c r="O10" s="152"/>
      <c r="P10" s="154"/>
      <c r="Q10" s="154"/>
      <c r="R10" s="154"/>
      <c r="S10" s="152"/>
      <c r="T10" s="152"/>
      <c r="U10" s="152"/>
      <c r="V10" s="152"/>
      <c r="W10" s="152"/>
      <c r="X10" s="152"/>
      <c r="Y10" s="150"/>
      <c r="Z10" s="150"/>
      <c r="AA10" s="151"/>
      <c r="AB10" s="152"/>
      <c r="AC10" s="152"/>
      <c r="AD10" s="152"/>
      <c r="AE10" s="152"/>
      <c r="AF10" s="152"/>
      <c r="AG10" s="153"/>
      <c r="AJ10" s="116"/>
      <c r="AL10" s="116"/>
      <c r="AM10" s="116"/>
      <c r="AN10" s="116"/>
      <c r="AO10" s="116"/>
      <c r="AP10" s="116"/>
      <c r="AQ10" s="122"/>
      <c r="AR10" s="122">
        <f t="shared" si="1"/>
        <v>11</v>
      </c>
      <c r="AS10" s="122"/>
      <c r="AT10" s="122"/>
      <c r="AU10" s="128">
        <v>0.34</v>
      </c>
      <c r="AV10" s="116">
        <f t="shared" si="2"/>
        <v>25</v>
      </c>
    </row>
    <row r="11" spans="3:50" ht="23.25" customHeight="1" thickBot="1">
      <c r="C11" s="155"/>
      <c r="D11" s="338" t="s">
        <v>89</v>
      </c>
      <c r="E11" s="338"/>
      <c r="F11" s="338"/>
      <c r="G11" s="156"/>
      <c r="H11" s="156"/>
      <c r="I11" s="156"/>
      <c r="J11" s="156"/>
      <c r="K11" s="156"/>
      <c r="L11" s="156"/>
      <c r="M11" s="156"/>
      <c r="N11" s="156"/>
      <c r="O11" s="156"/>
      <c r="P11" s="156"/>
      <c r="Q11" s="157"/>
      <c r="R11" s="158"/>
      <c r="S11" s="155"/>
      <c r="T11" s="520" t="s">
        <v>90</v>
      </c>
      <c r="U11" s="520"/>
      <c r="V11" s="520"/>
      <c r="W11" s="520"/>
      <c r="X11" s="156"/>
      <c r="Y11" s="157"/>
      <c r="Z11" s="158"/>
      <c r="AA11" s="159"/>
      <c r="AB11" s="158"/>
      <c r="AC11" s="158"/>
      <c r="AD11" s="158"/>
      <c r="AE11" s="158"/>
      <c r="AF11" s="158"/>
      <c r="AG11" s="160"/>
      <c r="AJ11" s="116"/>
      <c r="AL11" s="116"/>
      <c r="AM11" s="116"/>
      <c r="AN11" s="116"/>
      <c r="AO11" s="116"/>
      <c r="AP11" s="116"/>
      <c r="AQ11" s="122"/>
      <c r="AR11" s="122">
        <f t="shared" si="1"/>
        <v>12</v>
      </c>
      <c r="AS11" s="122"/>
      <c r="AT11" s="122"/>
      <c r="AU11" s="128">
        <v>0.35</v>
      </c>
      <c r="AV11" s="116">
        <f t="shared" si="2"/>
        <v>26</v>
      </c>
      <c r="AW11" s="116">
        <f>+AW9+1</f>
        <v>7</v>
      </c>
    </row>
    <row r="12" spans="3:50" ht="26.25" customHeight="1" thickBot="1">
      <c r="C12" s="161"/>
      <c r="D12" s="467">
        <v>10000</v>
      </c>
      <c r="E12" s="468"/>
      <c r="F12" s="468"/>
      <c r="G12" s="468"/>
      <c r="H12" s="469"/>
      <c r="I12" s="162"/>
      <c r="J12" s="162"/>
      <c r="K12" s="467" t="s">
        <v>41</v>
      </c>
      <c r="L12" s="468"/>
      <c r="M12" s="468"/>
      <c r="N12" s="468"/>
      <c r="O12" s="469"/>
      <c r="P12" s="162"/>
      <c r="Q12" s="163"/>
      <c r="R12" s="162"/>
      <c r="S12" s="161"/>
      <c r="T12" s="485" t="s">
        <v>144</v>
      </c>
      <c r="U12" s="486"/>
      <c r="V12" s="486"/>
      <c r="W12" s="486"/>
      <c r="X12" s="487"/>
      <c r="Y12" s="163"/>
      <c r="Z12" s="162"/>
      <c r="AA12" s="134"/>
      <c r="AB12" s="113"/>
      <c r="AC12" s="113"/>
      <c r="AD12" s="113"/>
      <c r="AE12" s="113"/>
      <c r="AF12" s="162"/>
      <c r="AG12" s="163"/>
      <c r="AJ12" s="116"/>
      <c r="AK12" s="479">
        <f>VLOOKUP(T12,$AO$4:$AQ$6,3,0)</f>
        <v>93</v>
      </c>
      <c r="AL12" s="480"/>
      <c r="AM12" s="480"/>
      <c r="AN12" s="480"/>
      <c r="AO12" s="481"/>
      <c r="AP12" s="116"/>
      <c r="AQ12" s="122"/>
      <c r="AR12" s="122">
        <f t="shared" si="1"/>
        <v>13</v>
      </c>
      <c r="AS12" s="122"/>
      <c r="AT12" s="122"/>
      <c r="AU12" s="128"/>
      <c r="AV12" s="116">
        <f t="shared" si="2"/>
        <v>27</v>
      </c>
      <c r="AW12" s="116">
        <f t="shared" si="0"/>
        <v>8</v>
      </c>
    </row>
    <row r="13" spans="3:50" ht="17.25" customHeight="1">
      <c r="C13" s="134"/>
      <c r="D13" s="330" t="s">
        <v>5</v>
      </c>
      <c r="E13" s="330"/>
      <c r="F13" s="330"/>
      <c r="G13" s="330"/>
      <c r="H13" s="330"/>
      <c r="I13" s="164"/>
      <c r="J13" s="164"/>
      <c r="K13" s="330" t="s">
        <v>11</v>
      </c>
      <c r="L13" s="330"/>
      <c r="M13" s="330"/>
      <c r="N13" s="330"/>
      <c r="O13" s="330"/>
      <c r="P13" s="164"/>
      <c r="Q13" s="144"/>
      <c r="R13" s="164"/>
      <c r="S13" s="134"/>
      <c r="T13" s="324" t="s">
        <v>108</v>
      </c>
      <c r="U13" s="324"/>
      <c r="V13" s="324"/>
      <c r="W13" s="324"/>
      <c r="X13" s="324"/>
      <c r="Y13" s="144"/>
      <c r="Z13" s="164"/>
      <c r="AA13" s="134"/>
      <c r="AB13" s="113"/>
      <c r="AC13" s="113"/>
      <c r="AD13" s="113"/>
      <c r="AE13" s="113"/>
      <c r="AF13" s="164"/>
      <c r="AG13" s="144"/>
      <c r="AJ13" s="116"/>
      <c r="AL13" s="116"/>
      <c r="AM13" s="116"/>
      <c r="AN13" s="116"/>
      <c r="AO13" s="116"/>
      <c r="AP13" s="116"/>
      <c r="AQ13" s="122"/>
      <c r="AR13" s="122">
        <f t="shared" si="1"/>
        <v>14</v>
      </c>
      <c r="AS13" s="122"/>
      <c r="AT13" s="122"/>
      <c r="AU13" s="128"/>
      <c r="AV13" s="116">
        <f t="shared" si="2"/>
        <v>28</v>
      </c>
      <c r="AW13" s="116">
        <f t="shared" si="0"/>
        <v>9</v>
      </c>
    </row>
    <row r="14" spans="3:50" ht="14.25" thickBot="1">
      <c r="C14" s="161"/>
      <c r="D14" s="152"/>
      <c r="E14" s="152"/>
      <c r="F14" s="152"/>
      <c r="G14" s="152"/>
      <c r="H14" s="154"/>
      <c r="I14" s="154"/>
      <c r="J14" s="154"/>
      <c r="K14" s="154"/>
      <c r="L14" s="152"/>
      <c r="M14" s="152"/>
      <c r="N14" s="152"/>
      <c r="O14" s="152"/>
      <c r="P14" s="154"/>
      <c r="Q14" s="165"/>
      <c r="R14" s="154"/>
      <c r="S14" s="161"/>
      <c r="T14" s="152"/>
      <c r="U14" s="152"/>
      <c r="V14" s="152"/>
      <c r="W14" s="152"/>
      <c r="X14" s="154"/>
      <c r="Y14" s="165"/>
      <c r="Z14" s="154"/>
      <c r="AA14" s="166"/>
      <c r="AB14" s="152"/>
      <c r="AC14" s="152"/>
      <c r="AD14" s="152"/>
      <c r="AE14" s="152"/>
      <c r="AF14" s="154"/>
      <c r="AG14" s="165"/>
      <c r="AJ14" s="116"/>
      <c r="AL14" s="116"/>
      <c r="AM14" s="116"/>
      <c r="AN14" s="116"/>
      <c r="AO14" s="116"/>
      <c r="AP14" s="116"/>
      <c r="AQ14" s="122"/>
      <c r="AR14" s="122">
        <f t="shared" si="1"/>
        <v>15</v>
      </c>
      <c r="AS14" s="122"/>
      <c r="AT14" s="122"/>
      <c r="AU14" s="128"/>
      <c r="AV14" s="116">
        <f t="shared" si="2"/>
        <v>29</v>
      </c>
      <c r="AW14" s="116">
        <f t="shared" si="0"/>
        <v>10</v>
      </c>
    </row>
    <row r="15" spans="3:50" ht="20.25" customHeight="1" thickBot="1">
      <c r="C15" s="161"/>
      <c r="D15" s="467">
        <v>25</v>
      </c>
      <c r="E15" s="468"/>
      <c r="F15" s="468"/>
      <c r="G15" s="468"/>
      <c r="H15" s="469"/>
      <c r="I15" s="162"/>
      <c r="J15" s="162"/>
      <c r="K15" s="467" t="s">
        <v>45</v>
      </c>
      <c r="L15" s="468"/>
      <c r="M15" s="468"/>
      <c r="N15" s="468"/>
      <c r="O15" s="469"/>
      <c r="P15" s="162"/>
      <c r="Q15" s="163"/>
      <c r="R15" s="162"/>
      <c r="S15" s="161"/>
      <c r="T15" s="482">
        <v>0.1</v>
      </c>
      <c r="U15" s="483"/>
      <c r="V15" s="483"/>
      <c r="W15" s="483"/>
      <c r="X15" s="484"/>
      <c r="Y15" s="163"/>
      <c r="Z15" s="162"/>
      <c r="AA15" s="134"/>
      <c r="AB15" s="113"/>
      <c r="AC15" s="113"/>
      <c r="AD15" s="113"/>
      <c r="AE15" s="113"/>
      <c r="AF15" s="162"/>
      <c r="AG15" s="163"/>
      <c r="AJ15" s="116"/>
      <c r="AK15" s="115" t="s">
        <v>45</v>
      </c>
      <c r="AL15" s="116"/>
      <c r="AM15" s="116"/>
      <c r="AN15" s="116"/>
      <c r="AO15" s="116"/>
      <c r="AP15" s="116"/>
      <c r="AQ15" s="122"/>
      <c r="AR15" s="122">
        <f t="shared" si="1"/>
        <v>16</v>
      </c>
      <c r="AS15" s="122"/>
      <c r="AT15" s="122"/>
      <c r="AU15" s="128"/>
      <c r="AV15" s="116">
        <f t="shared" si="2"/>
        <v>30</v>
      </c>
      <c r="AW15" s="116">
        <f t="shared" si="0"/>
        <v>11</v>
      </c>
    </row>
    <row r="16" spans="3:50" ht="24" customHeight="1">
      <c r="C16" s="134"/>
      <c r="D16" s="330" t="s">
        <v>58</v>
      </c>
      <c r="E16" s="330"/>
      <c r="F16" s="330"/>
      <c r="G16" s="330"/>
      <c r="H16" s="330"/>
      <c r="I16" s="164"/>
      <c r="J16" s="164"/>
      <c r="K16" s="331" t="s">
        <v>59</v>
      </c>
      <c r="L16" s="331"/>
      <c r="M16" s="331"/>
      <c r="N16" s="331"/>
      <c r="O16" s="331"/>
      <c r="P16" s="164"/>
      <c r="Q16" s="144"/>
      <c r="R16" s="164"/>
      <c r="S16" s="134"/>
      <c r="T16" s="330" t="s">
        <v>92</v>
      </c>
      <c r="U16" s="330"/>
      <c r="V16" s="330"/>
      <c r="W16" s="330"/>
      <c r="X16" s="330"/>
      <c r="Y16" s="144"/>
      <c r="Z16" s="164"/>
      <c r="AA16" s="167"/>
      <c r="AB16" s="168"/>
      <c r="AC16" s="168"/>
      <c r="AD16" s="168"/>
      <c r="AE16" s="168"/>
      <c r="AF16" s="164"/>
      <c r="AG16" s="144"/>
      <c r="AJ16" s="169"/>
      <c r="AK16" s="115">
        <v>250000</v>
      </c>
      <c r="AL16" s="116"/>
      <c r="AM16" s="116"/>
      <c r="AN16" s="116"/>
      <c r="AO16" s="116"/>
      <c r="AP16" s="116"/>
      <c r="AQ16" s="122"/>
      <c r="AR16" s="122">
        <f t="shared" si="1"/>
        <v>17</v>
      </c>
      <c r="AS16" s="122"/>
      <c r="AT16" s="122"/>
      <c r="AU16" s="128"/>
      <c r="AV16" s="116">
        <f t="shared" si="2"/>
        <v>31</v>
      </c>
      <c r="AW16" s="116">
        <f t="shared" si="0"/>
        <v>12</v>
      </c>
    </row>
    <row r="17" spans="1:238" ht="15" customHeight="1" thickBot="1">
      <c r="C17" s="146"/>
      <c r="D17" s="518" t="str">
        <f>IF(D12&lt;AM29,CONCATENATE("La aportación mínima es de"," ",AM29," ","pesos"," ",AN29),IF(D12&gt;AM36,CONCATENATE("La aportación máxima es de"," ",AM36," ","pesos"," ",AN36),""))</f>
        <v>La aportación máxima es de 7500 pesos mensuales</v>
      </c>
      <c r="E17" s="518"/>
      <c r="F17" s="518"/>
      <c r="G17" s="518"/>
      <c r="H17" s="518"/>
      <c r="I17" s="518"/>
      <c r="J17" s="518"/>
      <c r="K17" s="518"/>
      <c r="L17" s="518"/>
      <c r="M17" s="518"/>
      <c r="N17" s="518"/>
      <c r="O17" s="518"/>
      <c r="P17" s="518"/>
      <c r="Q17" s="170"/>
      <c r="R17" s="171"/>
      <c r="S17" s="146"/>
      <c r="T17" s="172"/>
      <c r="U17" s="173"/>
      <c r="V17" s="174"/>
      <c r="W17" s="174"/>
      <c r="X17" s="175"/>
      <c r="Y17" s="176"/>
      <c r="Z17" s="177"/>
      <c r="AA17" s="178"/>
      <c r="AB17" s="179"/>
      <c r="AC17" s="179"/>
      <c r="AD17" s="179"/>
      <c r="AE17" s="179"/>
      <c r="AF17" s="179"/>
      <c r="AG17" s="170"/>
      <c r="AJ17" s="116"/>
      <c r="AK17" s="115">
        <v>500000</v>
      </c>
      <c r="AL17" s="116"/>
      <c r="AM17" s="116"/>
      <c r="AN17" s="116"/>
      <c r="AO17" s="116"/>
      <c r="AP17" s="116"/>
      <c r="AQ17" s="122"/>
      <c r="AR17" s="122">
        <f t="shared" si="1"/>
        <v>18</v>
      </c>
      <c r="AS17" s="122"/>
      <c r="AT17" s="122"/>
      <c r="AU17" s="128">
        <f>+AU8+1%</f>
        <v>0.31</v>
      </c>
      <c r="AV17" s="116">
        <f t="shared" si="2"/>
        <v>32</v>
      </c>
      <c r="AW17" s="116">
        <f t="shared" si="0"/>
        <v>13</v>
      </c>
    </row>
    <row r="18" spans="1:238" ht="14.25" thickBot="1">
      <c r="C18" s="113"/>
      <c r="D18" s="162"/>
      <c r="E18" s="180"/>
      <c r="F18" s="180"/>
      <c r="G18" s="180"/>
      <c r="H18" s="180"/>
      <c r="I18" s="180"/>
      <c r="J18" s="180"/>
      <c r="K18" s="180"/>
      <c r="L18" s="164"/>
      <c r="M18" s="180"/>
      <c r="N18" s="181"/>
      <c r="O18" s="181"/>
      <c r="P18" s="181"/>
      <c r="Q18" s="181"/>
      <c r="R18" s="180"/>
      <c r="S18" s="164"/>
      <c r="T18" s="180"/>
      <c r="U18" s="181"/>
      <c r="V18" s="181"/>
      <c r="W18" s="162"/>
      <c r="X18" s="162"/>
      <c r="Y18" s="162"/>
      <c r="Z18" s="162"/>
      <c r="AA18" s="181"/>
      <c r="AB18" s="181"/>
      <c r="AC18" s="181"/>
      <c r="AD18" s="181"/>
      <c r="AE18" s="181"/>
      <c r="AF18" s="136"/>
      <c r="AG18" s="136"/>
      <c r="AJ18" s="182"/>
      <c r="AK18" s="116">
        <v>750000</v>
      </c>
      <c r="AL18" s="182"/>
      <c r="AM18" s="182"/>
      <c r="AN18" s="182"/>
      <c r="AO18" s="182"/>
      <c r="AP18" s="182"/>
      <c r="AQ18" s="183"/>
      <c r="AR18" s="122">
        <f t="shared" si="1"/>
        <v>19</v>
      </c>
      <c r="AS18" s="184"/>
      <c r="AT18" s="184"/>
      <c r="AU18" s="185"/>
      <c r="AV18" s="116">
        <f t="shared" si="2"/>
        <v>33</v>
      </c>
      <c r="AW18" s="116">
        <f t="shared" si="0"/>
        <v>14</v>
      </c>
      <c r="AX18" s="169"/>
      <c r="AY18" s="169"/>
      <c r="AZ18" s="169"/>
      <c r="BA18" s="169"/>
      <c r="BB18" s="169"/>
      <c r="BC18" s="169"/>
      <c r="BD18" s="169"/>
      <c r="BE18" s="169"/>
      <c r="BF18" s="169"/>
      <c r="BG18" s="169"/>
      <c r="BH18" s="169"/>
      <c r="BI18" s="169"/>
      <c r="BJ18" s="169"/>
      <c r="BK18" s="169"/>
      <c r="BL18" s="169"/>
      <c r="BM18" s="169"/>
      <c r="BN18" s="169"/>
      <c r="BO18" s="169"/>
      <c r="BP18" s="169"/>
      <c r="BQ18" s="186"/>
      <c r="BR18" s="186"/>
      <c r="BS18" s="186"/>
      <c r="BT18" s="186"/>
      <c r="BU18" s="186"/>
      <c r="BV18" s="186"/>
      <c r="BW18" s="186"/>
      <c r="BX18" s="186"/>
      <c r="BY18" s="186"/>
      <c r="BZ18" s="186"/>
      <c r="CA18" s="186"/>
      <c r="CB18" s="186"/>
      <c r="CC18" s="186"/>
      <c r="CD18" s="186"/>
      <c r="CE18" s="186"/>
      <c r="CF18" s="186"/>
      <c r="CG18" s="186"/>
      <c r="CH18" s="186"/>
      <c r="CI18" s="186"/>
      <c r="CJ18" s="186"/>
      <c r="CK18" s="186"/>
      <c r="CL18" s="186"/>
      <c r="CM18" s="186"/>
      <c r="CN18" s="186"/>
      <c r="CO18" s="186"/>
      <c r="CP18" s="186"/>
      <c r="CQ18" s="186"/>
      <c r="CR18" s="186"/>
      <c r="CS18" s="186"/>
      <c r="CT18" s="186"/>
      <c r="CU18" s="186"/>
      <c r="CV18" s="186"/>
      <c r="CW18" s="186"/>
      <c r="CX18" s="186"/>
      <c r="CY18" s="186"/>
      <c r="CZ18" s="186"/>
      <c r="DA18" s="186"/>
      <c r="DB18" s="186"/>
      <c r="DC18" s="186"/>
      <c r="DD18" s="186"/>
      <c r="DE18" s="186"/>
      <c r="DF18" s="186"/>
      <c r="DG18" s="186"/>
      <c r="DH18" s="186"/>
      <c r="DI18" s="186"/>
      <c r="DJ18" s="186"/>
      <c r="DK18" s="186"/>
      <c r="DL18" s="186"/>
      <c r="DM18" s="186"/>
      <c r="DN18" s="186"/>
      <c r="DO18" s="186"/>
      <c r="DP18" s="186"/>
      <c r="DQ18" s="186"/>
      <c r="DR18" s="186"/>
      <c r="DS18" s="186"/>
      <c r="DT18" s="186"/>
      <c r="DU18" s="186"/>
      <c r="DV18" s="186"/>
      <c r="DW18" s="186"/>
      <c r="DX18" s="186"/>
      <c r="DY18" s="186"/>
      <c r="DZ18" s="186"/>
      <c r="EA18" s="186"/>
      <c r="EB18" s="186"/>
      <c r="EC18" s="186"/>
      <c r="ED18" s="186"/>
      <c r="EE18" s="186"/>
      <c r="EF18" s="186"/>
      <c r="EG18" s="186"/>
      <c r="EH18" s="186"/>
      <c r="EI18" s="186"/>
      <c r="EJ18" s="186"/>
      <c r="EK18" s="186"/>
      <c r="EL18" s="186"/>
      <c r="EM18" s="186"/>
      <c r="EN18" s="186"/>
      <c r="EO18" s="186"/>
      <c r="EP18" s="186"/>
      <c r="EQ18" s="186"/>
      <c r="ER18" s="186"/>
      <c r="ES18" s="186"/>
      <c r="ET18" s="186"/>
      <c r="EU18" s="186"/>
      <c r="EV18" s="186"/>
      <c r="EW18" s="186"/>
      <c r="EX18" s="186"/>
      <c r="EY18" s="186"/>
      <c r="EZ18" s="186"/>
      <c r="FA18" s="186"/>
      <c r="FB18" s="186"/>
      <c r="FC18" s="186"/>
      <c r="FD18" s="186"/>
      <c r="FE18" s="186"/>
      <c r="FF18" s="186"/>
      <c r="FG18" s="186"/>
      <c r="FH18" s="186"/>
      <c r="FI18" s="186"/>
      <c r="FJ18" s="186"/>
      <c r="FK18" s="186"/>
      <c r="FL18" s="186"/>
      <c r="FM18" s="186"/>
      <c r="FN18" s="186"/>
      <c r="FO18" s="186"/>
      <c r="FP18" s="186"/>
      <c r="FQ18" s="186"/>
      <c r="FR18" s="186"/>
      <c r="FS18" s="186"/>
      <c r="FT18" s="186"/>
      <c r="FU18" s="186"/>
      <c r="FV18" s="186"/>
      <c r="FW18" s="186"/>
      <c r="FX18" s="186"/>
      <c r="FY18" s="186"/>
      <c r="FZ18" s="186"/>
      <c r="GA18" s="186"/>
      <c r="GB18" s="186"/>
      <c r="GC18" s="186"/>
      <c r="GD18" s="186"/>
      <c r="GE18" s="186"/>
      <c r="GF18" s="186"/>
      <c r="GG18" s="186"/>
      <c r="GH18" s="186"/>
      <c r="GI18" s="186"/>
      <c r="GJ18" s="186"/>
      <c r="GK18" s="186"/>
      <c r="GL18" s="186"/>
      <c r="GM18" s="186"/>
      <c r="GN18" s="186"/>
      <c r="GO18" s="186"/>
      <c r="GP18" s="186"/>
      <c r="GQ18" s="186"/>
      <c r="GR18" s="186"/>
      <c r="GS18" s="186"/>
      <c r="GT18" s="186"/>
      <c r="GU18" s="186"/>
      <c r="GV18" s="186"/>
      <c r="GW18" s="186"/>
      <c r="GX18" s="186"/>
      <c r="GY18" s="186"/>
      <c r="GZ18" s="186"/>
      <c r="HA18" s="186"/>
      <c r="HB18" s="186"/>
      <c r="HC18" s="186"/>
      <c r="HD18" s="186"/>
      <c r="HE18" s="186"/>
      <c r="HF18" s="186"/>
      <c r="HG18" s="186"/>
      <c r="HH18" s="186"/>
      <c r="HI18" s="186"/>
      <c r="HJ18" s="186"/>
      <c r="HK18" s="186"/>
      <c r="HL18" s="186"/>
      <c r="HM18" s="186"/>
      <c r="HN18" s="186"/>
      <c r="HO18" s="186"/>
      <c r="HP18" s="186"/>
      <c r="HQ18" s="186"/>
      <c r="HR18" s="186"/>
      <c r="HS18" s="186"/>
      <c r="HT18" s="186"/>
      <c r="HU18" s="186"/>
      <c r="HV18" s="186"/>
      <c r="HW18" s="186"/>
      <c r="HX18" s="186"/>
      <c r="HY18" s="187"/>
      <c r="HZ18" s="187"/>
      <c r="IA18" s="187"/>
      <c r="IB18" s="187"/>
      <c r="IC18" s="187"/>
      <c r="ID18" s="187"/>
    </row>
    <row r="19" spans="1:238" ht="23.25" customHeight="1">
      <c r="C19" s="129"/>
      <c r="D19" s="338" t="s">
        <v>68</v>
      </c>
      <c r="E19" s="338"/>
      <c r="F19" s="338"/>
      <c r="G19" s="516" t="str">
        <f>AQ64</f>
        <v/>
      </c>
      <c r="H19" s="516"/>
      <c r="I19" s="516"/>
      <c r="J19" s="516"/>
      <c r="K19" s="516"/>
      <c r="L19" s="516"/>
      <c r="M19" s="516"/>
      <c r="N19" s="516"/>
      <c r="O19" s="516"/>
      <c r="P19" s="516"/>
      <c r="Q19" s="517"/>
      <c r="R19" s="158"/>
      <c r="S19" s="155"/>
      <c r="T19" s="338" t="s">
        <v>91</v>
      </c>
      <c r="U19" s="338"/>
      <c r="V19" s="338"/>
      <c r="W19" s="156"/>
      <c r="X19" s="156"/>
      <c r="Y19" s="156"/>
      <c r="Z19" s="156"/>
      <c r="AA19" s="156"/>
      <c r="AB19" s="156"/>
      <c r="AC19" s="156"/>
      <c r="AD19" s="156"/>
      <c r="AE19" s="156"/>
      <c r="AF19" s="156"/>
      <c r="AG19" s="157"/>
      <c r="AJ19" s="116"/>
      <c r="AK19" s="116">
        <v>1000000</v>
      </c>
      <c r="AL19" s="116"/>
      <c r="AM19" s="116"/>
      <c r="AN19" s="116" t="s">
        <v>25</v>
      </c>
      <c r="AO19" s="116"/>
      <c r="AP19" s="116"/>
      <c r="AQ19" s="122"/>
      <c r="AR19" s="122">
        <f t="shared" si="1"/>
        <v>20</v>
      </c>
      <c r="AS19" s="122"/>
      <c r="AT19" s="122"/>
      <c r="AU19" s="128"/>
      <c r="AV19" s="116">
        <f t="shared" si="2"/>
        <v>34</v>
      </c>
      <c r="AW19" s="116">
        <f t="shared" si="0"/>
        <v>15</v>
      </c>
    </row>
    <row r="20" spans="1:238" ht="20.25" customHeight="1" thickBot="1">
      <c r="C20" s="134"/>
      <c r="D20" s="188"/>
      <c r="E20" s="188"/>
      <c r="F20" s="475" t="s">
        <v>53</v>
      </c>
      <c r="G20" s="475"/>
      <c r="H20" s="475"/>
      <c r="I20" s="475"/>
      <c r="J20" s="470" t="s">
        <v>54</v>
      </c>
      <c r="K20" s="470"/>
      <c r="L20" s="470"/>
      <c r="M20" s="470"/>
      <c r="N20" s="470" t="s">
        <v>70</v>
      </c>
      <c r="O20" s="470"/>
      <c r="P20" s="470"/>
      <c r="Q20" s="189"/>
      <c r="R20" s="162"/>
      <c r="S20" s="161"/>
      <c r="T20" s="113"/>
      <c r="U20" s="113"/>
      <c r="V20" s="113"/>
      <c r="W20" s="113"/>
      <c r="X20" s="113"/>
      <c r="Y20" s="113"/>
      <c r="Z20" s="113"/>
      <c r="AA20" s="113"/>
      <c r="AB20" s="113"/>
      <c r="AC20" s="113"/>
      <c r="AD20" s="113"/>
      <c r="AE20" s="113"/>
      <c r="AF20" s="162"/>
      <c r="AG20" s="163"/>
      <c r="AJ20" s="116"/>
      <c r="AL20" s="116"/>
      <c r="AM20" s="116"/>
      <c r="AN20" s="116" t="s">
        <v>50</v>
      </c>
      <c r="AO20" s="116"/>
      <c r="AP20" s="116"/>
      <c r="AQ20" s="122"/>
      <c r="AR20" s="122">
        <f t="shared" si="1"/>
        <v>21</v>
      </c>
      <c r="AS20" s="122"/>
      <c r="AT20" s="122"/>
      <c r="AU20" s="128"/>
      <c r="AV20" s="116">
        <f t="shared" si="2"/>
        <v>35</v>
      </c>
      <c r="AW20" s="116">
        <f t="shared" si="0"/>
        <v>16</v>
      </c>
    </row>
    <row r="21" spans="1:238" ht="20.25" customHeight="1" thickBot="1">
      <c r="C21" s="494" t="s">
        <v>51</v>
      </c>
      <c r="D21" s="495"/>
      <c r="E21" s="495"/>
      <c r="F21" s="476">
        <v>0</v>
      </c>
      <c r="G21" s="477"/>
      <c r="H21" s="477"/>
      <c r="I21" s="478"/>
      <c r="J21" s="476">
        <v>0</v>
      </c>
      <c r="K21" s="477"/>
      <c r="L21" s="477"/>
      <c r="M21" s="478"/>
      <c r="N21" s="476">
        <v>0</v>
      </c>
      <c r="O21" s="477"/>
      <c r="P21" s="478"/>
      <c r="Q21" s="189"/>
      <c r="R21" s="164"/>
      <c r="S21" s="134"/>
      <c r="T21" s="513">
        <f>IF(D12="","",VLOOKUP(D15,$C$31:$O$55,9,0))</f>
        <v>3000000</v>
      </c>
      <c r="U21" s="514"/>
      <c r="V21" s="514"/>
      <c r="W21" s="514"/>
      <c r="X21" s="515"/>
      <c r="Y21" s="162"/>
      <c r="Z21" s="162"/>
      <c r="AA21" s="513">
        <f>IF(OR(T21="",T7=""),"",VLOOKUP((D15+T7),$E$31:$P$55,12,0))</f>
        <v>9560669.3351216335</v>
      </c>
      <c r="AB21" s="514"/>
      <c r="AC21" s="514"/>
      <c r="AD21" s="514"/>
      <c r="AE21" s="515"/>
      <c r="AF21" s="164"/>
      <c r="AG21" s="144"/>
      <c r="AJ21" s="116"/>
      <c r="AL21" s="116"/>
      <c r="AM21" s="116"/>
      <c r="AN21" s="116"/>
      <c r="AO21" s="116"/>
      <c r="AP21" s="116"/>
      <c r="AQ21" s="122"/>
      <c r="AR21" s="122">
        <f t="shared" si="1"/>
        <v>22</v>
      </c>
      <c r="AS21" s="122"/>
      <c r="AT21" s="122"/>
      <c r="AU21" s="128"/>
      <c r="AV21" s="116">
        <f t="shared" si="2"/>
        <v>36</v>
      </c>
      <c r="AW21" s="116">
        <f t="shared" si="0"/>
        <v>17</v>
      </c>
    </row>
    <row r="22" spans="1:238" ht="22.5" customHeight="1" thickBot="1">
      <c r="C22" s="494" t="s">
        <v>56</v>
      </c>
      <c r="D22" s="495"/>
      <c r="E22" s="495"/>
      <c r="F22" s="476">
        <v>0</v>
      </c>
      <c r="G22" s="477"/>
      <c r="H22" s="477"/>
      <c r="I22" s="478"/>
      <c r="J22" s="476">
        <v>0</v>
      </c>
      <c r="K22" s="477"/>
      <c r="L22" s="477"/>
      <c r="M22" s="478"/>
      <c r="N22" s="476">
        <v>1</v>
      </c>
      <c r="O22" s="477"/>
      <c r="P22" s="478"/>
      <c r="Q22" s="189"/>
      <c r="R22" s="154"/>
      <c r="S22" s="161"/>
      <c r="T22" s="330" t="s">
        <v>73</v>
      </c>
      <c r="U22" s="330"/>
      <c r="V22" s="330"/>
      <c r="W22" s="330"/>
      <c r="X22" s="330"/>
      <c r="Y22" s="164"/>
      <c r="Z22" s="164"/>
      <c r="AA22" s="331" t="str">
        <f>CONCATENATE("Saldo proyectado a edad"," ",D15+T7)</f>
        <v>Saldo proyectado a edad 54</v>
      </c>
      <c r="AB22" s="331"/>
      <c r="AC22" s="331"/>
      <c r="AD22" s="331"/>
      <c r="AE22" s="331"/>
      <c r="AF22" s="154"/>
      <c r="AG22" s="165"/>
      <c r="AJ22" s="182">
        <f>+U41</f>
        <v>0</v>
      </c>
      <c r="AK22" s="116">
        <f>+T7+D15</f>
        <v>54</v>
      </c>
      <c r="AL22" s="182"/>
      <c r="AM22" s="182"/>
      <c r="AN22" s="182"/>
      <c r="AO22" s="182"/>
      <c r="AP22" s="182"/>
      <c r="AQ22" s="183"/>
      <c r="AR22" s="122">
        <f t="shared" si="1"/>
        <v>23</v>
      </c>
      <c r="AS22" s="184"/>
      <c r="AT22" s="184"/>
      <c r="AU22" s="185"/>
      <c r="AV22" s="116">
        <f t="shared" si="2"/>
        <v>37</v>
      </c>
      <c r="AW22" s="116">
        <f t="shared" si="0"/>
        <v>18</v>
      </c>
      <c r="AX22" s="169"/>
      <c r="AY22" s="169"/>
      <c r="AZ22" s="169"/>
      <c r="BA22" s="169"/>
      <c r="BB22" s="169"/>
      <c r="BC22" s="169"/>
      <c r="BD22" s="169"/>
      <c r="BE22" s="169"/>
      <c r="BF22" s="169"/>
      <c r="BG22" s="169"/>
      <c r="BH22" s="169"/>
      <c r="BI22" s="169"/>
      <c r="BJ22" s="169"/>
      <c r="BK22" s="169"/>
      <c r="BL22" s="169"/>
      <c r="BM22" s="169"/>
      <c r="BN22" s="169"/>
      <c r="BO22" s="169"/>
      <c r="BP22" s="169"/>
      <c r="BQ22" s="186"/>
      <c r="BR22" s="186"/>
      <c r="BS22" s="186"/>
      <c r="BT22" s="186"/>
      <c r="BU22" s="186"/>
      <c r="BV22" s="186"/>
      <c r="BW22" s="186"/>
      <c r="BX22" s="186"/>
      <c r="BY22" s="186"/>
      <c r="BZ22" s="186"/>
      <c r="CA22" s="186"/>
      <c r="CB22" s="186"/>
      <c r="CC22" s="186"/>
      <c r="CD22" s="186"/>
      <c r="CE22" s="186"/>
      <c r="CF22" s="186"/>
      <c r="CG22" s="186"/>
      <c r="CH22" s="186"/>
      <c r="CI22" s="186"/>
      <c r="CJ22" s="186"/>
      <c r="CK22" s="186"/>
      <c r="CL22" s="186"/>
      <c r="CM22" s="186"/>
      <c r="CN22" s="186"/>
      <c r="CO22" s="186"/>
      <c r="CP22" s="186"/>
      <c r="CQ22" s="186"/>
      <c r="CR22" s="186"/>
      <c r="CS22" s="186"/>
      <c r="CT22" s="186"/>
      <c r="CU22" s="186"/>
      <c r="CV22" s="186"/>
      <c r="CW22" s="186"/>
      <c r="CX22" s="186"/>
      <c r="CY22" s="186"/>
      <c r="CZ22" s="186"/>
      <c r="DA22" s="186"/>
      <c r="DB22" s="186"/>
      <c r="DC22" s="186"/>
      <c r="DD22" s="186"/>
      <c r="DE22" s="186"/>
      <c r="DF22" s="186"/>
      <c r="DG22" s="186"/>
      <c r="DH22" s="186"/>
      <c r="DI22" s="186"/>
      <c r="DJ22" s="186"/>
      <c r="DK22" s="186"/>
      <c r="DL22" s="186"/>
      <c r="DM22" s="186"/>
      <c r="DN22" s="186"/>
      <c r="DO22" s="186"/>
      <c r="DP22" s="186"/>
      <c r="DQ22" s="186"/>
      <c r="DR22" s="186"/>
      <c r="DS22" s="186"/>
      <c r="DT22" s="186"/>
      <c r="DU22" s="186"/>
      <c r="DV22" s="186"/>
      <c r="DW22" s="186"/>
      <c r="DX22" s="186"/>
      <c r="DY22" s="186"/>
      <c r="DZ22" s="186"/>
      <c r="EA22" s="186"/>
      <c r="EB22" s="186"/>
      <c r="EC22" s="186"/>
      <c r="ED22" s="186"/>
      <c r="EE22" s="186"/>
      <c r="EF22" s="186"/>
      <c r="EG22" s="186"/>
      <c r="EH22" s="186"/>
      <c r="EI22" s="186"/>
      <c r="EJ22" s="186"/>
      <c r="EK22" s="186"/>
      <c r="EL22" s="186"/>
      <c r="EM22" s="186"/>
      <c r="EN22" s="186"/>
      <c r="EO22" s="186"/>
      <c r="EP22" s="186"/>
      <c r="EQ22" s="186"/>
      <c r="ER22" s="186"/>
      <c r="ES22" s="186"/>
      <c r="ET22" s="186"/>
      <c r="EU22" s="186"/>
      <c r="EV22" s="186"/>
      <c r="EW22" s="186"/>
      <c r="EX22" s="186"/>
      <c r="EY22" s="186"/>
      <c r="EZ22" s="186"/>
      <c r="FA22" s="186"/>
      <c r="FB22" s="186"/>
      <c r="FC22" s="186"/>
      <c r="FD22" s="186"/>
      <c r="FE22" s="186"/>
      <c r="FF22" s="186"/>
      <c r="FG22" s="186"/>
      <c r="FH22" s="186"/>
      <c r="FI22" s="186"/>
      <c r="FJ22" s="186"/>
      <c r="FK22" s="186"/>
      <c r="FL22" s="186"/>
      <c r="FM22" s="186"/>
      <c r="FN22" s="186"/>
      <c r="FO22" s="186"/>
      <c r="FP22" s="186"/>
      <c r="FQ22" s="186"/>
      <c r="FR22" s="186"/>
      <c r="FS22" s="186"/>
      <c r="FT22" s="186"/>
      <c r="FU22" s="186"/>
      <c r="FV22" s="186"/>
      <c r="FW22" s="186"/>
      <c r="FX22" s="186"/>
      <c r="FY22" s="186"/>
      <c r="FZ22" s="186"/>
      <c r="GA22" s="186"/>
      <c r="GB22" s="186"/>
      <c r="GC22" s="186"/>
      <c r="GD22" s="186"/>
      <c r="GE22" s="186"/>
      <c r="GF22" s="186"/>
      <c r="GG22" s="186"/>
      <c r="GH22" s="186"/>
      <c r="GI22" s="186"/>
      <c r="GJ22" s="186"/>
      <c r="GK22" s="186"/>
      <c r="GL22" s="186"/>
      <c r="GM22" s="186"/>
      <c r="GN22" s="186"/>
      <c r="GO22" s="186"/>
      <c r="GP22" s="186"/>
      <c r="GQ22" s="186"/>
      <c r="GR22" s="186"/>
      <c r="GS22" s="186"/>
      <c r="GT22" s="186"/>
      <c r="GU22" s="186"/>
      <c r="GV22" s="186"/>
      <c r="GW22" s="186"/>
      <c r="GX22" s="186"/>
      <c r="GY22" s="186"/>
      <c r="GZ22" s="186"/>
      <c r="HA22" s="186"/>
      <c r="HB22" s="186"/>
      <c r="HC22" s="186"/>
      <c r="HD22" s="186"/>
      <c r="HE22" s="186"/>
      <c r="HF22" s="186"/>
      <c r="HG22" s="186"/>
      <c r="HH22" s="186"/>
      <c r="HI22" s="186"/>
      <c r="HJ22" s="186"/>
      <c r="HK22" s="186"/>
      <c r="HL22" s="186"/>
      <c r="HM22" s="186"/>
      <c r="HN22" s="186"/>
      <c r="HO22" s="186"/>
      <c r="HP22" s="186"/>
      <c r="HQ22" s="186"/>
      <c r="HR22" s="186"/>
      <c r="HS22" s="186"/>
      <c r="HT22" s="186"/>
      <c r="HU22" s="186"/>
      <c r="HV22" s="186"/>
      <c r="HW22" s="186"/>
      <c r="HX22" s="186"/>
      <c r="HY22" s="187"/>
      <c r="HZ22" s="187"/>
      <c r="IA22" s="187"/>
      <c r="IB22" s="187"/>
      <c r="IC22" s="187"/>
      <c r="ID22" s="187"/>
    </row>
    <row r="23" spans="1:238" ht="20.25" customHeight="1" thickBot="1">
      <c r="C23" s="494" t="s">
        <v>52</v>
      </c>
      <c r="D23" s="495"/>
      <c r="E23" s="495"/>
      <c r="F23" s="476">
        <v>0</v>
      </c>
      <c r="G23" s="477"/>
      <c r="H23" s="477"/>
      <c r="I23" s="478"/>
      <c r="J23" s="476">
        <v>0</v>
      </c>
      <c r="K23" s="477"/>
      <c r="L23" s="477"/>
      <c r="M23" s="478"/>
      <c r="N23" s="476">
        <v>0</v>
      </c>
      <c r="O23" s="477"/>
      <c r="P23" s="478"/>
      <c r="Q23" s="189"/>
      <c r="R23" s="162"/>
      <c r="S23" s="161"/>
      <c r="T23" s="113"/>
      <c r="U23" s="113"/>
      <c r="V23" s="113"/>
      <c r="W23" s="113"/>
      <c r="X23" s="113"/>
      <c r="Y23" s="113"/>
      <c r="Z23" s="113"/>
      <c r="AA23" s="113"/>
      <c r="AB23" s="113"/>
      <c r="AC23" s="113"/>
      <c r="AD23" s="113"/>
      <c r="AE23" s="113"/>
      <c r="AF23" s="162"/>
      <c r="AG23" s="163"/>
      <c r="AJ23" s="116"/>
      <c r="AK23" s="190" t="s">
        <v>147</v>
      </c>
      <c r="AL23" s="116"/>
      <c r="AM23" s="116"/>
      <c r="AN23" s="116"/>
      <c r="AO23" s="116"/>
      <c r="AP23" s="116"/>
      <c r="AQ23" s="122"/>
      <c r="AR23" s="122">
        <f t="shared" si="1"/>
        <v>24</v>
      </c>
      <c r="AS23" s="122"/>
      <c r="AT23" s="122"/>
      <c r="AU23" s="128"/>
      <c r="AV23" s="116">
        <f t="shared" si="2"/>
        <v>38</v>
      </c>
    </row>
    <row r="24" spans="1:238" ht="20.25" customHeight="1" thickBot="1">
      <c r="C24" s="134"/>
      <c r="D24" s="188"/>
      <c r="E24" s="188"/>
      <c r="F24" s="188"/>
      <c r="G24" s="188"/>
      <c r="H24" s="188"/>
      <c r="I24" s="180"/>
      <c r="J24" s="180"/>
      <c r="K24" s="180"/>
      <c r="L24" s="164"/>
      <c r="M24" s="180"/>
      <c r="N24" s="181"/>
      <c r="O24" s="181"/>
      <c r="P24" s="181"/>
      <c r="Q24" s="189"/>
      <c r="R24" s="162"/>
      <c r="S24" s="161"/>
      <c r="T24" s="521">
        <f>IF(D12="","",Bono!T26)</f>
        <v>1</v>
      </c>
      <c r="U24" s="522"/>
      <c r="V24" s="522"/>
      <c r="W24" s="522"/>
      <c r="X24" s="523"/>
      <c r="Y24" s="162"/>
      <c r="Z24" s="162"/>
      <c r="AA24" s="513">
        <f>IF(T24="","",Bono!T23*Bono!T26)</f>
        <v>120000</v>
      </c>
      <c r="AB24" s="514"/>
      <c r="AC24" s="514"/>
      <c r="AD24" s="514"/>
      <c r="AE24" s="515"/>
      <c r="AF24" s="162"/>
      <c r="AG24" s="163"/>
      <c r="AJ24" s="116"/>
      <c r="AK24" s="116" t="s">
        <v>41</v>
      </c>
      <c r="AL24" s="116">
        <v>12</v>
      </c>
      <c r="AM24" s="116">
        <v>1000</v>
      </c>
      <c r="AN24" s="116" t="s">
        <v>104</v>
      </c>
      <c r="AO24" s="116"/>
      <c r="AP24" s="116"/>
      <c r="AQ24" s="122"/>
      <c r="AR24" s="122">
        <f t="shared" si="1"/>
        <v>25</v>
      </c>
      <c r="AS24" s="122"/>
      <c r="AT24" s="122"/>
      <c r="AU24" s="128"/>
      <c r="AV24" s="116">
        <f t="shared" si="2"/>
        <v>39</v>
      </c>
    </row>
    <row r="25" spans="1:238" ht="20.25" customHeight="1" thickBot="1">
      <c r="C25" s="496" t="s">
        <v>55</v>
      </c>
      <c r="D25" s="475"/>
      <c r="E25" s="475"/>
      <c r="F25" s="476">
        <v>0</v>
      </c>
      <c r="G25" s="477"/>
      <c r="H25" s="477"/>
      <c r="I25" s="478"/>
      <c r="J25" s="330" t="s">
        <v>33</v>
      </c>
      <c r="K25" s="330"/>
      <c r="L25" s="330"/>
      <c r="M25" s="330"/>
      <c r="N25" s="471">
        <v>0</v>
      </c>
      <c r="O25" s="472"/>
      <c r="P25" s="473"/>
      <c r="Q25" s="189"/>
      <c r="R25" s="164"/>
      <c r="S25" s="134"/>
      <c r="T25" s="330" t="s">
        <v>63</v>
      </c>
      <c r="U25" s="330"/>
      <c r="V25" s="330"/>
      <c r="W25" s="330"/>
      <c r="X25" s="330"/>
      <c r="Y25" s="164"/>
      <c r="Z25" s="113"/>
      <c r="AA25" s="330" t="s">
        <v>62</v>
      </c>
      <c r="AB25" s="330"/>
      <c r="AC25" s="330"/>
      <c r="AD25" s="330"/>
      <c r="AE25" s="330"/>
      <c r="AF25" s="164"/>
      <c r="AG25" s="144"/>
      <c r="AJ25" s="116"/>
      <c r="AK25" s="115" t="s">
        <v>44</v>
      </c>
      <c r="AL25" s="116">
        <v>4</v>
      </c>
      <c r="AM25" s="116">
        <v>3000</v>
      </c>
      <c r="AN25" s="116" t="s">
        <v>105</v>
      </c>
      <c r="AO25" s="116"/>
      <c r="AP25" s="116"/>
      <c r="AQ25" s="122"/>
      <c r="AR25" s="122"/>
      <c r="AS25" s="122"/>
      <c r="AT25" s="122"/>
      <c r="AU25" s="128"/>
      <c r="AV25" s="116">
        <f t="shared" si="2"/>
        <v>40</v>
      </c>
    </row>
    <row r="26" spans="1:238" ht="20.25" customHeight="1" thickBot="1">
      <c r="C26" s="493" t="s">
        <v>34</v>
      </c>
      <c r="D26" s="470"/>
      <c r="E26" s="470"/>
      <c r="F26" s="476">
        <v>0</v>
      </c>
      <c r="G26" s="477"/>
      <c r="H26" s="477"/>
      <c r="I26" s="478"/>
      <c r="J26" s="330" t="s">
        <v>57</v>
      </c>
      <c r="K26" s="489"/>
      <c r="L26" s="489"/>
      <c r="M26" s="489"/>
      <c r="N26" s="476">
        <v>0</v>
      </c>
      <c r="O26" s="477"/>
      <c r="P26" s="478"/>
      <c r="Q26" s="189"/>
      <c r="R26" s="171"/>
      <c r="S26" s="134"/>
      <c r="T26" s="113"/>
      <c r="U26" s="113"/>
      <c r="V26" s="113"/>
      <c r="W26" s="113"/>
      <c r="X26" s="113"/>
      <c r="Y26" s="113"/>
      <c r="Z26" s="113"/>
      <c r="AA26" s="113"/>
      <c r="AB26" s="113"/>
      <c r="AC26" s="113"/>
      <c r="AD26" s="113"/>
      <c r="AE26" s="113"/>
      <c r="AF26" s="164"/>
      <c r="AG26" s="144"/>
      <c r="AJ26" s="116"/>
      <c r="AK26" s="116" t="s">
        <v>47</v>
      </c>
      <c r="AL26" s="116">
        <v>2</v>
      </c>
      <c r="AM26" s="116">
        <v>6000</v>
      </c>
      <c r="AN26" s="122" t="s">
        <v>106</v>
      </c>
      <c r="AO26" s="116"/>
      <c r="AP26" s="116"/>
      <c r="AQ26" s="122"/>
      <c r="AS26" s="122"/>
      <c r="AT26" s="122"/>
      <c r="AU26" s="128"/>
      <c r="AV26" s="116">
        <f t="shared" si="2"/>
        <v>41</v>
      </c>
    </row>
    <row r="27" spans="1:238" ht="20.25" customHeight="1" thickBot="1">
      <c r="C27" s="493" t="s">
        <v>36</v>
      </c>
      <c r="D27" s="470"/>
      <c r="E27" s="470"/>
      <c r="F27" s="476">
        <v>0</v>
      </c>
      <c r="G27" s="477"/>
      <c r="H27" s="477"/>
      <c r="I27" s="478"/>
      <c r="J27" s="470" t="s">
        <v>35</v>
      </c>
      <c r="K27" s="470"/>
      <c r="L27" s="470"/>
      <c r="M27" s="470"/>
      <c r="N27" s="490">
        <v>0</v>
      </c>
      <c r="O27" s="491"/>
      <c r="P27" s="492"/>
      <c r="Q27" s="189"/>
      <c r="R27" s="180"/>
      <c r="S27" s="191"/>
      <c r="T27" s="113"/>
      <c r="U27" s="113"/>
      <c r="V27" s="113"/>
      <c r="W27" s="113"/>
      <c r="X27" s="113"/>
      <c r="Y27" s="113"/>
      <c r="Z27" s="113"/>
      <c r="AA27" s="113"/>
      <c r="AB27" s="113"/>
      <c r="AC27" s="113"/>
      <c r="AD27" s="113"/>
      <c r="AE27" s="113"/>
      <c r="AF27" s="136"/>
      <c r="AG27" s="192"/>
      <c r="AJ27" s="116"/>
      <c r="AK27" s="116" t="s">
        <v>49</v>
      </c>
      <c r="AL27" s="116">
        <v>1</v>
      </c>
      <c r="AM27" s="116">
        <v>12000</v>
      </c>
      <c r="AN27" s="116" t="s">
        <v>107</v>
      </c>
      <c r="AO27" s="116"/>
      <c r="AP27" s="116"/>
      <c r="AQ27" s="122"/>
      <c r="AR27" s="122"/>
      <c r="AS27" s="122"/>
      <c r="AT27" s="122"/>
      <c r="AU27" s="128"/>
      <c r="AV27" s="116">
        <f t="shared" si="2"/>
        <v>42</v>
      </c>
    </row>
    <row r="28" spans="1:238" ht="16.5" customHeight="1" thickBot="1">
      <c r="C28" s="193"/>
      <c r="D28" s="488" t="str">
        <f>IF(SUM(F21+J21+N21+N22+J22+F22+F23+J23+N23+F25+F26+F27+N25+N26+N27)=100%,"","La suma de los porcentajes debe de ser igual a 100%")</f>
        <v/>
      </c>
      <c r="E28" s="488"/>
      <c r="F28" s="488"/>
      <c r="G28" s="488"/>
      <c r="H28" s="488"/>
      <c r="I28" s="488"/>
      <c r="J28" s="488"/>
      <c r="K28" s="488"/>
      <c r="L28" s="488"/>
      <c r="M28" s="488"/>
      <c r="N28" s="488"/>
      <c r="O28" s="488"/>
      <c r="P28" s="488"/>
      <c r="Q28" s="194"/>
      <c r="R28" s="180"/>
      <c r="S28" s="195"/>
      <c r="T28" s="196"/>
      <c r="U28" s="196"/>
      <c r="V28" s="196"/>
      <c r="W28" s="196"/>
      <c r="X28" s="196"/>
      <c r="Y28" s="196"/>
      <c r="Z28" s="196"/>
      <c r="AA28" s="196"/>
      <c r="AB28" s="196"/>
      <c r="AC28" s="196"/>
      <c r="AD28" s="196"/>
      <c r="AE28" s="196"/>
      <c r="AF28" s="197"/>
      <c r="AG28" s="198"/>
      <c r="AJ28" s="116"/>
      <c r="AK28" s="116"/>
      <c r="AL28" s="116"/>
      <c r="AM28" s="116"/>
      <c r="AN28" s="116"/>
      <c r="AO28" s="116"/>
      <c r="AP28" s="116"/>
      <c r="AQ28" s="122"/>
      <c r="AR28" s="122"/>
      <c r="AS28" s="122"/>
      <c r="AT28" s="122"/>
      <c r="AU28" s="128"/>
      <c r="AV28" s="116">
        <f t="shared" si="2"/>
        <v>43</v>
      </c>
    </row>
    <row r="29" spans="1:238" ht="7.5" customHeight="1" thickBot="1">
      <c r="C29" s="113"/>
      <c r="D29" s="199"/>
      <c r="E29" s="199"/>
      <c r="F29" s="199"/>
      <c r="G29" s="199"/>
      <c r="H29" s="199"/>
      <c r="I29" s="199"/>
      <c r="J29" s="199"/>
      <c r="K29" s="199"/>
      <c r="L29" s="199"/>
      <c r="M29" s="199"/>
      <c r="N29" s="199"/>
      <c r="O29" s="199"/>
      <c r="P29" s="199"/>
      <c r="Q29" s="199"/>
      <c r="R29" s="199"/>
      <c r="S29" s="199"/>
      <c r="T29" s="199"/>
      <c r="U29" s="199"/>
      <c r="V29" s="199"/>
      <c r="W29" s="199"/>
      <c r="X29" s="199"/>
      <c r="Y29" s="199"/>
      <c r="Z29" s="199"/>
      <c r="AA29" s="199"/>
      <c r="AB29" s="199"/>
      <c r="AC29" s="199"/>
      <c r="AD29" s="199"/>
      <c r="AE29" s="199"/>
      <c r="AF29" s="199"/>
      <c r="AG29" s="199"/>
      <c r="AJ29" s="182"/>
      <c r="AK29" s="116"/>
      <c r="AL29" s="182"/>
      <c r="AM29" s="182">
        <f>VLOOKUP(K12,AK24:AN27,3,0)</f>
        <v>1000</v>
      </c>
      <c r="AN29" s="182" t="str">
        <f>VLOOKUP(K12,AK24:AN27,4,0)</f>
        <v>mensuales</v>
      </c>
      <c r="AO29" s="182"/>
      <c r="AP29" s="182"/>
      <c r="AQ29" s="183"/>
      <c r="AR29" s="122"/>
      <c r="AS29" s="184"/>
      <c r="AT29" s="184"/>
      <c r="AU29" s="185"/>
      <c r="AV29" s="116">
        <f t="shared" si="2"/>
        <v>44</v>
      </c>
      <c r="AX29" s="169"/>
      <c r="AY29" s="169"/>
      <c r="AZ29" s="169"/>
      <c r="BA29" s="169"/>
      <c r="BB29" s="169"/>
      <c r="BC29" s="169"/>
      <c r="BD29" s="169"/>
      <c r="BE29" s="169"/>
      <c r="BF29" s="169"/>
      <c r="BG29" s="169"/>
      <c r="BH29" s="169"/>
      <c r="BI29" s="169"/>
      <c r="BJ29" s="169"/>
      <c r="BK29" s="169"/>
      <c r="BL29" s="169"/>
      <c r="BM29" s="169"/>
      <c r="BN29" s="169"/>
      <c r="BO29" s="169"/>
      <c r="BP29" s="169"/>
      <c r="BQ29" s="186"/>
      <c r="BR29" s="186"/>
      <c r="BS29" s="186"/>
      <c r="BT29" s="186"/>
      <c r="BU29" s="186"/>
      <c r="BV29" s="186"/>
      <c r="BW29" s="186"/>
      <c r="BX29" s="186"/>
      <c r="BY29" s="186"/>
      <c r="BZ29" s="186"/>
      <c r="CA29" s="186"/>
      <c r="CB29" s="186"/>
      <c r="CC29" s="186"/>
      <c r="CD29" s="186"/>
      <c r="CE29" s="186"/>
      <c r="CF29" s="186"/>
      <c r="CG29" s="186"/>
      <c r="CH29" s="186"/>
      <c r="CI29" s="186"/>
      <c r="CJ29" s="186"/>
      <c r="CK29" s="186"/>
      <c r="CL29" s="186"/>
      <c r="CM29" s="186"/>
      <c r="CN29" s="186"/>
      <c r="CO29" s="186"/>
      <c r="CP29" s="186"/>
      <c r="CQ29" s="186"/>
      <c r="CR29" s="186"/>
      <c r="CS29" s="186"/>
      <c r="CT29" s="186"/>
      <c r="CU29" s="186"/>
      <c r="CV29" s="186"/>
      <c r="CW29" s="186"/>
      <c r="CX29" s="186"/>
      <c r="CY29" s="186"/>
      <c r="CZ29" s="186"/>
      <c r="DA29" s="186"/>
      <c r="DB29" s="186"/>
      <c r="DC29" s="186"/>
      <c r="DD29" s="186"/>
      <c r="DE29" s="186"/>
      <c r="DF29" s="186"/>
      <c r="DG29" s="186"/>
      <c r="DH29" s="186"/>
      <c r="DI29" s="186"/>
      <c r="DJ29" s="186"/>
      <c r="DK29" s="186"/>
      <c r="DL29" s="186"/>
      <c r="DM29" s="186"/>
      <c r="DN29" s="186"/>
      <c r="DO29" s="186"/>
      <c r="DP29" s="186"/>
      <c r="DQ29" s="186"/>
      <c r="DR29" s="186"/>
      <c r="DS29" s="186"/>
      <c r="DT29" s="186"/>
      <c r="DU29" s="186"/>
      <c r="DV29" s="186"/>
      <c r="DW29" s="186"/>
      <c r="DX29" s="186"/>
      <c r="DY29" s="186"/>
      <c r="DZ29" s="186"/>
      <c r="EA29" s="186"/>
      <c r="EB29" s="186"/>
      <c r="EC29" s="186"/>
      <c r="ED29" s="186"/>
      <c r="EE29" s="186"/>
      <c r="EF29" s="186"/>
      <c r="EG29" s="186"/>
      <c r="EH29" s="186"/>
      <c r="EI29" s="186"/>
      <c r="EJ29" s="186"/>
      <c r="EK29" s="186"/>
      <c r="EL29" s="186"/>
      <c r="EM29" s="186"/>
      <c r="EN29" s="186"/>
      <c r="EO29" s="186"/>
      <c r="EP29" s="186"/>
      <c r="EQ29" s="186"/>
      <c r="ER29" s="186"/>
      <c r="ES29" s="186"/>
      <c r="ET29" s="186"/>
      <c r="EU29" s="186"/>
      <c r="EV29" s="186"/>
      <c r="EW29" s="186"/>
      <c r="EX29" s="186"/>
      <c r="EY29" s="186"/>
      <c r="EZ29" s="186"/>
      <c r="FA29" s="186"/>
      <c r="FB29" s="186"/>
      <c r="FC29" s="186"/>
      <c r="FD29" s="186"/>
      <c r="FE29" s="186"/>
      <c r="FF29" s="186"/>
      <c r="FG29" s="186"/>
      <c r="FH29" s="186"/>
      <c r="FI29" s="186"/>
      <c r="FJ29" s="186"/>
      <c r="FK29" s="186"/>
      <c r="FL29" s="186"/>
      <c r="FM29" s="186"/>
      <c r="FN29" s="186"/>
      <c r="FO29" s="186"/>
      <c r="FP29" s="186"/>
      <c r="FQ29" s="186"/>
      <c r="FR29" s="186"/>
      <c r="FS29" s="186"/>
      <c r="FT29" s="186"/>
      <c r="FU29" s="186"/>
      <c r="FV29" s="186"/>
      <c r="FW29" s="186"/>
      <c r="FX29" s="186"/>
      <c r="FY29" s="186"/>
      <c r="FZ29" s="186"/>
      <c r="GA29" s="186"/>
      <c r="GB29" s="186"/>
      <c r="GC29" s="186"/>
      <c r="GD29" s="186"/>
      <c r="GE29" s="186"/>
      <c r="GF29" s="186"/>
      <c r="GG29" s="186"/>
      <c r="GH29" s="186"/>
      <c r="GI29" s="186"/>
      <c r="GJ29" s="186"/>
      <c r="GK29" s="186"/>
      <c r="GL29" s="186"/>
      <c r="GM29" s="186"/>
      <c r="GN29" s="186"/>
      <c r="GO29" s="186"/>
      <c r="GP29" s="186"/>
      <c r="GQ29" s="186"/>
      <c r="GR29" s="186"/>
      <c r="GS29" s="186"/>
      <c r="GT29" s="186"/>
      <c r="GU29" s="186"/>
      <c r="GV29" s="186"/>
      <c r="GW29" s="186"/>
      <c r="GX29" s="186"/>
      <c r="GY29" s="186"/>
      <c r="GZ29" s="186"/>
      <c r="HA29" s="186"/>
      <c r="HB29" s="186"/>
      <c r="HC29" s="186"/>
      <c r="HD29" s="186"/>
      <c r="HE29" s="186"/>
      <c r="HF29" s="186"/>
      <c r="HG29" s="186"/>
      <c r="HH29" s="186"/>
      <c r="HI29" s="186"/>
      <c r="HJ29" s="186"/>
      <c r="HK29" s="186"/>
      <c r="HL29" s="186"/>
      <c r="HM29" s="186"/>
      <c r="HN29" s="186"/>
      <c r="HO29" s="186"/>
      <c r="HP29" s="186"/>
      <c r="HQ29" s="186"/>
      <c r="HR29" s="186"/>
      <c r="HS29" s="186"/>
      <c r="HT29" s="186"/>
      <c r="HU29" s="186"/>
      <c r="HV29" s="186"/>
      <c r="HW29" s="186"/>
      <c r="HX29" s="186"/>
      <c r="HY29" s="187"/>
      <c r="HZ29" s="187"/>
      <c r="IA29" s="187"/>
      <c r="IB29" s="187"/>
      <c r="IC29" s="187"/>
      <c r="ID29" s="187"/>
    </row>
    <row r="30" spans="1:238" s="205" customFormat="1" ht="70.5" customHeight="1" thickBot="1">
      <c r="A30" s="200"/>
      <c r="B30" s="201"/>
      <c r="C30" s="497" t="s">
        <v>0</v>
      </c>
      <c r="D30" s="498"/>
      <c r="E30" s="498" t="s">
        <v>3</v>
      </c>
      <c r="F30" s="498"/>
      <c r="G30" s="499" t="s">
        <v>24</v>
      </c>
      <c r="H30" s="499"/>
      <c r="I30" s="499"/>
      <c r="J30" s="499"/>
      <c r="K30" s="429" t="s">
        <v>93</v>
      </c>
      <c r="L30" s="429"/>
      <c r="M30" s="429"/>
      <c r="N30" s="429"/>
      <c r="O30" s="500"/>
      <c r="P30" s="497" t="s">
        <v>82</v>
      </c>
      <c r="Q30" s="498"/>
      <c r="R30" s="498"/>
      <c r="S30" s="498"/>
      <c r="T30" s="429" t="s">
        <v>81</v>
      </c>
      <c r="U30" s="429"/>
      <c r="V30" s="429"/>
      <c r="W30" s="429"/>
      <c r="X30" s="430" t="s">
        <v>94</v>
      </c>
      <c r="Y30" s="430"/>
      <c r="Z30" s="430"/>
      <c r="AA30" s="430"/>
      <c r="AB30" s="430"/>
      <c r="AC30" s="431" t="str">
        <f>IF(AK12="","",IF(AK12=$AK$48,"",Resumen!AC8))</f>
        <v/>
      </c>
      <c r="AD30" s="431"/>
      <c r="AE30" s="431"/>
      <c r="AF30" s="431"/>
      <c r="AG30" s="432"/>
      <c r="AH30" s="202"/>
      <c r="AI30" s="177"/>
      <c r="AJ30" s="122"/>
      <c r="AK30" s="203" t="s">
        <v>148</v>
      </c>
      <c r="AL30" s="122"/>
      <c r="AM30" s="122"/>
      <c r="AN30" s="122"/>
      <c r="AO30" s="122"/>
      <c r="AP30" s="122"/>
      <c r="AQ30" s="122"/>
      <c r="AR30" s="122"/>
      <c r="AS30" s="122"/>
      <c r="AT30" s="122"/>
      <c r="AU30" s="128"/>
      <c r="AV30" s="116">
        <f t="shared" si="2"/>
        <v>45</v>
      </c>
      <c r="AW30" s="122"/>
      <c r="AX30" s="122"/>
      <c r="AY30" s="122"/>
      <c r="AZ30" s="122"/>
      <c r="BA30" s="122"/>
      <c r="BB30" s="122"/>
      <c r="BC30" s="122"/>
      <c r="BD30" s="122"/>
      <c r="BE30" s="122"/>
      <c r="BF30" s="122"/>
      <c r="BG30" s="122"/>
      <c r="BH30" s="122"/>
      <c r="BI30" s="122"/>
      <c r="BJ30" s="122"/>
      <c r="BK30" s="122"/>
      <c r="BL30" s="122"/>
      <c r="BM30" s="122"/>
      <c r="BN30" s="122"/>
      <c r="BO30" s="122"/>
      <c r="BP30" s="122"/>
      <c r="BQ30" s="204"/>
      <c r="BR30" s="204"/>
      <c r="BS30" s="204"/>
      <c r="BT30" s="204"/>
      <c r="BU30" s="204"/>
      <c r="BV30" s="204"/>
      <c r="BW30" s="204"/>
      <c r="BX30" s="204"/>
      <c r="BY30" s="204"/>
      <c r="BZ30" s="204"/>
      <c r="CA30" s="204"/>
      <c r="CB30" s="204"/>
      <c r="CC30" s="204"/>
      <c r="CD30" s="204"/>
      <c r="CE30" s="204"/>
      <c r="CF30" s="204"/>
      <c r="CG30" s="204"/>
      <c r="CH30" s="204"/>
      <c r="CI30" s="204"/>
      <c r="CJ30" s="204"/>
      <c r="CK30" s="204"/>
      <c r="CL30" s="204"/>
      <c r="CM30" s="204"/>
      <c r="CN30" s="204"/>
      <c r="CO30" s="204"/>
      <c r="CP30" s="204"/>
      <c r="CQ30" s="204"/>
      <c r="CR30" s="204"/>
      <c r="CS30" s="204"/>
      <c r="CT30" s="204"/>
      <c r="CU30" s="204"/>
      <c r="CV30" s="204"/>
      <c r="CW30" s="204"/>
      <c r="CX30" s="204"/>
      <c r="CY30" s="204"/>
      <c r="CZ30" s="204"/>
      <c r="DA30" s="204"/>
      <c r="DB30" s="204"/>
      <c r="DC30" s="204"/>
      <c r="DD30" s="204"/>
      <c r="DE30" s="204"/>
      <c r="DF30" s="204"/>
      <c r="DG30" s="204"/>
      <c r="DH30" s="204"/>
      <c r="DI30" s="204"/>
      <c r="DJ30" s="204"/>
      <c r="DK30" s="204"/>
      <c r="DL30" s="204"/>
      <c r="DM30" s="204"/>
      <c r="DN30" s="204"/>
      <c r="DO30" s="204"/>
      <c r="DP30" s="204"/>
      <c r="DQ30" s="204"/>
      <c r="DR30" s="204"/>
      <c r="DS30" s="204"/>
      <c r="DT30" s="204"/>
      <c r="DU30" s="204"/>
      <c r="DV30" s="204"/>
      <c r="DW30" s="204"/>
      <c r="DX30" s="204"/>
      <c r="DY30" s="204"/>
      <c r="DZ30" s="204"/>
      <c r="EA30" s="204"/>
      <c r="EB30" s="204"/>
      <c r="EC30" s="204"/>
      <c r="ED30" s="204"/>
      <c r="EE30" s="204"/>
      <c r="EF30" s="204"/>
      <c r="EG30" s="204"/>
      <c r="EH30" s="204"/>
      <c r="EI30" s="204"/>
      <c r="EJ30" s="204"/>
      <c r="EK30" s="204"/>
      <c r="EL30" s="204"/>
      <c r="EM30" s="204"/>
      <c r="EN30" s="204"/>
      <c r="EO30" s="204"/>
      <c r="EP30" s="204"/>
      <c r="EQ30" s="204"/>
      <c r="ER30" s="204"/>
      <c r="ES30" s="204"/>
      <c r="ET30" s="204"/>
      <c r="EU30" s="204"/>
      <c r="EV30" s="204"/>
      <c r="EW30" s="204"/>
      <c r="EX30" s="204"/>
      <c r="EY30" s="204"/>
      <c r="EZ30" s="204"/>
      <c r="FA30" s="204"/>
      <c r="FB30" s="204"/>
      <c r="FC30" s="204"/>
      <c r="FD30" s="204"/>
      <c r="FE30" s="204"/>
      <c r="FF30" s="204"/>
      <c r="FG30" s="204"/>
      <c r="FH30" s="204"/>
      <c r="FI30" s="204"/>
      <c r="FJ30" s="204"/>
      <c r="FK30" s="204"/>
      <c r="FL30" s="204"/>
      <c r="FM30" s="204"/>
      <c r="FN30" s="204"/>
      <c r="FO30" s="204"/>
      <c r="FP30" s="204"/>
      <c r="FQ30" s="204"/>
      <c r="FR30" s="204"/>
      <c r="FS30" s="204"/>
      <c r="FT30" s="204"/>
      <c r="FU30" s="204"/>
      <c r="FV30" s="204"/>
      <c r="FW30" s="204"/>
      <c r="FX30" s="204"/>
      <c r="FY30" s="204"/>
      <c r="FZ30" s="204"/>
      <c r="GA30" s="204"/>
      <c r="GB30" s="204"/>
      <c r="GC30" s="204"/>
      <c r="GD30" s="204"/>
      <c r="GE30" s="204"/>
      <c r="GF30" s="204"/>
      <c r="GG30" s="204"/>
      <c r="GH30" s="204"/>
      <c r="GI30" s="204"/>
      <c r="GJ30" s="204"/>
      <c r="GK30" s="204"/>
      <c r="GL30" s="204"/>
      <c r="GM30" s="204"/>
      <c r="GN30" s="204"/>
      <c r="GO30" s="204"/>
      <c r="GP30" s="204"/>
      <c r="GQ30" s="204"/>
      <c r="GR30" s="204"/>
      <c r="GS30" s="204"/>
      <c r="GT30" s="204"/>
      <c r="GU30" s="204"/>
      <c r="GV30" s="204"/>
      <c r="GW30" s="204"/>
      <c r="GX30" s="204"/>
      <c r="GY30" s="204"/>
      <c r="GZ30" s="204"/>
      <c r="HA30" s="204"/>
      <c r="HB30" s="204"/>
      <c r="HC30" s="204"/>
      <c r="HD30" s="204"/>
      <c r="HE30" s="204"/>
      <c r="HF30" s="204"/>
      <c r="HG30" s="204"/>
      <c r="HH30" s="204"/>
      <c r="HI30" s="204"/>
      <c r="HJ30" s="204"/>
      <c r="HK30" s="204"/>
      <c r="HL30" s="204"/>
      <c r="HM30" s="204"/>
      <c r="HN30" s="204"/>
      <c r="HO30" s="204"/>
      <c r="HP30" s="204"/>
      <c r="HQ30" s="204"/>
      <c r="HR30" s="204"/>
      <c r="HS30" s="204"/>
      <c r="HT30" s="204"/>
      <c r="HU30" s="204"/>
      <c r="HV30" s="204"/>
      <c r="HW30" s="204"/>
      <c r="HX30" s="204"/>
    </row>
    <row r="31" spans="1:238" ht="16.5" customHeight="1">
      <c r="C31" s="501">
        <v>1</v>
      </c>
      <c r="D31" s="502"/>
      <c r="E31" s="502">
        <f>IF(T7=" "," ",T7+1)</f>
        <v>30</v>
      </c>
      <c r="F31" s="502"/>
      <c r="G31" s="502">
        <f>IF($K$12="","",VLOOKUP(C31,'No Deducible 93'!$AG$25:$AH$49,2,0))</f>
        <v>120000</v>
      </c>
      <c r="H31" s="502"/>
      <c r="I31" s="502"/>
      <c r="J31" s="502"/>
      <c r="K31" s="503">
        <f>IF(G31="","",G31)</f>
        <v>120000</v>
      </c>
      <c r="L31" s="503"/>
      <c r="M31" s="503"/>
      <c r="N31" s="503"/>
      <c r="O31" s="504"/>
      <c r="P31" s="506">
        <f>IF(G31="","",VLOOKUP(C31*12,Resumen!$C$5:$F$408,VLOOKUP('OptiMaxx plus'!$AK$12,'OptiMaxx plus'!$AK$46:$AL$48,2,0)+1,0))</f>
        <v>244359.08365423908</v>
      </c>
      <c r="Q31" s="433"/>
      <c r="R31" s="433"/>
      <c r="S31" s="433"/>
      <c r="T31" s="433">
        <f>IF(K31="","",IF(C31=$D$15,P31,VLOOKUP(C31*12,Resumen!$H$5:$K$408,$AN$46+1,0)))</f>
        <v>0</v>
      </c>
      <c r="U31" s="433"/>
      <c r="V31" s="433"/>
      <c r="W31" s="433"/>
      <c r="X31" s="433">
        <f>IF(P31="","",VLOOKUP(C31,Resumen!$M$5:$R$29,'OptiMaxx plus'!$AN$46+2,0))</f>
        <v>0</v>
      </c>
      <c r="Y31" s="433"/>
      <c r="Z31" s="433"/>
      <c r="AA31" s="433"/>
      <c r="AB31" s="438"/>
      <c r="AC31" s="511" t="str">
        <f>IF(C31="","",IF(AC30="","",VLOOKUP(C31,Resumen!$T$5:$AB$29,9,0)))</f>
        <v/>
      </c>
      <c r="AD31" s="511"/>
      <c r="AE31" s="511"/>
      <c r="AF31" s="511"/>
      <c r="AG31" s="512"/>
      <c r="AJ31" s="169"/>
      <c r="AK31" s="116" t="s">
        <v>41</v>
      </c>
      <c r="AL31" s="116">
        <v>12</v>
      </c>
      <c r="AM31" s="116">
        <v>7500</v>
      </c>
      <c r="AN31" s="116" t="s">
        <v>104</v>
      </c>
      <c r="AO31" s="169"/>
      <c r="AP31" s="169"/>
      <c r="AQ31" s="184"/>
      <c r="AR31" s="184"/>
      <c r="AS31" s="184"/>
      <c r="AT31" s="184"/>
      <c r="AU31" s="185"/>
      <c r="AV31" s="116">
        <f t="shared" si="2"/>
        <v>46</v>
      </c>
      <c r="AW31" s="169"/>
      <c r="AX31" s="169"/>
      <c r="AY31" s="169"/>
      <c r="AZ31" s="169"/>
      <c r="BA31" s="169"/>
      <c r="BB31" s="169"/>
      <c r="BC31" s="169"/>
      <c r="BD31" s="169"/>
      <c r="BE31" s="169"/>
      <c r="BF31" s="169"/>
      <c r="BG31" s="169"/>
      <c r="BH31" s="169"/>
      <c r="BI31" s="169"/>
      <c r="BJ31" s="169"/>
      <c r="BK31" s="169"/>
      <c r="BL31" s="169"/>
      <c r="BM31" s="169"/>
      <c r="BN31" s="169"/>
      <c r="BO31" s="169"/>
      <c r="BP31" s="169"/>
      <c r="BQ31" s="186"/>
      <c r="BR31" s="186"/>
      <c r="BS31" s="186"/>
      <c r="BT31" s="186"/>
      <c r="BU31" s="186"/>
      <c r="BV31" s="186"/>
      <c r="BW31" s="186"/>
      <c r="BX31" s="186"/>
      <c r="BY31" s="186"/>
      <c r="BZ31" s="186"/>
      <c r="CA31" s="186"/>
      <c r="CB31" s="186"/>
      <c r="CC31" s="186"/>
      <c r="CD31" s="186"/>
      <c r="CE31" s="186"/>
      <c r="CF31" s="186"/>
      <c r="CG31" s="186"/>
      <c r="CH31" s="186"/>
      <c r="CI31" s="186"/>
      <c r="CJ31" s="186"/>
      <c r="CK31" s="186"/>
      <c r="CL31" s="186"/>
      <c r="CM31" s="186"/>
      <c r="CN31" s="186"/>
      <c r="CO31" s="186"/>
      <c r="CP31" s="186"/>
      <c r="CQ31" s="186"/>
      <c r="CR31" s="186"/>
      <c r="CS31" s="186"/>
      <c r="CT31" s="186"/>
      <c r="CU31" s="186"/>
      <c r="CV31" s="186"/>
      <c r="CW31" s="186"/>
      <c r="CX31" s="186"/>
      <c r="CY31" s="186"/>
      <c r="CZ31" s="186"/>
      <c r="DA31" s="186"/>
      <c r="DB31" s="186"/>
      <c r="DC31" s="186"/>
      <c r="DD31" s="186"/>
      <c r="DE31" s="186"/>
      <c r="DF31" s="186"/>
      <c r="DG31" s="186"/>
      <c r="DH31" s="186"/>
      <c r="DI31" s="186"/>
      <c r="DJ31" s="186"/>
      <c r="DK31" s="186"/>
      <c r="DL31" s="186"/>
      <c r="DM31" s="186"/>
      <c r="DN31" s="186"/>
      <c r="DO31" s="186"/>
      <c r="DP31" s="186"/>
      <c r="DQ31" s="186"/>
      <c r="DR31" s="186"/>
      <c r="DS31" s="186"/>
      <c r="DT31" s="186"/>
      <c r="DU31" s="186"/>
      <c r="DV31" s="186"/>
      <c r="DW31" s="186"/>
      <c r="DX31" s="186"/>
      <c r="DY31" s="186"/>
      <c r="DZ31" s="186"/>
      <c r="EA31" s="186"/>
      <c r="EB31" s="186"/>
      <c r="EC31" s="186"/>
      <c r="ED31" s="186"/>
      <c r="EE31" s="186"/>
      <c r="EF31" s="186"/>
      <c r="EG31" s="186"/>
      <c r="EH31" s="186"/>
      <c r="EI31" s="186"/>
      <c r="EJ31" s="186"/>
      <c r="EK31" s="186"/>
      <c r="EL31" s="186"/>
      <c r="EM31" s="186"/>
      <c r="EN31" s="186"/>
      <c r="EO31" s="186"/>
      <c r="EP31" s="186"/>
      <c r="EQ31" s="186"/>
      <c r="ER31" s="186"/>
      <c r="ES31" s="186"/>
      <c r="ET31" s="186"/>
      <c r="EU31" s="186"/>
      <c r="EV31" s="186"/>
      <c r="EW31" s="186"/>
      <c r="EX31" s="186"/>
      <c r="EY31" s="186"/>
      <c r="EZ31" s="186"/>
      <c r="FA31" s="186"/>
      <c r="FB31" s="186"/>
      <c r="FC31" s="186"/>
      <c r="FD31" s="186"/>
      <c r="FE31" s="186"/>
      <c r="FF31" s="186"/>
      <c r="FG31" s="186"/>
      <c r="FH31" s="186"/>
      <c r="FI31" s="186"/>
      <c r="FJ31" s="186"/>
      <c r="FK31" s="186"/>
      <c r="FL31" s="186"/>
      <c r="FM31" s="186"/>
      <c r="FN31" s="186"/>
      <c r="FO31" s="186"/>
      <c r="FP31" s="186"/>
      <c r="FQ31" s="186"/>
      <c r="FR31" s="186"/>
      <c r="FS31" s="186"/>
      <c r="FT31" s="186"/>
      <c r="FU31" s="186"/>
      <c r="FV31" s="186"/>
      <c r="FW31" s="186"/>
      <c r="FX31" s="186"/>
      <c r="FY31" s="186"/>
      <c r="FZ31" s="186"/>
      <c r="GA31" s="186"/>
      <c r="GB31" s="186"/>
      <c r="GC31" s="186"/>
      <c r="GD31" s="186"/>
      <c r="GE31" s="186"/>
      <c r="GF31" s="186"/>
      <c r="GG31" s="186"/>
      <c r="GH31" s="186"/>
      <c r="GI31" s="186"/>
      <c r="GJ31" s="186"/>
      <c r="GK31" s="186"/>
      <c r="GL31" s="186"/>
      <c r="GM31" s="186"/>
      <c r="GN31" s="186"/>
      <c r="GO31" s="186"/>
      <c r="GP31" s="186"/>
      <c r="GQ31" s="186"/>
      <c r="GR31" s="186"/>
      <c r="GS31" s="186"/>
      <c r="GT31" s="186"/>
      <c r="GU31" s="186"/>
      <c r="GV31" s="186"/>
      <c r="GW31" s="186"/>
      <c r="GX31" s="186"/>
      <c r="GY31" s="186"/>
      <c r="GZ31" s="186"/>
      <c r="HA31" s="186"/>
      <c r="HB31" s="186"/>
      <c r="HC31" s="186"/>
      <c r="HD31" s="186"/>
      <c r="HE31" s="186"/>
      <c r="HF31" s="186"/>
      <c r="HG31" s="186"/>
      <c r="HH31" s="186"/>
      <c r="HI31" s="186"/>
      <c r="HJ31" s="186"/>
      <c r="HK31" s="186"/>
      <c r="HL31" s="186"/>
      <c r="HM31" s="186"/>
      <c r="HN31" s="186"/>
      <c r="HO31" s="186"/>
      <c r="HP31" s="186"/>
      <c r="HQ31" s="186"/>
      <c r="HR31" s="186"/>
      <c r="HS31" s="186"/>
      <c r="HT31" s="186"/>
      <c r="HU31" s="186"/>
      <c r="HV31" s="186"/>
      <c r="HW31" s="186"/>
      <c r="HX31" s="186"/>
      <c r="HY31" s="187"/>
      <c r="HZ31" s="187"/>
      <c r="IA31" s="187"/>
      <c r="IB31" s="187"/>
      <c r="IC31" s="187"/>
      <c r="ID31" s="187"/>
    </row>
    <row r="32" spans="1:238" ht="16.5" customHeight="1">
      <c r="C32" s="413">
        <f>IF(C31="","",IF((C31+1)=($D$15+1),"",(C31+1)))</f>
        <v>2</v>
      </c>
      <c r="D32" s="414"/>
      <c r="E32" s="505">
        <f>+IF(C32="","",E31+1)</f>
        <v>31</v>
      </c>
      <c r="F32" s="414"/>
      <c r="G32" s="505">
        <f>IF(E32="","",VLOOKUP(C32,'No Deducible 93'!$AG$25:$AH$49,2,0))</f>
        <v>120000</v>
      </c>
      <c r="H32" s="402"/>
      <c r="I32" s="402"/>
      <c r="J32" s="414"/>
      <c r="K32" s="423">
        <f>IF(G32="","",+G32+K31)</f>
        <v>240000</v>
      </c>
      <c r="L32" s="424"/>
      <c r="M32" s="424"/>
      <c r="N32" s="424"/>
      <c r="O32" s="424"/>
      <c r="P32" s="474">
        <f>IF(G32="","",VLOOKUP(C32*12,Resumen!$C$5:$F$408,VLOOKUP('OptiMaxx plus'!$AK$12,'OptiMaxx plus'!$AK$46:$AL$48,2,0)+1,0))</f>
        <v>378078.12494931207</v>
      </c>
      <c r="Q32" s="434"/>
      <c r="R32" s="434"/>
      <c r="S32" s="434"/>
      <c r="T32" s="434">
        <f>IF(K32="","",IF(C32=$D$15,P32,VLOOKUP(C32*12,Resumen!$H$5:$K$408,$AN$46+1,0)))</f>
        <v>60996.15221112068</v>
      </c>
      <c r="U32" s="434"/>
      <c r="V32" s="434"/>
      <c r="W32" s="434"/>
      <c r="X32" s="434">
        <f>IF(P32="","",VLOOKUP(C32,Resumen!$M$5:$R$29,'OptiMaxx plus'!$AN$46+3,0))</f>
        <v>60684.490742511196</v>
      </c>
      <c r="Y32" s="434"/>
      <c r="Z32" s="434"/>
      <c r="AA32" s="434"/>
      <c r="AB32" s="439"/>
      <c r="AC32" s="402" t="str">
        <f>IF(C32="","",IF(AC31="","",VLOOKUP(C32,Resumen!$T$5:$AB$29,9,0)))</f>
        <v/>
      </c>
      <c r="AD32" s="402"/>
      <c r="AE32" s="402"/>
      <c r="AF32" s="402"/>
      <c r="AG32" s="403"/>
      <c r="AJ32" s="182"/>
      <c r="AK32" s="115" t="s">
        <v>44</v>
      </c>
      <c r="AL32" s="116">
        <v>4</v>
      </c>
      <c r="AM32" s="116">
        <v>22500</v>
      </c>
      <c r="AN32" s="116" t="s">
        <v>105</v>
      </c>
      <c r="AO32" s="182"/>
      <c r="AP32" s="182" t="s">
        <v>135</v>
      </c>
      <c r="AQ32" s="183" t="s">
        <v>136</v>
      </c>
      <c r="AR32" s="183"/>
      <c r="AS32" s="183"/>
      <c r="AT32" s="183"/>
      <c r="AU32" s="206"/>
      <c r="AV32" s="116">
        <f t="shared" si="2"/>
        <v>47</v>
      </c>
      <c r="AW32" s="182"/>
      <c r="AX32" s="182"/>
      <c r="AY32" s="182"/>
      <c r="AZ32" s="182"/>
      <c r="BA32" s="182"/>
      <c r="BB32" s="182"/>
      <c r="BC32" s="182"/>
      <c r="BD32" s="182"/>
      <c r="BE32" s="182"/>
      <c r="BF32" s="182"/>
      <c r="BG32" s="182"/>
      <c r="BH32" s="182"/>
      <c r="BI32" s="182"/>
      <c r="BJ32" s="182"/>
      <c r="BK32" s="182"/>
      <c r="BL32" s="182"/>
      <c r="BM32" s="182"/>
      <c r="BN32" s="182"/>
      <c r="BO32" s="182"/>
      <c r="BP32" s="182"/>
      <c r="BQ32" s="207"/>
      <c r="BR32" s="207"/>
      <c r="BS32" s="207"/>
      <c r="BT32" s="207"/>
      <c r="BU32" s="207"/>
      <c r="BV32" s="207"/>
      <c r="BW32" s="207"/>
      <c r="BX32" s="207"/>
      <c r="BY32" s="207"/>
      <c r="BZ32" s="207"/>
      <c r="CA32" s="207"/>
      <c r="CB32" s="207"/>
      <c r="CC32" s="207"/>
      <c r="CD32" s="207"/>
      <c r="CE32" s="207"/>
      <c r="CF32" s="207"/>
      <c r="CG32" s="207"/>
      <c r="CH32" s="207"/>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7"/>
      <c r="DG32" s="207"/>
      <c r="DH32" s="207"/>
      <c r="DI32" s="207"/>
      <c r="DJ32" s="207"/>
      <c r="DK32" s="207"/>
      <c r="DL32" s="207"/>
      <c r="DM32" s="207"/>
      <c r="DN32" s="207"/>
      <c r="DO32" s="207"/>
      <c r="DP32" s="207"/>
      <c r="DQ32" s="207"/>
      <c r="DR32" s="207"/>
      <c r="DS32" s="207"/>
      <c r="DT32" s="207"/>
      <c r="DU32" s="207"/>
      <c r="DV32" s="207"/>
      <c r="DW32" s="207"/>
      <c r="DX32" s="207"/>
      <c r="DY32" s="207"/>
      <c r="DZ32" s="207"/>
      <c r="EA32" s="207"/>
      <c r="EB32" s="207"/>
      <c r="EC32" s="207"/>
      <c r="ED32" s="207"/>
      <c r="EE32" s="207"/>
      <c r="EF32" s="207"/>
      <c r="EG32" s="207"/>
      <c r="EH32" s="207"/>
      <c r="EI32" s="207"/>
      <c r="EJ32" s="207"/>
      <c r="EK32" s="207"/>
      <c r="EL32" s="207"/>
      <c r="EM32" s="207"/>
      <c r="EN32" s="207"/>
      <c r="EO32" s="207"/>
      <c r="EP32" s="207"/>
      <c r="EQ32" s="207"/>
      <c r="ER32" s="207"/>
      <c r="ES32" s="207"/>
      <c r="ET32" s="207"/>
      <c r="EU32" s="207"/>
      <c r="EV32" s="207"/>
      <c r="EW32" s="207"/>
      <c r="EX32" s="207"/>
      <c r="EY32" s="207"/>
      <c r="EZ32" s="207"/>
      <c r="FA32" s="207"/>
      <c r="FB32" s="207"/>
      <c r="FC32" s="207"/>
      <c r="FD32" s="207"/>
      <c r="FE32" s="207"/>
      <c r="FF32" s="207"/>
      <c r="FG32" s="207"/>
      <c r="FH32" s="207"/>
      <c r="FI32" s="207"/>
      <c r="FJ32" s="207"/>
      <c r="FK32" s="207"/>
      <c r="FL32" s="207"/>
      <c r="FM32" s="207"/>
      <c r="FN32" s="207"/>
      <c r="FO32" s="207"/>
      <c r="FP32" s="207"/>
      <c r="FQ32" s="207"/>
      <c r="FR32" s="207"/>
      <c r="FS32" s="207"/>
      <c r="FT32" s="207"/>
      <c r="FU32" s="207"/>
      <c r="FV32" s="207"/>
      <c r="FW32" s="207"/>
      <c r="FX32" s="207"/>
      <c r="FY32" s="207"/>
      <c r="FZ32" s="207"/>
      <c r="GA32" s="207"/>
      <c r="GB32" s="207"/>
      <c r="GC32" s="207"/>
      <c r="GD32" s="207"/>
      <c r="GE32" s="207"/>
      <c r="GF32" s="207"/>
      <c r="GG32" s="207"/>
      <c r="GH32" s="207"/>
      <c r="GI32" s="207"/>
      <c r="GJ32" s="207"/>
      <c r="GK32" s="207"/>
      <c r="GL32" s="207"/>
      <c r="GM32" s="207"/>
      <c r="GN32" s="207"/>
      <c r="GO32" s="207"/>
      <c r="GP32" s="207"/>
      <c r="GQ32" s="207"/>
      <c r="GR32" s="207"/>
      <c r="GS32" s="207"/>
      <c r="GT32" s="207"/>
      <c r="GU32" s="207"/>
      <c r="GV32" s="207"/>
      <c r="GW32" s="207"/>
      <c r="GX32" s="207"/>
      <c r="GY32" s="207"/>
      <c r="GZ32" s="207"/>
      <c r="HA32" s="207"/>
      <c r="HB32" s="207"/>
      <c r="HC32" s="207"/>
      <c r="HD32" s="207"/>
      <c r="HE32" s="207"/>
      <c r="HF32" s="207"/>
      <c r="HG32" s="207"/>
      <c r="HH32" s="207"/>
      <c r="HI32" s="207"/>
      <c r="HJ32" s="207"/>
      <c r="HK32" s="207"/>
      <c r="HL32" s="207"/>
      <c r="HM32" s="207"/>
      <c r="HN32" s="207"/>
      <c r="HO32" s="207"/>
      <c r="HP32" s="207"/>
      <c r="HQ32" s="207"/>
      <c r="HR32" s="207"/>
      <c r="HS32" s="207"/>
      <c r="HT32" s="207"/>
      <c r="HU32" s="207"/>
      <c r="HV32" s="207"/>
      <c r="HW32" s="207"/>
      <c r="HX32" s="207"/>
      <c r="HY32" s="162"/>
      <c r="HZ32" s="162"/>
      <c r="IA32" s="162"/>
      <c r="IB32" s="162"/>
      <c r="IC32" s="162"/>
      <c r="ID32" s="162"/>
    </row>
    <row r="33" spans="3:245" ht="16.5" customHeight="1">
      <c r="C33" s="413">
        <f t="shared" ref="C33:C55" si="3">IF(C32="","",IF((C32+1)=($D$15+1),"",(C32+1)))</f>
        <v>3</v>
      </c>
      <c r="D33" s="414"/>
      <c r="E33" s="505">
        <f t="shared" ref="E33:E54" si="4">+IF(C33="","",E32+1)</f>
        <v>32</v>
      </c>
      <c r="F33" s="414"/>
      <c r="G33" s="505">
        <f>IF(E33="","",VLOOKUP(C33,'No Deducible 93'!$AG$25:$AH$49,2,0))</f>
        <v>120000</v>
      </c>
      <c r="H33" s="402"/>
      <c r="I33" s="402"/>
      <c r="J33" s="414"/>
      <c r="K33" s="423">
        <f t="shared" ref="K33:K55" si="5">IF(G33="","",+G33+K32)</f>
        <v>360000</v>
      </c>
      <c r="L33" s="424"/>
      <c r="M33" s="424"/>
      <c r="N33" s="424"/>
      <c r="O33" s="424"/>
      <c r="P33" s="474">
        <f>IF(G33="","",VLOOKUP(C33*12,Resumen!$C$5:$F$408,VLOOKUP('OptiMaxx plus'!$AK$12,'OptiMaxx plus'!$AK$46:$AL$48,2,0)+1,0))</f>
        <v>522015.86514907889</v>
      </c>
      <c r="Q33" s="434"/>
      <c r="R33" s="434"/>
      <c r="S33" s="434"/>
      <c r="T33" s="434">
        <f>IF(K33="","",IF(C33=$D$15,P33,VLOOKUP(C33*12,Resumen!$H$5:$K$408,$AN$46+1,0)))</f>
        <v>190842.07582332552</v>
      </c>
      <c r="U33" s="434"/>
      <c r="V33" s="434"/>
      <c r="W33" s="434"/>
      <c r="X33" s="434">
        <f>IF(P33="","",VLOOKUP(C33,Resumen!$M$5:$R$29,'OptiMaxx plus'!$AN$46+3,0))</f>
        <v>189311.02369792984</v>
      </c>
      <c r="Y33" s="434"/>
      <c r="Z33" s="434"/>
      <c r="AA33" s="434"/>
      <c r="AB33" s="439"/>
      <c r="AC33" s="402" t="str">
        <f>IF(C33="","",IF(AC32="","",VLOOKUP(C33,Resumen!$T$5:$AB$29,9,0)))</f>
        <v/>
      </c>
      <c r="AD33" s="402"/>
      <c r="AE33" s="402"/>
      <c r="AF33" s="402"/>
      <c r="AG33" s="403"/>
      <c r="AJ33" s="116"/>
      <c r="AK33" s="116" t="s">
        <v>47</v>
      </c>
      <c r="AL33" s="116">
        <v>2</v>
      </c>
      <c r="AM33" s="116">
        <v>45000</v>
      </c>
      <c r="AN33" s="122" t="s">
        <v>106</v>
      </c>
      <c r="AO33" s="116"/>
      <c r="AP33" s="116" t="s">
        <v>42</v>
      </c>
      <c r="AQ33" s="122">
        <v>2</v>
      </c>
      <c r="AR33" s="122"/>
      <c r="AS33" s="122"/>
      <c r="AT33" s="122"/>
      <c r="AU33" s="128"/>
      <c r="AV33" s="116">
        <f t="shared" si="2"/>
        <v>48</v>
      </c>
    </row>
    <row r="34" spans="3:245" ht="16.5" customHeight="1">
      <c r="C34" s="413">
        <f t="shared" si="3"/>
        <v>4</v>
      </c>
      <c r="D34" s="414"/>
      <c r="E34" s="505">
        <f t="shared" si="4"/>
        <v>33</v>
      </c>
      <c r="F34" s="414"/>
      <c r="G34" s="505">
        <f>IF(E34="","",VLOOKUP(C34,'No Deducible 93'!$AG$25:$AH$49,2,0))</f>
        <v>120000</v>
      </c>
      <c r="H34" s="402"/>
      <c r="I34" s="402"/>
      <c r="J34" s="414"/>
      <c r="K34" s="423">
        <f t="shared" si="5"/>
        <v>480000</v>
      </c>
      <c r="L34" s="424"/>
      <c r="M34" s="424"/>
      <c r="N34" s="424"/>
      <c r="O34" s="424"/>
      <c r="P34" s="474">
        <f>IF(G34="","",VLOOKUP(C34*12,Resumen!$C$5:$F$408,VLOOKUP('OptiMaxx plus'!$AK$12,'OptiMaxx plus'!$AK$46:$AL$48,2,0)+1,0))</f>
        <v>677825.75250123197</v>
      </c>
      <c r="Q34" s="434"/>
      <c r="R34" s="434"/>
      <c r="S34" s="434"/>
      <c r="T34" s="434">
        <f>IF(K34="","",IF(C34=$D$15,P34,VLOOKUP(C34*12,Resumen!$H$5:$K$408,$AN$46+1,0)))</f>
        <v>331926.90899013937</v>
      </c>
      <c r="U34" s="434"/>
      <c r="V34" s="434"/>
      <c r="W34" s="434"/>
      <c r="X34" s="434">
        <f>IF(P34="","",VLOOKUP(C34,Resumen!$M$5:$R$29,'OptiMaxx plus'!$AN$46+3,0))</f>
        <v>328075.95633509697</v>
      </c>
      <c r="Y34" s="434"/>
      <c r="Z34" s="434"/>
      <c r="AA34" s="434"/>
      <c r="AB34" s="439"/>
      <c r="AC34" s="402" t="str">
        <f>IF(C34="","",IF(AC33="","",VLOOKUP(C34,Resumen!$T$5:$AB$29,9,0)))</f>
        <v/>
      </c>
      <c r="AD34" s="402"/>
      <c r="AE34" s="402"/>
      <c r="AF34" s="402"/>
      <c r="AG34" s="403"/>
      <c r="AJ34" s="116"/>
      <c r="AK34" s="116" t="s">
        <v>49</v>
      </c>
      <c r="AL34" s="116">
        <v>1</v>
      </c>
      <c r="AM34" s="116">
        <v>90000</v>
      </c>
      <c r="AN34" s="116" t="s">
        <v>107</v>
      </c>
      <c r="AO34" s="116"/>
      <c r="AP34" s="116" t="s">
        <v>45</v>
      </c>
      <c r="AQ34" s="122">
        <v>3</v>
      </c>
      <c r="AR34" s="122"/>
      <c r="AS34" s="122"/>
      <c r="AT34" s="122"/>
      <c r="AU34" s="128"/>
      <c r="AV34" s="116">
        <f t="shared" si="2"/>
        <v>49</v>
      </c>
    </row>
    <row r="35" spans="3:245" ht="16.5" customHeight="1">
      <c r="C35" s="413">
        <f t="shared" si="3"/>
        <v>5</v>
      </c>
      <c r="D35" s="414"/>
      <c r="E35" s="505">
        <f t="shared" si="4"/>
        <v>34</v>
      </c>
      <c r="F35" s="414"/>
      <c r="G35" s="505">
        <f>IF(E35="","",VLOOKUP(C35,'No Deducible 93'!$AG$25:$AH$49,2,0))</f>
        <v>120000</v>
      </c>
      <c r="H35" s="402"/>
      <c r="I35" s="402"/>
      <c r="J35" s="414"/>
      <c r="K35" s="423">
        <f t="shared" si="5"/>
        <v>600000</v>
      </c>
      <c r="L35" s="424"/>
      <c r="M35" s="424"/>
      <c r="N35" s="424"/>
      <c r="O35" s="424"/>
      <c r="P35" s="474">
        <f>IF(G35="","",VLOOKUP(C35*12,Resumen!$C$5:$F$408,VLOOKUP('OptiMaxx plus'!$AK$12,'OptiMaxx plus'!$AK$46:$AL$48,2,0)+1,0))</f>
        <v>846511.24145613739</v>
      </c>
      <c r="Q35" s="434"/>
      <c r="R35" s="434"/>
      <c r="S35" s="434"/>
      <c r="T35" s="434">
        <f>IF(K35="","",IF(C35=$D$15,P35,VLOOKUP(C35*12,Resumen!$H$5:$K$408,$AN$46+1,0)))</f>
        <v>485225.35780895554</v>
      </c>
      <c r="U35" s="434"/>
      <c r="V35" s="434"/>
      <c r="W35" s="434"/>
      <c r="X35" s="434">
        <f>IF(P35="","",VLOOKUP(C35,Resumen!$M$5:$R$29,'OptiMaxx plus'!$AN$46+3,0))</f>
        <v>477732.06997749023</v>
      </c>
      <c r="Y35" s="434"/>
      <c r="Z35" s="434"/>
      <c r="AA35" s="434"/>
      <c r="AB35" s="439"/>
      <c r="AC35" s="402" t="str">
        <f>IF(C35="","",IF(AC34="","",VLOOKUP(C35,Resumen!$T$5:$AB$29,9,0)))</f>
        <v/>
      </c>
      <c r="AD35" s="402"/>
      <c r="AE35" s="402"/>
      <c r="AF35" s="402"/>
      <c r="AG35" s="403"/>
      <c r="AJ35" s="116"/>
      <c r="AK35" s="116"/>
      <c r="AL35" s="116"/>
      <c r="AM35" s="116"/>
      <c r="AN35" s="116"/>
      <c r="AO35" s="116"/>
      <c r="AP35" s="116"/>
      <c r="AQ35" s="122">
        <v>4</v>
      </c>
      <c r="AR35" s="122"/>
      <c r="AS35" s="122"/>
      <c r="AT35" s="122"/>
      <c r="AU35" s="128"/>
      <c r="AV35" s="116">
        <f t="shared" si="2"/>
        <v>50</v>
      </c>
    </row>
    <row r="36" spans="3:245" ht="16.5" customHeight="1">
      <c r="C36" s="413">
        <f t="shared" si="3"/>
        <v>6</v>
      </c>
      <c r="D36" s="414"/>
      <c r="E36" s="505">
        <f t="shared" si="4"/>
        <v>35</v>
      </c>
      <c r="F36" s="414"/>
      <c r="G36" s="505">
        <f>IF(E36="","",VLOOKUP(C36,'No Deducible 93'!$AG$25:$AH$49,2,0))</f>
        <v>120000</v>
      </c>
      <c r="H36" s="402"/>
      <c r="I36" s="402"/>
      <c r="J36" s="414"/>
      <c r="K36" s="423">
        <f t="shared" si="5"/>
        <v>720000</v>
      </c>
      <c r="L36" s="424"/>
      <c r="M36" s="424"/>
      <c r="N36" s="424"/>
      <c r="O36" s="424"/>
      <c r="P36" s="474">
        <f>IF(G36="","",VLOOKUP(C36*12,Resumen!$C$5:$F$408,VLOOKUP('OptiMaxx plus'!$AK$12,'OptiMaxx plus'!$AK$46:$AL$48,2,0)+1,0))</f>
        <v>1029161.7130232818</v>
      </c>
      <c r="Q36" s="434"/>
      <c r="R36" s="434"/>
      <c r="S36" s="434"/>
      <c r="T36" s="434">
        <f>IF(K36="","",IF(C36=$D$15,P36,VLOOKUP(C36*12,Resumen!$H$5:$K$408,$AN$46+1,0)))</f>
        <v>651796.73761541082</v>
      </c>
      <c r="U36" s="434"/>
      <c r="V36" s="434"/>
      <c r="W36" s="434"/>
      <c r="X36" s="434">
        <f>IF(P36="","",VLOOKUP(C36,Resumen!$M$5:$R$29,'OptiMaxx plus'!$AN$46+3,0))</f>
        <v>639147.33652445755</v>
      </c>
      <c r="Y36" s="434"/>
      <c r="Z36" s="434"/>
      <c r="AA36" s="434"/>
      <c r="AB36" s="439"/>
      <c r="AC36" s="402" t="str">
        <f>IF(C36="","",IF(AC35="","",VLOOKUP(C36,Resumen!$T$5:$AB$29,9,0)))</f>
        <v/>
      </c>
      <c r="AD36" s="402"/>
      <c r="AE36" s="402"/>
      <c r="AF36" s="402"/>
      <c r="AG36" s="403"/>
      <c r="AJ36" s="116"/>
      <c r="AL36" s="116"/>
      <c r="AM36" s="116">
        <f>VLOOKUP(K12,AK31:AN34,3,FALSE)</f>
        <v>7500</v>
      </c>
      <c r="AN36" s="116" t="str">
        <f>VLOOKUP(K12,AK31:AN34,4,FALSE)</f>
        <v>mensuales</v>
      </c>
      <c r="AO36" s="116"/>
      <c r="AP36" s="116"/>
      <c r="AQ36" s="122">
        <v>5</v>
      </c>
      <c r="AR36" s="122"/>
      <c r="AS36" s="122"/>
      <c r="AT36" s="122"/>
      <c r="AU36" s="128"/>
      <c r="AV36" s="116">
        <f t="shared" si="2"/>
        <v>51</v>
      </c>
    </row>
    <row r="37" spans="3:245" ht="16.5" customHeight="1">
      <c r="C37" s="413">
        <f t="shared" si="3"/>
        <v>7</v>
      </c>
      <c r="D37" s="414"/>
      <c r="E37" s="505">
        <f t="shared" si="4"/>
        <v>36</v>
      </c>
      <c r="F37" s="414"/>
      <c r="G37" s="505">
        <f>IF(E37="","",VLOOKUP(C37,'No Deducible 93'!$AG$25:$AH$49,2,0))</f>
        <v>120000</v>
      </c>
      <c r="H37" s="402"/>
      <c r="I37" s="402"/>
      <c r="J37" s="414"/>
      <c r="K37" s="423">
        <f t="shared" si="5"/>
        <v>840000</v>
      </c>
      <c r="L37" s="424"/>
      <c r="M37" s="424"/>
      <c r="N37" s="424"/>
      <c r="O37" s="424"/>
      <c r="P37" s="474">
        <f>IF(G37="","",VLOOKUP(C37*12,Resumen!$C$5:$F$408,VLOOKUP('OptiMaxx plus'!$AK$12,'OptiMaxx plus'!$AK$46:$AL$48,2,0)+1,0))</f>
        <v>1226959.8832080734</v>
      </c>
      <c r="Q37" s="434"/>
      <c r="R37" s="434"/>
      <c r="S37" s="434"/>
      <c r="T37" s="434">
        <f>IF(K37="","",IF(C37=$D$15,P37,VLOOKUP(C37*12,Resumen!$H$5:$K$408,$AN$46+1,0)))</f>
        <v>832792.32055629604</v>
      </c>
      <c r="U37" s="434"/>
      <c r="V37" s="434"/>
      <c r="W37" s="434"/>
      <c r="X37" s="434">
        <f>IF(P37="","",VLOOKUP(C37,Resumen!$M$5:$R$29,'OptiMaxx plus'!$AN$46+3,0))</f>
        <v>813278.31300796289</v>
      </c>
      <c r="Y37" s="434"/>
      <c r="Z37" s="434"/>
      <c r="AA37" s="434"/>
      <c r="AB37" s="439"/>
      <c r="AC37" s="402" t="str">
        <f>IF(C37="","",IF(AC36="","",VLOOKUP(C37,Resumen!$T$5:$AB$29,9,0)))</f>
        <v/>
      </c>
      <c r="AD37" s="402"/>
      <c r="AE37" s="402"/>
      <c r="AF37" s="402"/>
      <c r="AG37" s="403"/>
      <c r="AJ37" s="169"/>
      <c r="AL37" s="169"/>
      <c r="AM37" s="186"/>
      <c r="AN37" s="169"/>
      <c r="AO37" s="169"/>
      <c r="AP37" s="169"/>
      <c r="AQ37" s="122">
        <v>6</v>
      </c>
      <c r="AR37" s="184"/>
      <c r="AS37" s="184"/>
      <c r="AT37" s="184"/>
      <c r="AU37" s="185"/>
      <c r="AV37" s="116">
        <f t="shared" si="2"/>
        <v>52</v>
      </c>
      <c r="AW37" s="169"/>
      <c r="AX37" s="208"/>
      <c r="AY37" s="169"/>
      <c r="AZ37" s="169"/>
      <c r="BA37" s="169"/>
      <c r="BB37" s="169"/>
      <c r="BC37" s="169"/>
      <c r="BD37" s="169"/>
      <c r="BE37" s="169"/>
      <c r="BF37" s="169"/>
      <c r="BG37" s="169"/>
      <c r="BH37" s="169"/>
      <c r="BI37" s="169"/>
      <c r="BJ37" s="169"/>
      <c r="BK37" s="169"/>
      <c r="BL37" s="169"/>
      <c r="BM37" s="169"/>
      <c r="BN37" s="169"/>
      <c r="BO37" s="169"/>
      <c r="BP37" s="169"/>
      <c r="BQ37" s="186"/>
      <c r="BR37" s="186"/>
      <c r="BS37" s="186"/>
      <c r="BT37" s="186"/>
      <c r="BU37" s="186"/>
      <c r="BV37" s="186"/>
      <c r="BW37" s="186"/>
      <c r="BX37" s="186"/>
      <c r="BY37" s="186"/>
      <c r="BZ37" s="186"/>
      <c r="CA37" s="186"/>
      <c r="CB37" s="186"/>
      <c r="CC37" s="186"/>
      <c r="CD37" s="186"/>
      <c r="CE37" s="186"/>
      <c r="CF37" s="186"/>
      <c r="CG37" s="186"/>
      <c r="CH37" s="186"/>
      <c r="CI37" s="186"/>
      <c r="CJ37" s="186"/>
      <c r="CK37" s="186"/>
      <c r="CL37" s="186"/>
      <c r="CM37" s="186"/>
      <c r="CN37" s="186"/>
      <c r="CO37" s="186"/>
      <c r="CP37" s="186"/>
      <c r="CQ37" s="186"/>
      <c r="CR37" s="186"/>
      <c r="CS37" s="186"/>
      <c r="CT37" s="186"/>
      <c r="CU37" s="186"/>
      <c r="CV37" s="186"/>
      <c r="CW37" s="186"/>
      <c r="CX37" s="186"/>
      <c r="CY37" s="186"/>
      <c r="CZ37" s="186"/>
      <c r="DA37" s="186"/>
      <c r="DB37" s="186"/>
      <c r="DC37" s="186"/>
      <c r="DD37" s="186"/>
      <c r="DE37" s="186"/>
      <c r="DF37" s="186"/>
      <c r="DG37" s="186"/>
      <c r="DH37" s="186"/>
      <c r="DI37" s="186"/>
      <c r="DJ37" s="186"/>
      <c r="DK37" s="186"/>
      <c r="DL37" s="186"/>
      <c r="DM37" s="186"/>
      <c r="DN37" s="186"/>
      <c r="DO37" s="186"/>
      <c r="DP37" s="186"/>
      <c r="DQ37" s="186"/>
      <c r="DR37" s="186"/>
      <c r="DS37" s="186"/>
      <c r="DT37" s="186"/>
      <c r="DU37" s="186"/>
      <c r="DV37" s="186"/>
      <c r="DW37" s="186"/>
      <c r="DX37" s="186"/>
      <c r="DY37" s="186"/>
      <c r="DZ37" s="186"/>
      <c r="EA37" s="186"/>
      <c r="EB37" s="186"/>
      <c r="EC37" s="186"/>
      <c r="ED37" s="186"/>
      <c r="EE37" s="186"/>
      <c r="EF37" s="186"/>
      <c r="EG37" s="186"/>
      <c r="EH37" s="186"/>
      <c r="EI37" s="186"/>
      <c r="EJ37" s="186"/>
      <c r="EK37" s="186"/>
      <c r="EL37" s="186"/>
      <c r="EM37" s="186"/>
      <c r="EN37" s="186"/>
      <c r="EO37" s="186"/>
      <c r="EP37" s="186"/>
      <c r="EQ37" s="186"/>
      <c r="ER37" s="186"/>
      <c r="ES37" s="186"/>
      <c r="ET37" s="186"/>
      <c r="EU37" s="186"/>
      <c r="EV37" s="186"/>
      <c r="EW37" s="186"/>
      <c r="EX37" s="186"/>
      <c r="EY37" s="186"/>
      <c r="EZ37" s="186"/>
      <c r="FA37" s="186"/>
      <c r="FB37" s="186"/>
      <c r="FC37" s="186"/>
      <c r="FD37" s="186"/>
      <c r="FE37" s="186"/>
      <c r="FF37" s="186"/>
      <c r="FG37" s="186"/>
      <c r="FH37" s="186"/>
      <c r="FI37" s="186"/>
      <c r="FJ37" s="186"/>
      <c r="FK37" s="186"/>
      <c r="FL37" s="186"/>
      <c r="FM37" s="186"/>
      <c r="FN37" s="186"/>
      <c r="FO37" s="186"/>
      <c r="FP37" s="186"/>
      <c r="FQ37" s="186"/>
      <c r="FR37" s="186"/>
      <c r="FS37" s="186"/>
      <c r="FT37" s="186"/>
      <c r="FU37" s="186"/>
      <c r="FV37" s="186"/>
      <c r="FW37" s="186"/>
      <c r="FX37" s="186"/>
      <c r="FY37" s="186"/>
      <c r="FZ37" s="186"/>
      <c r="GA37" s="186"/>
      <c r="GB37" s="186"/>
      <c r="GC37" s="186"/>
      <c r="GD37" s="186"/>
      <c r="GE37" s="186"/>
      <c r="GF37" s="186"/>
      <c r="GG37" s="186"/>
      <c r="GH37" s="186"/>
      <c r="GI37" s="186"/>
      <c r="GJ37" s="186"/>
      <c r="GK37" s="186"/>
      <c r="GL37" s="186"/>
      <c r="GM37" s="186"/>
      <c r="GN37" s="186"/>
      <c r="GO37" s="186"/>
      <c r="GP37" s="186"/>
      <c r="GQ37" s="186"/>
      <c r="GR37" s="186"/>
      <c r="GS37" s="186"/>
      <c r="GT37" s="186"/>
      <c r="GU37" s="186"/>
      <c r="GV37" s="186"/>
      <c r="GW37" s="186"/>
      <c r="GX37" s="186"/>
      <c r="GY37" s="186"/>
      <c r="GZ37" s="186"/>
      <c r="HA37" s="186"/>
      <c r="HB37" s="186"/>
      <c r="HC37" s="186"/>
      <c r="HD37" s="186"/>
      <c r="HE37" s="186"/>
      <c r="HF37" s="186"/>
      <c r="HG37" s="186"/>
      <c r="HH37" s="186"/>
      <c r="HI37" s="186"/>
      <c r="HJ37" s="186"/>
      <c r="HK37" s="186"/>
      <c r="HL37" s="186"/>
      <c r="HM37" s="186"/>
      <c r="HN37" s="186"/>
      <c r="HO37" s="186"/>
      <c r="HP37" s="186"/>
      <c r="HQ37" s="186"/>
      <c r="HR37" s="186"/>
      <c r="HS37" s="186"/>
      <c r="HT37" s="186"/>
      <c r="HU37" s="186"/>
      <c r="HV37" s="186"/>
      <c r="HW37" s="186"/>
      <c r="HX37" s="186"/>
      <c r="HY37" s="187"/>
      <c r="HZ37" s="187"/>
      <c r="IA37" s="187"/>
      <c r="IB37" s="187"/>
      <c r="IC37" s="187"/>
      <c r="ID37" s="187"/>
    </row>
    <row r="38" spans="3:245" ht="16.5" customHeight="1">
      <c r="C38" s="413">
        <f t="shared" si="3"/>
        <v>8</v>
      </c>
      <c r="D38" s="414"/>
      <c r="E38" s="505">
        <f t="shared" si="4"/>
        <v>37</v>
      </c>
      <c r="F38" s="414"/>
      <c r="G38" s="505">
        <f>IF(E38="","",VLOOKUP(C38,'No Deducible 93'!$AG$25:$AH$49,2,0))</f>
        <v>120000</v>
      </c>
      <c r="H38" s="402"/>
      <c r="I38" s="402"/>
      <c r="J38" s="414"/>
      <c r="K38" s="423">
        <f t="shared" si="5"/>
        <v>960000</v>
      </c>
      <c r="L38" s="424"/>
      <c r="M38" s="424"/>
      <c r="N38" s="424"/>
      <c r="O38" s="424"/>
      <c r="P38" s="474">
        <f>IF(G38="","",VLOOKUP(C38*12,Resumen!$C$5:$F$408,VLOOKUP('OptiMaxx plus'!$AK$12,'OptiMaxx plus'!$AK$46:$AL$48,2,0)+1,0))</f>
        <v>1441189.8524768839</v>
      </c>
      <c r="Q38" s="434"/>
      <c r="R38" s="434"/>
      <c r="S38" s="434"/>
      <c r="T38" s="434">
        <f>IF(K38="","",IF(C38=$D$15,P38,VLOOKUP(C38*12,Resumen!$H$5:$K$408,$AN$46+1,0)))</f>
        <v>1029463.3213582018</v>
      </c>
      <c r="U38" s="434"/>
      <c r="V38" s="434"/>
      <c r="W38" s="434"/>
      <c r="X38" s="434">
        <f>IF(P38="","",VLOOKUP(C38,Resumen!$M$5:$R$29,'OptiMaxx plus'!$AN$46+3,0))</f>
        <v>1001168.3365632633</v>
      </c>
      <c r="Y38" s="434"/>
      <c r="Z38" s="434"/>
      <c r="AA38" s="434"/>
      <c r="AB38" s="439"/>
      <c r="AC38" s="402" t="str">
        <f>IF(C38="","",IF(AC37="","",VLOOKUP(C38,Resumen!$T$5:$AB$29,9,0)))</f>
        <v/>
      </c>
      <c r="AD38" s="402"/>
      <c r="AE38" s="402"/>
      <c r="AF38" s="402"/>
      <c r="AG38" s="403"/>
      <c r="AJ38" s="116"/>
      <c r="AL38" s="116"/>
      <c r="AM38" s="116"/>
      <c r="AN38" s="116"/>
      <c r="AO38" s="116"/>
      <c r="AP38" s="116"/>
      <c r="AQ38" s="122">
        <v>7</v>
      </c>
      <c r="AR38" s="122"/>
      <c r="AS38" s="122"/>
      <c r="AT38" s="122"/>
      <c r="AU38" s="128"/>
      <c r="AV38" s="116">
        <f t="shared" si="2"/>
        <v>53</v>
      </c>
    </row>
    <row r="39" spans="3:245" ht="16.5" customHeight="1">
      <c r="C39" s="413">
        <f t="shared" si="3"/>
        <v>9</v>
      </c>
      <c r="D39" s="414"/>
      <c r="E39" s="505">
        <f t="shared" si="4"/>
        <v>38</v>
      </c>
      <c r="F39" s="414"/>
      <c r="G39" s="505">
        <f>IF(E39="","",VLOOKUP(C39,'No Deducible 93'!$AG$25:$AH$49,2,0))</f>
        <v>120000</v>
      </c>
      <c r="H39" s="402"/>
      <c r="I39" s="402"/>
      <c r="J39" s="414"/>
      <c r="K39" s="423">
        <f t="shared" si="5"/>
        <v>1080000</v>
      </c>
      <c r="L39" s="424"/>
      <c r="M39" s="424"/>
      <c r="N39" s="424"/>
      <c r="O39" s="424"/>
      <c r="P39" s="474">
        <f>IF(G39="","",VLOOKUP(C39*12,Resumen!$C$5:$F$408,VLOOKUP('OptiMaxx plus'!$AK$12,'OptiMaxx plus'!$AK$46:$AL$48,2,0)+1,0))</f>
        <v>1673245.851820349</v>
      </c>
      <c r="Q39" s="434"/>
      <c r="R39" s="434"/>
      <c r="S39" s="434"/>
      <c r="T39" s="434">
        <f>IF(K39="","",IF(C39=$D$15,P39,VLOOKUP(C39*12,Resumen!$H$5:$K$408,$AN$46+1,0)))</f>
        <v>1243169.5767292711</v>
      </c>
      <c r="U39" s="434"/>
      <c r="V39" s="434"/>
      <c r="W39" s="434"/>
      <c r="X39" s="434">
        <f>IF(P39="","",VLOOKUP(C39,Resumen!$M$5:$R$29,'OptiMaxx plus'!$AN$46+3,0))</f>
        <v>1203951.759150113</v>
      </c>
      <c r="Y39" s="434"/>
      <c r="Z39" s="434"/>
      <c r="AA39" s="434"/>
      <c r="AB39" s="439"/>
      <c r="AC39" s="402" t="str">
        <f>IF(C39="","",IF(AC38="","",VLOOKUP(C39,Resumen!$T$5:$AB$29,9,0)))</f>
        <v/>
      </c>
      <c r="AD39" s="402"/>
      <c r="AE39" s="402"/>
      <c r="AF39" s="402"/>
      <c r="AG39" s="403"/>
      <c r="AJ39" s="116"/>
      <c r="AL39" s="116"/>
      <c r="AM39" s="116"/>
      <c r="AN39" s="116"/>
      <c r="AO39" s="116"/>
      <c r="AP39" s="116"/>
      <c r="AQ39" s="122">
        <v>8</v>
      </c>
      <c r="AR39" s="122"/>
      <c r="AS39" s="122"/>
      <c r="AT39" s="122"/>
      <c r="AU39" s="128"/>
      <c r="AV39" s="116">
        <f t="shared" si="2"/>
        <v>54</v>
      </c>
    </row>
    <row r="40" spans="3:245" ht="16.5" customHeight="1">
      <c r="C40" s="413">
        <f t="shared" si="3"/>
        <v>10</v>
      </c>
      <c r="D40" s="414"/>
      <c r="E40" s="505">
        <f t="shared" si="4"/>
        <v>39</v>
      </c>
      <c r="F40" s="414"/>
      <c r="G40" s="505">
        <f>IF(E40="","",VLOOKUP(C40,'No Deducible 93'!$AG$25:$AH$49,2,0))</f>
        <v>120000</v>
      </c>
      <c r="H40" s="402"/>
      <c r="I40" s="402"/>
      <c r="J40" s="414"/>
      <c r="K40" s="423">
        <f t="shared" si="5"/>
        <v>1200000</v>
      </c>
      <c r="L40" s="424"/>
      <c r="M40" s="424"/>
      <c r="N40" s="424"/>
      <c r="O40" s="424"/>
      <c r="P40" s="474">
        <f>IF(G40="","",VLOOKUP(C40*12,Resumen!$C$5:$F$408,VLOOKUP('OptiMaxx plus'!$AK$12,'OptiMaxx plus'!$AK$46:$AL$48,2,0)+1,0))</f>
        <v>1924641.7458069704</v>
      </c>
      <c r="Q40" s="434"/>
      <c r="R40" s="434"/>
      <c r="S40" s="434"/>
      <c r="T40" s="434">
        <f>IF(K40="","",IF(C40=$D$15,P40,VLOOKUP(C40*12,Resumen!$H$5:$K$408,$AN$46+1,0)))</f>
        <v>1475388.9786472104</v>
      </c>
      <c r="U40" s="434"/>
      <c r="V40" s="434"/>
      <c r="W40" s="434"/>
      <c r="X40" s="434">
        <f>IF(P40="","",VLOOKUP(C40,Resumen!$M$5:$R$29,'OptiMaxx plus'!$AN$46+3,0))</f>
        <v>1422860.4484239125</v>
      </c>
      <c r="Y40" s="434"/>
      <c r="Z40" s="434"/>
      <c r="AA40" s="434"/>
      <c r="AB40" s="439"/>
      <c r="AC40" s="402" t="str">
        <f>IF(C40="","",IF(AC39="","",VLOOKUP(C40,Resumen!$T$5:$AB$29,9,0)))</f>
        <v/>
      </c>
      <c r="AD40" s="402"/>
      <c r="AE40" s="402"/>
      <c r="AF40" s="402"/>
      <c r="AG40" s="403"/>
      <c r="AJ40" s="116"/>
      <c r="AL40" s="116"/>
      <c r="AM40" s="116"/>
      <c r="AN40" s="116"/>
      <c r="AO40" s="116"/>
      <c r="AP40" s="116"/>
      <c r="AQ40" s="122">
        <v>9</v>
      </c>
      <c r="AR40" s="122">
        <f>1+AR16</f>
        <v>18</v>
      </c>
      <c r="AS40" s="122"/>
      <c r="AT40" s="122"/>
      <c r="AU40" s="128">
        <f>+AU17+1%</f>
        <v>0.32</v>
      </c>
      <c r="AV40" s="116">
        <f t="shared" si="2"/>
        <v>55</v>
      </c>
      <c r="AW40" s="116">
        <v>7</v>
      </c>
    </row>
    <row r="41" spans="3:245" ht="16.5" customHeight="1">
      <c r="C41" s="413">
        <f t="shared" si="3"/>
        <v>11</v>
      </c>
      <c r="D41" s="414"/>
      <c r="E41" s="505">
        <f t="shared" si="4"/>
        <v>40</v>
      </c>
      <c r="F41" s="414"/>
      <c r="G41" s="505">
        <f>IF(E41="","",VLOOKUP(C41,'No Deducible 93'!$AG$25:$AH$49,2,0))</f>
        <v>120000</v>
      </c>
      <c r="H41" s="402"/>
      <c r="I41" s="402"/>
      <c r="J41" s="414"/>
      <c r="K41" s="423">
        <f t="shared" si="5"/>
        <v>1320000</v>
      </c>
      <c r="L41" s="424"/>
      <c r="M41" s="424"/>
      <c r="N41" s="424"/>
      <c r="O41" s="424"/>
      <c r="P41" s="474">
        <f>IF(G41="","",VLOOKUP(C41*12,Resumen!$C$5:$F$408,VLOOKUP('OptiMaxx plus'!$AK$12,'OptiMaxx plus'!$AK$46:$AL$48,2,0)+1,0))</f>
        <v>2197021.3582597948</v>
      </c>
      <c r="Q41" s="434"/>
      <c r="R41" s="434"/>
      <c r="S41" s="434"/>
      <c r="T41" s="434">
        <f>IF(K41="","",IF(C41=$D$15,P41,VLOOKUP(C41*12,Resumen!$H$5:$K$408,$AN$46+1,0)))</f>
        <v>1727727.7270209037</v>
      </c>
      <c r="U41" s="434"/>
      <c r="V41" s="434"/>
      <c r="W41" s="434"/>
      <c r="X41" s="434">
        <f>IF(P41="","",VLOOKUP(C41,Resumen!$M$5:$R$29,'OptiMaxx plus'!$AN$46+3,0))</f>
        <v>1659231.5547009208</v>
      </c>
      <c r="Y41" s="434"/>
      <c r="Z41" s="434"/>
      <c r="AA41" s="434"/>
      <c r="AB41" s="439"/>
      <c r="AC41" s="402" t="str">
        <f>IF(C41="","",IF(AC40="","",VLOOKUP(C41,Resumen!$T$5:$AB$29,9,0)))</f>
        <v/>
      </c>
      <c r="AD41" s="402"/>
      <c r="AE41" s="402"/>
      <c r="AF41" s="402"/>
      <c r="AG41" s="403"/>
      <c r="AJ41" s="116"/>
      <c r="AK41" s="116">
        <v>750000</v>
      </c>
      <c r="AL41" s="116"/>
      <c r="AM41" s="116"/>
      <c r="AN41" s="116"/>
      <c r="AO41" s="116"/>
      <c r="AP41" s="116"/>
      <c r="AQ41" s="122">
        <v>10</v>
      </c>
      <c r="AR41" s="122"/>
      <c r="AS41" s="122"/>
      <c r="AT41" s="122"/>
      <c r="AU41" s="128"/>
      <c r="AV41" s="116">
        <f t="shared" si="2"/>
        <v>56</v>
      </c>
    </row>
    <row r="42" spans="3:245" ht="16.5" customHeight="1">
      <c r="C42" s="413">
        <f t="shared" si="3"/>
        <v>12</v>
      </c>
      <c r="D42" s="414"/>
      <c r="E42" s="505">
        <f t="shared" si="4"/>
        <v>41</v>
      </c>
      <c r="F42" s="414"/>
      <c r="G42" s="505">
        <f>IF(E42="","",VLOOKUP(C42,'No Deducible 93'!$AG$25:$AH$49,2,0))</f>
        <v>120000</v>
      </c>
      <c r="H42" s="402"/>
      <c r="I42" s="402"/>
      <c r="J42" s="414"/>
      <c r="K42" s="423">
        <f t="shared" si="5"/>
        <v>1440000</v>
      </c>
      <c r="L42" s="424"/>
      <c r="M42" s="424"/>
      <c r="N42" s="424"/>
      <c r="O42" s="424"/>
      <c r="P42" s="474">
        <f>IF(G42="","",VLOOKUP(C42*12,Resumen!$C$5:$F$408,VLOOKUP('OptiMaxx plus'!$AK$12,'OptiMaxx plus'!$AK$46:$AL$48,2,0)+1,0))</f>
        <v>2492169.6918846024</v>
      </c>
      <c r="Q42" s="434"/>
      <c r="R42" s="434"/>
      <c r="S42" s="434"/>
      <c r="T42" s="434">
        <f>IF(K42="","",IF(C42=$D$15,P42,VLOOKUP(C42*12,Resumen!$H$5:$K$408,$AN$46+1,0)))</f>
        <v>2001931.4729017809</v>
      </c>
      <c r="U42" s="434"/>
      <c r="V42" s="434"/>
      <c r="W42" s="434"/>
      <c r="X42" s="434">
        <f>IF(P42="","",VLOOKUP(C42,Resumen!$M$5:$R$29,'OptiMaxx plus'!$AN$46+3,0))</f>
        <v>1914516.2478669914</v>
      </c>
      <c r="Y42" s="434"/>
      <c r="Z42" s="434"/>
      <c r="AA42" s="434"/>
      <c r="AB42" s="439"/>
      <c r="AC42" s="402" t="str">
        <f>IF(C42="","",IF(AC41="","",VLOOKUP(C42,Resumen!$T$5:$AB$29,9,0)))</f>
        <v/>
      </c>
      <c r="AD42" s="402"/>
      <c r="AE42" s="402"/>
      <c r="AF42" s="402"/>
      <c r="AG42" s="403"/>
      <c r="AJ42" s="116"/>
      <c r="AL42" s="116"/>
      <c r="AN42" s="116"/>
      <c r="AO42" s="116"/>
      <c r="AP42" s="116"/>
      <c r="AQ42" s="122">
        <v>11</v>
      </c>
      <c r="AR42" s="122">
        <f>1+AR40</f>
        <v>19</v>
      </c>
      <c r="AS42" s="122"/>
      <c r="AT42" s="122"/>
      <c r="AU42" s="128">
        <f>+AU40+1%</f>
        <v>0.33</v>
      </c>
      <c r="AV42" s="116">
        <f t="shared" si="2"/>
        <v>57</v>
      </c>
      <c r="AW42" s="116">
        <v>8</v>
      </c>
      <c r="AX42" s="137" t="s">
        <v>60</v>
      </c>
    </row>
    <row r="43" spans="3:245" ht="16.5" customHeight="1">
      <c r="C43" s="413">
        <f t="shared" si="3"/>
        <v>13</v>
      </c>
      <c r="D43" s="414"/>
      <c r="E43" s="505">
        <f t="shared" si="4"/>
        <v>42</v>
      </c>
      <c r="F43" s="414"/>
      <c r="G43" s="505">
        <f>IF(E43="","",VLOOKUP(C43,'No Deducible 93'!$AG$25:$AH$49,2,0))</f>
        <v>120000</v>
      </c>
      <c r="H43" s="402"/>
      <c r="I43" s="402"/>
      <c r="J43" s="414"/>
      <c r="K43" s="423">
        <f t="shared" si="5"/>
        <v>1560000</v>
      </c>
      <c r="L43" s="424"/>
      <c r="M43" s="424"/>
      <c r="N43" s="424"/>
      <c r="O43" s="424"/>
      <c r="P43" s="474">
        <f>IF(G43="","",VLOOKUP(C43*12,Resumen!$C$5:$F$408,VLOOKUP('OptiMaxx plus'!$AK$12,'OptiMaxx plus'!$AK$46:$AL$48,2,0)+1,0))</f>
        <v>2812025.1193683213</v>
      </c>
      <c r="Q43" s="434"/>
      <c r="R43" s="434"/>
      <c r="S43" s="434"/>
      <c r="T43" s="434">
        <f>IF(K43="","",IF(C43=$D$15,P43,VLOOKUP(C43*12,Resumen!$H$5:$K$408,$AN$46+1,0)))</f>
        <v>2299897.4296042011</v>
      </c>
      <c r="U43" s="434"/>
      <c r="V43" s="434"/>
      <c r="W43" s="434"/>
      <c r="X43" s="434">
        <f>IF(P43="","",VLOOKUP(C43,Resumen!$M$5:$R$29,'OptiMaxx plus'!$AN$46+3,0))</f>
        <v>2190289.3497237735</v>
      </c>
      <c r="Y43" s="434"/>
      <c r="Z43" s="434"/>
      <c r="AA43" s="434"/>
      <c r="AB43" s="439"/>
      <c r="AC43" s="402" t="str">
        <f>IF(C43="","",IF(AC42="","",VLOOKUP(C43,Resumen!$T$5:$AB$29,9,0)))</f>
        <v/>
      </c>
      <c r="AD43" s="402"/>
      <c r="AE43" s="402"/>
      <c r="AF43" s="402"/>
      <c r="AG43" s="403"/>
      <c r="AJ43" s="169"/>
      <c r="AK43" s="169"/>
      <c r="AL43" s="169"/>
      <c r="AM43" s="186"/>
      <c r="AN43" s="169"/>
      <c r="AO43" s="169"/>
      <c r="AP43" s="169"/>
      <c r="AQ43" s="122">
        <v>12</v>
      </c>
      <c r="AR43" s="184"/>
      <c r="AS43" s="184"/>
      <c r="AT43" s="184"/>
      <c r="AU43" s="185"/>
      <c r="AV43" s="116">
        <f t="shared" si="2"/>
        <v>58</v>
      </c>
      <c r="AW43" s="169"/>
      <c r="AX43" s="208"/>
      <c r="AY43" s="169"/>
      <c r="AZ43" s="169"/>
      <c r="BA43" s="169"/>
      <c r="BB43" s="169"/>
      <c r="BC43" s="169"/>
      <c r="BD43" s="169"/>
      <c r="BE43" s="169"/>
      <c r="BF43" s="169"/>
      <c r="BG43" s="169"/>
      <c r="BH43" s="169"/>
      <c r="BI43" s="169"/>
      <c r="BJ43" s="169"/>
      <c r="BK43" s="169"/>
      <c r="BL43" s="169"/>
      <c r="BM43" s="169"/>
      <c r="BN43" s="169"/>
      <c r="BO43" s="169"/>
      <c r="BP43" s="169"/>
      <c r="BQ43" s="186"/>
      <c r="BR43" s="186"/>
      <c r="BS43" s="186"/>
      <c r="BT43" s="186"/>
      <c r="BU43" s="186"/>
      <c r="BV43" s="186"/>
      <c r="BW43" s="186"/>
      <c r="BX43" s="186"/>
      <c r="BY43" s="186"/>
      <c r="BZ43" s="186"/>
      <c r="CA43" s="186"/>
      <c r="CB43" s="186"/>
      <c r="CC43" s="186"/>
      <c r="CD43" s="186"/>
      <c r="CE43" s="186"/>
      <c r="CF43" s="186"/>
      <c r="CG43" s="186"/>
      <c r="CH43" s="186"/>
      <c r="CI43" s="186"/>
      <c r="CJ43" s="186"/>
      <c r="CK43" s="186"/>
      <c r="CL43" s="186"/>
      <c r="CM43" s="186"/>
      <c r="CN43" s="186"/>
      <c r="CO43" s="186"/>
      <c r="CP43" s="186"/>
      <c r="CQ43" s="186"/>
      <c r="CR43" s="186"/>
      <c r="CS43" s="186"/>
      <c r="CT43" s="186"/>
      <c r="CU43" s="186"/>
      <c r="CV43" s="186"/>
      <c r="CW43" s="186"/>
      <c r="CX43" s="186"/>
      <c r="CY43" s="186"/>
      <c r="CZ43" s="186"/>
      <c r="DA43" s="186"/>
      <c r="DB43" s="186"/>
      <c r="DC43" s="186"/>
      <c r="DD43" s="186"/>
      <c r="DE43" s="186"/>
      <c r="DF43" s="186"/>
      <c r="DG43" s="186"/>
      <c r="DH43" s="186"/>
      <c r="DI43" s="186"/>
      <c r="DJ43" s="186"/>
      <c r="DK43" s="186"/>
      <c r="DL43" s="186"/>
      <c r="DM43" s="186"/>
      <c r="DN43" s="186"/>
      <c r="DO43" s="186"/>
      <c r="DP43" s="186"/>
      <c r="DQ43" s="186"/>
      <c r="DR43" s="186"/>
      <c r="DS43" s="186"/>
      <c r="DT43" s="186"/>
      <c r="DU43" s="186"/>
      <c r="DV43" s="186"/>
      <c r="DW43" s="186"/>
      <c r="DX43" s="186"/>
      <c r="DY43" s="186"/>
      <c r="DZ43" s="186"/>
      <c r="EA43" s="186"/>
      <c r="EB43" s="186"/>
      <c r="EC43" s="186"/>
      <c r="ED43" s="186"/>
      <c r="EE43" s="186"/>
      <c r="EF43" s="186"/>
      <c r="EG43" s="186"/>
      <c r="EH43" s="186"/>
      <c r="EI43" s="186"/>
      <c r="EJ43" s="186"/>
      <c r="EK43" s="186"/>
      <c r="EL43" s="186"/>
      <c r="EM43" s="186"/>
      <c r="EN43" s="186"/>
      <c r="EO43" s="186"/>
      <c r="EP43" s="186"/>
      <c r="EQ43" s="186"/>
      <c r="ER43" s="186"/>
      <c r="ES43" s="186"/>
      <c r="ET43" s="186"/>
      <c r="EU43" s="186"/>
      <c r="EV43" s="186"/>
      <c r="EW43" s="186"/>
      <c r="EX43" s="186"/>
      <c r="EY43" s="186"/>
      <c r="EZ43" s="186"/>
      <c r="FA43" s="186"/>
      <c r="FB43" s="186"/>
      <c r="FC43" s="186"/>
      <c r="FD43" s="186"/>
      <c r="FE43" s="186"/>
      <c r="FF43" s="186"/>
      <c r="FG43" s="186"/>
      <c r="FH43" s="186"/>
      <c r="FI43" s="186"/>
      <c r="FJ43" s="186"/>
      <c r="FK43" s="186"/>
      <c r="FL43" s="186"/>
      <c r="FM43" s="186"/>
      <c r="FN43" s="186"/>
      <c r="FO43" s="186"/>
      <c r="FP43" s="186"/>
      <c r="FQ43" s="186"/>
      <c r="FR43" s="186"/>
      <c r="FS43" s="186"/>
      <c r="FT43" s="186"/>
      <c r="FU43" s="186"/>
      <c r="FV43" s="186"/>
      <c r="FW43" s="186"/>
      <c r="FX43" s="186"/>
      <c r="FY43" s="186"/>
      <c r="FZ43" s="186"/>
      <c r="GA43" s="186"/>
      <c r="GB43" s="186"/>
      <c r="GC43" s="186"/>
      <c r="GD43" s="186"/>
      <c r="GE43" s="186"/>
      <c r="GF43" s="186"/>
      <c r="GG43" s="186"/>
      <c r="GH43" s="186"/>
      <c r="GI43" s="186"/>
      <c r="GJ43" s="186"/>
      <c r="GK43" s="186"/>
      <c r="GL43" s="186"/>
      <c r="GM43" s="186"/>
      <c r="GN43" s="186"/>
      <c r="GO43" s="186"/>
      <c r="GP43" s="186"/>
      <c r="GQ43" s="186"/>
      <c r="GR43" s="186"/>
      <c r="GS43" s="186"/>
      <c r="GT43" s="186"/>
      <c r="GU43" s="186"/>
      <c r="GV43" s="186"/>
      <c r="GW43" s="186"/>
      <c r="GX43" s="186"/>
      <c r="GY43" s="186"/>
      <c r="GZ43" s="186"/>
      <c r="HA43" s="186"/>
      <c r="HB43" s="186"/>
      <c r="HC43" s="186"/>
      <c r="HD43" s="186"/>
      <c r="HE43" s="186"/>
      <c r="HF43" s="186"/>
      <c r="HG43" s="186"/>
      <c r="HH43" s="186"/>
      <c r="HI43" s="186"/>
      <c r="HJ43" s="186"/>
      <c r="HK43" s="186"/>
      <c r="HL43" s="186"/>
      <c r="HM43" s="186"/>
      <c r="HN43" s="186"/>
      <c r="HO43" s="186"/>
      <c r="HP43" s="186"/>
      <c r="HQ43" s="186"/>
      <c r="HR43" s="186"/>
      <c r="HS43" s="186"/>
      <c r="HT43" s="186"/>
      <c r="HU43" s="186"/>
      <c r="HV43" s="186"/>
      <c r="HW43" s="186"/>
      <c r="HX43" s="186"/>
      <c r="HY43" s="187"/>
      <c r="HZ43" s="187"/>
      <c r="IA43" s="187"/>
      <c r="IB43" s="187"/>
      <c r="IC43" s="187"/>
      <c r="ID43" s="187"/>
    </row>
    <row r="44" spans="3:245" ht="16.5" customHeight="1">
      <c r="C44" s="413">
        <f t="shared" si="3"/>
        <v>14</v>
      </c>
      <c r="D44" s="414"/>
      <c r="E44" s="505">
        <f t="shared" si="4"/>
        <v>43</v>
      </c>
      <c r="F44" s="414"/>
      <c r="G44" s="505">
        <f>IF(E44="","",VLOOKUP(C44,'No Deducible 93'!$AG$25:$AH$49,2,0))</f>
        <v>120000</v>
      </c>
      <c r="H44" s="402"/>
      <c r="I44" s="402"/>
      <c r="J44" s="414"/>
      <c r="K44" s="423">
        <f t="shared" si="5"/>
        <v>1680000</v>
      </c>
      <c r="L44" s="424"/>
      <c r="M44" s="424"/>
      <c r="N44" s="424"/>
      <c r="O44" s="424"/>
      <c r="P44" s="474">
        <f>IF(G44="","",VLOOKUP(C44*12,Resumen!$C$5:$F$408,VLOOKUP('OptiMaxx plus'!$AK$12,'OptiMaxx plus'!$AK$46:$AL$48,2,0)+1,0))</f>
        <v>3158692.6301940354</v>
      </c>
      <c r="Q44" s="434"/>
      <c r="R44" s="434"/>
      <c r="S44" s="434"/>
      <c r="T44" s="434">
        <f>IF(K44="","",IF(C44=$D$15,P44,VLOOKUP(C44*12,Resumen!$H$5:$K$408,$AN$46+1,0)))</f>
        <v>2623687.535814255</v>
      </c>
      <c r="U44" s="434"/>
      <c r="V44" s="434"/>
      <c r="W44" s="434"/>
      <c r="X44" s="434">
        <f>IF(P44="","",VLOOKUP(C44,Resumen!$M$5:$R$29,'OptiMaxx plus'!$AN$46+3,0))</f>
        <v>2488259.8704405241</v>
      </c>
      <c r="Y44" s="434"/>
      <c r="Z44" s="434"/>
      <c r="AA44" s="434"/>
      <c r="AB44" s="439"/>
      <c r="AC44" s="402" t="str">
        <f>IF(C44="","",IF(AC43="","",VLOOKUP(C44,Resumen!$T$5:$AB$29,9,0)))</f>
        <v/>
      </c>
      <c r="AD44" s="402"/>
      <c r="AE44" s="402"/>
      <c r="AF44" s="402"/>
      <c r="AG44" s="403"/>
      <c r="AJ44" s="116"/>
      <c r="AK44" s="116"/>
      <c r="AL44" s="116"/>
      <c r="AN44" s="116"/>
      <c r="AO44" s="116"/>
      <c r="AP44" s="116"/>
      <c r="AQ44" s="122">
        <v>13</v>
      </c>
      <c r="AR44" s="122"/>
      <c r="AS44" s="122"/>
      <c r="AT44" s="122"/>
      <c r="AU44" s="128"/>
      <c r="AV44" s="116">
        <f t="shared" si="2"/>
        <v>59</v>
      </c>
      <c r="AX44" s="137"/>
    </row>
    <row r="45" spans="3:245" ht="16.5" customHeight="1">
      <c r="C45" s="413">
        <f t="shared" si="3"/>
        <v>15</v>
      </c>
      <c r="D45" s="414"/>
      <c r="E45" s="505">
        <f t="shared" si="4"/>
        <v>44</v>
      </c>
      <c r="F45" s="414"/>
      <c r="G45" s="505">
        <f>IF(E45="","",VLOOKUP(C45,'No Deducible 93'!$AG$25:$AH$49,2,0))</f>
        <v>120000</v>
      </c>
      <c r="H45" s="402"/>
      <c r="I45" s="402"/>
      <c r="J45" s="414"/>
      <c r="K45" s="423">
        <f t="shared" si="5"/>
        <v>1800000</v>
      </c>
      <c r="L45" s="424"/>
      <c r="M45" s="424"/>
      <c r="N45" s="424"/>
      <c r="O45" s="424"/>
      <c r="P45" s="474">
        <f>IF(G45="","",VLOOKUP(C45*12,Resumen!$C$5:$F$408,VLOOKUP('OptiMaxx plus'!$AK$12,'OptiMaxx plus'!$AK$46:$AL$48,2,0)+1,0))</f>
        <v>3534458.2247308269</v>
      </c>
      <c r="Q45" s="434"/>
      <c r="R45" s="434"/>
      <c r="S45" s="434"/>
      <c r="T45" s="434">
        <f>IF(K45="","",IF(C45=$D$15,P45,VLOOKUP(C45*12,Resumen!$H$5:$K$408,$AN$46+1,0)))</f>
        <v>2975542.7620703848</v>
      </c>
      <c r="U45" s="434"/>
      <c r="V45" s="434"/>
      <c r="W45" s="434"/>
      <c r="X45" s="434">
        <f>IF(P45="","",VLOOKUP(C45,Resumen!$M$5:$R$29,'OptiMaxx plus'!$AN$46+3,0))</f>
        <v>2810282.4948707875</v>
      </c>
      <c r="Y45" s="434"/>
      <c r="Z45" s="434"/>
      <c r="AA45" s="434"/>
      <c r="AB45" s="439"/>
      <c r="AC45" s="402" t="str">
        <f>IF(C45="","",IF(AC44="","",VLOOKUP(C45,Resumen!$T$5:$AB$29,9,0)))</f>
        <v/>
      </c>
      <c r="AD45" s="402"/>
      <c r="AE45" s="402"/>
      <c r="AF45" s="402"/>
      <c r="AG45" s="403"/>
      <c r="AJ45" s="116"/>
      <c r="AK45" s="116"/>
      <c r="AL45" s="116"/>
      <c r="AN45" s="116"/>
      <c r="AO45" s="116"/>
      <c r="AP45" s="116"/>
      <c r="AQ45" s="122">
        <v>14</v>
      </c>
      <c r="AR45" s="122"/>
      <c r="AS45" s="122"/>
      <c r="AT45" s="122"/>
      <c r="AU45" s="128"/>
      <c r="AV45" s="116">
        <f t="shared" si="2"/>
        <v>60</v>
      </c>
      <c r="AX45" s="137"/>
      <c r="IE45" s="187"/>
      <c r="IF45" s="187"/>
      <c r="IG45" s="187"/>
      <c r="IH45" s="187"/>
      <c r="II45" s="187"/>
      <c r="IJ45" s="187"/>
      <c r="IK45" s="187"/>
    </row>
    <row r="46" spans="3:245" ht="16.5" customHeight="1">
      <c r="C46" s="413">
        <f t="shared" si="3"/>
        <v>16</v>
      </c>
      <c r="D46" s="414"/>
      <c r="E46" s="505">
        <f t="shared" si="4"/>
        <v>45</v>
      </c>
      <c r="F46" s="414"/>
      <c r="G46" s="505">
        <f>IF(E46="","",VLOOKUP(C46,'No Deducible 93'!$AG$25:$AH$49,2,0))</f>
        <v>120000</v>
      </c>
      <c r="H46" s="402"/>
      <c r="I46" s="402"/>
      <c r="J46" s="414"/>
      <c r="K46" s="423">
        <f t="shared" si="5"/>
        <v>1920000</v>
      </c>
      <c r="L46" s="424"/>
      <c r="M46" s="424"/>
      <c r="N46" s="424"/>
      <c r="O46" s="424"/>
      <c r="P46" s="474">
        <f>IF(G46="","",VLOOKUP(C46*12,Resumen!$C$5:$F$408,VLOOKUP('OptiMaxx plus'!$AK$12,'OptiMaxx plus'!$AK$46:$AL$48,2,0)+1,0))</f>
        <v>3941804.5551033723</v>
      </c>
      <c r="Q46" s="434"/>
      <c r="R46" s="434"/>
      <c r="S46" s="434"/>
      <c r="T46" s="434">
        <f>IF(K46="","",IF(C46=$D$15,P46,VLOOKUP(C46*12,Resumen!$H$5:$K$408,$AN$46+1,0)))</f>
        <v>3357898.6599376677</v>
      </c>
      <c r="U46" s="434"/>
      <c r="V46" s="434"/>
      <c r="W46" s="434"/>
      <c r="X46" s="434">
        <f>IF(P46="","",VLOOKUP(C46,Resumen!$M$5:$R$29,'OptiMaxx plus'!$AN$46+3,0))</f>
        <v>3158370.0845618439</v>
      </c>
      <c r="Y46" s="434"/>
      <c r="Z46" s="434"/>
      <c r="AA46" s="434"/>
      <c r="AB46" s="439"/>
      <c r="AC46" s="402" t="str">
        <f>IF(C46="","",IF(AC45="","",VLOOKUP(C46,Resumen!$T$5:$AB$29,9,0)))</f>
        <v/>
      </c>
      <c r="AD46" s="402"/>
      <c r="AE46" s="402"/>
      <c r="AF46" s="402"/>
      <c r="AG46" s="403"/>
      <c r="AJ46" s="116"/>
      <c r="AK46" s="122">
        <v>151</v>
      </c>
      <c r="AL46" s="116">
        <v>2</v>
      </c>
      <c r="AN46" s="116">
        <f>VLOOKUP(AK12,$AK$46:$AL$48,2,0)</f>
        <v>1</v>
      </c>
      <c r="AO46" s="116"/>
      <c r="AP46" s="116"/>
      <c r="AQ46" s="122">
        <v>15</v>
      </c>
      <c r="AR46" s="122"/>
      <c r="AS46" s="122"/>
      <c r="AT46" s="122"/>
      <c r="AU46" s="128"/>
      <c r="AV46" s="116">
        <f t="shared" si="2"/>
        <v>61</v>
      </c>
      <c r="AX46" s="137"/>
      <c r="IE46" s="162"/>
      <c r="IF46" s="162"/>
      <c r="IG46" s="162"/>
      <c r="IH46" s="162"/>
      <c r="II46" s="162"/>
      <c r="IJ46" s="162"/>
      <c r="IK46" s="162"/>
    </row>
    <row r="47" spans="3:245" ht="16.5" customHeight="1">
      <c r="C47" s="413">
        <f t="shared" si="3"/>
        <v>17</v>
      </c>
      <c r="D47" s="414"/>
      <c r="E47" s="505">
        <f t="shared" si="4"/>
        <v>46</v>
      </c>
      <c r="F47" s="414"/>
      <c r="G47" s="505">
        <f>IF(E47="","",VLOOKUP(C47,'No Deducible 93'!$AG$25:$AH$49,2,0))</f>
        <v>120000</v>
      </c>
      <c r="H47" s="402"/>
      <c r="I47" s="402"/>
      <c r="J47" s="414"/>
      <c r="K47" s="423">
        <f t="shared" si="5"/>
        <v>2040000</v>
      </c>
      <c r="L47" s="424"/>
      <c r="M47" s="424"/>
      <c r="N47" s="424"/>
      <c r="O47" s="424"/>
      <c r="P47" s="474">
        <f>IF(G47="","",VLOOKUP(C47*12,Resumen!$C$5:$F$408,VLOOKUP('OptiMaxx plus'!$AK$12,'OptiMaxx plus'!$AK$46:$AL$48,2,0)+1,0))</f>
        <v>4383427.9209829755</v>
      </c>
      <c r="Q47" s="434"/>
      <c r="R47" s="434"/>
      <c r="S47" s="434"/>
      <c r="T47" s="434">
        <f>IF(K47="","",IF(C47=$D$15,P47,VLOOKUP(C47*12,Resumen!$H$5:$K$408,$AN$46+1,0)))</f>
        <v>3773402.2618257343</v>
      </c>
      <c r="U47" s="434"/>
      <c r="V47" s="434"/>
      <c r="W47" s="434"/>
      <c r="X47" s="434">
        <f>IF(P47="","",VLOOKUP(C47,Resumen!$M$5:$R$29,'OptiMaxx plus'!$AN$46+3,0))</f>
        <v>3534707.2746624518</v>
      </c>
      <c r="Y47" s="434"/>
      <c r="Z47" s="434"/>
      <c r="AA47" s="434"/>
      <c r="AB47" s="439"/>
      <c r="AC47" s="402" t="str">
        <f>IF(C47="","",IF(AC46="","",VLOOKUP(C47,Resumen!$T$5:$AB$29,9,0)))</f>
        <v/>
      </c>
      <c r="AD47" s="402"/>
      <c r="AE47" s="402"/>
      <c r="AF47" s="402"/>
      <c r="AG47" s="403"/>
      <c r="AJ47" s="116"/>
      <c r="AK47" s="122">
        <v>185</v>
      </c>
      <c r="AL47" s="116">
        <v>3</v>
      </c>
      <c r="AN47" s="116"/>
      <c r="AO47" s="116"/>
      <c r="AP47" s="116"/>
      <c r="AQ47" s="122">
        <v>16</v>
      </c>
      <c r="AR47" s="122"/>
      <c r="AS47" s="122"/>
      <c r="AT47" s="122"/>
      <c r="AU47" s="128"/>
      <c r="AV47" s="116">
        <f t="shared" si="2"/>
        <v>62</v>
      </c>
      <c r="AX47" s="137"/>
    </row>
    <row r="48" spans="3:245" ht="16.5" customHeight="1">
      <c r="C48" s="413">
        <f t="shared" si="3"/>
        <v>18</v>
      </c>
      <c r="D48" s="414"/>
      <c r="E48" s="505">
        <f t="shared" si="4"/>
        <v>47</v>
      </c>
      <c r="F48" s="414"/>
      <c r="G48" s="505">
        <f>IF(E48="","",VLOOKUP(C48,'No Deducible 93'!$AG$25:$AH$49,2,0))</f>
        <v>120000</v>
      </c>
      <c r="H48" s="402"/>
      <c r="I48" s="402"/>
      <c r="J48" s="414"/>
      <c r="K48" s="423">
        <f t="shared" si="5"/>
        <v>2160000</v>
      </c>
      <c r="L48" s="424"/>
      <c r="M48" s="424"/>
      <c r="N48" s="424"/>
      <c r="O48" s="424"/>
      <c r="P48" s="474">
        <f>IF(G48="","",VLOOKUP(C48*12,Resumen!$C$5:$F$408,VLOOKUP('OptiMaxx plus'!$AK$12,'OptiMaxx plus'!$AK$46:$AL$48,2,0)+1,0))</f>
        <v>4862256.737828441</v>
      </c>
      <c r="Q48" s="434"/>
      <c r="R48" s="434"/>
      <c r="S48" s="434"/>
      <c r="T48" s="434">
        <f>IF(K48="","",IF(C48=$D$15,P48,VLOOKUP(C48*12,Resumen!$H$5:$K$408,$AN$46+1,0)))</f>
        <v>4224930.4487779848</v>
      </c>
      <c r="U48" s="434"/>
      <c r="V48" s="434"/>
      <c r="W48" s="434"/>
      <c r="X48" s="434">
        <f>IF(P48="","",VLOOKUP(C48,Resumen!$M$5:$R$29,'OptiMaxx plus'!$AN$46+3,0))</f>
        <v>3941665.2556836908</v>
      </c>
      <c r="Y48" s="434"/>
      <c r="Z48" s="434"/>
      <c r="AA48" s="434"/>
      <c r="AB48" s="439"/>
      <c r="AC48" s="402" t="str">
        <f>IF(C48="","",IF(AC47="","",VLOOKUP(C48,Resumen!$T$5:$AB$29,9,0)))</f>
        <v/>
      </c>
      <c r="AD48" s="402"/>
      <c r="AE48" s="402"/>
      <c r="AF48" s="402"/>
      <c r="AG48" s="403"/>
      <c r="AJ48" s="116"/>
      <c r="AK48" s="122">
        <v>93</v>
      </c>
      <c r="AL48" s="116">
        <v>1</v>
      </c>
      <c r="AN48" s="116"/>
      <c r="AO48" s="116"/>
      <c r="AP48" s="116"/>
      <c r="AQ48" s="122">
        <v>17</v>
      </c>
      <c r="AR48" s="122"/>
      <c r="AS48" s="122"/>
      <c r="AT48" s="122"/>
      <c r="AU48" s="128"/>
      <c r="AV48" s="116">
        <f t="shared" si="2"/>
        <v>63</v>
      </c>
      <c r="AX48" s="137"/>
    </row>
    <row r="49" spans="1:245" ht="16.5" customHeight="1">
      <c r="C49" s="413">
        <f t="shared" si="3"/>
        <v>19</v>
      </c>
      <c r="D49" s="414"/>
      <c r="E49" s="505">
        <f t="shared" si="4"/>
        <v>48</v>
      </c>
      <c r="F49" s="414"/>
      <c r="G49" s="505">
        <f>IF(E49="","",VLOOKUP(C49,'No Deducible 93'!$AG$25:$AH$49,2,0))</f>
        <v>120000</v>
      </c>
      <c r="H49" s="402"/>
      <c r="I49" s="402"/>
      <c r="J49" s="414"/>
      <c r="K49" s="423">
        <f t="shared" si="5"/>
        <v>2280000</v>
      </c>
      <c r="L49" s="424"/>
      <c r="M49" s="424"/>
      <c r="N49" s="424"/>
      <c r="O49" s="424"/>
      <c r="P49" s="474">
        <f>IF(G49="","",VLOOKUP(C49*12,Resumen!$C$5:$F$408,VLOOKUP('OptiMaxx plus'!$AK$12,'OptiMaxx plus'!$AK$46:$AL$48,2,0)+1,0))</f>
        <v>5381471.6053067995</v>
      </c>
      <c r="Q49" s="434"/>
      <c r="R49" s="434"/>
      <c r="S49" s="434"/>
      <c r="T49" s="434">
        <f>IF(K49="","",IF(C49=$D$15,P49,VLOOKUP(C49*12,Resumen!$H$5:$K$408,$AN$46+1,0)))</f>
        <v>4715609.9137518853</v>
      </c>
      <c r="U49" s="434"/>
      <c r="V49" s="434"/>
      <c r="W49" s="434"/>
      <c r="X49" s="434">
        <f>IF(P49="","",VLOOKUP(C49,Resumen!$M$5:$R$29,'OptiMaxx plus'!$AN$46+3,0))</f>
        <v>4381817.8399359193</v>
      </c>
      <c r="Y49" s="434"/>
      <c r="Z49" s="434"/>
      <c r="AA49" s="434"/>
      <c r="AB49" s="439"/>
      <c r="AC49" s="402" t="str">
        <f>IF(C49="","",IF(AC48="","",VLOOKUP(C49,Resumen!$T$5:$AB$29,9,0)))</f>
        <v/>
      </c>
      <c r="AD49" s="402"/>
      <c r="AE49" s="402"/>
      <c r="AF49" s="402"/>
      <c r="AG49" s="403"/>
      <c r="AJ49" s="116"/>
      <c r="AK49" s="116"/>
      <c r="AL49" s="116"/>
      <c r="AN49" s="116"/>
      <c r="AO49" s="116"/>
      <c r="AP49" s="116"/>
      <c r="AQ49" s="122">
        <v>18</v>
      </c>
      <c r="AR49" s="122"/>
      <c r="AS49" s="122"/>
      <c r="AT49" s="122"/>
      <c r="AU49" s="128"/>
      <c r="AV49" s="116">
        <f t="shared" si="2"/>
        <v>64</v>
      </c>
      <c r="AX49" s="137"/>
    </row>
    <row r="50" spans="1:245" s="187" customFormat="1" ht="16.5" customHeight="1">
      <c r="A50" s="209"/>
      <c r="B50" s="112"/>
      <c r="C50" s="413">
        <f t="shared" si="3"/>
        <v>20</v>
      </c>
      <c r="D50" s="414"/>
      <c r="E50" s="505">
        <f t="shared" si="4"/>
        <v>49</v>
      </c>
      <c r="F50" s="414"/>
      <c r="G50" s="505">
        <f>IF(E50="","",VLOOKUP(C50,'No Deducible 93'!$AG$25:$AH$49,2,0))</f>
        <v>120000</v>
      </c>
      <c r="H50" s="402"/>
      <c r="I50" s="402"/>
      <c r="J50" s="414"/>
      <c r="K50" s="423">
        <f t="shared" si="5"/>
        <v>2400000</v>
      </c>
      <c r="L50" s="424"/>
      <c r="M50" s="424"/>
      <c r="N50" s="424"/>
      <c r="O50" s="424"/>
      <c r="P50" s="474">
        <f>IF(G50="","",VLOOKUP(C50*12,Resumen!$C$5:$F$408,VLOOKUP('OptiMaxx plus'!$AK$12,'OptiMaxx plus'!$AK$46:$AL$48,2,0)+1,0))</f>
        <v>5944527.1147117335</v>
      </c>
      <c r="Q50" s="434"/>
      <c r="R50" s="434"/>
      <c r="S50" s="434"/>
      <c r="T50" s="434">
        <f>IF(K50="","",IF(C50=$D$15,P50,VLOOKUP(C50*12,Resumen!$H$5:$K$408,$AN$46+1,0)))</f>
        <v>5248838.8589880653</v>
      </c>
      <c r="U50" s="434"/>
      <c r="V50" s="434"/>
      <c r="W50" s="434"/>
      <c r="X50" s="434">
        <f>IF(P50="","",VLOOKUP(C50,Resumen!$M$5:$R$29,'OptiMaxx plus'!$AN$46+3,0))</f>
        <v>4857958.922274027</v>
      </c>
      <c r="Y50" s="434"/>
      <c r="Z50" s="434"/>
      <c r="AA50" s="434"/>
      <c r="AB50" s="439"/>
      <c r="AC50" s="402" t="str">
        <f>IF(C50="","",IF(AC49="","",VLOOKUP(C50,Resumen!$T$5:$AB$29,9,0)))</f>
        <v/>
      </c>
      <c r="AD50" s="402"/>
      <c r="AE50" s="402"/>
      <c r="AF50" s="402"/>
      <c r="AG50" s="403"/>
      <c r="AH50" s="113"/>
      <c r="AI50" s="114"/>
      <c r="AJ50" s="116"/>
      <c r="AK50" s="116"/>
      <c r="AL50" s="116"/>
      <c r="AM50" s="115"/>
      <c r="AN50" s="116"/>
      <c r="AO50" s="116"/>
      <c r="AP50" s="116"/>
      <c r="AQ50" s="122">
        <v>19</v>
      </c>
      <c r="AR50" s="122"/>
      <c r="AS50" s="122"/>
      <c r="AT50" s="122"/>
      <c r="AU50" s="128"/>
      <c r="AV50" s="116">
        <f t="shared" si="2"/>
        <v>65</v>
      </c>
      <c r="AW50" s="116"/>
      <c r="AX50" s="137"/>
      <c r="AY50" s="116"/>
      <c r="AZ50" s="116"/>
      <c r="BA50" s="116"/>
      <c r="BB50" s="116"/>
      <c r="BC50" s="116"/>
      <c r="BD50" s="116"/>
      <c r="BE50" s="116"/>
      <c r="BF50" s="116"/>
      <c r="BG50" s="116"/>
      <c r="BH50" s="116"/>
      <c r="BI50" s="116"/>
      <c r="BJ50" s="116"/>
      <c r="BK50" s="116"/>
      <c r="BL50" s="116"/>
      <c r="BM50" s="116"/>
      <c r="BN50" s="116"/>
      <c r="BO50" s="116"/>
      <c r="BP50" s="116"/>
      <c r="BQ50" s="115"/>
      <c r="BR50" s="115"/>
      <c r="BS50" s="115"/>
      <c r="BT50" s="115"/>
      <c r="BU50" s="115"/>
      <c r="BV50" s="115"/>
      <c r="BW50" s="115"/>
      <c r="BX50" s="115"/>
      <c r="BY50" s="115"/>
      <c r="BZ50" s="115"/>
      <c r="CA50" s="115"/>
      <c r="CB50" s="115"/>
      <c r="CC50" s="115"/>
      <c r="CD50" s="115"/>
      <c r="CE50" s="115"/>
      <c r="CF50" s="115"/>
      <c r="CG50" s="115"/>
      <c r="CH50" s="115"/>
      <c r="CI50" s="115"/>
      <c r="CJ50" s="115"/>
      <c r="CK50" s="115"/>
      <c r="CL50" s="115"/>
      <c r="CM50" s="115"/>
      <c r="CN50" s="115"/>
      <c r="CO50" s="115"/>
      <c r="CP50" s="115"/>
      <c r="CQ50" s="115"/>
      <c r="CR50" s="115"/>
      <c r="CS50" s="115"/>
      <c r="CT50" s="115"/>
      <c r="CU50" s="115"/>
      <c r="CV50" s="115"/>
      <c r="CW50" s="115"/>
      <c r="CX50" s="115"/>
      <c r="CY50" s="115"/>
      <c r="CZ50" s="115"/>
      <c r="DA50" s="115"/>
      <c r="DB50" s="115"/>
      <c r="DC50" s="115"/>
      <c r="DD50" s="115"/>
      <c r="DE50" s="115"/>
      <c r="DF50" s="115"/>
      <c r="DG50" s="115"/>
      <c r="DH50" s="115"/>
      <c r="DI50" s="115"/>
      <c r="DJ50" s="115"/>
      <c r="DK50" s="115"/>
      <c r="DL50" s="115"/>
      <c r="DM50" s="115"/>
      <c r="DN50" s="115"/>
      <c r="DO50" s="115"/>
      <c r="DP50" s="115"/>
      <c r="DQ50" s="115"/>
      <c r="DR50" s="115"/>
      <c r="DS50" s="115"/>
      <c r="DT50" s="115"/>
      <c r="DU50" s="115"/>
      <c r="DV50" s="115"/>
      <c r="DW50" s="115"/>
      <c r="DX50" s="115"/>
      <c r="DY50" s="115"/>
      <c r="DZ50" s="115"/>
      <c r="EA50" s="115"/>
      <c r="EB50" s="115"/>
      <c r="EC50" s="115"/>
      <c r="ED50" s="115"/>
      <c r="EE50" s="115"/>
      <c r="EF50" s="115"/>
      <c r="EG50" s="115"/>
      <c r="EH50" s="115"/>
      <c r="EI50" s="115"/>
      <c r="EJ50" s="115"/>
      <c r="EK50" s="115"/>
      <c r="EL50" s="115"/>
      <c r="EM50" s="115"/>
      <c r="EN50" s="115"/>
      <c r="EO50" s="115"/>
      <c r="EP50" s="115"/>
      <c r="EQ50" s="115"/>
      <c r="ER50" s="115"/>
      <c r="ES50" s="115"/>
      <c r="ET50" s="115"/>
      <c r="EU50" s="115"/>
      <c r="EV50" s="115"/>
      <c r="EW50" s="115"/>
      <c r="EX50" s="115"/>
      <c r="EY50" s="115"/>
      <c r="EZ50" s="115"/>
      <c r="FA50" s="115"/>
      <c r="FB50" s="115"/>
      <c r="FC50" s="115"/>
      <c r="FD50" s="115"/>
      <c r="FE50" s="115"/>
      <c r="FF50" s="115"/>
      <c r="FG50" s="115"/>
      <c r="FH50" s="115"/>
      <c r="FI50" s="115"/>
      <c r="FJ50" s="115"/>
      <c r="FK50" s="115"/>
      <c r="FL50" s="115"/>
      <c r="FM50" s="115"/>
      <c r="FN50" s="115"/>
      <c r="FO50" s="115"/>
      <c r="FP50" s="115"/>
      <c r="FQ50" s="115"/>
      <c r="FR50" s="115"/>
      <c r="FS50" s="115"/>
      <c r="FT50" s="115"/>
      <c r="FU50" s="115"/>
      <c r="FV50" s="115"/>
      <c r="FW50" s="115"/>
      <c r="FX50" s="115"/>
      <c r="FY50" s="115"/>
      <c r="FZ50" s="115"/>
      <c r="GA50" s="115"/>
      <c r="GB50" s="115"/>
      <c r="GC50" s="115"/>
      <c r="GD50" s="115"/>
      <c r="GE50" s="115"/>
      <c r="GF50" s="115"/>
      <c r="GG50" s="115"/>
      <c r="GH50" s="115"/>
      <c r="GI50" s="115"/>
      <c r="GJ50" s="115"/>
      <c r="GK50" s="115"/>
      <c r="GL50" s="115"/>
      <c r="GM50" s="115"/>
      <c r="GN50" s="115"/>
      <c r="GO50" s="115"/>
      <c r="GP50" s="115"/>
      <c r="GQ50" s="115"/>
      <c r="GR50" s="115"/>
      <c r="GS50" s="115"/>
      <c r="GT50" s="115"/>
      <c r="GU50" s="115"/>
      <c r="GV50" s="115"/>
      <c r="GW50" s="115"/>
      <c r="GX50" s="115"/>
      <c r="GY50" s="115"/>
      <c r="GZ50" s="115"/>
      <c r="HA50" s="115"/>
      <c r="HB50" s="115"/>
      <c r="HC50" s="115"/>
      <c r="HD50" s="115"/>
      <c r="HE50" s="115"/>
      <c r="HF50" s="115"/>
      <c r="HG50" s="115"/>
      <c r="HH50" s="115"/>
      <c r="HI50" s="115"/>
      <c r="HJ50" s="115"/>
      <c r="HK50" s="115"/>
      <c r="HL50" s="115"/>
      <c r="HM50" s="115"/>
      <c r="HN50" s="115"/>
      <c r="HO50" s="115"/>
      <c r="HP50" s="115"/>
      <c r="HQ50" s="115"/>
      <c r="HR50" s="115"/>
      <c r="HS50" s="115"/>
      <c r="HT50" s="115"/>
      <c r="HU50" s="115"/>
      <c r="HV50" s="115"/>
      <c r="HW50" s="115"/>
      <c r="HX50" s="115"/>
      <c r="HY50" s="117"/>
      <c r="HZ50" s="117"/>
      <c r="IA50" s="117"/>
      <c r="IB50" s="117"/>
      <c r="IC50" s="117"/>
      <c r="ID50" s="117"/>
      <c r="IE50" s="117"/>
      <c r="IF50" s="117"/>
      <c r="IG50" s="117"/>
      <c r="IH50" s="117"/>
      <c r="II50" s="117"/>
      <c r="IJ50" s="117"/>
      <c r="IK50" s="117"/>
    </row>
    <row r="51" spans="1:245" s="162" customFormat="1" ht="16.5" customHeight="1">
      <c r="A51" s="113"/>
      <c r="B51" s="112"/>
      <c r="C51" s="413">
        <f t="shared" si="3"/>
        <v>21</v>
      </c>
      <c r="D51" s="414"/>
      <c r="E51" s="505">
        <f t="shared" si="4"/>
        <v>50</v>
      </c>
      <c r="F51" s="414"/>
      <c r="G51" s="505">
        <f>IF(E51="","",VLOOKUP(C51,'No Deducible 93'!$AG$25:$AH$49,2,0))</f>
        <v>120000</v>
      </c>
      <c r="H51" s="402"/>
      <c r="I51" s="402"/>
      <c r="J51" s="414"/>
      <c r="K51" s="423">
        <f t="shared" si="5"/>
        <v>2520000</v>
      </c>
      <c r="L51" s="424"/>
      <c r="M51" s="424"/>
      <c r="N51" s="424"/>
      <c r="O51" s="424"/>
      <c r="P51" s="474">
        <f>IF(G51="","",VLOOKUP(C51*12,Resumen!$C$5:$F$408,VLOOKUP('OptiMaxx plus'!$AK$12,'OptiMaxx plus'!$AK$46:$AL$48,2,0)+1,0))</f>
        <v>6555175.5462477515</v>
      </c>
      <c r="Q51" s="434"/>
      <c r="R51" s="434"/>
      <c r="S51" s="434"/>
      <c r="T51" s="434">
        <f>IF(K51="","",IF(C51=$D$15,P51,VLOOKUP(C51*12,Resumen!$H$5:$K$408,$AN$46+1,0)))</f>
        <v>5828310.5781057589</v>
      </c>
      <c r="U51" s="434"/>
      <c r="V51" s="434"/>
      <c r="W51" s="434"/>
      <c r="X51" s="434">
        <f>IF(P51="","",VLOOKUP(C51,Resumen!$M$5:$R$29,'OptiMaxx plus'!$AN$46+3,0))</f>
        <v>5373121.4549590498</v>
      </c>
      <c r="Y51" s="434"/>
      <c r="Z51" s="434"/>
      <c r="AA51" s="434"/>
      <c r="AB51" s="439"/>
      <c r="AC51" s="402" t="str">
        <f>IF(C51="","",IF(AC50="","",VLOOKUP(C51,Resumen!$T$5:$AB$29,9,0)))</f>
        <v/>
      </c>
      <c r="AD51" s="402"/>
      <c r="AE51" s="402"/>
      <c r="AF51" s="402"/>
      <c r="AG51" s="403"/>
      <c r="AH51" s="113"/>
      <c r="AI51" s="114"/>
      <c r="AJ51" s="116"/>
      <c r="AK51" s="116"/>
      <c r="AL51" s="116"/>
      <c r="AM51" s="115"/>
      <c r="AN51" s="116"/>
      <c r="AO51" s="116"/>
      <c r="AP51" s="116"/>
      <c r="AQ51" s="122">
        <v>20</v>
      </c>
      <c r="AR51" s="122"/>
      <c r="AS51" s="122"/>
      <c r="AT51" s="122"/>
      <c r="AU51" s="128"/>
      <c r="AV51" s="116">
        <f t="shared" si="2"/>
        <v>66</v>
      </c>
      <c r="AW51" s="116"/>
      <c r="AX51" s="137"/>
      <c r="AY51" s="116"/>
      <c r="AZ51" s="116"/>
      <c r="BA51" s="116"/>
      <c r="BB51" s="116"/>
      <c r="BC51" s="116"/>
      <c r="BD51" s="116"/>
      <c r="BE51" s="116"/>
      <c r="BF51" s="116"/>
      <c r="BG51" s="116"/>
      <c r="BH51" s="116"/>
      <c r="BI51" s="116"/>
      <c r="BJ51" s="116"/>
      <c r="BK51" s="116"/>
      <c r="BL51" s="116"/>
      <c r="BM51" s="116"/>
      <c r="BN51" s="116"/>
      <c r="BO51" s="116"/>
      <c r="BP51" s="116"/>
      <c r="BQ51" s="115"/>
      <c r="BR51" s="115"/>
      <c r="BS51" s="115"/>
      <c r="BT51" s="115"/>
      <c r="BU51" s="115"/>
      <c r="BV51" s="115"/>
      <c r="BW51" s="115"/>
      <c r="BX51" s="115"/>
      <c r="BY51" s="115"/>
      <c r="BZ51" s="115"/>
      <c r="CA51" s="115"/>
      <c r="CB51" s="115"/>
      <c r="CC51" s="115"/>
      <c r="CD51" s="115"/>
      <c r="CE51" s="115"/>
      <c r="CF51" s="115"/>
      <c r="CG51" s="115"/>
      <c r="CH51" s="115"/>
      <c r="CI51" s="115"/>
      <c r="CJ51" s="115"/>
      <c r="CK51" s="115"/>
      <c r="CL51" s="115"/>
      <c r="CM51" s="115"/>
      <c r="CN51" s="115"/>
      <c r="CO51" s="115"/>
      <c r="CP51" s="115"/>
      <c r="CQ51" s="115"/>
      <c r="CR51" s="115"/>
      <c r="CS51" s="115"/>
      <c r="CT51" s="115"/>
      <c r="CU51" s="115"/>
      <c r="CV51" s="115"/>
      <c r="CW51" s="115"/>
      <c r="CX51" s="115"/>
      <c r="CY51" s="115"/>
      <c r="CZ51" s="115"/>
      <c r="DA51" s="115"/>
      <c r="DB51" s="115"/>
      <c r="DC51" s="115"/>
      <c r="DD51" s="115"/>
      <c r="DE51" s="115"/>
      <c r="DF51" s="115"/>
      <c r="DG51" s="115"/>
      <c r="DH51" s="115"/>
      <c r="DI51" s="115"/>
      <c r="DJ51" s="115"/>
      <c r="DK51" s="115"/>
      <c r="DL51" s="115"/>
      <c r="DM51" s="115"/>
      <c r="DN51" s="115"/>
      <c r="DO51" s="115"/>
      <c r="DP51" s="115"/>
      <c r="DQ51" s="115"/>
      <c r="DR51" s="115"/>
      <c r="DS51" s="115"/>
      <c r="DT51" s="115"/>
      <c r="DU51" s="115"/>
      <c r="DV51" s="115"/>
      <c r="DW51" s="115"/>
      <c r="DX51" s="115"/>
      <c r="DY51" s="115"/>
      <c r="DZ51" s="115"/>
      <c r="EA51" s="115"/>
      <c r="EB51" s="115"/>
      <c r="EC51" s="115"/>
      <c r="ED51" s="115"/>
      <c r="EE51" s="115"/>
      <c r="EF51" s="115"/>
      <c r="EG51" s="115"/>
      <c r="EH51" s="115"/>
      <c r="EI51" s="115"/>
      <c r="EJ51" s="115"/>
      <c r="EK51" s="115"/>
      <c r="EL51" s="115"/>
      <c r="EM51" s="115"/>
      <c r="EN51" s="115"/>
      <c r="EO51" s="115"/>
      <c r="EP51" s="115"/>
      <c r="EQ51" s="115"/>
      <c r="ER51" s="115"/>
      <c r="ES51" s="115"/>
      <c r="ET51" s="115"/>
      <c r="EU51" s="115"/>
      <c r="EV51" s="115"/>
      <c r="EW51" s="115"/>
      <c r="EX51" s="115"/>
      <c r="EY51" s="115"/>
      <c r="EZ51" s="115"/>
      <c r="FA51" s="115"/>
      <c r="FB51" s="115"/>
      <c r="FC51" s="115"/>
      <c r="FD51" s="115"/>
      <c r="FE51" s="115"/>
      <c r="FF51" s="115"/>
      <c r="FG51" s="115"/>
      <c r="FH51" s="115"/>
      <c r="FI51" s="115"/>
      <c r="FJ51" s="115"/>
      <c r="FK51" s="115"/>
      <c r="FL51" s="115"/>
      <c r="FM51" s="115"/>
      <c r="FN51" s="115"/>
      <c r="FO51" s="115"/>
      <c r="FP51" s="115"/>
      <c r="FQ51" s="115"/>
      <c r="FR51" s="115"/>
      <c r="FS51" s="115"/>
      <c r="FT51" s="115"/>
      <c r="FU51" s="115"/>
      <c r="FV51" s="115"/>
      <c r="FW51" s="115"/>
      <c r="FX51" s="115"/>
      <c r="FY51" s="115"/>
      <c r="FZ51" s="115"/>
      <c r="GA51" s="115"/>
      <c r="GB51" s="115"/>
      <c r="GC51" s="115"/>
      <c r="GD51" s="115"/>
      <c r="GE51" s="115"/>
      <c r="GF51" s="115"/>
      <c r="GG51" s="115"/>
      <c r="GH51" s="115"/>
      <c r="GI51" s="115"/>
      <c r="GJ51" s="115"/>
      <c r="GK51" s="115"/>
      <c r="GL51" s="115"/>
      <c r="GM51" s="115"/>
      <c r="GN51" s="115"/>
      <c r="GO51" s="115"/>
      <c r="GP51" s="115"/>
      <c r="GQ51" s="115"/>
      <c r="GR51" s="115"/>
      <c r="GS51" s="115"/>
      <c r="GT51" s="115"/>
      <c r="GU51" s="115"/>
      <c r="GV51" s="115"/>
      <c r="GW51" s="115"/>
      <c r="GX51" s="115"/>
      <c r="GY51" s="115"/>
      <c r="GZ51" s="115"/>
      <c r="HA51" s="115"/>
      <c r="HB51" s="115"/>
      <c r="HC51" s="115"/>
      <c r="HD51" s="115"/>
      <c r="HE51" s="115"/>
      <c r="HF51" s="115"/>
      <c r="HG51" s="115"/>
      <c r="HH51" s="115"/>
      <c r="HI51" s="115"/>
      <c r="HJ51" s="115"/>
      <c r="HK51" s="115"/>
      <c r="HL51" s="115"/>
      <c r="HM51" s="115"/>
      <c r="HN51" s="115"/>
      <c r="HO51" s="115"/>
      <c r="HP51" s="115"/>
      <c r="HQ51" s="115"/>
      <c r="HR51" s="115"/>
      <c r="HS51" s="115"/>
      <c r="HT51" s="115"/>
      <c r="HU51" s="115"/>
      <c r="HV51" s="115"/>
      <c r="HW51" s="115"/>
      <c r="HX51" s="115"/>
      <c r="HY51" s="117"/>
      <c r="HZ51" s="117"/>
      <c r="IA51" s="117"/>
      <c r="IB51" s="117"/>
      <c r="IC51" s="117"/>
      <c r="ID51" s="117"/>
      <c r="IE51" s="187"/>
      <c r="IF51" s="187"/>
      <c r="IG51" s="187"/>
      <c r="IH51" s="187"/>
      <c r="II51" s="187"/>
      <c r="IJ51" s="187"/>
      <c r="IK51" s="187"/>
    </row>
    <row r="52" spans="1:245" ht="16.5" customHeight="1">
      <c r="C52" s="413">
        <f t="shared" si="3"/>
        <v>22</v>
      </c>
      <c r="D52" s="414"/>
      <c r="E52" s="505">
        <f t="shared" si="4"/>
        <v>51</v>
      </c>
      <c r="F52" s="414"/>
      <c r="G52" s="505">
        <f>IF(E52="","",VLOOKUP(C52,'No Deducible 93'!$AG$25:$AH$49,2,0))</f>
        <v>120000</v>
      </c>
      <c r="H52" s="402"/>
      <c r="I52" s="402"/>
      <c r="J52" s="414"/>
      <c r="K52" s="423">
        <f t="shared" si="5"/>
        <v>2640000</v>
      </c>
      <c r="L52" s="424"/>
      <c r="M52" s="424"/>
      <c r="N52" s="424"/>
      <c r="O52" s="424"/>
      <c r="P52" s="474">
        <f>IF(G52="","",VLOOKUP(C52*12,Resumen!$C$5:$F$408,VLOOKUP('OptiMaxx plus'!$AK$12,'OptiMaxx plus'!$AK$46:$AL$48,2,0)+1,0))</f>
        <v>7217492.6201452101</v>
      </c>
      <c r="Q52" s="434"/>
      <c r="R52" s="434"/>
      <c r="S52" s="434"/>
      <c r="T52" s="434">
        <f>IF(K52="","",IF(C52=$D$15,P52,VLOOKUP(C52*12,Resumen!$H$5:$K$408,$AN$46+1,0)))</f>
        <v>6458039.0866482621</v>
      </c>
      <c r="U52" s="434"/>
      <c r="V52" s="434"/>
      <c r="W52" s="434"/>
      <c r="X52" s="434">
        <f>IF(P52="","",VLOOKUP(C52,Resumen!$M$5:$R$29,'OptiMaxx plus'!$AN$46+3,0))</f>
        <v>5930598.0672373241</v>
      </c>
      <c r="Y52" s="434"/>
      <c r="Z52" s="434"/>
      <c r="AA52" s="434"/>
      <c r="AB52" s="439"/>
      <c r="AC52" s="402" t="str">
        <f>IF(C52="","",IF(AC51="","",VLOOKUP(C52,Resumen!$T$5:$AB$29,9,0)))</f>
        <v/>
      </c>
      <c r="AD52" s="402"/>
      <c r="AE52" s="402"/>
      <c r="AF52" s="402"/>
      <c r="AG52" s="403"/>
      <c r="AJ52" s="116"/>
      <c r="AK52" s="116"/>
      <c r="AL52" s="116"/>
      <c r="AN52" s="116"/>
      <c r="AO52" s="116"/>
      <c r="AP52" s="116"/>
      <c r="AQ52" s="122">
        <v>21</v>
      </c>
      <c r="AR52" s="122"/>
      <c r="AS52" s="122"/>
      <c r="AT52" s="122"/>
      <c r="AU52" s="128"/>
      <c r="AV52" s="116">
        <f t="shared" si="2"/>
        <v>67</v>
      </c>
      <c r="AX52" s="137"/>
    </row>
    <row r="53" spans="1:245" ht="16.5" customHeight="1">
      <c r="C53" s="413">
        <f t="shared" si="3"/>
        <v>23</v>
      </c>
      <c r="D53" s="414"/>
      <c r="E53" s="505">
        <f t="shared" si="4"/>
        <v>52</v>
      </c>
      <c r="F53" s="414"/>
      <c r="G53" s="505">
        <f>IF(E53="","",VLOOKUP(C53,'No Deducible 93'!$AG$25:$AH$49,2,0))</f>
        <v>120000</v>
      </c>
      <c r="H53" s="402"/>
      <c r="I53" s="402"/>
      <c r="J53" s="414"/>
      <c r="K53" s="423">
        <f t="shared" si="5"/>
        <v>2760000</v>
      </c>
      <c r="L53" s="424"/>
      <c r="M53" s="424"/>
      <c r="N53" s="424"/>
      <c r="O53" s="424"/>
      <c r="P53" s="474">
        <f>IF(G53="","",VLOOKUP(C53*12,Resumen!$C$5:$F$408,VLOOKUP('OptiMaxx plus'!$AK$12,'OptiMaxx plus'!$AK$46:$AL$48,2,0)+1,0))</f>
        <v>7935905.4798052944</v>
      </c>
      <c r="Q53" s="434"/>
      <c r="R53" s="434"/>
      <c r="S53" s="434"/>
      <c r="T53" s="434">
        <f>IF(K53="","",IF(C53=$D$15,P53,VLOOKUP(C53*12,Resumen!$H$5:$K$408,$AN$46+1,0)))</f>
        <v>7142386.9790247586</v>
      </c>
      <c r="U53" s="434"/>
      <c r="V53" s="434"/>
      <c r="W53" s="434"/>
      <c r="X53" s="434">
        <f>IF(P53="","",VLOOKUP(C53,Resumen!$M$5:$R$29,'OptiMaxx plus'!$AN$46+3,0))</f>
        <v>6533963.4718163386</v>
      </c>
      <c r="Y53" s="434"/>
      <c r="Z53" s="434"/>
      <c r="AA53" s="434"/>
      <c r="AB53" s="439"/>
      <c r="AC53" s="402" t="str">
        <f>IF(C53="","",IF(AC52="","",VLOOKUP(C53,Resumen!$T$5:$AB$29,9,0)))</f>
        <v/>
      </c>
      <c r="AD53" s="402"/>
      <c r="AE53" s="402"/>
      <c r="AF53" s="402"/>
      <c r="AG53" s="403"/>
      <c r="AJ53" s="116"/>
      <c r="AK53" s="116"/>
      <c r="AL53" s="116"/>
      <c r="AN53" s="116"/>
      <c r="AO53" s="116"/>
      <c r="AP53" s="116"/>
      <c r="AQ53" s="122">
        <v>22</v>
      </c>
      <c r="AR53" s="122"/>
      <c r="AS53" s="122"/>
      <c r="AT53" s="122"/>
      <c r="AU53" s="128"/>
      <c r="AV53" s="116">
        <f t="shared" si="2"/>
        <v>68</v>
      </c>
      <c r="AX53" s="137"/>
    </row>
    <row r="54" spans="1:245" ht="16.5" customHeight="1">
      <c r="C54" s="413">
        <f t="shared" si="3"/>
        <v>24</v>
      </c>
      <c r="D54" s="414"/>
      <c r="E54" s="505">
        <f t="shared" si="4"/>
        <v>53</v>
      </c>
      <c r="F54" s="414"/>
      <c r="G54" s="505">
        <f>IF(E54="","",VLOOKUP(C54,'No Deducible 93'!$AG$25:$AH$49,2,0))</f>
        <v>120000</v>
      </c>
      <c r="H54" s="402"/>
      <c r="I54" s="402"/>
      <c r="J54" s="414"/>
      <c r="K54" s="423">
        <f t="shared" si="5"/>
        <v>2880000</v>
      </c>
      <c r="L54" s="424"/>
      <c r="M54" s="424"/>
      <c r="N54" s="424"/>
      <c r="O54" s="424"/>
      <c r="P54" s="474">
        <f>IF(G54="","",VLOOKUP(C54*12,Resumen!$C$5:$F$408,VLOOKUP('OptiMaxx plus'!$AK$12,'OptiMaxx plus'!$AK$46:$AL$48,2,0)+1,0))</f>
        <v>8715223.1006444916</v>
      </c>
      <c r="Q54" s="434"/>
      <c r="R54" s="434"/>
      <c r="S54" s="434"/>
      <c r="T54" s="434">
        <f>IF(K54="","",IF(C54=$D$15,P54,VLOOKUP(C54*12,Resumen!$H$5:$K$408,$AN$46+1,0)))</f>
        <v>7886095.7052532984</v>
      </c>
      <c r="U54" s="434"/>
      <c r="V54" s="434"/>
      <c r="W54" s="434"/>
      <c r="X54" s="434">
        <f>IF(P54="","",VLOOKUP(C54,Resumen!$M$5:$R$29,'OptiMaxx plus'!$AN$46+3,0))</f>
        <v>7187098.8129106537</v>
      </c>
      <c r="Y54" s="434"/>
      <c r="Z54" s="434"/>
      <c r="AA54" s="434"/>
      <c r="AB54" s="439"/>
      <c r="AC54" s="402" t="str">
        <f>IF(C54="","",IF(AC53="","",VLOOKUP(C54,Resumen!$T$5:$AB$29,9,0)))</f>
        <v/>
      </c>
      <c r="AD54" s="402"/>
      <c r="AE54" s="402"/>
      <c r="AF54" s="402"/>
      <c r="AG54" s="403"/>
      <c r="AJ54" s="116"/>
      <c r="AK54" s="116"/>
      <c r="AL54" s="116"/>
      <c r="AM54" s="122" t="s">
        <v>53</v>
      </c>
      <c r="AN54" s="122" t="s">
        <v>54</v>
      </c>
      <c r="AO54" s="122" t="s">
        <v>70</v>
      </c>
      <c r="AP54" s="116"/>
      <c r="AQ54" s="122"/>
      <c r="AR54" s="210"/>
      <c r="AS54" s="211" t="s">
        <v>53</v>
      </c>
      <c r="AT54" s="210" t="s">
        <v>54</v>
      </c>
      <c r="AU54" s="212" t="s">
        <v>70</v>
      </c>
      <c r="AX54" s="137"/>
    </row>
    <row r="55" spans="1:245" ht="19.5" customHeight="1" thickBot="1">
      <c r="C55" s="415">
        <f t="shared" si="3"/>
        <v>25</v>
      </c>
      <c r="D55" s="416"/>
      <c r="E55" s="422">
        <f>+IF(C55="","",E54+1)</f>
        <v>54</v>
      </c>
      <c r="F55" s="416"/>
      <c r="G55" s="422">
        <f>IF(E55="","",VLOOKUP(C55,'No Deducible 93'!$AG$25:$AH$49,2,0))</f>
        <v>120000</v>
      </c>
      <c r="H55" s="427"/>
      <c r="I55" s="427"/>
      <c r="J55" s="416"/>
      <c r="K55" s="425">
        <f t="shared" si="5"/>
        <v>3000000</v>
      </c>
      <c r="L55" s="426"/>
      <c r="M55" s="426"/>
      <c r="N55" s="426"/>
      <c r="O55" s="426"/>
      <c r="P55" s="417">
        <f>IF(G55="","",VLOOKUP(C55*12,Resumen!$C$5:$F$408,VLOOKUP('OptiMaxx plus'!$AK$12,'OptiMaxx plus'!$AK$46:$AL$48,2,0)+1,0))</f>
        <v>9560669.3351216335</v>
      </c>
      <c r="Q55" s="418"/>
      <c r="R55" s="418"/>
      <c r="S55" s="418"/>
      <c r="T55" s="418">
        <f>IF(K55="","",IF(C55=$D$15,P55,VLOOKUP(C55*12,Resumen!$H$5:$K$408,$AN$46+1,0)))</f>
        <v>9560669.3351216335</v>
      </c>
      <c r="U55" s="418"/>
      <c r="V55" s="418"/>
      <c r="W55" s="418"/>
      <c r="X55" s="418">
        <f>IF(P55="","",VLOOKUP(C55,Resumen!$M$5:$R$29,'OptiMaxx plus'!$AN$46+3,0))</f>
        <v>8760568.9814669937</v>
      </c>
      <c r="Y55" s="418"/>
      <c r="Z55" s="418"/>
      <c r="AA55" s="418"/>
      <c r="AB55" s="466"/>
      <c r="AC55" s="427" t="str">
        <f>IF(C55="","",IF(AC54="","",VLOOKUP(C55,Resumen!$T$5:$AB$29,9,0)))</f>
        <v/>
      </c>
      <c r="AD55" s="427"/>
      <c r="AE55" s="427"/>
      <c r="AF55" s="427"/>
      <c r="AG55" s="519"/>
      <c r="AJ55" s="116"/>
      <c r="AK55" s="116"/>
      <c r="AL55" s="116" t="s">
        <v>51</v>
      </c>
      <c r="AM55" s="213">
        <f>D12*VLOOKUP(K12,AK24:AL27,2,FALSE)*F21</f>
        <v>0</v>
      </c>
      <c r="AN55" s="213">
        <f>D12*VLOOKUP(K12,AK24:AL27,2,FALSE)*J21</f>
        <v>0</v>
      </c>
      <c r="AO55" s="213">
        <f>D12*VLOOKUP(K12,AK24:AL27,2,FALSE)*N21</f>
        <v>0</v>
      </c>
      <c r="AP55" s="116"/>
      <c r="AQ55" s="122"/>
      <c r="AR55" s="210" t="s">
        <v>51</v>
      </c>
      <c r="AS55" s="211" t="str">
        <f t="shared" ref="AS55:AU57" si="6">IF(OR(AM55=0,AM55&gt;=12000),"","El monto mínimo para cada fondo debe de ser de 12,000 pesos anuales")</f>
        <v/>
      </c>
      <c r="AT55" s="210" t="str">
        <f t="shared" si="6"/>
        <v/>
      </c>
      <c r="AU55" s="212" t="str">
        <f t="shared" si="6"/>
        <v/>
      </c>
      <c r="AX55" s="137"/>
    </row>
    <row r="56" spans="1:245" ht="20.25" customHeight="1">
      <c r="C56" s="214" t="str">
        <f>CONCATENATE("Aportaciones Acumuladas a edad"," ",Resumen!AD25)</f>
        <v>Aportaciones Acumuladas a edad 65</v>
      </c>
      <c r="D56" s="215"/>
      <c r="E56" s="216"/>
      <c r="F56" s="216"/>
      <c r="G56" s="216"/>
      <c r="H56" s="216"/>
      <c r="I56" s="216"/>
      <c r="J56" s="216"/>
      <c r="K56" s="509">
        <f>IF(T7="","",VLOOKUP(Resumen!AD25,'Deducible 151'!$AF$25:$AI$104,4,0))</f>
        <v>4320000</v>
      </c>
      <c r="L56" s="509"/>
      <c r="M56" s="509"/>
      <c r="N56" s="509"/>
      <c r="O56" s="510"/>
      <c r="P56" s="217" t="s">
        <v>103</v>
      </c>
      <c r="Q56" s="218"/>
      <c r="R56" s="218"/>
      <c r="S56" s="218"/>
      <c r="T56" s="218"/>
      <c r="U56" s="218"/>
      <c r="V56" s="218"/>
      <c r="W56" s="218"/>
      <c r="X56" s="419">
        <f>+'Deducible 151'!L20</f>
        <v>0.1</v>
      </c>
      <c r="Y56" s="420"/>
      <c r="Z56" s="420"/>
      <c r="AA56" s="420"/>
      <c r="AB56" s="421"/>
      <c r="AC56" s="218"/>
      <c r="AD56" s="218"/>
      <c r="AE56" s="218"/>
      <c r="AF56" s="218"/>
      <c r="AG56" s="219"/>
      <c r="AJ56" s="116"/>
      <c r="AK56" s="116"/>
      <c r="AL56" s="116" t="s">
        <v>56</v>
      </c>
      <c r="AM56" s="213">
        <f>D12*VLOOKUP(K12,AK24:AL27,2,FALSE)*F22</f>
        <v>0</v>
      </c>
      <c r="AN56" s="213">
        <f>D12*VLOOKUP(K12,AK24:AL27,2,FALSE)*J22</f>
        <v>0</v>
      </c>
      <c r="AO56" s="213">
        <f>D12*VLOOKUP(K12,AK24:AL27,2,FALSE)*N22</f>
        <v>120000</v>
      </c>
      <c r="AP56" s="116"/>
      <c r="AQ56" s="122"/>
      <c r="AR56" s="210" t="s">
        <v>56</v>
      </c>
      <c r="AS56" s="211" t="str">
        <f t="shared" si="6"/>
        <v/>
      </c>
      <c r="AT56" s="210" t="str">
        <f t="shared" si="6"/>
        <v/>
      </c>
      <c r="AU56" s="212" t="str">
        <f t="shared" si="6"/>
        <v/>
      </c>
      <c r="AX56" s="137"/>
    </row>
    <row r="57" spans="1:245" ht="20.25" customHeight="1" thickBot="1">
      <c r="C57" s="220" t="str">
        <f>CONCATENATE("Saldo Proyectado a edad"," ",Resumen!AD25)</f>
        <v>Saldo Proyectado a edad 65</v>
      </c>
      <c r="D57" s="221"/>
      <c r="E57" s="222"/>
      <c r="F57" s="222"/>
      <c r="G57" s="222"/>
      <c r="H57" s="222"/>
      <c r="I57" s="222"/>
      <c r="J57" s="222"/>
      <c r="K57" s="507">
        <f>IFERROR(IF(E55=Resumen!AD25,'OptiMaxx plus'!P55,VLOOKUP('OptiMaxx plus'!AK12,Resumen!AD18:AE20,2,0)),"")</f>
        <v>25259701.598923039</v>
      </c>
      <c r="L57" s="507"/>
      <c r="M57" s="507"/>
      <c r="N57" s="507"/>
      <c r="O57" s="508"/>
      <c r="P57" s="223" t="str">
        <f>IF(AK12=AK48,"",CONCATENATE("Valor acumulado del beneficio fiscal a edad"," ",Resumen!AD23))</f>
        <v/>
      </c>
      <c r="Q57" s="224"/>
      <c r="R57" s="224"/>
      <c r="S57" s="224"/>
      <c r="T57" s="224"/>
      <c r="U57" s="224"/>
      <c r="V57" s="224"/>
      <c r="W57" s="224"/>
      <c r="X57" s="435" t="str">
        <f>VLOOKUP(T7+D15,$E$31:$AC$55,25,0)</f>
        <v/>
      </c>
      <c r="Y57" s="436"/>
      <c r="Z57" s="436"/>
      <c r="AA57" s="436"/>
      <c r="AB57" s="437"/>
      <c r="AC57" s="224"/>
      <c r="AD57" s="224"/>
      <c r="AE57" s="224"/>
      <c r="AF57" s="224"/>
      <c r="AG57" s="225"/>
      <c r="AJ57" s="116"/>
      <c r="AK57" s="116"/>
      <c r="AL57" s="116" t="s">
        <v>52</v>
      </c>
      <c r="AM57" s="213">
        <f>D12*VLOOKUP(K12,AK24:AL27,2,FALSE)*F23</f>
        <v>0</v>
      </c>
      <c r="AN57" s="213">
        <f>D12*VLOOKUP(K12,AK24:AL27,2,FALSE)*J23</f>
        <v>0</v>
      </c>
      <c r="AO57" s="213">
        <f>D12*VLOOKUP(K12,AK24:AL27,2,FALSE)*N23</f>
        <v>0</v>
      </c>
      <c r="AP57" s="116"/>
      <c r="AQ57" s="122"/>
      <c r="AR57" s="210" t="s">
        <v>52</v>
      </c>
      <c r="AS57" s="211" t="str">
        <f t="shared" si="6"/>
        <v/>
      </c>
      <c r="AT57" s="210" t="str">
        <f t="shared" si="6"/>
        <v/>
      </c>
      <c r="AU57" s="212" t="str">
        <f t="shared" si="6"/>
        <v/>
      </c>
      <c r="AX57" s="137"/>
    </row>
    <row r="58" spans="1:245" ht="20.25" customHeight="1">
      <c r="C58" s="404" t="str">
        <f>IF(AK12="","",IF(AK12=151,Resumen!AT13,IF(AK12=185,Resumen!AT19,"")))</f>
        <v/>
      </c>
      <c r="D58" s="405"/>
      <c r="E58" s="405"/>
      <c r="F58" s="405"/>
      <c r="G58" s="405"/>
      <c r="H58" s="405"/>
      <c r="I58" s="405"/>
      <c r="J58" s="405"/>
      <c r="K58" s="405"/>
      <c r="L58" s="405"/>
      <c r="M58" s="405"/>
      <c r="N58" s="405"/>
      <c r="O58" s="405"/>
      <c r="P58" s="405"/>
      <c r="Q58" s="405"/>
      <c r="R58" s="405"/>
      <c r="S58" s="405"/>
      <c r="T58" s="405"/>
      <c r="U58" s="405"/>
      <c r="V58" s="405"/>
      <c r="W58" s="405"/>
      <c r="X58" s="405"/>
      <c r="Y58" s="405"/>
      <c r="Z58" s="405"/>
      <c r="AA58" s="405"/>
      <c r="AB58" s="405"/>
      <c r="AC58" s="405"/>
      <c r="AD58" s="405"/>
      <c r="AE58" s="405"/>
      <c r="AF58" s="405"/>
      <c r="AG58" s="406"/>
      <c r="AJ58" s="116"/>
      <c r="AK58" s="116"/>
      <c r="AL58" s="116"/>
      <c r="AM58" s="226"/>
      <c r="AN58" s="213"/>
      <c r="AO58" s="226"/>
      <c r="AP58" s="116"/>
      <c r="AQ58" s="122"/>
      <c r="AR58" s="227"/>
      <c r="AS58" s="186"/>
      <c r="AT58" s="184"/>
      <c r="AU58" s="228"/>
      <c r="AX58" s="137"/>
    </row>
    <row r="59" spans="1:245">
      <c r="C59" s="407"/>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9"/>
      <c r="AH59" s="114"/>
      <c r="AJ59" s="116"/>
      <c r="AK59" s="116"/>
      <c r="AL59" s="116" t="s">
        <v>55</v>
      </c>
      <c r="AM59" s="226">
        <f>D12*VLOOKUP(K12,AK24:AL27,2,FALSE)*F25</f>
        <v>0</v>
      </c>
      <c r="AN59" s="226" t="s">
        <v>33</v>
      </c>
      <c r="AO59" s="226">
        <f>D12*VLOOKUP(K12,AK24:AL27,2,FALSE)*N25</f>
        <v>0</v>
      </c>
      <c r="AP59" s="116"/>
      <c r="AQ59" s="122"/>
      <c r="AR59" s="210" t="s">
        <v>55</v>
      </c>
      <c r="AS59" s="211" t="str">
        <f>IF(OR(AM59=0,AM59&gt;=12000),"","El monto mínimo para cada fondo debe de ser de 12,000 pesos anuales")</f>
        <v/>
      </c>
      <c r="AT59" s="210" t="s">
        <v>33</v>
      </c>
      <c r="AU59" s="212" t="str">
        <f>IF(OR(AO59=0,AO59&gt;=12000),"","El monto mínimo para cada fondo debe de ser de 12,000 pesos anuales")</f>
        <v/>
      </c>
      <c r="AX59" s="137"/>
    </row>
    <row r="60" spans="1:245" ht="23.25" customHeight="1">
      <c r="C60" s="410"/>
      <c r="D60" s="411"/>
      <c r="E60" s="411"/>
      <c r="F60" s="411"/>
      <c r="G60" s="411"/>
      <c r="H60" s="411"/>
      <c r="I60" s="411"/>
      <c r="J60" s="411"/>
      <c r="K60" s="411"/>
      <c r="L60" s="411"/>
      <c r="M60" s="411"/>
      <c r="N60" s="411"/>
      <c r="O60" s="411"/>
      <c r="P60" s="411"/>
      <c r="Q60" s="411"/>
      <c r="R60" s="411"/>
      <c r="S60" s="411"/>
      <c r="T60" s="411"/>
      <c r="U60" s="411"/>
      <c r="V60" s="411"/>
      <c r="W60" s="411"/>
      <c r="X60" s="411"/>
      <c r="Y60" s="411"/>
      <c r="Z60" s="411"/>
      <c r="AA60" s="411"/>
      <c r="AB60" s="411"/>
      <c r="AC60" s="411"/>
      <c r="AD60" s="411"/>
      <c r="AE60" s="411"/>
      <c r="AF60" s="411"/>
      <c r="AG60" s="412"/>
      <c r="AH60" s="114"/>
      <c r="AJ60" s="116"/>
      <c r="AK60" s="229"/>
      <c r="AL60" s="116" t="s">
        <v>34</v>
      </c>
      <c r="AM60" s="226">
        <f>D12*VLOOKUP(K12,AK24:AL27,2,FALSE)*F26</f>
        <v>0</v>
      </c>
      <c r="AN60" s="226" t="s">
        <v>57</v>
      </c>
      <c r="AO60" s="226">
        <f>D12*VLOOKUP(K12,AK24:AL27,2,FALSE)*N26</f>
        <v>0</v>
      </c>
      <c r="AP60" s="116"/>
      <c r="AQ60" s="122"/>
      <c r="AR60" s="210" t="s">
        <v>34</v>
      </c>
      <c r="AS60" s="211" t="str">
        <f>IF(OR(AM60=0,AM60&gt;=12000),"","El monto mínimo para cada fondo debe de ser de 12,000 pesos anuales")</f>
        <v/>
      </c>
      <c r="AT60" s="210" t="s">
        <v>57</v>
      </c>
      <c r="AU60" s="212" t="str">
        <f>IF(OR(AO60=0,AO60&gt;=12000),"","El monto mínimo para cada fondo debe de ser de 12,000 pesos anuales")</f>
        <v/>
      </c>
      <c r="AX60" s="137"/>
    </row>
    <row r="61" spans="1:245" ht="97.5" customHeight="1">
      <c r="C61" s="230"/>
      <c r="D61" s="462" t="str">
        <f>+IF(AK12="","",IF(AK12=151,Resumen!AI13,IF(AK12=185,Resumen!AI19,Resumen!AI25)))</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exento de impuestos.</v>
      </c>
      <c r="E61" s="463"/>
      <c r="F61" s="463"/>
      <c r="G61" s="463"/>
      <c r="H61" s="463"/>
      <c r="I61" s="463"/>
      <c r="J61" s="463"/>
      <c r="K61" s="463"/>
      <c r="L61" s="463"/>
      <c r="M61" s="463"/>
      <c r="N61" s="463"/>
      <c r="O61" s="463"/>
      <c r="P61" s="463"/>
      <c r="Q61" s="463"/>
      <c r="R61" s="463"/>
      <c r="S61" s="463"/>
      <c r="T61" s="463"/>
      <c r="U61" s="463"/>
      <c r="V61" s="463"/>
      <c r="W61" s="463"/>
      <c r="X61" s="463"/>
      <c r="Y61" s="463"/>
      <c r="Z61" s="463"/>
      <c r="AA61" s="463"/>
      <c r="AB61" s="463"/>
      <c r="AC61" s="463"/>
      <c r="AD61" s="463"/>
      <c r="AE61" s="463"/>
      <c r="AF61" s="464"/>
      <c r="AG61" s="231"/>
      <c r="AH61" s="114"/>
      <c r="AJ61" s="116"/>
      <c r="AK61" s="116"/>
      <c r="AL61" s="232" t="s">
        <v>36</v>
      </c>
      <c r="AM61" s="226">
        <f>D12*VLOOKUP(K12,AK24:AL27,2,FALSE)*F27</f>
        <v>0</v>
      </c>
      <c r="AN61" s="226" t="s">
        <v>35</v>
      </c>
      <c r="AO61" s="226">
        <f>D12*VLOOKUP(K12,AK24:AL27,2,FALSE)*N27</f>
        <v>0</v>
      </c>
      <c r="AP61" s="116"/>
      <c r="AQ61" s="122"/>
      <c r="AR61" s="233" t="s">
        <v>36</v>
      </c>
      <c r="AS61" s="211" t="str">
        <f>IF(OR(AM61=0,AM61&gt;=12000),"","El monto mínimo para cada fondo debe de ser de 12,000 pesos anuales")</f>
        <v/>
      </c>
      <c r="AT61" s="210" t="s">
        <v>35</v>
      </c>
      <c r="AU61" s="212" t="str">
        <f>IF(OR(AO61=0,AO61&gt;=12000),"","El monto mínimo para cada fondo debe de ser de 12,000 pesos anuales")</f>
        <v/>
      </c>
      <c r="AX61" s="137"/>
    </row>
    <row r="62" spans="1:245" ht="4.5" customHeight="1">
      <c r="C62" s="234"/>
      <c r="D62" s="235"/>
      <c r="E62" s="235"/>
      <c r="F62" s="235"/>
      <c r="G62" s="235"/>
      <c r="H62" s="235"/>
      <c r="I62" s="235"/>
      <c r="J62" s="235"/>
      <c r="K62" s="235"/>
      <c r="L62" s="235"/>
      <c r="M62" s="235"/>
      <c r="N62" s="235"/>
      <c r="O62" s="235"/>
      <c r="P62" s="235"/>
      <c r="Q62" s="235"/>
      <c r="R62" s="235"/>
      <c r="S62" s="235"/>
      <c r="T62" s="235"/>
      <c r="U62" s="235"/>
      <c r="V62" s="235"/>
      <c r="W62" s="235"/>
      <c r="X62" s="235"/>
      <c r="Y62" s="235"/>
      <c r="Z62" s="235"/>
      <c r="AA62" s="235"/>
      <c r="AB62" s="235"/>
      <c r="AC62" s="235"/>
      <c r="AD62" s="235"/>
      <c r="AE62" s="235"/>
      <c r="AF62" s="235"/>
      <c r="AG62" s="236"/>
      <c r="AH62" s="114"/>
      <c r="AJ62" s="116"/>
      <c r="AK62" s="116"/>
      <c r="AL62" s="116"/>
      <c r="AN62" s="116"/>
      <c r="AO62" s="116"/>
      <c r="AP62" s="116"/>
      <c r="AQ62" s="122"/>
      <c r="AR62" s="122"/>
      <c r="AS62" s="122"/>
      <c r="AT62" s="122"/>
      <c r="AU62" s="128"/>
      <c r="AV62" s="116">
        <f t="shared" si="2"/>
        <v>1</v>
      </c>
      <c r="AX62" s="137"/>
    </row>
    <row r="63" spans="1:245">
      <c r="C63" s="237"/>
      <c r="D63" s="465" t="str">
        <f>+IF(AK12=" "," ",IF(AK12=151,Resumen!AO13,IF(AK12=185,Resumen!AO19,Resumen!AO25)))</f>
        <v>La presente ilustración se ofrece únicamente a modo de guía y no debe ser considerada como un contrato desde el punto de vista legal. Para mayores detalles vea el folleto del cliente y las Condiciones de la Póliza. La presente ilustración se ofrece únicamente a modo de guía y no debe ser considerada como un contrato desde el punto de vista legal. Para mayores detalles vea el folleto del cliente y las Condiciones de la Póliza.</v>
      </c>
      <c r="E63" s="465"/>
      <c r="F63" s="465"/>
      <c r="G63" s="465"/>
      <c r="H63" s="465"/>
      <c r="I63" s="465"/>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238"/>
      <c r="AH63" s="114"/>
      <c r="AJ63" s="116"/>
      <c r="AK63" s="116"/>
      <c r="AL63" s="116"/>
      <c r="AN63" s="116"/>
      <c r="AO63" s="116"/>
      <c r="AP63" s="116" t="s">
        <v>149</v>
      </c>
      <c r="AQ63" s="122"/>
      <c r="AR63" s="122"/>
      <c r="AS63" s="122"/>
      <c r="AT63" s="122"/>
      <c r="AU63" s="128"/>
      <c r="AV63" s="116">
        <f t="shared" si="2"/>
        <v>2</v>
      </c>
      <c r="AX63" s="137"/>
    </row>
    <row r="64" spans="1:245" s="187" customFormat="1" ht="33.75" customHeight="1">
      <c r="A64" s="209"/>
      <c r="B64" s="112"/>
      <c r="C64" s="237"/>
      <c r="D64" s="465"/>
      <c r="E64" s="465"/>
      <c r="F64" s="465"/>
      <c r="G64" s="465"/>
      <c r="H64" s="465"/>
      <c r="I64" s="465"/>
      <c r="J64" s="465"/>
      <c r="K64" s="465"/>
      <c r="L64" s="465"/>
      <c r="M64" s="465"/>
      <c r="N64" s="465"/>
      <c r="O64" s="465"/>
      <c r="P64" s="465"/>
      <c r="Q64" s="465"/>
      <c r="R64" s="465"/>
      <c r="S64" s="465"/>
      <c r="T64" s="465"/>
      <c r="U64" s="465"/>
      <c r="V64" s="465"/>
      <c r="W64" s="465"/>
      <c r="X64" s="465"/>
      <c r="Y64" s="465"/>
      <c r="Z64" s="465"/>
      <c r="AA64" s="465"/>
      <c r="AB64" s="465"/>
      <c r="AC64" s="465"/>
      <c r="AD64" s="465"/>
      <c r="AE64" s="465"/>
      <c r="AF64" s="465"/>
      <c r="AG64" s="238"/>
      <c r="AH64" s="114"/>
      <c r="AI64" s="114"/>
      <c r="AJ64" s="116"/>
      <c r="AK64" s="116"/>
      <c r="AL64" s="116"/>
      <c r="AM64" s="115"/>
      <c r="AN64" s="116"/>
      <c r="AO64" s="116"/>
      <c r="AP64" s="116">
        <f>IFERROR(VLOOKUP(AP63,AS55:AS61,1,FALSE),IFERROR(VLOOKUP(AP63,AT55:AT57,1,FALSE),IFERROR(VLOOKUP(AP63,AU55:AU57,1,FALSE),IFERROR(VLOOKUP(AP63,AU59:AU61,1,FALSE),0))))</f>
        <v>0</v>
      </c>
      <c r="AQ64" s="122" t="str">
        <f>IF(AP64=0,"","El monto mínimo para cada fondo debe de ser de 12,000 pesos anuales.")</f>
        <v/>
      </c>
      <c r="AR64" s="122"/>
      <c r="AS64" s="122"/>
      <c r="AT64" s="122"/>
      <c r="AU64" s="128"/>
      <c r="AV64" s="116">
        <f t="shared" si="2"/>
        <v>3</v>
      </c>
      <c r="AW64" s="116"/>
      <c r="AX64" s="137"/>
      <c r="AY64" s="116"/>
      <c r="AZ64" s="116"/>
      <c r="BA64" s="116"/>
      <c r="BB64" s="116"/>
      <c r="BC64" s="116"/>
      <c r="BD64" s="116"/>
      <c r="BE64" s="116"/>
      <c r="BF64" s="116"/>
      <c r="BG64" s="116"/>
      <c r="BH64" s="116"/>
      <c r="BI64" s="116"/>
      <c r="BJ64" s="116"/>
      <c r="BK64" s="116"/>
      <c r="BL64" s="116"/>
      <c r="BM64" s="116"/>
      <c r="BN64" s="116"/>
      <c r="BO64" s="116"/>
      <c r="BP64" s="116"/>
      <c r="BQ64" s="115"/>
      <c r="BR64" s="115"/>
      <c r="BS64" s="115"/>
      <c r="BT64" s="115"/>
      <c r="BU64" s="115"/>
      <c r="BV64" s="115"/>
      <c r="BW64" s="115"/>
      <c r="BX64" s="115"/>
      <c r="BY64" s="115"/>
      <c r="BZ64" s="115"/>
      <c r="CA64" s="115"/>
      <c r="CB64" s="115"/>
      <c r="CC64" s="115"/>
      <c r="CD64" s="115"/>
      <c r="CE64" s="115"/>
      <c r="CF64" s="115"/>
      <c r="CG64" s="115"/>
      <c r="CH64" s="115"/>
      <c r="CI64" s="115"/>
      <c r="CJ64" s="115"/>
      <c r="CK64" s="115"/>
      <c r="CL64" s="115"/>
      <c r="CM64" s="115"/>
      <c r="CN64" s="115"/>
      <c r="CO64" s="115"/>
      <c r="CP64" s="115"/>
      <c r="CQ64" s="115"/>
      <c r="CR64" s="115"/>
      <c r="CS64" s="115"/>
      <c r="CT64" s="115"/>
      <c r="CU64" s="115"/>
      <c r="CV64" s="115"/>
      <c r="CW64" s="115"/>
      <c r="CX64" s="115"/>
      <c r="CY64" s="115"/>
      <c r="CZ64" s="115"/>
      <c r="DA64" s="115"/>
      <c r="DB64" s="115"/>
      <c r="DC64" s="115"/>
      <c r="DD64" s="115"/>
      <c r="DE64" s="115"/>
      <c r="DF64" s="115"/>
      <c r="DG64" s="115"/>
      <c r="DH64" s="115"/>
      <c r="DI64" s="115"/>
      <c r="DJ64" s="115"/>
      <c r="DK64" s="115"/>
      <c r="DL64" s="115"/>
      <c r="DM64" s="115"/>
      <c r="DN64" s="115"/>
      <c r="DO64" s="115"/>
      <c r="DP64" s="115"/>
      <c r="DQ64" s="115"/>
      <c r="DR64" s="115"/>
      <c r="DS64" s="115"/>
      <c r="DT64" s="115"/>
      <c r="DU64" s="115"/>
      <c r="DV64" s="115"/>
      <c r="DW64" s="115"/>
      <c r="DX64" s="115"/>
      <c r="DY64" s="115"/>
      <c r="DZ64" s="115"/>
      <c r="EA64" s="115"/>
      <c r="EB64" s="115"/>
      <c r="EC64" s="115"/>
      <c r="ED64" s="115"/>
      <c r="EE64" s="115"/>
      <c r="EF64" s="115"/>
      <c r="EG64" s="115"/>
      <c r="EH64" s="115"/>
      <c r="EI64" s="115"/>
      <c r="EJ64" s="115"/>
      <c r="EK64" s="115"/>
      <c r="EL64" s="115"/>
      <c r="EM64" s="115"/>
      <c r="EN64" s="115"/>
      <c r="EO64" s="115"/>
      <c r="EP64" s="115"/>
      <c r="EQ64" s="115"/>
      <c r="ER64" s="115"/>
      <c r="ES64" s="115"/>
      <c r="ET64" s="115"/>
      <c r="EU64" s="115"/>
      <c r="EV64" s="115"/>
      <c r="EW64" s="115"/>
      <c r="EX64" s="115"/>
      <c r="EY64" s="115"/>
      <c r="EZ64" s="115"/>
      <c r="FA64" s="115"/>
      <c r="FB64" s="115"/>
      <c r="FC64" s="115"/>
      <c r="FD64" s="115"/>
      <c r="FE64" s="115"/>
      <c r="FF64" s="115"/>
      <c r="FG64" s="115"/>
      <c r="FH64" s="115"/>
      <c r="FI64" s="115"/>
      <c r="FJ64" s="115"/>
      <c r="FK64" s="115"/>
      <c r="FL64" s="115"/>
      <c r="FM64" s="115"/>
      <c r="FN64" s="115"/>
      <c r="FO64" s="115"/>
      <c r="FP64" s="115"/>
      <c r="FQ64" s="115"/>
      <c r="FR64" s="115"/>
      <c r="FS64" s="115"/>
      <c r="FT64" s="115"/>
      <c r="FU64" s="115"/>
      <c r="FV64" s="115"/>
      <c r="FW64" s="115"/>
      <c r="FX64" s="115"/>
      <c r="FY64" s="115"/>
      <c r="FZ64" s="115"/>
      <c r="GA64" s="115"/>
      <c r="GB64" s="115"/>
      <c r="GC64" s="115"/>
      <c r="GD64" s="115"/>
      <c r="GE64" s="115"/>
      <c r="GF64" s="115"/>
      <c r="GG64" s="115"/>
      <c r="GH64" s="115"/>
      <c r="GI64" s="115"/>
      <c r="GJ64" s="115"/>
      <c r="GK64" s="115"/>
      <c r="GL64" s="115"/>
      <c r="GM64" s="115"/>
      <c r="GN64" s="115"/>
      <c r="GO64" s="115"/>
      <c r="GP64" s="115"/>
      <c r="GQ64" s="115"/>
      <c r="GR64" s="115"/>
      <c r="GS64" s="115"/>
      <c r="GT64" s="115"/>
      <c r="GU64" s="115"/>
      <c r="GV64" s="115"/>
      <c r="GW64" s="115"/>
      <c r="GX64" s="115"/>
      <c r="GY64" s="115"/>
      <c r="GZ64" s="115"/>
      <c r="HA64" s="115"/>
      <c r="HB64" s="115"/>
      <c r="HC64" s="115"/>
      <c r="HD64" s="115"/>
      <c r="HE64" s="115"/>
      <c r="HF64" s="115"/>
      <c r="HG64" s="115"/>
      <c r="HH64" s="115"/>
      <c r="HI64" s="115"/>
      <c r="HJ64" s="115"/>
      <c r="HK64" s="115"/>
      <c r="HL64" s="115"/>
      <c r="HM64" s="115"/>
      <c r="HN64" s="115"/>
      <c r="HO64" s="115"/>
      <c r="HP64" s="115"/>
      <c r="HQ64" s="115"/>
      <c r="HR64" s="115"/>
      <c r="HS64" s="115"/>
      <c r="HT64" s="115"/>
      <c r="HU64" s="115"/>
      <c r="HV64" s="115"/>
      <c r="HW64" s="115"/>
      <c r="HX64" s="115"/>
      <c r="HY64" s="117"/>
      <c r="HZ64" s="117"/>
      <c r="IA64" s="117"/>
      <c r="IB64" s="117"/>
      <c r="IC64" s="117"/>
      <c r="ID64" s="117"/>
      <c r="IE64" s="117"/>
      <c r="IF64" s="117"/>
      <c r="IG64" s="117"/>
      <c r="IH64" s="117"/>
      <c r="II64" s="117"/>
      <c r="IJ64" s="117"/>
      <c r="IK64" s="117"/>
    </row>
    <row r="65" spans="1:245" ht="6" customHeight="1" thickBot="1">
      <c r="C65" s="239"/>
      <c r="D65" s="240"/>
      <c r="E65" s="240"/>
      <c r="F65" s="240"/>
      <c r="G65" s="240"/>
      <c r="H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1"/>
      <c r="AH65" s="114"/>
      <c r="AJ65" s="169"/>
      <c r="AK65" s="169"/>
      <c r="AL65" s="169"/>
      <c r="AM65" s="186"/>
      <c r="AN65" s="169"/>
      <c r="AO65" s="169"/>
      <c r="AP65" s="169"/>
      <c r="AQ65" s="184"/>
      <c r="AR65" s="184"/>
      <c r="AS65" s="184"/>
      <c r="AT65" s="184"/>
      <c r="AU65" s="185"/>
      <c r="AV65" s="116">
        <f t="shared" si="2"/>
        <v>4</v>
      </c>
      <c r="AW65" s="169"/>
      <c r="AX65" s="208"/>
      <c r="AY65" s="169"/>
      <c r="AZ65" s="169"/>
      <c r="BA65" s="169"/>
      <c r="BB65" s="169"/>
      <c r="BC65" s="169"/>
      <c r="BD65" s="169"/>
      <c r="BE65" s="169"/>
      <c r="BF65" s="169"/>
      <c r="BG65" s="169"/>
      <c r="BH65" s="169"/>
      <c r="BI65" s="169"/>
      <c r="BJ65" s="169"/>
      <c r="BK65" s="169"/>
      <c r="BL65" s="169"/>
      <c r="BM65" s="169"/>
      <c r="BN65" s="169"/>
      <c r="BO65" s="169"/>
      <c r="BP65" s="169"/>
      <c r="BQ65" s="186"/>
      <c r="BR65" s="186"/>
      <c r="BS65" s="186"/>
      <c r="BT65" s="186"/>
      <c r="BU65" s="186"/>
      <c r="BV65" s="186"/>
      <c r="BW65" s="186"/>
      <c r="BX65" s="186"/>
      <c r="BY65" s="186"/>
      <c r="BZ65" s="186"/>
      <c r="CA65" s="186"/>
      <c r="CB65" s="186"/>
      <c r="CC65" s="186"/>
      <c r="CD65" s="186"/>
      <c r="CE65" s="186"/>
      <c r="CF65" s="186"/>
      <c r="CG65" s="186"/>
      <c r="CH65" s="186"/>
      <c r="CI65" s="186"/>
      <c r="CJ65" s="186"/>
      <c r="CK65" s="186"/>
      <c r="CL65" s="186"/>
      <c r="CM65" s="186"/>
      <c r="CN65" s="186"/>
      <c r="CO65" s="186"/>
      <c r="CP65" s="186"/>
      <c r="CQ65" s="186"/>
      <c r="CR65" s="186"/>
      <c r="CS65" s="186"/>
      <c r="CT65" s="186"/>
      <c r="CU65" s="186"/>
      <c r="CV65" s="186"/>
      <c r="CW65" s="186"/>
      <c r="CX65" s="186"/>
      <c r="CY65" s="186"/>
      <c r="CZ65" s="186"/>
      <c r="DA65" s="186"/>
      <c r="DB65" s="186"/>
      <c r="DC65" s="186"/>
      <c r="DD65" s="186"/>
      <c r="DE65" s="186"/>
      <c r="DF65" s="186"/>
      <c r="DG65" s="186"/>
      <c r="DH65" s="186"/>
      <c r="DI65" s="186"/>
      <c r="DJ65" s="186"/>
      <c r="DK65" s="186"/>
      <c r="DL65" s="186"/>
      <c r="DM65" s="186"/>
      <c r="DN65" s="186"/>
      <c r="DO65" s="186"/>
      <c r="DP65" s="186"/>
      <c r="DQ65" s="186"/>
      <c r="DR65" s="186"/>
      <c r="DS65" s="186"/>
      <c r="DT65" s="186"/>
      <c r="DU65" s="186"/>
      <c r="DV65" s="186"/>
      <c r="DW65" s="186"/>
      <c r="DX65" s="186"/>
      <c r="DY65" s="186"/>
      <c r="DZ65" s="186"/>
      <c r="EA65" s="186"/>
      <c r="EB65" s="186"/>
      <c r="EC65" s="186"/>
      <c r="ED65" s="186"/>
      <c r="EE65" s="186"/>
      <c r="EF65" s="186"/>
      <c r="EG65" s="186"/>
      <c r="EH65" s="186"/>
      <c r="EI65" s="186"/>
      <c r="EJ65" s="186"/>
      <c r="EK65" s="186"/>
      <c r="EL65" s="186"/>
      <c r="EM65" s="186"/>
      <c r="EN65" s="186"/>
      <c r="EO65" s="186"/>
      <c r="EP65" s="186"/>
      <c r="EQ65" s="186"/>
      <c r="ER65" s="186"/>
      <c r="ES65" s="186"/>
      <c r="ET65" s="186"/>
      <c r="EU65" s="186"/>
      <c r="EV65" s="186"/>
      <c r="EW65" s="186"/>
      <c r="EX65" s="186"/>
      <c r="EY65" s="186"/>
      <c r="EZ65" s="186"/>
      <c r="FA65" s="186"/>
      <c r="FB65" s="186"/>
      <c r="FC65" s="186"/>
      <c r="FD65" s="186"/>
      <c r="FE65" s="186"/>
      <c r="FF65" s="186"/>
      <c r="FG65" s="186"/>
      <c r="FH65" s="186"/>
      <c r="FI65" s="186"/>
      <c r="FJ65" s="186"/>
      <c r="FK65" s="186"/>
      <c r="FL65" s="186"/>
      <c r="FM65" s="186"/>
      <c r="FN65" s="186"/>
      <c r="FO65" s="186"/>
      <c r="FP65" s="186"/>
      <c r="FQ65" s="186"/>
      <c r="FR65" s="186"/>
      <c r="FS65" s="186"/>
      <c r="FT65" s="186"/>
      <c r="FU65" s="186"/>
      <c r="FV65" s="186"/>
      <c r="FW65" s="186"/>
      <c r="FX65" s="186"/>
      <c r="FY65" s="186"/>
      <c r="FZ65" s="186"/>
      <c r="GA65" s="186"/>
      <c r="GB65" s="186"/>
      <c r="GC65" s="186"/>
      <c r="GD65" s="186"/>
      <c r="GE65" s="186"/>
      <c r="GF65" s="186"/>
      <c r="GG65" s="186"/>
      <c r="GH65" s="186"/>
      <c r="GI65" s="186"/>
      <c r="GJ65" s="186"/>
      <c r="GK65" s="186"/>
      <c r="GL65" s="186"/>
      <c r="GM65" s="186"/>
      <c r="GN65" s="186"/>
      <c r="GO65" s="186"/>
      <c r="GP65" s="186"/>
      <c r="GQ65" s="186"/>
      <c r="GR65" s="186"/>
      <c r="GS65" s="186"/>
      <c r="GT65" s="186"/>
      <c r="GU65" s="186"/>
      <c r="GV65" s="186"/>
      <c r="GW65" s="186"/>
      <c r="GX65" s="186"/>
      <c r="GY65" s="186"/>
      <c r="GZ65" s="186"/>
      <c r="HA65" s="186"/>
      <c r="HB65" s="186"/>
      <c r="HC65" s="186"/>
      <c r="HD65" s="186"/>
      <c r="HE65" s="186"/>
      <c r="HF65" s="186"/>
      <c r="HG65" s="186"/>
      <c r="HH65" s="186"/>
      <c r="HI65" s="186"/>
      <c r="HJ65" s="186"/>
      <c r="HK65" s="186"/>
      <c r="HL65" s="186"/>
      <c r="HM65" s="186"/>
      <c r="HN65" s="186"/>
      <c r="HO65" s="186"/>
      <c r="HP65" s="186"/>
      <c r="HQ65" s="186"/>
      <c r="HR65" s="186"/>
      <c r="HS65" s="186"/>
      <c r="HT65" s="186"/>
      <c r="HU65" s="186"/>
      <c r="HV65" s="186"/>
      <c r="HW65" s="186"/>
      <c r="HX65" s="186"/>
      <c r="HY65" s="187"/>
      <c r="HZ65" s="187"/>
      <c r="IA65" s="187"/>
      <c r="IB65" s="187"/>
      <c r="IC65" s="187"/>
      <c r="ID65" s="187"/>
      <c r="IE65" s="187"/>
      <c r="IF65" s="187"/>
      <c r="IG65" s="187"/>
      <c r="IH65" s="187"/>
      <c r="II65" s="187"/>
      <c r="IJ65" s="187"/>
      <c r="IK65" s="187"/>
    </row>
    <row r="66" spans="1:245" s="187" customFormat="1" ht="16.5" customHeight="1">
      <c r="A66" s="209"/>
      <c r="B66" s="112"/>
      <c r="C66" s="112"/>
      <c r="D66" s="112"/>
      <c r="E66" s="242"/>
      <c r="F66" s="243"/>
      <c r="G66" s="243"/>
      <c r="H66" s="243"/>
      <c r="I66" s="243"/>
      <c r="J66" s="244"/>
      <c r="K66" s="244"/>
      <c r="L66" s="244"/>
      <c r="M66" s="244"/>
      <c r="N66" s="244"/>
      <c r="O66" s="244"/>
      <c r="P66" s="244"/>
      <c r="Q66" s="244"/>
      <c r="R66" s="244"/>
      <c r="S66" s="244"/>
      <c r="T66" s="244"/>
      <c r="U66" s="244"/>
      <c r="V66" s="244"/>
      <c r="W66" s="244"/>
      <c r="X66" s="244"/>
      <c r="Y66" s="244"/>
      <c r="Z66" s="244"/>
      <c r="AA66" s="244"/>
      <c r="AB66" s="244"/>
      <c r="AC66" s="244"/>
      <c r="AD66" s="244"/>
      <c r="AE66" s="244"/>
      <c r="AF66" s="244"/>
      <c r="AG66" s="245"/>
      <c r="AH66" s="245"/>
      <c r="AI66" s="114"/>
      <c r="AJ66" s="116"/>
      <c r="AK66" s="116"/>
      <c r="AL66" s="116"/>
      <c r="AM66" s="115"/>
      <c r="AN66" s="116"/>
      <c r="AO66" s="116"/>
      <c r="AP66" s="116"/>
      <c r="AQ66" s="122"/>
      <c r="AR66" s="122"/>
      <c r="AS66" s="122"/>
      <c r="AT66" s="122"/>
      <c r="AU66" s="128"/>
      <c r="AV66" s="116">
        <f t="shared" si="2"/>
        <v>5</v>
      </c>
      <c r="AW66" s="116"/>
      <c r="AX66" s="137"/>
      <c r="AY66" s="116"/>
      <c r="AZ66" s="116"/>
      <c r="BA66" s="116"/>
      <c r="BB66" s="116"/>
      <c r="BC66" s="116"/>
      <c r="BD66" s="116"/>
      <c r="BE66" s="116"/>
      <c r="BF66" s="116"/>
      <c r="BG66" s="116"/>
      <c r="BH66" s="116"/>
      <c r="BI66" s="116"/>
      <c r="BJ66" s="116"/>
      <c r="BK66" s="116"/>
      <c r="BL66" s="116"/>
      <c r="BM66" s="116"/>
      <c r="BN66" s="116"/>
      <c r="BO66" s="116"/>
      <c r="BP66" s="116"/>
      <c r="BQ66" s="115"/>
      <c r="BR66" s="115"/>
      <c r="BS66" s="115"/>
      <c r="BT66" s="115"/>
      <c r="BU66" s="115"/>
      <c r="BV66" s="115"/>
      <c r="BW66" s="115"/>
      <c r="BX66" s="115"/>
      <c r="BY66" s="115"/>
      <c r="BZ66" s="115"/>
      <c r="CA66" s="115"/>
      <c r="CB66" s="115"/>
      <c r="CC66" s="115"/>
      <c r="CD66" s="115"/>
      <c r="CE66" s="115"/>
      <c r="CF66" s="115"/>
      <c r="CG66" s="115"/>
      <c r="CH66" s="115"/>
      <c r="CI66" s="115"/>
      <c r="CJ66" s="115"/>
      <c r="CK66" s="115"/>
      <c r="CL66" s="115"/>
      <c r="CM66" s="115"/>
      <c r="CN66" s="115"/>
      <c r="CO66" s="115"/>
      <c r="CP66" s="115"/>
      <c r="CQ66" s="115"/>
      <c r="CR66" s="115"/>
      <c r="CS66" s="115"/>
      <c r="CT66" s="115"/>
      <c r="CU66" s="115"/>
      <c r="CV66" s="115"/>
      <c r="CW66" s="115"/>
      <c r="CX66" s="115"/>
      <c r="CY66" s="115"/>
      <c r="CZ66" s="115"/>
      <c r="DA66" s="115"/>
      <c r="DB66" s="115"/>
      <c r="DC66" s="115"/>
      <c r="DD66" s="115"/>
      <c r="DE66" s="115"/>
      <c r="DF66" s="115"/>
      <c r="DG66" s="115"/>
      <c r="DH66" s="115"/>
      <c r="DI66" s="115"/>
      <c r="DJ66" s="115"/>
      <c r="DK66" s="115"/>
      <c r="DL66" s="115"/>
      <c r="DM66" s="115"/>
      <c r="DN66" s="115"/>
      <c r="DO66" s="115"/>
      <c r="DP66" s="115"/>
      <c r="DQ66" s="115"/>
      <c r="DR66" s="115"/>
      <c r="DS66" s="115"/>
      <c r="DT66" s="115"/>
      <c r="DU66" s="115"/>
      <c r="DV66" s="115"/>
      <c r="DW66" s="115"/>
      <c r="DX66" s="115"/>
      <c r="DY66" s="115"/>
      <c r="DZ66" s="115"/>
      <c r="EA66" s="115"/>
      <c r="EB66" s="115"/>
      <c r="EC66" s="115"/>
      <c r="ED66" s="115"/>
      <c r="EE66" s="115"/>
      <c r="EF66" s="115"/>
      <c r="EG66" s="115"/>
      <c r="EH66" s="115"/>
      <c r="EI66" s="115"/>
      <c r="EJ66" s="115"/>
      <c r="EK66" s="115"/>
      <c r="EL66" s="115"/>
      <c r="EM66" s="115"/>
      <c r="EN66" s="115"/>
      <c r="EO66" s="115"/>
      <c r="EP66" s="115"/>
      <c r="EQ66" s="115"/>
      <c r="ER66" s="115"/>
      <c r="ES66" s="115"/>
      <c r="ET66" s="115"/>
      <c r="EU66" s="115"/>
      <c r="EV66" s="115"/>
      <c r="EW66" s="115"/>
      <c r="EX66" s="115"/>
      <c r="EY66" s="115"/>
      <c r="EZ66" s="115"/>
      <c r="FA66" s="115"/>
      <c r="FB66" s="115"/>
      <c r="FC66" s="115"/>
      <c r="FD66" s="115"/>
      <c r="FE66" s="115"/>
      <c r="FF66" s="115"/>
      <c r="FG66" s="115"/>
      <c r="FH66" s="115"/>
      <c r="FI66" s="115"/>
      <c r="FJ66" s="115"/>
      <c r="FK66" s="115"/>
      <c r="FL66" s="115"/>
      <c r="FM66" s="115"/>
      <c r="FN66" s="115"/>
      <c r="FO66" s="115"/>
      <c r="FP66" s="115"/>
      <c r="FQ66" s="115"/>
      <c r="FR66" s="115"/>
      <c r="FS66" s="115"/>
      <c r="FT66" s="115"/>
      <c r="FU66" s="115"/>
      <c r="FV66" s="115"/>
      <c r="FW66" s="115"/>
      <c r="FX66" s="115"/>
      <c r="FY66" s="115"/>
      <c r="FZ66" s="115"/>
      <c r="GA66" s="115"/>
      <c r="GB66" s="115"/>
      <c r="GC66" s="115"/>
      <c r="GD66" s="115"/>
      <c r="GE66" s="115"/>
      <c r="GF66" s="115"/>
      <c r="GG66" s="115"/>
      <c r="GH66" s="115"/>
      <c r="GI66" s="115"/>
      <c r="GJ66" s="115"/>
      <c r="GK66" s="115"/>
      <c r="GL66" s="115"/>
      <c r="GM66" s="115"/>
      <c r="GN66" s="115"/>
      <c r="GO66" s="115"/>
      <c r="GP66" s="115"/>
      <c r="GQ66" s="115"/>
      <c r="GR66" s="115"/>
      <c r="GS66" s="115"/>
      <c r="GT66" s="115"/>
      <c r="GU66" s="115"/>
      <c r="GV66" s="115"/>
      <c r="GW66" s="115"/>
      <c r="GX66" s="115"/>
      <c r="GY66" s="115"/>
      <c r="GZ66" s="115"/>
      <c r="HA66" s="115"/>
      <c r="HB66" s="115"/>
      <c r="HC66" s="115"/>
      <c r="HD66" s="115"/>
      <c r="HE66" s="115"/>
      <c r="HF66" s="115"/>
      <c r="HG66" s="115"/>
      <c r="HH66" s="115"/>
      <c r="HI66" s="115"/>
      <c r="HJ66" s="115"/>
      <c r="HK66" s="115"/>
      <c r="HL66" s="115"/>
      <c r="HM66" s="115"/>
      <c r="HN66" s="115"/>
      <c r="HO66" s="115"/>
      <c r="HP66" s="115"/>
      <c r="HQ66" s="115"/>
      <c r="HR66" s="115"/>
      <c r="HS66" s="115"/>
      <c r="HT66" s="115"/>
      <c r="HU66" s="115"/>
      <c r="HV66" s="115"/>
      <c r="HW66" s="115"/>
      <c r="HX66" s="115"/>
      <c r="HY66" s="117"/>
      <c r="HZ66" s="117"/>
      <c r="IA66" s="117"/>
      <c r="IB66" s="117"/>
      <c r="IC66" s="117"/>
      <c r="ID66" s="117"/>
      <c r="IE66" s="117"/>
      <c r="IF66" s="117"/>
      <c r="IG66" s="117"/>
      <c r="IH66" s="117"/>
      <c r="II66" s="117"/>
      <c r="IJ66" s="117"/>
      <c r="IK66" s="117"/>
    </row>
    <row r="67" spans="1:245" ht="16.5" hidden="1" customHeight="1">
      <c r="C67" s="112"/>
      <c r="D67" s="112"/>
      <c r="E67" s="242"/>
      <c r="F67" s="243"/>
      <c r="G67" s="243"/>
      <c r="H67" s="243"/>
      <c r="I67" s="243"/>
      <c r="J67" s="244"/>
      <c r="K67" s="244"/>
      <c r="L67" s="244"/>
      <c r="M67" s="244"/>
      <c r="N67" s="244"/>
      <c r="O67" s="244"/>
      <c r="P67" s="244"/>
      <c r="Q67" s="244"/>
      <c r="R67" s="244"/>
      <c r="S67" s="244"/>
      <c r="T67" s="244"/>
      <c r="U67" s="244"/>
      <c r="V67" s="244"/>
      <c r="W67" s="244"/>
      <c r="X67" s="244"/>
      <c r="Y67" s="244"/>
      <c r="Z67" s="244"/>
      <c r="AA67" s="244"/>
      <c r="AB67" s="244"/>
      <c r="AC67" s="244"/>
      <c r="AD67" s="244"/>
      <c r="AE67" s="244"/>
      <c r="AF67" s="244"/>
      <c r="AG67" s="245"/>
      <c r="AH67" s="245"/>
      <c r="AJ67" s="116"/>
      <c r="AK67" s="116"/>
      <c r="AL67" s="116"/>
      <c r="AN67" s="116"/>
      <c r="AO67" s="116"/>
      <c r="AP67" s="116"/>
      <c r="AQ67" s="122"/>
      <c r="AR67" s="122"/>
      <c r="AS67" s="122"/>
      <c r="AT67" s="122"/>
      <c r="AU67" s="128"/>
      <c r="AV67" s="116">
        <f t="shared" si="2"/>
        <v>6</v>
      </c>
      <c r="AX67" s="137"/>
    </row>
    <row r="68" spans="1:245" ht="16.5" hidden="1" customHeight="1">
      <c r="C68" s="112"/>
      <c r="D68" s="242"/>
      <c r="E68" s="243"/>
      <c r="F68" s="243"/>
      <c r="G68" s="243"/>
      <c r="H68" s="243"/>
      <c r="I68" s="244"/>
      <c r="J68" s="244"/>
      <c r="K68" s="244"/>
      <c r="L68" s="244"/>
      <c r="M68" s="244"/>
      <c r="N68" s="244"/>
      <c r="O68" s="244"/>
      <c r="P68" s="244"/>
      <c r="Q68" s="244"/>
      <c r="R68" s="244"/>
      <c r="S68" s="244"/>
      <c r="T68" s="244"/>
      <c r="U68" s="244"/>
      <c r="V68" s="244"/>
      <c r="W68" s="244"/>
      <c r="X68" s="244"/>
      <c r="Y68" s="244"/>
      <c r="Z68" s="244"/>
      <c r="AA68" s="244"/>
      <c r="AB68" s="244"/>
      <c r="AC68" s="244"/>
      <c r="AD68" s="244"/>
      <c r="AE68" s="244"/>
      <c r="AF68" s="245"/>
      <c r="AG68" s="245"/>
      <c r="AH68" s="114"/>
      <c r="AJ68" s="116"/>
      <c r="AK68" s="116"/>
      <c r="AL68" s="116"/>
      <c r="AN68" s="116"/>
      <c r="AO68" s="116"/>
      <c r="AP68" s="116"/>
      <c r="AQ68" s="122"/>
      <c r="AR68" s="122"/>
      <c r="AS68" s="122"/>
      <c r="AT68" s="122"/>
      <c r="AU68" s="128"/>
      <c r="AV68" s="116">
        <f t="shared" si="2"/>
        <v>7</v>
      </c>
      <c r="AX68" s="137"/>
    </row>
    <row r="69" spans="1:245" ht="16.5" hidden="1" customHeight="1">
      <c r="C69" s="112"/>
      <c r="D69" s="242"/>
      <c r="E69" s="243"/>
      <c r="F69" s="243"/>
      <c r="G69" s="243"/>
      <c r="H69" s="243"/>
      <c r="I69" s="243"/>
      <c r="J69" s="243"/>
      <c r="K69" s="243"/>
      <c r="L69" s="243"/>
      <c r="M69" s="243"/>
      <c r="N69" s="243"/>
      <c r="O69" s="243"/>
      <c r="P69" s="243"/>
      <c r="Q69" s="243"/>
      <c r="R69" s="243"/>
      <c r="S69" s="243"/>
      <c r="T69" s="243"/>
      <c r="U69" s="243"/>
      <c r="V69" s="243"/>
      <c r="W69" s="243"/>
      <c r="X69" s="243"/>
      <c r="Y69" s="243"/>
      <c r="Z69" s="243"/>
      <c r="AA69" s="243"/>
      <c r="AB69" s="243"/>
      <c r="AC69" s="243"/>
      <c r="AD69" s="243"/>
      <c r="AE69" s="243"/>
      <c r="AF69" s="243"/>
      <c r="AG69" s="243"/>
      <c r="AH69" s="114"/>
      <c r="AJ69" s="395"/>
      <c r="AK69" s="396"/>
      <c r="AL69" s="396"/>
      <c r="AM69" s="396"/>
      <c r="AN69" s="397"/>
      <c r="AO69" s="116"/>
      <c r="AP69" s="116"/>
      <c r="AQ69" s="122"/>
      <c r="AR69" s="122"/>
      <c r="AS69" s="122"/>
      <c r="AT69" s="122"/>
      <c r="AU69" s="128"/>
      <c r="AV69" s="116">
        <f t="shared" ref="AV69:AV79" si="7">+AV68+1</f>
        <v>8</v>
      </c>
      <c r="AX69" s="137"/>
    </row>
    <row r="70" spans="1:245" hidden="1">
      <c r="C70" s="112"/>
      <c r="D70" s="246"/>
      <c r="E70" s="246"/>
      <c r="F70" s="246"/>
      <c r="G70" s="246"/>
      <c r="H70" s="246"/>
      <c r="I70" s="246"/>
      <c r="J70" s="246"/>
      <c r="K70" s="246"/>
      <c r="L70" s="246"/>
      <c r="M70" s="246"/>
      <c r="N70" s="246"/>
      <c r="O70" s="246"/>
      <c r="P70" s="246"/>
      <c r="Q70" s="246"/>
      <c r="R70" s="246"/>
      <c r="S70" s="246"/>
      <c r="T70" s="246"/>
      <c r="U70" s="246"/>
      <c r="V70" s="246"/>
      <c r="W70" s="246"/>
      <c r="X70" s="246"/>
      <c r="Y70" s="246"/>
      <c r="Z70" s="246"/>
      <c r="AA70" s="246"/>
      <c r="AB70" s="246"/>
      <c r="AC70" s="246"/>
      <c r="AD70" s="246"/>
      <c r="AE70" s="246"/>
      <c r="AF70" s="246"/>
      <c r="AG70" s="246"/>
      <c r="AH70" s="114"/>
      <c r="AJ70" s="164"/>
      <c r="AK70" s="116"/>
      <c r="AL70" s="116"/>
      <c r="AN70" s="116"/>
      <c r="AO70" s="116"/>
      <c r="AP70" s="116"/>
      <c r="AQ70" s="122"/>
      <c r="AR70" s="122"/>
      <c r="AS70" s="122"/>
      <c r="AT70" s="122"/>
      <c r="AU70" s="128"/>
      <c r="AV70" s="116">
        <f t="shared" si="7"/>
        <v>9</v>
      </c>
      <c r="AX70" s="137"/>
    </row>
    <row r="71" spans="1:245" hidden="1">
      <c r="C71" s="112"/>
      <c r="D71" s="246"/>
      <c r="E71" s="246"/>
      <c r="F71" s="246"/>
      <c r="G71" s="246"/>
      <c r="H71" s="246"/>
      <c r="I71" s="246"/>
      <c r="J71" s="246"/>
      <c r="K71" s="246"/>
      <c r="L71" s="246"/>
      <c r="M71" s="246"/>
      <c r="N71" s="246"/>
      <c r="O71" s="246"/>
      <c r="P71" s="246"/>
      <c r="Q71" s="246"/>
      <c r="R71" s="246"/>
      <c r="S71" s="246"/>
      <c r="T71" s="246"/>
      <c r="U71" s="246"/>
      <c r="V71" s="246"/>
      <c r="W71" s="246"/>
      <c r="X71" s="246"/>
      <c r="Y71" s="246"/>
      <c r="Z71" s="246"/>
      <c r="AA71" s="246"/>
      <c r="AB71" s="246"/>
      <c r="AC71" s="246"/>
      <c r="AD71" s="246"/>
      <c r="AE71" s="246"/>
      <c r="AF71" s="246"/>
      <c r="AG71" s="245"/>
      <c r="AH71" s="114"/>
      <c r="AJ71" s="116"/>
      <c r="AK71" s="116"/>
      <c r="AL71" s="116"/>
      <c r="AN71" s="116"/>
      <c r="AO71" s="116"/>
      <c r="AP71" s="116"/>
      <c r="AQ71" s="122"/>
      <c r="AR71" s="122"/>
      <c r="AS71" s="122"/>
      <c r="AT71" s="122"/>
      <c r="AU71" s="128"/>
      <c r="AV71" s="116">
        <f t="shared" si="7"/>
        <v>10</v>
      </c>
      <c r="AX71" s="137"/>
    </row>
    <row r="72" spans="1:245" hidden="1">
      <c r="C72" s="112"/>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5"/>
      <c r="AH72" s="114"/>
      <c r="AJ72" s="116"/>
      <c r="AK72" s="116"/>
      <c r="AL72" s="116"/>
      <c r="AN72" s="116"/>
      <c r="AO72" s="116"/>
      <c r="AP72" s="116"/>
      <c r="AQ72" s="122"/>
      <c r="AR72" s="122"/>
      <c r="AS72" s="122"/>
      <c r="AT72" s="122"/>
      <c r="AU72" s="128"/>
      <c r="AV72" s="116">
        <f t="shared" si="7"/>
        <v>11</v>
      </c>
      <c r="AX72" s="137"/>
    </row>
    <row r="73" spans="1:245" hidden="1">
      <c r="C73" s="112"/>
      <c r="D73" s="246"/>
      <c r="E73" s="246"/>
      <c r="F73" s="246"/>
      <c r="G73" s="246"/>
      <c r="H73" s="246"/>
      <c r="I73" s="246"/>
      <c r="J73" s="246"/>
      <c r="K73" s="246"/>
      <c r="L73" s="246"/>
      <c r="M73" s="246"/>
      <c r="N73" s="246"/>
      <c r="O73" s="246"/>
      <c r="P73" s="246"/>
      <c r="Q73" s="246"/>
      <c r="R73" s="246"/>
      <c r="S73" s="246"/>
      <c r="T73" s="246"/>
      <c r="U73" s="246"/>
      <c r="V73" s="246"/>
      <c r="W73" s="246"/>
      <c r="X73" s="246"/>
      <c r="Y73" s="246"/>
      <c r="Z73" s="246"/>
      <c r="AA73" s="246"/>
      <c r="AB73" s="246"/>
      <c r="AC73" s="246"/>
      <c r="AD73" s="246"/>
      <c r="AE73" s="246"/>
      <c r="AF73" s="245"/>
      <c r="AG73" s="245"/>
      <c r="AH73" s="114"/>
      <c r="AJ73" s="122"/>
      <c r="AK73" s="116"/>
      <c r="AL73" s="116"/>
      <c r="AN73" s="116"/>
      <c r="AO73" s="116"/>
      <c r="AP73" s="116"/>
      <c r="AQ73" s="122"/>
      <c r="AR73" s="122"/>
      <c r="AS73" s="122"/>
      <c r="AT73" s="122"/>
      <c r="AU73" s="128"/>
      <c r="AV73" s="116">
        <f t="shared" si="7"/>
        <v>12</v>
      </c>
      <c r="AX73" s="137"/>
    </row>
    <row r="74" spans="1:245" hidden="1">
      <c r="C74" s="114"/>
      <c r="D74" s="247"/>
      <c r="E74" s="247"/>
      <c r="F74" s="247"/>
      <c r="G74" s="247"/>
      <c r="H74" s="247"/>
      <c r="I74" s="247"/>
      <c r="J74" s="247"/>
      <c r="K74" s="247"/>
      <c r="L74" s="247"/>
      <c r="M74" s="247"/>
      <c r="N74" s="247"/>
      <c r="O74" s="247"/>
      <c r="P74" s="247"/>
      <c r="Q74" s="247"/>
      <c r="R74" s="247"/>
      <c r="S74" s="247"/>
      <c r="T74" s="247"/>
      <c r="U74" s="247"/>
      <c r="V74" s="247"/>
      <c r="W74" s="247"/>
      <c r="X74" s="247"/>
      <c r="Y74" s="247"/>
      <c r="Z74" s="247"/>
      <c r="AA74" s="247"/>
      <c r="AB74" s="247"/>
      <c r="AC74" s="247"/>
      <c r="AD74" s="247"/>
      <c r="AE74" s="247"/>
      <c r="AF74" s="248"/>
      <c r="AG74" s="248"/>
      <c r="AH74" s="114"/>
      <c r="AJ74" s="182"/>
      <c r="AK74" s="182"/>
      <c r="AL74" s="182"/>
      <c r="AM74" s="207"/>
      <c r="AN74" s="182"/>
      <c r="AO74" s="182"/>
      <c r="AP74" s="182"/>
      <c r="AQ74" s="183"/>
      <c r="AR74" s="183"/>
      <c r="AS74" s="183"/>
      <c r="AT74" s="183"/>
      <c r="AU74" s="206"/>
      <c r="AV74" s="116">
        <f t="shared" si="7"/>
        <v>13</v>
      </c>
      <c r="AW74" s="182"/>
      <c r="AX74" s="249"/>
      <c r="AY74" s="182"/>
      <c r="AZ74" s="182"/>
      <c r="BA74" s="182"/>
      <c r="BB74" s="182"/>
      <c r="BC74" s="182"/>
      <c r="BD74" s="182"/>
      <c r="BE74" s="182"/>
      <c r="BF74" s="182"/>
      <c r="BG74" s="182"/>
      <c r="BH74" s="182"/>
      <c r="BI74" s="182"/>
      <c r="BJ74" s="182"/>
      <c r="BK74" s="182"/>
      <c r="BL74" s="182"/>
      <c r="BM74" s="182"/>
      <c r="BN74" s="182"/>
      <c r="BO74" s="182"/>
      <c r="BP74" s="182"/>
      <c r="BQ74" s="207"/>
      <c r="BR74" s="207"/>
      <c r="BS74" s="207"/>
      <c r="BT74" s="207"/>
      <c r="BU74" s="207"/>
      <c r="BV74" s="207"/>
      <c r="BW74" s="207"/>
      <c r="BX74" s="207"/>
      <c r="BY74" s="207"/>
      <c r="BZ74" s="207"/>
      <c r="CA74" s="207"/>
      <c r="CB74" s="207"/>
      <c r="CC74" s="207"/>
      <c r="CD74" s="207"/>
      <c r="CE74" s="207"/>
      <c r="CF74" s="207"/>
      <c r="CG74" s="207"/>
      <c r="CH74" s="207"/>
      <c r="CI74" s="207"/>
      <c r="CJ74" s="207"/>
      <c r="CK74" s="207"/>
      <c r="CL74" s="207"/>
      <c r="CM74" s="207"/>
      <c r="CN74" s="207"/>
      <c r="CO74" s="207"/>
      <c r="CP74" s="207"/>
      <c r="CQ74" s="207"/>
      <c r="CR74" s="207"/>
      <c r="CS74" s="207"/>
      <c r="CT74" s="207"/>
      <c r="CU74" s="207"/>
      <c r="CV74" s="207"/>
      <c r="CW74" s="207"/>
      <c r="CX74" s="207"/>
      <c r="CY74" s="207"/>
      <c r="CZ74" s="207"/>
      <c r="DA74" s="207"/>
      <c r="DB74" s="207"/>
      <c r="DC74" s="207"/>
      <c r="DD74" s="207"/>
      <c r="DE74" s="207"/>
      <c r="DF74" s="207"/>
      <c r="DG74" s="207"/>
      <c r="DH74" s="207"/>
      <c r="DI74" s="207"/>
      <c r="DJ74" s="207"/>
      <c r="DK74" s="207"/>
      <c r="DL74" s="207"/>
      <c r="DM74" s="207"/>
      <c r="DN74" s="207"/>
      <c r="DO74" s="207"/>
      <c r="DP74" s="207"/>
      <c r="DQ74" s="207"/>
      <c r="DR74" s="207"/>
      <c r="DS74" s="207"/>
      <c r="DT74" s="207"/>
      <c r="DU74" s="207"/>
      <c r="DV74" s="207"/>
      <c r="DW74" s="207"/>
      <c r="DX74" s="207"/>
      <c r="DY74" s="207"/>
      <c r="DZ74" s="207"/>
      <c r="EA74" s="207"/>
      <c r="EB74" s="207"/>
      <c r="EC74" s="207"/>
      <c r="ED74" s="207"/>
      <c r="EE74" s="207"/>
      <c r="EF74" s="207"/>
      <c r="EG74" s="207"/>
      <c r="EH74" s="207"/>
      <c r="EI74" s="207"/>
      <c r="EJ74" s="207"/>
      <c r="EK74" s="207"/>
      <c r="EL74" s="207"/>
      <c r="EM74" s="207"/>
      <c r="EN74" s="207"/>
      <c r="EO74" s="207"/>
      <c r="EP74" s="207"/>
      <c r="EQ74" s="207"/>
      <c r="ER74" s="207"/>
      <c r="ES74" s="207"/>
      <c r="ET74" s="207"/>
      <c r="EU74" s="207"/>
      <c r="EV74" s="207"/>
      <c r="EW74" s="207"/>
      <c r="EX74" s="207"/>
      <c r="EY74" s="207"/>
      <c r="EZ74" s="207"/>
      <c r="FA74" s="207"/>
      <c r="FB74" s="207"/>
      <c r="FC74" s="207"/>
      <c r="FD74" s="207"/>
      <c r="FE74" s="207"/>
      <c r="FF74" s="207"/>
      <c r="FG74" s="207"/>
      <c r="FH74" s="207"/>
      <c r="FI74" s="207"/>
      <c r="FJ74" s="207"/>
      <c r="FK74" s="207"/>
      <c r="FL74" s="207"/>
      <c r="FM74" s="207"/>
      <c r="FN74" s="207"/>
      <c r="FO74" s="207"/>
      <c r="FP74" s="207"/>
      <c r="FQ74" s="207"/>
      <c r="FR74" s="207"/>
      <c r="FS74" s="207"/>
      <c r="FT74" s="207"/>
      <c r="FU74" s="207"/>
      <c r="FV74" s="207"/>
      <c r="FW74" s="207"/>
      <c r="FX74" s="207"/>
      <c r="FY74" s="207"/>
      <c r="FZ74" s="207"/>
      <c r="GA74" s="207"/>
      <c r="GB74" s="207"/>
      <c r="GC74" s="207"/>
      <c r="GD74" s="207"/>
      <c r="GE74" s="207"/>
      <c r="GF74" s="207"/>
      <c r="GG74" s="207"/>
      <c r="GH74" s="207"/>
      <c r="GI74" s="207"/>
      <c r="GJ74" s="207"/>
      <c r="GK74" s="207"/>
      <c r="GL74" s="207"/>
      <c r="GM74" s="207"/>
      <c r="GN74" s="207"/>
      <c r="GO74" s="207"/>
      <c r="GP74" s="207"/>
      <c r="GQ74" s="207"/>
      <c r="GR74" s="207"/>
      <c r="GS74" s="207"/>
      <c r="GT74" s="207"/>
      <c r="GU74" s="207"/>
      <c r="GV74" s="207"/>
      <c r="GW74" s="207"/>
      <c r="GX74" s="207"/>
      <c r="GY74" s="207"/>
      <c r="GZ74" s="207"/>
      <c r="HA74" s="207"/>
      <c r="HB74" s="207"/>
      <c r="HC74" s="207"/>
      <c r="HD74" s="207"/>
      <c r="HE74" s="207"/>
      <c r="HF74" s="207"/>
      <c r="HG74" s="207"/>
      <c r="HH74" s="207"/>
      <c r="HI74" s="207"/>
      <c r="HJ74" s="207"/>
      <c r="HK74" s="207"/>
      <c r="HL74" s="207"/>
      <c r="HM74" s="207"/>
      <c r="HN74" s="207"/>
      <c r="HO74" s="207"/>
      <c r="HP74" s="207"/>
      <c r="HQ74" s="207"/>
      <c r="HR74" s="207"/>
      <c r="HS74" s="207"/>
      <c r="HT74" s="207"/>
      <c r="HU74" s="207"/>
      <c r="HV74" s="207"/>
      <c r="HW74" s="207"/>
      <c r="HX74" s="207"/>
      <c r="HY74" s="162"/>
      <c r="HZ74" s="162"/>
      <c r="IA74" s="162"/>
      <c r="IB74" s="162"/>
      <c r="IC74" s="162"/>
      <c r="ID74" s="162"/>
      <c r="IE74" s="162"/>
      <c r="IF74" s="162"/>
      <c r="IG74" s="162"/>
      <c r="IH74" s="162"/>
      <c r="II74" s="162"/>
      <c r="IJ74" s="162"/>
      <c r="IK74" s="162"/>
    </row>
    <row r="75" spans="1:245" s="162" customFormat="1" hidden="1">
      <c r="A75" s="113"/>
      <c r="B75" s="112"/>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c r="AA75" s="114"/>
      <c r="AB75" s="114"/>
      <c r="AC75" s="114"/>
      <c r="AD75" s="114"/>
      <c r="AE75" s="114"/>
      <c r="AF75" s="114"/>
      <c r="AG75" s="114"/>
      <c r="AH75" s="114"/>
      <c r="AI75" s="114"/>
      <c r="AJ75" s="182"/>
      <c r="AK75" s="182"/>
      <c r="AL75" s="182"/>
      <c r="AM75" s="207"/>
      <c r="AN75" s="182"/>
      <c r="AO75" s="182"/>
      <c r="AP75" s="182"/>
      <c r="AQ75" s="183"/>
      <c r="AR75" s="183"/>
      <c r="AS75" s="183"/>
      <c r="AT75" s="183"/>
      <c r="AU75" s="206"/>
      <c r="AV75" s="116">
        <f t="shared" si="7"/>
        <v>14</v>
      </c>
      <c r="AW75" s="182"/>
      <c r="AX75" s="249"/>
      <c r="AY75" s="182"/>
      <c r="AZ75" s="182"/>
      <c r="BA75" s="182"/>
      <c r="BB75" s="182"/>
      <c r="BC75" s="182"/>
      <c r="BD75" s="182"/>
      <c r="BE75" s="182"/>
      <c r="BF75" s="182"/>
      <c r="BG75" s="182"/>
      <c r="BH75" s="182"/>
      <c r="BI75" s="182"/>
      <c r="BJ75" s="182"/>
      <c r="BK75" s="182"/>
      <c r="BL75" s="182"/>
      <c r="BM75" s="182"/>
      <c r="BN75" s="182"/>
      <c r="BO75" s="182"/>
      <c r="BP75" s="182"/>
      <c r="BQ75" s="207"/>
      <c r="BR75" s="207"/>
      <c r="BS75" s="207"/>
      <c r="BT75" s="207"/>
      <c r="BU75" s="207"/>
      <c r="BV75" s="207"/>
      <c r="BW75" s="207"/>
      <c r="BX75" s="207"/>
      <c r="BY75" s="207"/>
      <c r="BZ75" s="207"/>
      <c r="CA75" s="207"/>
      <c r="CB75" s="207"/>
      <c r="CC75" s="207"/>
      <c r="CD75" s="207"/>
      <c r="CE75" s="207"/>
      <c r="CF75" s="207"/>
      <c r="CG75" s="207"/>
      <c r="CH75" s="207"/>
      <c r="CI75" s="207"/>
      <c r="CJ75" s="207"/>
      <c r="CK75" s="207"/>
      <c r="CL75" s="207"/>
      <c r="CM75" s="207"/>
      <c r="CN75" s="207"/>
      <c r="CO75" s="207"/>
      <c r="CP75" s="207"/>
      <c r="CQ75" s="207"/>
      <c r="CR75" s="207"/>
      <c r="CS75" s="207"/>
      <c r="CT75" s="207"/>
      <c r="CU75" s="207"/>
      <c r="CV75" s="207"/>
      <c r="CW75" s="207"/>
      <c r="CX75" s="207"/>
      <c r="CY75" s="207"/>
      <c r="CZ75" s="207"/>
      <c r="DA75" s="207"/>
      <c r="DB75" s="207"/>
      <c r="DC75" s="207"/>
      <c r="DD75" s="207"/>
      <c r="DE75" s="207"/>
      <c r="DF75" s="207"/>
      <c r="DG75" s="207"/>
      <c r="DH75" s="207"/>
      <c r="DI75" s="207"/>
      <c r="DJ75" s="207"/>
      <c r="DK75" s="207"/>
      <c r="DL75" s="207"/>
      <c r="DM75" s="207"/>
      <c r="DN75" s="207"/>
      <c r="DO75" s="207"/>
      <c r="DP75" s="207"/>
      <c r="DQ75" s="207"/>
      <c r="DR75" s="207"/>
      <c r="DS75" s="207"/>
      <c r="DT75" s="207"/>
      <c r="DU75" s="207"/>
      <c r="DV75" s="207"/>
      <c r="DW75" s="207"/>
      <c r="DX75" s="207"/>
      <c r="DY75" s="207"/>
      <c r="DZ75" s="207"/>
      <c r="EA75" s="207"/>
      <c r="EB75" s="207"/>
      <c r="EC75" s="207"/>
      <c r="ED75" s="207"/>
      <c r="EE75" s="207"/>
      <c r="EF75" s="207"/>
      <c r="EG75" s="207"/>
      <c r="EH75" s="207"/>
      <c r="EI75" s="207"/>
      <c r="EJ75" s="207"/>
      <c r="EK75" s="207"/>
      <c r="EL75" s="207"/>
      <c r="EM75" s="207"/>
      <c r="EN75" s="207"/>
      <c r="EO75" s="207"/>
      <c r="EP75" s="207"/>
      <c r="EQ75" s="207"/>
      <c r="ER75" s="207"/>
      <c r="ES75" s="207"/>
      <c r="ET75" s="207"/>
      <c r="EU75" s="207"/>
      <c r="EV75" s="207"/>
      <c r="EW75" s="207"/>
      <c r="EX75" s="207"/>
      <c r="EY75" s="207"/>
      <c r="EZ75" s="207"/>
      <c r="FA75" s="207"/>
      <c r="FB75" s="207"/>
      <c r="FC75" s="207"/>
      <c r="FD75" s="207"/>
      <c r="FE75" s="207"/>
      <c r="FF75" s="207"/>
      <c r="FG75" s="207"/>
      <c r="FH75" s="207"/>
      <c r="FI75" s="207"/>
      <c r="FJ75" s="207"/>
      <c r="FK75" s="207"/>
      <c r="FL75" s="207"/>
      <c r="FM75" s="207"/>
      <c r="FN75" s="207"/>
      <c r="FO75" s="207"/>
      <c r="FP75" s="207"/>
      <c r="FQ75" s="207"/>
      <c r="FR75" s="207"/>
      <c r="FS75" s="207"/>
      <c r="FT75" s="207"/>
      <c r="FU75" s="207"/>
      <c r="FV75" s="207"/>
      <c r="FW75" s="207"/>
      <c r="FX75" s="207"/>
      <c r="FY75" s="207"/>
      <c r="FZ75" s="207"/>
      <c r="GA75" s="207"/>
      <c r="GB75" s="207"/>
      <c r="GC75" s="207"/>
      <c r="GD75" s="207"/>
      <c r="GE75" s="207"/>
      <c r="GF75" s="207"/>
      <c r="GG75" s="207"/>
      <c r="GH75" s="207"/>
      <c r="GI75" s="207"/>
      <c r="GJ75" s="207"/>
      <c r="GK75" s="207"/>
      <c r="GL75" s="207"/>
      <c r="GM75" s="207"/>
      <c r="GN75" s="207"/>
      <c r="GO75" s="207"/>
      <c r="GP75" s="207"/>
      <c r="GQ75" s="207"/>
      <c r="GR75" s="207"/>
      <c r="GS75" s="207"/>
      <c r="GT75" s="207"/>
      <c r="GU75" s="207"/>
      <c r="GV75" s="207"/>
      <c r="GW75" s="207"/>
      <c r="GX75" s="207"/>
      <c r="GY75" s="207"/>
      <c r="GZ75" s="207"/>
      <c r="HA75" s="207"/>
      <c r="HB75" s="207"/>
      <c r="HC75" s="207"/>
      <c r="HD75" s="207"/>
      <c r="HE75" s="207"/>
      <c r="HF75" s="207"/>
      <c r="HG75" s="207"/>
      <c r="HH75" s="207"/>
      <c r="HI75" s="207"/>
      <c r="HJ75" s="207"/>
      <c r="HK75" s="207"/>
      <c r="HL75" s="207"/>
      <c r="HM75" s="207"/>
      <c r="HN75" s="207"/>
      <c r="HO75" s="207"/>
      <c r="HP75" s="207"/>
      <c r="HQ75" s="207"/>
      <c r="HR75" s="207"/>
      <c r="HS75" s="207"/>
      <c r="HT75" s="207"/>
      <c r="HU75" s="207"/>
      <c r="HV75" s="207"/>
      <c r="HW75" s="207"/>
      <c r="HX75" s="207"/>
    </row>
    <row r="76" spans="1:245" s="162" customFormat="1" hidden="1">
      <c r="A76" s="113"/>
      <c r="B76" s="112"/>
      <c r="C76" s="250"/>
      <c r="D76" s="250"/>
      <c r="E76" s="250"/>
      <c r="F76" s="250"/>
      <c r="G76" s="250"/>
      <c r="H76" s="250"/>
      <c r="I76" s="250"/>
      <c r="J76" s="250"/>
      <c r="K76" s="250"/>
      <c r="L76" s="250"/>
      <c r="M76" s="250"/>
      <c r="N76" s="250"/>
      <c r="O76" s="250"/>
      <c r="P76" s="250"/>
      <c r="Q76" s="250"/>
      <c r="R76" s="250"/>
      <c r="S76" s="250"/>
      <c r="T76" s="250"/>
      <c r="U76" s="250"/>
      <c r="V76" s="250"/>
      <c r="W76" s="250"/>
      <c r="X76" s="250"/>
      <c r="Y76" s="250"/>
      <c r="Z76" s="250"/>
      <c r="AA76" s="250"/>
      <c r="AB76" s="250"/>
      <c r="AC76" s="250"/>
      <c r="AD76" s="250"/>
      <c r="AE76" s="250"/>
      <c r="AF76" s="250"/>
      <c r="AG76" s="250"/>
      <c r="AH76" s="114"/>
      <c r="AI76" s="114"/>
      <c r="AJ76" s="182"/>
      <c r="AK76" s="182"/>
      <c r="AL76" s="182"/>
      <c r="AM76" s="182"/>
      <c r="AN76" s="182"/>
      <c r="AO76" s="182"/>
      <c r="AP76" s="182"/>
      <c r="AQ76" s="183"/>
      <c r="AR76" s="183">
        <f>1+AR42</f>
        <v>20</v>
      </c>
      <c r="AS76" s="183"/>
      <c r="AT76" s="183"/>
      <c r="AU76" s="206">
        <f>+AU42+1%</f>
        <v>0.34</v>
      </c>
      <c r="AV76" s="116">
        <f t="shared" si="7"/>
        <v>15</v>
      </c>
      <c r="AW76" s="182">
        <v>9</v>
      </c>
      <c r="AX76" s="251" t="s">
        <v>64</v>
      </c>
      <c r="AY76" s="251"/>
      <c r="AZ76" s="251"/>
      <c r="BA76" s="251"/>
      <c r="BB76" s="251"/>
      <c r="BC76" s="251"/>
      <c r="BD76" s="251"/>
      <c r="BE76" s="251"/>
      <c r="BF76" s="251"/>
      <c r="BG76" s="251"/>
      <c r="BH76" s="251"/>
      <c r="BI76" s="251"/>
      <c r="BJ76" s="251"/>
      <c r="BK76" s="251"/>
      <c r="BL76" s="251"/>
      <c r="BM76" s="251"/>
      <c r="BN76" s="251"/>
      <c r="BO76" s="251"/>
      <c r="BP76" s="182"/>
      <c r="BQ76" s="207"/>
      <c r="BR76" s="207"/>
      <c r="BS76" s="207"/>
      <c r="BT76" s="207"/>
      <c r="BU76" s="207"/>
      <c r="BV76" s="207"/>
      <c r="BW76" s="207"/>
      <c r="BX76" s="207"/>
      <c r="BY76" s="207"/>
      <c r="BZ76" s="207"/>
      <c r="CA76" s="207"/>
      <c r="CB76" s="207"/>
      <c r="CC76" s="207"/>
      <c r="CD76" s="207"/>
      <c r="CE76" s="207"/>
      <c r="CF76" s="207"/>
      <c r="CG76" s="207"/>
      <c r="CH76" s="207"/>
      <c r="CI76" s="207"/>
      <c r="CJ76" s="207"/>
      <c r="CK76" s="207"/>
      <c r="CL76" s="207"/>
      <c r="CM76" s="207"/>
      <c r="CN76" s="207"/>
      <c r="CO76" s="207"/>
      <c r="CP76" s="207"/>
      <c r="CQ76" s="207"/>
      <c r="CR76" s="207"/>
      <c r="CS76" s="207"/>
      <c r="CT76" s="207"/>
      <c r="CU76" s="207"/>
      <c r="CV76" s="207"/>
      <c r="CW76" s="207"/>
      <c r="CX76" s="207"/>
      <c r="CY76" s="207"/>
      <c r="CZ76" s="207"/>
      <c r="DA76" s="207"/>
      <c r="DB76" s="207"/>
      <c r="DC76" s="207"/>
      <c r="DD76" s="207"/>
      <c r="DE76" s="207"/>
      <c r="DF76" s="207"/>
      <c r="DG76" s="207"/>
      <c r="DH76" s="207"/>
      <c r="DI76" s="207"/>
      <c r="DJ76" s="207"/>
      <c r="DK76" s="207"/>
      <c r="DL76" s="207"/>
      <c r="DM76" s="207"/>
      <c r="DN76" s="207"/>
      <c r="DO76" s="207"/>
      <c r="DP76" s="207"/>
      <c r="DQ76" s="207"/>
      <c r="DR76" s="207"/>
      <c r="DS76" s="207"/>
      <c r="DT76" s="207"/>
      <c r="DU76" s="207"/>
      <c r="DV76" s="207"/>
      <c r="DW76" s="207"/>
      <c r="DX76" s="207"/>
      <c r="DY76" s="207"/>
      <c r="DZ76" s="207"/>
      <c r="EA76" s="207"/>
      <c r="EB76" s="207"/>
      <c r="EC76" s="207"/>
      <c r="ED76" s="207"/>
      <c r="EE76" s="207"/>
      <c r="EF76" s="207"/>
      <c r="EG76" s="207"/>
      <c r="EH76" s="207"/>
      <c r="EI76" s="207"/>
      <c r="EJ76" s="207"/>
      <c r="EK76" s="207"/>
      <c r="EL76" s="207"/>
      <c r="EM76" s="207"/>
      <c r="EN76" s="207"/>
      <c r="EO76" s="207"/>
      <c r="EP76" s="207"/>
      <c r="EQ76" s="207"/>
      <c r="ER76" s="207"/>
      <c r="ES76" s="207"/>
      <c r="ET76" s="207"/>
      <c r="EU76" s="207"/>
      <c r="EV76" s="207"/>
      <c r="EW76" s="207"/>
      <c r="EX76" s="207"/>
      <c r="EY76" s="207"/>
      <c r="EZ76" s="207"/>
      <c r="FA76" s="207"/>
      <c r="FB76" s="207"/>
      <c r="FC76" s="207"/>
      <c r="FD76" s="207"/>
      <c r="FE76" s="207"/>
      <c r="FF76" s="207"/>
      <c r="FG76" s="207"/>
      <c r="FH76" s="207"/>
      <c r="FI76" s="207"/>
      <c r="FJ76" s="207"/>
      <c r="FK76" s="207"/>
      <c r="FL76" s="207"/>
      <c r="FM76" s="207"/>
      <c r="FN76" s="207"/>
      <c r="FO76" s="207"/>
      <c r="FP76" s="207"/>
      <c r="FQ76" s="207"/>
      <c r="FR76" s="207"/>
      <c r="FS76" s="207"/>
      <c r="FT76" s="207"/>
      <c r="FU76" s="207"/>
      <c r="FV76" s="207"/>
      <c r="FW76" s="207"/>
      <c r="FX76" s="207"/>
      <c r="FY76" s="207"/>
      <c r="FZ76" s="207"/>
      <c r="GA76" s="207"/>
      <c r="GB76" s="207"/>
      <c r="GC76" s="207"/>
      <c r="GD76" s="207"/>
      <c r="GE76" s="207"/>
      <c r="GF76" s="207"/>
      <c r="GG76" s="207"/>
      <c r="GH76" s="207"/>
      <c r="GI76" s="207"/>
      <c r="GJ76" s="207"/>
      <c r="GK76" s="207"/>
      <c r="GL76" s="207"/>
      <c r="GM76" s="207"/>
      <c r="GN76" s="207"/>
      <c r="GO76" s="207"/>
      <c r="GP76" s="207"/>
      <c r="GQ76" s="207"/>
      <c r="GR76" s="207"/>
      <c r="GS76" s="207"/>
      <c r="GT76" s="207"/>
      <c r="GU76" s="207"/>
      <c r="GV76" s="207"/>
      <c r="GW76" s="207"/>
      <c r="GX76" s="207"/>
      <c r="GY76" s="207"/>
      <c r="GZ76" s="207"/>
      <c r="HA76" s="207"/>
      <c r="HB76" s="207"/>
      <c r="HC76" s="207"/>
      <c r="HD76" s="207"/>
      <c r="HE76" s="207"/>
      <c r="HF76" s="207"/>
      <c r="HG76" s="207"/>
      <c r="HH76" s="207"/>
      <c r="HI76" s="207"/>
      <c r="HJ76" s="207"/>
      <c r="HK76" s="207"/>
      <c r="HL76" s="207"/>
      <c r="HM76" s="207"/>
      <c r="HN76" s="207"/>
      <c r="HO76" s="207"/>
      <c r="HP76" s="207"/>
      <c r="HQ76" s="207"/>
      <c r="HR76" s="207"/>
      <c r="HS76" s="207"/>
      <c r="HT76" s="207"/>
      <c r="HU76" s="207"/>
      <c r="HV76" s="207"/>
      <c r="HW76" s="207"/>
      <c r="HX76" s="207"/>
    </row>
    <row r="77" spans="1:245" s="162" customFormat="1" hidden="1">
      <c r="A77" s="113"/>
      <c r="B77" s="112"/>
      <c r="C77" s="250"/>
      <c r="D77" s="250"/>
      <c r="E77" s="250"/>
      <c r="F77" s="250"/>
      <c r="G77" s="250"/>
      <c r="H77" s="250"/>
      <c r="I77" s="250"/>
      <c r="J77" s="250"/>
      <c r="K77" s="250"/>
      <c r="L77" s="250"/>
      <c r="M77" s="250"/>
      <c r="N77" s="250"/>
      <c r="O77" s="250"/>
      <c r="P77" s="250"/>
      <c r="Q77" s="250"/>
      <c r="R77" s="250"/>
      <c r="S77" s="250"/>
      <c r="T77" s="250"/>
      <c r="U77" s="250"/>
      <c r="V77" s="250"/>
      <c r="W77" s="250"/>
      <c r="X77" s="250"/>
      <c r="Y77" s="250"/>
      <c r="Z77" s="250"/>
      <c r="AA77" s="250"/>
      <c r="AB77" s="250"/>
      <c r="AC77" s="250"/>
      <c r="AD77" s="250"/>
      <c r="AE77" s="250"/>
      <c r="AF77" s="250"/>
      <c r="AG77" s="250"/>
      <c r="AH77" s="114"/>
      <c r="AI77" s="114"/>
      <c r="AJ77" s="182"/>
      <c r="AK77" s="182"/>
      <c r="AL77" s="182"/>
      <c r="AM77" s="182"/>
      <c r="AN77" s="182"/>
      <c r="AO77" s="182"/>
      <c r="AP77" s="182"/>
      <c r="AQ77" s="183"/>
      <c r="AR77" s="183">
        <f>1+AR76</f>
        <v>21</v>
      </c>
      <c r="AS77" s="183"/>
      <c r="AT77" s="183"/>
      <c r="AU77" s="206">
        <f>+AU76+1%</f>
        <v>0.35000000000000003</v>
      </c>
      <c r="AV77" s="116">
        <f t="shared" si="7"/>
        <v>16</v>
      </c>
      <c r="AW77" s="182">
        <v>10</v>
      </c>
      <c r="AX77" s="251" t="s">
        <v>65</v>
      </c>
      <c r="AY77" s="251"/>
      <c r="AZ77" s="251"/>
      <c r="BA77" s="251"/>
      <c r="BB77" s="251"/>
      <c r="BC77" s="251"/>
      <c r="BD77" s="251"/>
      <c r="BE77" s="251"/>
      <c r="BF77" s="251"/>
      <c r="BG77" s="251"/>
      <c r="BH77" s="251"/>
      <c r="BI77" s="251"/>
      <c r="BJ77" s="251"/>
      <c r="BK77" s="251"/>
      <c r="BL77" s="251"/>
      <c r="BM77" s="251"/>
      <c r="BN77" s="251"/>
      <c r="BO77" s="251"/>
      <c r="BP77" s="182"/>
      <c r="BQ77" s="207"/>
      <c r="BR77" s="207"/>
      <c r="BS77" s="207"/>
      <c r="BT77" s="207"/>
      <c r="BU77" s="207"/>
      <c r="BV77" s="207"/>
      <c r="BW77" s="207"/>
      <c r="BX77" s="207"/>
      <c r="BY77" s="207"/>
      <c r="BZ77" s="207"/>
      <c r="CA77" s="207"/>
      <c r="CB77" s="207"/>
      <c r="CC77" s="207"/>
      <c r="CD77" s="207"/>
      <c r="CE77" s="207"/>
      <c r="CF77" s="207"/>
      <c r="CG77" s="207"/>
      <c r="CH77" s="207"/>
      <c r="CI77" s="207"/>
      <c r="CJ77" s="207"/>
      <c r="CK77" s="207"/>
      <c r="CL77" s="207"/>
      <c r="CM77" s="207"/>
      <c r="CN77" s="207"/>
      <c r="CO77" s="207"/>
      <c r="CP77" s="207"/>
      <c r="CQ77" s="207"/>
      <c r="CR77" s="207"/>
      <c r="CS77" s="207"/>
      <c r="CT77" s="207"/>
      <c r="CU77" s="207"/>
      <c r="CV77" s="207"/>
      <c r="CW77" s="207"/>
      <c r="CX77" s="207"/>
      <c r="CY77" s="207"/>
      <c r="CZ77" s="207"/>
      <c r="DA77" s="207"/>
      <c r="DB77" s="207"/>
      <c r="DC77" s="207"/>
      <c r="DD77" s="207"/>
      <c r="DE77" s="207"/>
      <c r="DF77" s="207"/>
      <c r="DG77" s="207"/>
      <c r="DH77" s="207"/>
      <c r="DI77" s="207"/>
      <c r="DJ77" s="207"/>
      <c r="DK77" s="207"/>
      <c r="DL77" s="207"/>
      <c r="DM77" s="207"/>
      <c r="DN77" s="207"/>
      <c r="DO77" s="207"/>
      <c r="DP77" s="207"/>
      <c r="DQ77" s="207"/>
      <c r="DR77" s="207"/>
      <c r="DS77" s="207"/>
      <c r="DT77" s="207"/>
      <c r="DU77" s="207"/>
      <c r="DV77" s="207"/>
      <c r="DW77" s="207"/>
      <c r="DX77" s="207"/>
      <c r="DY77" s="207"/>
      <c r="DZ77" s="207"/>
      <c r="EA77" s="207"/>
      <c r="EB77" s="207"/>
      <c r="EC77" s="207"/>
      <c r="ED77" s="207"/>
      <c r="EE77" s="207"/>
      <c r="EF77" s="207"/>
      <c r="EG77" s="207"/>
      <c r="EH77" s="207"/>
      <c r="EI77" s="207"/>
      <c r="EJ77" s="207"/>
      <c r="EK77" s="207"/>
      <c r="EL77" s="207"/>
      <c r="EM77" s="207"/>
      <c r="EN77" s="207"/>
      <c r="EO77" s="207"/>
      <c r="EP77" s="207"/>
      <c r="EQ77" s="207"/>
      <c r="ER77" s="207"/>
      <c r="ES77" s="207"/>
      <c r="ET77" s="207"/>
      <c r="EU77" s="207"/>
      <c r="EV77" s="207"/>
      <c r="EW77" s="207"/>
      <c r="EX77" s="207"/>
      <c r="EY77" s="207"/>
      <c r="EZ77" s="207"/>
      <c r="FA77" s="207"/>
      <c r="FB77" s="207"/>
      <c r="FC77" s="207"/>
      <c r="FD77" s="207"/>
      <c r="FE77" s="207"/>
      <c r="FF77" s="207"/>
      <c r="FG77" s="207"/>
      <c r="FH77" s="207"/>
      <c r="FI77" s="207"/>
      <c r="FJ77" s="207"/>
      <c r="FK77" s="207"/>
      <c r="FL77" s="207"/>
      <c r="FM77" s="207"/>
      <c r="FN77" s="207"/>
      <c r="FO77" s="207"/>
      <c r="FP77" s="207"/>
      <c r="FQ77" s="207"/>
      <c r="FR77" s="207"/>
      <c r="FS77" s="207"/>
      <c r="FT77" s="207"/>
      <c r="FU77" s="207"/>
      <c r="FV77" s="207"/>
      <c r="FW77" s="207"/>
      <c r="FX77" s="207"/>
      <c r="FY77" s="207"/>
      <c r="FZ77" s="207"/>
      <c r="GA77" s="207"/>
      <c r="GB77" s="207"/>
      <c r="GC77" s="207"/>
      <c r="GD77" s="207"/>
      <c r="GE77" s="207"/>
      <c r="GF77" s="207"/>
      <c r="GG77" s="207"/>
      <c r="GH77" s="207"/>
      <c r="GI77" s="207"/>
      <c r="GJ77" s="207"/>
      <c r="GK77" s="207"/>
      <c r="GL77" s="207"/>
      <c r="GM77" s="207"/>
      <c r="GN77" s="207"/>
      <c r="GO77" s="207"/>
      <c r="GP77" s="207"/>
      <c r="GQ77" s="207"/>
      <c r="GR77" s="207"/>
      <c r="GS77" s="207"/>
      <c r="GT77" s="207"/>
      <c r="GU77" s="207"/>
      <c r="GV77" s="207"/>
      <c r="GW77" s="207"/>
      <c r="GX77" s="207"/>
      <c r="GY77" s="207"/>
      <c r="GZ77" s="207"/>
      <c r="HA77" s="207"/>
      <c r="HB77" s="207"/>
      <c r="HC77" s="207"/>
      <c r="HD77" s="207"/>
      <c r="HE77" s="207"/>
      <c r="HF77" s="207"/>
      <c r="HG77" s="207"/>
      <c r="HH77" s="207"/>
      <c r="HI77" s="207"/>
      <c r="HJ77" s="207"/>
      <c r="HK77" s="207"/>
      <c r="HL77" s="207"/>
      <c r="HM77" s="207"/>
      <c r="HN77" s="207"/>
      <c r="HO77" s="207"/>
      <c r="HP77" s="207"/>
      <c r="HQ77" s="207"/>
      <c r="HR77" s="207"/>
      <c r="HS77" s="207"/>
      <c r="HT77" s="207"/>
      <c r="HU77" s="207"/>
      <c r="HV77" s="207"/>
      <c r="HW77" s="207"/>
      <c r="HX77" s="207"/>
    </row>
    <row r="78" spans="1:245" s="162" customFormat="1" hidden="1">
      <c r="A78" s="113"/>
      <c r="B78" s="112"/>
      <c r="C78" s="250"/>
      <c r="D78" s="250"/>
      <c r="E78" s="250"/>
      <c r="F78" s="250"/>
      <c r="G78" s="250"/>
      <c r="H78" s="250"/>
      <c r="I78" s="250"/>
      <c r="J78" s="250"/>
      <c r="K78" s="250"/>
      <c r="L78" s="250"/>
      <c r="M78" s="250"/>
      <c r="N78" s="250"/>
      <c r="O78" s="250"/>
      <c r="P78" s="250"/>
      <c r="Q78" s="250"/>
      <c r="R78" s="250"/>
      <c r="S78" s="250"/>
      <c r="T78" s="250"/>
      <c r="U78" s="250"/>
      <c r="V78" s="250"/>
      <c r="W78" s="250"/>
      <c r="X78" s="250"/>
      <c r="Y78" s="250"/>
      <c r="Z78" s="250"/>
      <c r="AA78" s="250"/>
      <c r="AB78" s="250"/>
      <c r="AC78" s="250"/>
      <c r="AD78" s="250"/>
      <c r="AE78" s="250"/>
      <c r="AF78" s="250"/>
      <c r="AG78" s="250"/>
      <c r="AH78" s="114"/>
      <c r="AI78" s="114"/>
      <c r="AJ78" s="182"/>
      <c r="AK78" s="182"/>
      <c r="AL78" s="182"/>
      <c r="AM78" s="182"/>
      <c r="AN78" s="182"/>
      <c r="AO78" s="182"/>
      <c r="AP78" s="182"/>
      <c r="AQ78" s="183"/>
      <c r="AR78" s="183">
        <f>1+AR77</f>
        <v>22</v>
      </c>
      <c r="AS78" s="183"/>
      <c r="AT78" s="183"/>
      <c r="AU78" s="206">
        <f>+AU77+1%</f>
        <v>0.36000000000000004</v>
      </c>
      <c r="AV78" s="116">
        <f t="shared" si="7"/>
        <v>17</v>
      </c>
      <c r="AW78" s="182">
        <v>11</v>
      </c>
      <c r="AX78" s="251" t="s">
        <v>61</v>
      </c>
      <c r="AY78" s="251"/>
      <c r="AZ78" s="251"/>
      <c r="BA78" s="251"/>
      <c r="BB78" s="251"/>
      <c r="BC78" s="251"/>
      <c r="BD78" s="251"/>
      <c r="BE78" s="251"/>
      <c r="BF78" s="251"/>
      <c r="BG78" s="251"/>
      <c r="BH78" s="251"/>
      <c r="BI78" s="251"/>
      <c r="BJ78" s="251"/>
      <c r="BK78" s="251"/>
      <c r="BL78" s="251"/>
      <c r="BM78" s="251"/>
      <c r="BN78" s="251"/>
      <c r="BO78" s="251"/>
      <c r="BP78" s="182"/>
      <c r="BQ78" s="207"/>
      <c r="BR78" s="207"/>
      <c r="BS78" s="207"/>
      <c r="BT78" s="207"/>
      <c r="BU78" s="207"/>
      <c r="BV78" s="207"/>
      <c r="BW78" s="207"/>
      <c r="BX78" s="207"/>
      <c r="BY78" s="207"/>
      <c r="BZ78" s="207"/>
      <c r="CA78" s="207"/>
      <c r="CB78" s="207"/>
      <c r="CC78" s="207"/>
      <c r="CD78" s="207"/>
      <c r="CE78" s="207"/>
      <c r="CF78" s="207"/>
      <c r="CG78" s="207"/>
      <c r="CH78" s="207"/>
      <c r="CI78" s="207"/>
      <c r="CJ78" s="207"/>
      <c r="CK78" s="207"/>
      <c r="CL78" s="207"/>
      <c r="CM78" s="207"/>
      <c r="CN78" s="207"/>
      <c r="CO78" s="207"/>
      <c r="CP78" s="207"/>
      <c r="CQ78" s="207"/>
      <c r="CR78" s="207"/>
      <c r="CS78" s="207"/>
      <c r="CT78" s="207"/>
      <c r="CU78" s="207"/>
      <c r="CV78" s="207"/>
      <c r="CW78" s="207"/>
      <c r="CX78" s="207"/>
      <c r="CY78" s="207"/>
      <c r="CZ78" s="207"/>
      <c r="DA78" s="207"/>
      <c r="DB78" s="207"/>
      <c r="DC78" s="207"/>
      <c r="DD78" s="207"/>
      <c r="DE78" s="207"/>
      <c r="DF78" s="207"/>
      <c r="DG78" s="207"/>
      <c r="DH78" s="207"/>
      <c r="DI78" s="207"/>
      <c r="DJ78" s="207"/>
      <c r="DK78" s="207"/>
      <c r="DL78" s="207"/>
      <c r="DM78" s="207"/>
      <c r="DN78" s="207"/>
      <c r="DO78" s="207"/>
      <c r="DP78" s="207"/>
      <c r="DQ78" s="207"/>
      <c r="DR78" s="207"/>
      <c r="DS78" s="207"/>
      <c r="DT78" s="207"/>
      <c r="DU78" s="207"/>
      <c r="DV78" s="207"/>
      <c r="DW78" s="207"/>
      <c r="DX78" s="207"/>
      <c r="DY78" s="207"/>
      <c r="DZ78" s="207"/>
      <c r="EA78" s="207"/>
      <c r="EB78" s="207"/>
      <c r="EC78" s="207"/>
      <c r="ED78" s="207"/>
      <c r="EE78" s="207"/>
      <c r="EF78" s="207"/>
      <c r="EG78" s="207"/>
      <c r="EH78" s="207"/>
      <c r="EI78" s="207"/>
      <c r="EJ78" s="207"/>
      <c r="EK78" s="207"/>
      <c r="EL78" s="207"/>
      <c r="EM78" s="207"/>
      <c r="EN78" s="207"/>
      <c r="EO78" s="207"/>
      <c r="EP78" s="207"/>
      <c r="EQ78" s="207"/>
      <c r="ER78" s="207"/>
      <c r="ES78" s="207"/>
      <c r="ET78" s="207"/>
      <c r="EU78" s="207"/>
      <c r="EV78" s="207"/>
      <c r="EW78" s="207"/>
      <c r="EX78" s="207"/>
      <c r="EY78" s="207"/>
      <c r="EZ78" s="207"/>
      <c r="FA78" s="207"/>
      <c r="FB78" s="207"/>
      <c r="FC78" s="207"/>
      <c r="FD78" s="207"/>
      <c r="FE78" s="207"/>
      <c r="FF78" s="207"/>
      <c r="FG78" s="207"/>
      <c r="FH78" s="207"/>
      <c r="FI78" s="207"/>
      <c r="FJ78" s="207"/>
      <c r="FK78" s="207"/>
      <c r="FL78" s="207"/>
      <c r="FM78" s="207"/>
      <c r="FN78" s="207"/>
      <c r="FO78" s="207"/>
      <c r="FP78" s="207"/>
      <c r="FQ78" s="207"/>
      <c r="FR78" s="207"/>
      <c r="FS78" s="207"/>
      <c r="FT78" s="207"/>
      <c r="FU78" s="207"/>
      <c r="FV78" s="207"/>
      <c r="FW78" s="207"/>
      <c r="FX78" s="207"/>
      <c r="FY78" s="207"/>
      <c r="FZ78" s="207"/>
      <c r="GA78" s="207"/>
      <c r="GB78" s="207"/>
      <c r="GC78" s="207"/>
      <c r="GD78" s="207"/>
      <c r="GE78" s="207"/>
      <c r="GF78" s="207"/>
      <c r="GG78" s="207"/>
      <c r="GH78" s="207"/>
      <c r="GI78" s="207"/>
      <c r="GJ78" s="207"/>
      <c r="GK78" s="207"/>
      <c r="GL78" s="207"/>
      <c r="GM78" s="207"/>
      <c r="GN78" s="207"/>
      <c r="GO78" s="207"/>
      <c r="GP78" s="207"/>
      <c r="GQ78" s="207"/>
      <c r="GR78" s="207"/>
      <c r="GS78" s="207"/>
      <c r="GT78" s="207"/>
      <c r="GU78" s="207"/>
      <c r="GV78" s="207"/>
      <c r="GW78" s="207"/>
      <c r="GX78" s="207"/>
      <c r="GY78" s="207"/>
      <c r="GZ78" s="207"/>
      <c r="HA78" s="207"/>
      <c r="HB78" s="207"/>
      <c r="HC78" s="207"/>
      <c r="HD78" s="207"/>
      <c r="HE78" s="207"/>
      <c r="HF78" s="207"/>
      <c r="HG78" s="207"/>
      <c r="HH78" s="207"/>
      <c r="HI78" s="207"/>
      <c r="HJ78" s="207"/>
      <c r="HK78" s="207"/>
      <c r="HL78" s="207"/>
      <c r="HM78" s="207"/>
      <c r="HN78" s="207"/>
      <c r="HO78" s="207"/>
      <c r="HP78" s="207"/>
      <c r="HQ78" s="207"/>
      <c r="HR78" s="207"/>
      <c r="HS78" s="207"/>
      <c r="HT78" s="207"/>
      <c r="HU78" s="207"/>
      <c r="HV78" s="207"/>
      <c r="HW78" s="207"/>
      <c r="HX78" s="207"/>
    </row>
    <row r="79" spans="1:245" s="162" customFormat="1" hidden="1">
      <c r="A79" s="113"/>
      <c r="B79" s="112"/>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3"/>
      <c r="AI79" s="114"/>
      <c r="AJ79" s="182"/>
      <c r="AK79" s="182"/>
      <c r="AL79" s="182"/>
      <c r="AM79" s="182"/>
      <c r="AN79" s="182"/>
      <c r="AO79" s="182"/>
      <c r="AP79" s="182"/>
      <c r="AQ79" s="183"/>
      <c r="AR79" s="183">
        <f>1+AR78</f>
        <v>23</v>
      </c>
      <c r="AS79" s="183"/>
      <c r="AT79" s="183"/>
      <c r="AU79" s="206">
        <f>+AU78+1%</f>
        <v>0.37000000000000005</v>
      </c>
      <c r="AV79" s="116">
        <f t="shared" si="7"/>
        <v>18</v>
      </c>
      <c r="AW79" s="182">
        <v>12</v>
      </c>
      <c r="AX79" s="251"/>
      <c r="AY79" s="251"/>
      <c r="AZ79" s="251"/>
      <c r="BA79" s="251"/>
      <c r="BB79" s="251"/>
      <c r="BC79" s="251"/>
      <c r="BD79" s="251"/>
      <c r="BE79" s="251"/>
      <c r="BF79" s="251"/>
      <c r="BG79" s="251"/>
      <c r="BH79" s="251"/>
      <c r="BI79" s="251"/>
      <c r="BJ79" s="251"/>
      <c r="BK79" s="251"/>
      <c r="BL79" s="251"/>
      <c r="BM79" s="251"/>
      <c r="BN79" s="251"/>
      <c r="BO79" s="251"/>
      <c r="BP79" s="182"/>
      <c r="BQ79" s="207"/>
      <c r="BR79" s="207"/>
      <c r="BS79" s="207"/>
      <c r="BT79" s="207"/>
      <c r="BU79" s="207"/>
      <c r="BV79" s="207"/>
      <c r="BW79" s="207"/>
      <c r="BX79" s="207"/>
      <c r="BY79" s="207"/>
      <c r="BZ79" s="207"/>
      <c r="CA79" s="207"/>
      <c r="CB79" s="207"/>
      <c r="CC79" s="207"/>
      <c r="CD79" s="207"/>
      <c r="CE79" s="207"/>
      <c r="CF79" s="207"/>
      <c r="CG79" s="207"/>
      <c r="CH79" s="207"/>
      <c r="CI79" s="207"/>
      <c r="CJ79" s="207"/>
      <c r="CK79" s="207"/>
      <c r="CL79" s="207"/>
      <c r="CM79" s="207"/>
      <c r="CN79" s="207"/>
      <c r="CO79" s="207"/>
      <c r="CP79" s="207"/>
      <c r="CQ79" s="207"/>
      <c r="CR79" s="207"/>
      <c r="CS79" s="207"/>
      <c r="CT79" s="207"/>
      <c r="CU79" s="207"/>
      <c r="CV79" s="207"/>
      <c r="CW79" s="207"/>
      <c r="CX79" s="207"/>
      <c r="CY79" s="207"/>
      <c r="CZ79" s="207"/>
      <c r="DA79" s="207"/>
      <c r="DB79" s="207"/>
      <c r="DC79" s="207"/>
      <c r="DD79" s="207"/>
      <c r="DE79" s="207"/>
      <c r="DF79" s="207"/>
      <c r="DG79" s="207"/>
      <c r="DH79" s="207"/>
      <c r="DI79" s="207"/>
      <c r="DJ79" s="207"/>
      <c r="DK79" s="207"/>
      <c r="DL79" s="207"/>
      <c r="DM79" s="207"/>
      <c r="DN79" s="207"/>
      <c r="DO79" s="207"/>
      <c r="DP79" s="207"/>
      <c r="DQ79" s="207"/>
      <c r="DR79" s="207"/>
      <c r="DS79" s="207"/>
      <c r="DT79" s="207"/>
      <c r="DU79" s="207"/>
      <c r="DV79" s="207"/>
      <c r="DW79" s="207"/>
      <c r="DX79" s="207"/>
      <c r="DY79" s="207"/>
      <c r="DZ79" s="207"/>
      <c r="EA79" s="207"/>
      <c r="EB79" s="207"/>
      <c r="EC79" s="207"/>
      <c r="ED79" s="207"/>
      <c r="EE79" s="207"/>
      <c r="EF79" s="207"/>
      <c r="EG79" s="207"/>
      <c r="EH79" s="207"/>
      <c r="EI79" s="207"/>
      <c r="EJ79" s="207"/>
      <c r="EK79" s="207"/>
      <c r="EL79" s="207"/>
      <c r="EM79" s="207"/>
      <c r="EN79" s="207"/>
      <c r="EO79" s="207"/>
      <c r="EP79" s="207"/>
      <c r="EQ79" s="207"/>
      <c r="ER79" s="207"/>
      <c r="ES79" s="207"/>
      <c r="ET79" s="207"/>
      <c r="EU79" s="207"/>
      <c r="EV79" s="207"/>
      <c r="EW79" s="207"/>
      <c r="EX79" s="207"/>
      <c r="EY79" s="207"/>
      <c r="EZ79" s="207"/>
      <c r="FA79" s="207"/>
      <c r="FB79" s="207"/>
      <c r="FC79" s="207"/>
      <c r="FD79" s="207"/>
      <c r="FE79" s="207"/>
      <c r="FF79" s="207"/>
      <c r="FG79" s="207"/>
      <c r="FH79" s="207"/>
      <c r="FI79" s="207"/>
      <c r="FJ79" s="207"/>
      <c r="FK79" s="207"/>
      <c r="FL79" s="207"/>
      <c r="FM79" s="207"/>
      <c r="FN79" s="207"/>
      <c r="FO79" s="207"/>
      <c r="FP79" s="207"/>
      <c r="FQ79" s="207"/>
      <c r="FR79" s="207"/>
      <c r="FS79" s="207"/>
      <c r="FT79" s="207"/>
      <c r="FU79" s="207"/>
      <c r="FV79" s="207"/>
      <c r="FW79" s="207"/>
      <c r="FX79" s="207"/>
      <c r="FY79" s="207"/>
      <c r="FZ79" s="207"/>
      <c r="GA79" s="207"/>
      <c r="GB79" s="207"/>
      <c r="GC79" s="207"/>
      <c r="GD79" s="207"/>
      <c r="GE79" s="207"/>
      <c r="GF79" s="207"/>
      <c r="GG79" s="207"/>
      <c r="GH79" s="207"/>
      <c r="GI79" s="207"/>
      <c r="GJ79" s="207"/>
      <c r="GK79" s="207"/>
      <c r="GL79" s="207"/>
      <c r="GM79" s="207"/>
      <c r="GN79" s="207"/>
      <c r="GO79" s="207"/>
      <c r="GP79" s="207"/>
      <c r="GQ79" s="207"/>
      <c r="GR79" s="207"/>
      <c r="GS79" s="207"/>
      <c r="GT79" s="207"/>
      <c r="GU79" s="207"/>
      <c r="GV79" s="207"/>
      <c r="GW79" s="207"/>
      <c r="GX79" s="207"/>
      <c r="GY79" s="207"/>
      <c r="GZ79" s="207"/>
      <c r="HA79" s="207"/>
      <c r="HB79" s="207"/>
      <c r="HC79" s="207"/>
      <c r="HD79" s="207"/>
      <c r="HE79" s="207"/>
      <c r="HF79" s="207"/>
      <c r="HG79" s="207"/>
      <c r="HH79" s="207"/>
      <c r="HI79" s="207"/>
      <c r="HJ79" s="207"/>
      <c r="HK79" s="207"/>
      <c r="HL79" s="207"/>
      <c r="HM79" s="207"/>
      <c r="HN79" s="207"/>
      <c r="HO79" s="207"/>
      <c r="HP79" s="207"/>
      <c r="HQ79" s="207"/>
      <c r="HR79" s="207"/>
      <c r="HS79" s="207"/>
      <c r="HT79" s="207"/>
      <c r="HU79" s="207"/>
      <c r="HV79" s="207"/>
      <c r="HW79" s="207"/>
      <c r="HX79" s="207"/>
    </row>
    <row r="80" spans="1:245" s="162" customFormat="1" ht="12.75" hidden="1" customHeight="1">
      <c r="A80" s="113"/>
      <c r="B80" s="112"/>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3"/>
      <c r="AI80" s="114"/>
      <c r="AJ80" s="116"/>
      <c r="AK80" s="116"/>
      <c r="AL80" s="116"/>
      <c r="AM80" s="116"/>
      <c r="AN80" s="116"/>
      <c r="AO80" s="116"/>
      <c r="AP80" s="116"/>
      <c r="AQ80" s="122"/>
      <c r="AR80" s="122">
        <f>1+AR79</f>
        <v>24</v>
      </c>
      <c r="AS80" s="122"/>
      <c r="AT80" s="122"/>
      <c r="AU80" s="128">
        <f>+AU79+1%</f>
        <v>0.38000000000000006</v>
      </c>
      <c r="AV80" s="116">
        <f>1+AV79</f>
        <v>19</v>
      </c>
      <c r="AW80" s="116">
        <v>13</v>
      </c>
      <c r="AX80" s="252"/>
      <c r="AY80" s="252"/>
      <c r="AZ80" s="252"/>
      <c r="BA80" s="252"/>
      <c r="BB80" s="252"/>
      <c r="BC80" s="252"/>
      <c r="BD80" s="252"/>
      <c r="BE80" s="252"/>
      <c r="BF80" s="252"/>
      <c r="BG80" s="252"/>
      <c r="BH80" s="116"/>
      <c r="BI80" s="116"/>
      <c r="BJ80" s="116"/>
      <c r="BK80" s="116"/>
      <c r="BL80" s="116"/>
      <c r="BM80" s="116"/>
      <c r="BN80" s="116"/>
      <c r="BO80" s="116"/>
      <c r="BP80" s="116"/>
      <c r="BQ80" s="115"/>
      <c r="BR80" s="115"/>
      <c r="BS80" s="115"/>
      <c r="BT80" s="115"/>
      <c r="BU80" s="115"/>
      <c r="BV80" s="115"/>
      <c r="BW80" s="115"/>
      <c r="BX80" s="115"/>
      <c r="BY80" s="115"/>
      <c r="BZ80" s="115"/>
      <c r="CA80" s="115"/>
      <c r="CB80" s="115"/>
      <c r="CC80" s="115"/>
      <c r="CD80" s="115"/>
      <c r="CE80" s="115"/>
      <c r="CF80" s="115"/>
      <c r="CG80" s="115"/>
      <c r="CH80" s="115"/>
      <c r="CI80" s="115"/>
      <c r="CJ80" s="115"/>
      <c r="CK80" s="115"/>
      <c r="CL80" s="115"/>
      <c r="CM80" s="115"/>
      <c r="CN80" s="115"/>
      <c r="CO80" s="115"/>
      <c r="CP80" s="115"/>
      <c r="CQ80" s="115"/>
      <c r="CR80" s="115"/>
      <c r="CS80" s="115"/>
      <c r="CT80" s="115"/>
      <c r="CU80" s="115"/>
      <c r="CV80" s="115"/>
      <c r="CW80" s="115"/>
      <c r="CX80" s="115"/>
      <c r="CY80" s="115"/>
      <c r="CZ80" s="115"/>
      <c r="DA80" s="115"/>
      <c r="DB80" s="115"/>
      <c r="DC80" s="115"/>
      <c r="DD80" s="115"/>
      <c r="DE80" s="115"/>
      <c r="DF80" s="115"/>
      <c r="DG80" s="115"/>
      <c r="DH80" s="115"/>
      <c r="DI80" s="115"/>
      <c r="DJ80" s="115"/>
      <c r="DK80" s="115"/>
      <c r="DL80" s="115"/>
      <c r="DM80" s="115"/>
      <c r="DN80" s="115"/>
      <c r="DO80" s="115"/>
      <c r="DP80" s="115"/>
      <c r="DQ80" s="115"/>
      <c r="DR80" s="115"/>
      <c r="DS80" s="115"/>
      <c r="DT80" s="115"/>
      <c r="DU80" s="115"/>
      <c r="DV80" s="115"/>
      <c r="DW80" s="115"/>
      <c r="DX80" s="115"/>
      <c r="DY80" s="115"/>
      <c r="DZ80" s="115"/>
      <c r="EA80" s="115"/>
      <c r="EB80" s="115"/>
      <c r="EC80" s="115"/>
      <c r="ED80" s="115"/>
      <c r="EE80" s="115"/>
      <c r="EF80" s="115"/>
      <c r="EG80" s="115"/>
      <c r="EH80" s="115"/>
      <c r="EI80" s="115"/>
      <c r="EJ80" s="115"/>
      <c r="EK80" s="115"/>
      <c r="EL80" s="115"/>
      <c r="EM80" s="115"/>
      <c r="EN80" s="115"/>
      <c r="EO80" s="115"/>
      <c r="EP80" s="115"/>
      <c r="EQ80" s="115"/>
      <c r="ER80" s="115"/>
      <c r="ES80" s="115"/>
      <c r="ET80" s="115"/>
      <c r="EU80" s="115"/>
      <c r="EV80" s="115"/>
      <c r="EW80" s="115"/>
      <c r="EX80" s="115"/>
      <c r="EY80" s="115"/>
      <c r="EZ80" s="115"/>
      <c r="FA80" s="115"/>
      <c r="FB80" s="115"/>
      <c r="FC80" s="115"/>
      <c r="FD80" s="115"/>
      <c r="FE80" s="115"/>
      <c r="FF80" s="115"/>
      <c r="FG80" s="115"/>
      <c r="FH80" s="115"/>
      <c r="FI80" s="115"/>
      <c r="FJ80" s="115"/>
      <c r="FK80" s="115"/>
      <c r="FL80" s="115"/>
      <c r="FM80" s="115"/>
      <c r="FN80" s="115"/>
      <c r="FO80" s="115"/>
      <c r="FP80" s="115"/>
      <c r="FQ80" s="115"/>
      <c r="FR80" s="115"/>
      <c r="FS80" s="115"/>
      <c r="FT80" s="115"/>
      <c r="FU80" s="115"/>
      <c r="FV80" s="115"/>
      <c r="FW80" s="115"/>
      <c r="FX80" s="115"/>
      <c r="FY80" s="115"/>
      <c r="FZ80" s="115"/>
      <c r="GA80" s="115"/>
      <c r="GB80" s="115"/>
      <c r="GC80" s="115"/>
      <c r="GD80" s="115"/>
      <c r="GE80" s="115"/>
      <c r="GF80" s="115"/>
      <c r="GG80" s="115"/>
      <c r="GH80" s="115"/>
      <c r="GI80" s="115"/>
      <c r="GJ80" s="115"/>
      <c r="GK80" s="115"/>
      <c r="GL80" s="115"/>
      <c r="GM80" s="115"/>
      <c r="GN80" s="115"/>
      <c r="GO80" s="115"/>
      <c r="GP80" s="115"/>
      <c r="GQ80" s="115"/>
      <c r="GR80" s="115"/>
      <c r="GS80" s="115"/>
      <c r="GT80" s="115"/>
      <c r="GU80" s="115"/>
      <c r="GV80" s="115"/>
      <c r="GW80" s="115"/>
      <c r="GX80" s="115"/>
      <c r="GY80" s="115"/>
      <c r="GZ80" s="115"/>
      <c r="HA80" s="115"/>
      <c r="HB80" s="115"/>
      <c r="HC80" s="115"/>
      <c r="HD80" s="115"/>
      <c r="HE80" s="115"/>
      <c r="HF80" s="115"/>
      <c r="HG80" s="115"/>
      <c r="HH80" s="115"/>
      <c r="HI80" s="115"/>
      <c r="HJ80" s="115"/>
      <c r="HK80" s="115"/>
      <c r="HL80" s="115"/>
      <c r="HM80" s="115"/>
      <c r="HN80" s="115"/>
      <c r="HO80" s="115"/>
      <c r="HP80" s="115"/>
      <c r="HQ80" s="115"/>
      <c r="HR80" s="115"/>
      <c r="HS80" s="115"/>
      <c r="HT80" s="115"/>
      <c r="HU80" s="115"/>
      <c r="HV80" s="115"/>
      <c r="HW80" s="115"/>
      <c r="HX80" s="115"/>
      <c r="HY80" s="117"/>
      <c r="HZ80" s="117"/>
      <c r="IA80" s="117"/>
      <c r="IB80" s="117"/>
      <c r="IC80" s="117"/>
      <c r="ID80" s="117"/>
      <c r="IE80" s="117"/>
      <c r="IF80" s="117"/>
      <c r="IG80" s="117"/>
      <c r="IH80" s="117"/>
      <c r="II80" s="117"/>
      <c r="IJ80" s="117"/>
      <c r="IK80" s="117"/>
    </row>
    <row r="81" spans="1:77" ht="12.75" hidden="1" customHeight="1">
      <c r="A81" s="113"/>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J81" s="443" t="s">
        <v>66</v>
      </c>
      <c r="AK81" s="443"/>
      <c r="AL81" s="443"/>
      <c r="AM81" s="443"/>
      <c r="AN81" s="443"/>
      <c r="AO81" s="443"/>
      <c r="AP81" s="443"/>
      <c r="AQ81" s="443"/>
      <c r="AR81" s="443"/>
      <c r="AS81" s="443"/>
      <c r="AT81" s="443"/>
      <c r="AU81" s="443"/>
      <c r="AV81" s="443"/>
      <c r="AW81" s="443"/>
      <c r="AX81" s="443"/>
      <c r="AY81" s="443"/>
      <c r="AZ81" s="443"/>
      <c r="BA81" s="443"/>
      <c r="BB81" s="443"/>
      <c r="BC81" s="443"/>
      <c r="BD81" s="443"/>
      <c r="BE81" s="443"/>
      <c r="BF81" s="443"/>
      <c r="BG81" s="443"/>
      <c r="BH81" s="443"/>
      <c r="BI81" s="443"/>
      <c r="BJ81" s="443"/>
      <c r="BK81" s="443"/>
      <c r="BL81" s="443"/>
    </row>
    <row r="82" spans="1:77" ht="12.75" hidden="1" customHeight="1">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J82" s="253" t="s">
        <v>67</v>
      </c>
      <c r="AK82" s="117"/>
      <c r="AL82" s="117"/>
      <c r="AM82" s="117"/>
      <c r="AN82" s="117"/>
      <c r="AO82" s="117"/>
      <c r="AP82" s="117"/>
      <c r="AQ82" s="117"/>
      <c r="AR82" s="117"/>
      <c r="AS82" s="117"/>
      <c r="AT82" s="117"/>
      <c r="AU82" s="117"/>
      <c r="AV82" s="117"/>
      <c r="AW82" s="117"/>
      <c r="AX82" s="117"/>
      <c r="AY82" s="117"/>
      <c r="AZ82" s="117"/>
      <c r="BA82" s="117"/>
      <c r="BB82" s="117"/>
      <c r="BC82" s="117"/>
      <c r="BD82" s="117"/>
      <c r="BE82" s="117"/>
      <c r="BF82" s="117"/>
      <c r="BG82" s="117"/>
      <c r="BH82" s="117"/>
      <c r="BI82" s="117"/>
      <c r="BJ82" s="117"/>
      <c r="BK82" s="117"/>
      <c r="BL82" s="117"/>
    </row>
    <row r="83" spans="1:77" ht="12.75" hidden="1" customHeight="1">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J83" s="116"/>
      <c r="AK83" s="116"/>
      <c r="AL83" s="116"/>
      <c r="AM83" s="116"/>
      <c r="AN83" s="116"/>
      <c r="AO83" s="116"/>
      <c r="AP83" s="116"/>
      <c r="AQ83" s="122"/>
      <c r="AR83" s="122" t="e">
        <f>1+#REF!</f>
        <v>#REF!</v>
      </c>
      <c r="AS83" s="122"/>
      <c r="AT83" s="122"/>
      <c r="AU83" s="128" t="e">
        <f>+#REF!+1%</f>
        <v>#REF!</v>
      </c>
      <c r="AV83" s="116" t="e">
        <f>1+#REF!</f>
        <v>#REF!</v>
      </c>
      <c r="AW83" s="116">
        <v>16</v>
      </c>
      <c r="AX83" s="252"/>
      <c r="AY83" s="252"/>
      <c r="AZ83" s="252"/>
      <c r="BA83" s="252"/>
      <c r="BB83" s="252"/>
      <c r="BC83" s="252"/>
      <c r="BD83" s="252"/>
      <c r="BE83" s="252"/>
      <c r="BF83" s="252"/>
      <c r="BG83" s="252"/>
    </row>
    <row r="84" spans="1:77" ht="12.75" hidden="1" customHeight="1">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J84" s="116"/>
      <c r="AK84" s="116"/>
      <c r="AL84" s="116"/>
      <c r="AM84" s="116"/>
      <c r="AN84" s="116"/>
      <c r="AO84" s="116"/>
      <c r="AP84" s="116"/>
      <c r="AQ84" s="122"/>
      <c r="AR84" s="122" t="e">
        <f>1+AR83</f>
        <v>#REF!</v>
      </c>
      <c r="AS84" s="122"/>
      <c r="AT84" s="122"/>
      <c r="AU84" s="128" t="e">
        <f>+AU83+1%</f>
        <v>#REF!</v>
      </c>
      <c r="AV84" s="116" t="e">
        <f t="shared" ref="AV84:AV95" si="8">1+AV83</f>
        <v>#REF!</v>
      </c>
      <c r="AW84" s="116">
        <v>17</v>
      </c>
      <c r="AX84" s="252"/>
      <c r="AY84" s="252"/>
      <c r="AZ84" s="252"/>
      <c r="BA84" s="252"/>
      <c r="BB84" s="252"/>
      <c r="BC84" s="252"/>
      <c r="BD84" s="252"/>
      <c r="BE84" s="252"/>
      <c r="BF84" s="252"/>
      <c r="BG84" s="252"/>
    </row>
    <row r="85" spans="1:77" ht="12.75" hidden="1" customHeight="1">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J85" s="116"/>
      <c r="AK85" s="116"/>
      <c r="AL85" s="116"/>
      <c r="AM85" s="116"/>
      <c r="AN85" s="116"/>
      <c r="AO85" s="116"/>
      <c r="AP85" s="116"/>
      <c r="AQ85" s="122"/>
      <c r="AR85" s="122" t="e">
        <f>1+AR84</f>
        <v>#REF!</v>
      </c>
      <c r="AS85" s="122"/>
      <c r="AT85" s="122"/>
      <c r="AU85" s="252"/>
      <c r="AV85" s="116" t="e">
        <f t="shared" si="8"/>
        <v>#REF!</v>
      </c>
      <c r="AW85" s="116">
        <v>18</v>
      </c>
      <c r="AX85" s="252"/>
      <c r="AY85" s="252"/>
      <c r="AZ85" s="252"/>
      <c r="BA85" s="252"/>
      <c r="BB85" s="252"/>
      <c r="BC85" s="252"/>
      <c r="BD85" s="252"/>
      <c r="BE85" s="252"/>
      <c r="BF85" s="252"/>
      <c r="BG85" s="252"/>
    </row>
    <row r="86" spans="1:77" ht="12.75" hidden="1" customHeight="1">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J86" s="116"/>
      <c r="AK86" s="116"/>
      <c r="AL86" s="116"/>
      <c r="AM86" s="116"/>
      <c r="AN86" s="116"/>
      <c r="AO86" s="116"/>
      <c r="AP86" s="116"/>
      <c r="AQ86" s="122"/>
      <c r="AR86" s="122" t="e">
        <f>+AR85+1</f>
        <v>#REF!</v>
      </c>
      <c r="AS86" s="122"/>
      <c r="AT86" s="122"/>
      <c r="AU86" s="252"/>
      <c r="AV86" s="116" t="e">
        <f t="shared" si="8"/>
        <v>#REF!</v>
      </c>
      <c r="AW86" s="116">
        <v>19</v>
      </c>
      <c r="AX86" s="252"/>
      <c r="AY86" s="252"/>
      <c r="AZ86" s="252"/>
      <c r="BA86" s="252"/>
      <c r="BB86" s="252"/>
      <c r="BC86" s="252"/>
      <c r="BD86" s="252"/>
      <c r="BE86" s="252"/>
      <c r="BF86" s="252"/>
      <c r="BG86" s="252"/>
    </row>
    <row r="87" spans="1:77" ht="12.75" hidden="1" customHeight="1">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J87" s="440"/>
      <c r="AK87" s="441"/>
      <c r="AL87" s="442"/>
      <c r="AM87" s="116"/>
      <c r="AN87" s="116"/>
      <c r="AO87" s="116"/>
      <c r="AP87" s="116"/>
      <c r="AQ87" s="122"/>
      <c r="AR87" s="122"/>
      <c r="AS87" s="122"/>
      <c r="AT87" s="122"/>
      <c r="AV87" s="116" t="e">
        <f t="shared" si="8"/>
        <v>#REF!</v>
      </c>
      <c r="AW87" s="116">
        <v>20</v>
      </c>
      <c r="AX87" s="252"/>
      <c r="AY87" s="252"/>
      <c r="AZ87" s="252"/>
      <c r="BA87" s="252"/>
      <c r="BB87" s="252"/>
      <c r="BC87" s="252"/>
      <c r="BD87" s="252"/>
      <c r="BE87" s="252"/>
      <c r="BF87" s="252"/>
      <c r="BG87" s="252"/>
      <c r="BH87" s="252"/>
      <c r="BI87" s="252"/>
      <c r="BJ87" s="252"/>
      <c r="BK87" s="252"/>
      <c r="BL87" s="252"/>
      <c r="BM87" s="252"/>
      <c r="BN87" s="252"/>
      <c r="BO87" s="252"/>
    </row>
    <row r="88" spans="1:77" ht="12.75" hidden="1" customHeight="1">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J88" s="428"/>
      <c r="AK88" s="428"/>
      <c r="AL88" s="457"/>
      <c r="AM88" s="428"/>
      <c r="AN88" s="254"/>
      <c r="AO88" s="254"/>
      <c r="AP88" s="116"/>
      <c r="AQ88" s="122"/>
      <c r="AR88" s="122"/>
      <c r="AS88" s="122"/>
      <c r="AT88" s="122"/>
      <c r="AV88" s="116" t="e">
        <f t="shared" si="8"/>
        <v>#REF!</v>
      </c>
      <c r="AW88" s="116">
        <v>21</v>
      </c>
      <c r="AX88" s="252"/>
      <c r="AY88" s="252"/>
      <c r="AZ88" s="252"/>
      <c r="BA88" s="255" t="s">
        <v>68</v>
      </c>
      <c r="BB88" s="255"/>
      <c r="BC88" s="255"/>
      <c r="BD88" s="255"/>
      <c r="BE88" s="341" t="s">
        <v>53</v>
      </c>
      <c r="BF88" s="341"/>
      <c r="BG88" s="341"/>
      <c r="BH88" s="341"/>
      <c r="BI88" s="341" t="s">
        <v>69</v>
      </c>
      <c r="BJ88" s="341"/>
      <c r="BK88" s="341"/>
      <c r="BL88" s="341"/>
      <c r="BM88" s="341" t="s">
        <v>70</v>
      </c>
      <c r="BN88" s="341"/>
      <c r="BO88" s="341"/>
      <c r="BP88" s="341"/>
      <c r="BQ88" s="113"/>
      <c r="BR88" s="113"/>
      <c r="BS88" s="255" t="s">
        <v>71</v>
      </c>
      <c r="BT88" s="255"/>
      <c r="BU88" s="113"/>
      <c r="BV88" s="113"/>
      <c r="BW88" s="113"/>
      <c r="BX88" s="113"/>
      <c r="BY88" s="113"/>
    </row>
    <row r="89" spans="1:77" ht="12.75" hidden="1" customHeight="1">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J89" s="428"/>
      <c r="AK89" s="428"/>
      <c r="AL89" s="457"/>
      <c r="AM89" s="428"/>
      <c r="AN89" s="254"/>
      <c r="AO89" s="254"/>
      <c r="AP89" s="116"/>
      <c r="AQ89" s="122"/>
      <c r="AS89" s="122"/>
      <c r="AT89" s="122"/>
      <c r="AV89" s="116" t="e">
        <f t="shared" si="8"/>
        <v>#REF!</v>
      </c>
      <c r="AW89" s="116">
        <v>22</v>
      </c>
      <c r="BA89" s="341" t="s">
        <v>72</v>
      </c>
      <c r="BB89" s="341"/>
      <c r="BC89" s="341"/>
      <c r="BD89" s="341"/>
      <c r="BE89" s="401">
        <f>+K22</f>
        <v>0</v>
      </c>
      <c r="BF89" s="401"/>
      <c r="BG89" s="401"/>
      <c r="BH89" s="401"/>
      <c r="BI89" s="401">
        <v>0</v>
      </c>
      <c r="BJ89" s="401"/>
      <c r="BK89" s="401"/>
      <c r="BL89" s="401"/>
      <c r="BM89" s="401">
        <v>0</v>
      </c>
      <c r="BN89" s="401"/>
      <c r="BO89" s="401"/>
      <c r="BP89" s="401"/>
      <c r="BQ89" s="113"/>
      <c r="BR89" s="113"/>
      <c r="BS89" s="395"/>
      <c r="BT89" s="396"/>
      <c r="BU89" s="396"/>
      <c r="BV89" s="396"/>
      <c r="BW89" s="396"/>
      <c r="BX89" s="396"/>
      <c r="BY89" s="397"/>
    </row>
    <row r="90" spans="1:77" ht="12.75" hidden="1" customHeight="1">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J90" s="428"/>
      <c r="AK90" s="428"/>
      <c r="AL90" s="457"/>
      <c r="AM90" s="428"/>
      <c r="AN90" s="254"/>
      <c r="AO90" s="254"/>
      <c r="AP90" s="116"/>
      <c r="AQ90" s="122"/>
      <c r="AS90" s="122"/>
      <c r="AT90" s="122"/>
      <c r="AV90" s="116" t="e">
        <f t="shared" si="8"/>
        <v>#REF!</v>
      </c>
      <c r="BA90" s="341" t="s">
        <v>52</v>
      </c>
      <c r="BB90" s="341"/>
      <c r="BC90" s="341"/>
      <c r="BD90" s="341"/>
      <c r="BE90" s="401">
        <v>0</v>
      </c>
      <c r="BF90" s="401"/>
      <c r="BG90" s="401"/>
      <c r="BH90" s="401"/>
      <c r="BI90" s="401">
        <v>0</v>
      </c>
      <c r="BJ90" s="401"/>
      <c r="BK90" s="401"/>
      <c r="BL90" s="401"/>
      <c r="BM90" s="401">
        <v>0</v>
      </c>
      <c r="BN90" s="401"/>
      <c r="BO90" s="401"/>
      <c r="BP90" s="401"/>
      <c r="BQ90" s="113"/>
      <c r="BR90" s="113"/>
      <c r="BS90" s="164" t="s">
        <v>73</v>
      </c>
      <c r="BT90" s="164"/>
      <c r="BU90" s="202"/>
      <c r="BV90" s="202"/>
      <c r="BW90" s="202"/>
      <c r="BX90" s="202"/>
      <c r="BY90" s="202"/>
    </row>
    <row r="91" spans="1:77" ht="12.75" hidden="1" customHeight="1">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c r="AE91" s="113"/>
      <c r="AG91" s="113"/>
      <c r="AJ91" s="182"/>
      <c r="AK91" s="182"/>
      <c r="AL91" s="256"/>
      <c r="AM91" s="116"/>
      <c r="AN91" s="116"/>
      <c r="AO91" s="116"/>
      <c r="AP91" s="116"/>
      <c r="AQ91" s="122"/>
      <c r="AS91" s="122"/>
      <c r="AT91" s="122"/>
      <c r="AV91" s="116" t="e">
        <f t="shared" si="8"/>
        <v>#REF!</v>
      </c>
      <c r="BA91" s="341" t="s">
        <v>74</v>
      </c>
      <c r="BB91" s="341"/>
      <c r="BC91" s="341"/>
      <c r="BD91" s="341"/>
      <c r="BE91" s="401">
        <v>0</v>
      </c>
      <c r="BF91" s="401"/>
      <c r="BG91" s="401"/>
      <c r="BH91" s="401"/>
      <c r="BI91" s="401">
        <v>0</v>
      </c>
      <c r="BJ91" s="401"/>
      <c r="BK91" s="401"/>
      <c r="BL91" s="401"/>
      <c r="BM91" s="401">
        <v>0</v>
      </c>
      <c r="BN91" s="401"/>
      <c r="BO91" s="401"/>
      <c r="BP91" s="401"/>
      <c r="BQ91" s="113"/>
      <c r="BR91" s="113"/>
      <c r="BS91" s="398"/>
      <c r="BT91" s="399"/>
      <c r="BU91" s="399"/>
      <c r="BV91" s="399"/>
      <c r="BW91" s="399"/>
      <c r="BX91" s="399"/>
      <c r="BY91" s="400"/>
    </row>
    <row r="92" spans="1:77" ht="12.75" hidden="1" customHeight="1">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c r="AE92" s="113"/>
      <c r="AF92" s="202"/>
      <c r="AG92" s="113"/>
      <c r="AJ92" s="182"/>
      <c r="AK92" s="182"/>
      <c r="AL92" s="256"/>
      <c r="AM92" s="116"/>
      <c r="AN92" s="116"/>
      <c r="AO92" s="116"/>
      <c r="AP92" s="116"/>
      <c r="AQ92" s="122"/>
      <c r="AS92" s="122"/>
      <c r="AT92" s="122"/>
      <c r="AV92" s="116" t="e">
        <f t="shared" si="8"/>
        <v>#REF!</v>
      </c>
      <c r="BA92" s="164"/>
      <c r="BB92" s="177"/>
      <c r="BC92" s="177"/>
      <c r="BD92" s="202"/>
      <c r="BE92" s="257" t="s">
        <v>75</v>
      </c>
      <c r="BF92" s="177"/>
      <c r="BG92" s="177"/>
      <c r="BH92" s="177"/>
      <c r="BI92" s="177"/>
      <c r="BJ92" s="177"/>
      <c r="BK92" s="177"/>
      <c r="BL92" s="177"/>
      <c r="BM92" s="177"/>
      <c r="BN92" s="177"/>
      <c r="BO92" s="177"/>
      <c r="BP92" s="202"/>
      <c r="BQ92" s="113"/>
      <c r="BR92" s="113"/>
      <c r="BS92" s="164" t="s">
        <v>63</v>
      </c>
      <c r="BT92" s="164"/>
      <c r="BU92" s="180"/>
      <c r="BV92" s="180"/>
      <c r="BW92" s="181"/>
      <c r="BX92" s="181"/>
      <c r="BY92" s="181"/>
    </row>
    <row r="93" spans="1:77" ht="12.75" hidden="1" customHeight="1">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c r="AE93" s="113"/>
      <c r="AF93" s="162"/>
      <c r="AG93" s="113"/>
      <c r="AJ93" s="182"/>
      <c r="AK93" s="182"/>
      <c r="AL93" s="256"/>
      <c r="AM93" s="116"/>
      <c r="AN93" s="116"/>
      <c r="AO93" s="116"/>
      <c r="AP93" s="116"/>
      <c r="AS93" s="116"/>
      <c r="AT93" s="116"/>
      <c r="AV93" s="116" t="e">
        <f t="shared" si="8"/>
        <v>#REF!</v>
      </c>
    </row>
    <row r="94" spans="1:77" ht="12.75" hidden="1" customHeight="1">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c r="AE94" s="113"/>
      <c r="AF94" s="162"/>
      <c r="AG94" s="113"/>
      <c r="AJ94" s="182"/>
      <c r="AK94" s="182"/>
      <c r="AL94" s="256"/>
      <c r="AM94" s="116"/>
      <c r="AN94" s="116"/>
      <c r="AO94" s="116"/>
      <c r="AP94" s="116"/>
      <c r="AS94" s="116"/>
      <c r="AT94" s="116"/>
      <c r="AV94" s="116" t="e">
        <f t="shared" si="8"/>
        <v>#REF!</v>
      </c>
    </row>
    <row r="95" spans="1:77" ht="12.75" hidden="1" customHeight="1">
      <c r="C95" s="113"/>
      <c r="D95" s="114"/>
      <c r="E95" s="114"/>
      <c r="F95" s="114"/>
      <c r="G95" s="114"/>
      <c r="H95" s="385"/>
      <c r="I95" s="385"/>
      <c r="J95" s="385"/>
      <c r="K95" s="385"/>
      <c r="L95" s="385"/>
      <c r="M95" s="385"/>
      <c r="N95" s="385"/>
      <c r="O95" s="385"/>
      <c r="P95" s="385"/>
      <c r="Q95" s="385"/>
      <c r="R95" s="385"/>
      <c r="S95" s="202"/>
      <c r="T95" s="113"/>
      <c r="U95" s="113"/>
      <c r="V95" s="456"/>
      <c r="W95" s="456"/>
      <c r="X95" s="456"/>
      <c r="Y95" s="456"/>
      <c r="Z95" s="456"/>
      <c r="AA95" s="164"/>
      <c r="AB95" s="164"/>
      <c r="AC95" s="164"/>
      <c r="AD95" s="164"/>
      <c r="AE95" s="164"/>
      <c r="AF95" s="181"/>
      <c r="AG95" s="113"/>
      <c r="AJ95" s="182"/>
      <c r="AK95" s="182"/>
      <c r="AL95" s="256"/>
      <c r="AM95" s="116"/>
      <c r="AN95" s="116"/>
      <c r="AO95" s="116"/>
      <c r="AP95" s="116"/>
      <c r="AS95" s="116"/>
      <c r="AT95" s="116"/>
      <c r="AU95" s="258"/>
      <c r="AV95" s="116" t="e">
        <f t="shared" si="8"/>
        <v>#REF!</v>
      </c>
    </row>
    <row r="96" spans="1:77" ht="12.75" hidden="1" customHeight="1">
      <c r="C96" s="113"/>
      <c r="D96" s="114"/>
      <c r="E96" s="177"/>
      <c r="F96" s="177"/>
      <c r="G96" s="177"/>
      <c r="H96" s="385"/>
      <c r="I96" s="385"/>
      <c r="J96" s="385"/>
      <c r="K96" s="385"/>
      <c r="L96" s="385"/>
      <c r="M96" s="385"/>
      <c r="N96" s="385"/>
      <c r="O96" s="385"/>
      <c r="P96" s="385"/>
      <c r="Q96" s="385"/>
      <c r="R96" s="385"/>
      <c r="S96" s="202"/>
      <c r="T96" s="113"/>
      <c r="U96" s="113"/>
      <c r="V96" s="164"/>
      <c r="W96" s="164"/>
      <c r="X96" s="113"/>
      <c r="Y96" s="113"/>
      <c r="Z96" s="113"/>
      <c r="AA96" s="164"/>
      <c r="AB96" s="164"/>
      <c r="AC96" s="164"/>
      <c r="AD96" s="164"/>
      <c r="AE96" s="164"/>
      <c r="AF96" s="181"/>
      <c r="AG96" s="113"/>
      <c r="AJ96" s="182"/>
      <c r="AK96" s="182"/>
      <c r="AL96" s="256"/>
      <c r="AM96" s="116"/>
      <c r="AN96" s="116"/>
      <c r="AO96" s="116"/>
      <c r="AP96" s="116"/>
      <c r="AS96" s="116"/>
      <c r="AT96" s="116"/>
    </row>
    <row r="97" spans="3:46" ht="12.75" hidden="1" customHeight="1">
      <c r="C97" s="259"/>
      <c r="D97" s="260"/>
      <c r="E97" s="260"/>
      <c r="F97" s="260"/>
      <c r="G97" s="260"/>
      <c r="H97" s="260"/>
      <c r="I97" s="386"/>
      <c r="J97" s="386"/>
      <c r="K97" s="386"/>
      <c r="L97" s="387"/>
      <c r="M97" s="387"/>
      <c r="N97" s="387"/>
      <c r="O97" s="387"/>
      <c r="P97" s="387"/>
      <c r="Q97" s="387"/>
      <c r="R97" s="387"/>
      <c r="S97" s="261"/>
      <c r="T97" s="260"/>
      <c r="U97" s="259"/>
      <c r="V97" s="260"/>
      <c r="W97" s="260"/>
      <c r="X97" s="260"/>
      <c r="Y97" s="260"/>
      <c r="Z97" s="260"/>
      <c r="AA97" s="260"/>
      <c r="AB97" s="260"/>
      <c r="AC97" s="260"/>
      <c r="AD97" s="260"/>
      <c r="AE97" s="260"/>
      <c r="AF97" s="260"/>
      <c r="AG97" s="260"/>
      <c r="AJ97" s="182"/>
      <c r="AK97" s="182"/>
      <c r="AL97" s="256"/>
      <c r="AM97" s="116"/>
      <c r="AN97" s="116"/>
      <c r="AO97" s="116"/>
      <c r="AP97" s="116"/>
      <c r="AS97" s="116"/>
      <c r="AT97" s="116"/>
    </row>
    <row r="98" spans="3:46" ht="12.75" hidden="1" customHeight="1">
      <c r="C98" s="389"/>
      <c r="D98" s="350"/>
      <c r="E98" s="392"/>
      <c r="F98" s="350"/>
      <c r="G98" s="350"/>
      <c r="H98" s="113"/>
      <c r="I98" s="350"/>
      <c r="J98" s="350"/>
      <c r="K98" s="113"/>
      <c r="L98" s="389"/>
      <c r="M98" s="350"/>
      <c r="N98" s="350"/>
      <c r="O98" s="350"/>
      <c r="P98" s="350"/>
      <c r="Q98" s="350"/>
      <c r="R98" s="350"/>
      <c r="S98" s="392"/>
      <c r="T98" s="350"/>
      <c r="U98" s="350"/>
      <c r="V98" s="350"/>
      <c r="W98" s="350"/>
      <c r="X98" s="350"/>
      <c r="Y98" s="262"/>
      <c r="Z98" s="444"/>
      <c r="AA98" s="444"/>
      <c r="AB98" s="444"/>
      <c r="AC98" s="444"/>
      <c r="AD98" s="447"/>
      <c r="AE98" s="448"/>
      <c r="AF98" s="448"/>
      <c r="AG98" s="449"/>
      <c r="AJ98" s="182"/>
      <c r="AK98" s="182"/>
      <c r="AL98" s="256"/>
      <c r="AM98" s="116"/>
      <c r="AN98" s="116"/>
      <c r="AO98" s="116"/>
      <c r="AP98" s="116"/>
      <c r="AS98" s="116"/>
      <c r="AT98" s="116"/>
    </row>
    <row r="99" spans="3:46" ht="12.75" hidden="1" customHeight="1">
      <c r="C99" s="390"/>
      <c r="D99" s="351"/>
      <c r="E99" s="393"/>
      <c r="F99" s="351"/>
      <c r="G99" s="351"/>
      <c r="H99" s="113"/>
      <c r="I99" s="351"/>
      <c r="J99" s="351"/>
      <c r="K99" s="113"/>
      <c r="L99" s="390"/>
      <c r="M99" s="351"/>
      <c r="N99" s="351"/>
      <c r="O99" s="351"/>
      <c r="P99" s="351"/>
      <c r="Q99" s="351"/>
      <c r="R99" s="351"/>
      <c r="S99" s="393"/>
      <c r="T99" s="351"/>
      <c r="U99" s="351"/>
      <c r="V99" s="351"/>
      <c r="W99" s="351"/>
      <c r="X99" s="351"/>
      <c r="Y99" s="263"/>
      <c r="Z99" s="445"/>
      <c r="AA99" s="445"/>
      <c r="AB99" s="445"/>
      <c r="AC99" s="445"/>
      <c r="AD99" s="450"/>
      <c r="AE99" s="451"/>
      <c r="AF99" s="451"/>
      <c r="AG99" s="452"/>
      <c r="AJ99" s="182"/>
      <c r="AK99" s="182"/>
      <c r="AL99" s="256"/>
      <c r="AM99" s="116"/>
      <c r="AN99" s="116"/>
      <c r="AO99" s="116"/>
      <c r="AP99" s="116"/>
      <c r="AS99" s="116"/>
      <c r="AT99" s="116"/>
    </row>
    <row r="100" spans="3:46" ht="12.75" hidden="1" customHeight="1">
      <c r="C100" s="391"/>
      <c r="D100" s="352"/>
      <c r="E100" s="394"/>
      <c r="F100" s="352"/>
      <c r="G100" s="352"/>
      <c r="H100" s="264"/>
      <c r="I100" s="352"/>
      <c r="J100" s="352"/>
      <c r="K100" s="264"/>
      <c r="L100" s="391"/>
      <c r="M100" s="352"/>
      <c r="N100" s="352"/>
      <c r="O100" s="352"/>
      <c r="P100" s="352"/>
      <c r="Q100" s="352"/>
      <c r="R100" s="352"/>
      <c r="S100" s="394"/>
      <c r="T100" s="352"/>
      <c r="U100" s="352"/>
      <c r="V100" s="352"/>
      <c r="W100" s="352"/>
      <c r="X100" s="352"/>
      <c r="Y100" s="265"/>
      <c r="Z100" s="446"/>
      <c r="AA100" s="446"/>
      <c r="AB100" s="446"/>
      <c r="AC100" s="446"/>
      <c r="AD100" s="453"/>
      <c r="AE100" s="454"/>
      <c r="AF100" s="454"/>
      <c r="AG100" s="455"/>
      <c r="AJ100" s="182"/>
      <c r="AK100" s="182"/>
      <c r="AL100" s="256"/>
      <c r="AM100" s="116"/>
      <c r="AN100" s="116"/>
      <c r="AO100" s="116"/>
      <c r="AP100" s="116"/>
      <c r="AS100" s="116"/>
      <c r="AT100" s="116"/>
    </row>
    <row r="101" spans="3:46" ht="12.75" hidden="1" customHeight="1">
      <c r="C101" s="266"/>
      <c r="D101" s="266"/>
      <c r="E101" s="267"/>
      <c r="F101" s="266"/>
      <c r="G101" s="266"/>
      <c r="H101" s="113"/>
      <c r="I101" s="113"/>
      <c r="J101" s="113"/>
      <c r="K101" s="113"/>
      <c r="L101" s="268"/>
      <c r="M101" s="269"/>
      <c r="N101" s="269"/>
      <c r="O101" s="269"/>
      <c r="P101" s="270"/>
      <c r="Q101" s="270"/>
      <c r="R101" s="113"/>
      <c r="S101" s="268"/>
      <c r="T101" s="269"/>
      <c r="U101" s="269"/>
      <c r="V101" s="269"/>
      <c r="W101" s="270"/>
      <c r="X101" s="270"/>
      <c r="Y101" s="271"/>
      <c r="Z101" s="272"/>
      <c r="AA101" s="269"/>
      <c r="AB101" s="269"/>
      <c r="AC101" s="269"/>
      <c r="AD101" s="269"/>
      <c r="AE101" s="269"/>
      <c r="AF101" s="266"/>
      <c r="AG101" s="266"/>
      <c r="AJ101" s="182"/>
      <c r="AK101" s="182"/>
      <c r="AL101" s="256"/>
      <c r="AM101" s="116"/>
      <c r="AN101" s="116"/>
      <c r="AO101" s="116"/>
      <c r="AP101" s="116"/>
      <c r="AS101" s="116"/>
      <c r="AT101" s="116"/>
    </row>
    <row r="102" spans="3:46" ht="12.75" hidden="1" customHeight="1">
      <c r="C102" s="353"/>
      <c r="D102" s="354"/>
      <c r="E102" s="355"/>
      <c r="F102" s="354"/>
      <c r="G102" s="354"/>
      <c r="H102" s="113"/>
      <c r="I102" s="341"/>
      <c r="J102" s="341"/>
      <c r="K102" s="113"/>
      <c r="L102" s="388"/>
      <c r="M102" s="379"/>
      <c r="N102" s="379"/>
      <c r="O102" s="379"/>
      <c r="P102" s="342"/>
      <c r="Q102" s="342"/>
      <c r="R102" s="342"/>
      <c r="S102" s="343"/>
      <c r="T102" s="342"/>
      <c r="U102" s="342"/>
      <c r="V102" s="342"/>
      <c r="W102" s="342"/>
      <c r="X102" s="342"/>
      <c r="Y102" s="243"/>
      <c r="Z102" s="342"/>
      <c r="AA102" s="342"/>
      <c r="AB102" s="342"/>
      <c r="AC102" s="342"/>
      <c r="AD102" s="347"/>
      <c r="AE102" s="348"/>
      <c r="AF102" s="348"/>
      <c r="AG102" s="349"/>
      <c r="AJ102" s="182"/>
      <c r="AK102" s="182"/>
      <c r="AL102" s="256"/>
      <c r="AM102" s="116"/>
      <c r="AN102" s="116"/>
      <c r="AO102" s="116"/>
      <c r="AP102" s="116"/>
      <c r="AS102" s="116"/>
      <c r="AT102" s="116"/>
    </row>
    <row r="103" spans="3:46" ht="12.75" hidden="1" customHeight="1">
      <c r="C103" s="353"/>
      <c r="D103" s="354"/>
      <c r="E103" s="355"/>
      <c r="F103" s="354"/>
      <c r="G103" s="354"/>
      <c r="H103" s="113"/>
      <c r="I103" s="341"/>
      <c r="J103" s="341"/>
      <c r="K103" s="113"/>
      <c r="L103" s="388"/>
      <c r="M103" s="379"/>
      <c r="N103" s="379"/>
      <c r="O103" s="379"/>
      <c r="P103" s="342"/>
      <c r="Q103" s="342"/>
      <c r="R103" s="342"/>
      <c r="S103" s="343"/>
      <c r="T103" s="342"/>
      <c r="U103" s="342"/>
      <c r="V103" s="342"/>
      <c r="W103" s="342"/>
      <c r="X103" s="342"/>
      <c r="Y103" s="243"/>
      <c r="Z103" s="342"/>
      <c r="AA103" s="342"/>
      <c r="AB103" s="342"/>
      <c r="AC103" s="342"/>
      <c r="AD103" s="347"/>
      <c r="AE103" s="348"/>
      <c r="AF103" s="348"/>
      <c r="AG103" s="349"/>
      <c r="AJ103" s="182"/>
      <c r="AK103" s="182"/>
      <c r="AL103" s="256"/>
      <c r="AM103" s="116"/>
      <c r="AN103" s="116"/>
      <c r="AO103" s="116"/>
      <c r="AP103" s="116"/>
      <c r="AS103" s="116"/>
      <c r="AT103" s="116"/>
    </row>
    <row r="104" spans="3:46" ht="12.75" hidden="1" customHeight="1">
      <c r="C104" s="353"/>
      <c r="D104" s="354"/>
      <c r="E104" s="355"/>
      <c r="F104" s="354"/>
      <c r="G104" s="354"/>
      <c r="H104" s="113"/>
      <c r="I104" s="341"/>
      <c r="J104" s="341"/>
      <c r="K104" s="113"/>
      <c r="L104" s="388"/>
      <c r="M104" s="379"/>
      <c r="N104" s="379"/>
      <c r="O104" s="379"/>
      <c r="P104" s="342"/>
      <c r="Q104" s="342"/>
      <c r="R104" s="342"/>
      <c r="S104" s="343"/>
      <c r="T104" s="342"/>
      <c r="U104" s="342"/>
      <c r="V104" s="342"/>
      <c r="W104" s="342"/>
      <c r="X104" s="342"/>
      <c r="Y104" s="243"/>
      <c r="Z104" s="342"/>
      <c r="AA104" s="342"/>
      <c r="AB104" s="342"/>
      <c r="AC104" s="342"/>
      <c r="AD104" s="347"/>
      <c r="AE104" s="348"/>
      <c r="AF104" s="348"/>
      <c r="AG104" s="349"/>
      <c r="AJ104" s="182"/>
      <c r="AK104" s="182"/>
      <c r="AL104" s="256"/>
      <c r="AM104" s="116"/>
      <c r="AN104" s="116"/>
      <c r="AO104" s="116"/>
      <c r="AP104" s="116"/>
      <c r="AS104" s="116"/>
      <c r="AT104" s="116"/>
    </row>
    <row r="105" spans="3:46" ht="12.75" hidden="1" customHeight="1">
      <c r="C105" s="353"/>
      <c r="D105" s="354"/>
      <c r="E105" s="355"/>
      <c r="F105" s="354"/>
      <c r="G105" s="354"/>
      <c r="H105" s="113"/>
      <c r="I105" s="341"/>
      <c r="J105" s="341"/>
      <c r="K105" s="113"/>
      <c r="L105" s="388"/>
      <c r="M105" s="379"/>
      <c r="N105" s="379"/>
      <c r="O105" s="379"/>
      <c r="P105" s="342"/>
      <c r="Q105" s="342"/>
      <c r="R105" s="342"/>
      <c r="S105" s="343"/>
      <c r="T105" s="342"/>
      <c r="U105" s="342"/>
      <c r="V105" s="342"/>
      <c r="W105" s="342"/>
      <c r="X105" s="342"/>
      <c r="Y105" s="243"/>
      <c r="Z105" s="342"/>
      <c r="AA105" s="342"/>
      <c r="AB105" s="342"/>
      <c r="AC105" s="342"/>
      <c r="AD105" s="347"/>
      <c r="AE105" s="348"/>
      <c r="AF105" s="348"/>
      <c r="AG105" s="349"/>
      <c r="AJ105" s="182"/>
      <c r="AK105" s="182"/>
      <c r="AL105" s="256"/>
      <c r="AM105" s="116"/>
      <c r="AN105" s="116"/>
      <c r="AO105" s="116"/>
      <c r="AP105" s="116"/>
      <c r="AS105" s="116"/>
      <c r="AT105" s="116"/>
    </row>
    <row r="106" spans="3:46" ht="12.75" hidden="1" customHeight="1">
      <c r="C106" s="353"/>
      <c r="D106" s="354"/>
      <c r="E106" s="355"/>
      <c r="F106" s="354"/>
      <c r="G106" s="354"/>
      <c r="H106" s="113"/>
      <c r="I106" s="341"/>
      <c r="J106" s="341"/>
      <c r="K106" s="113"/>
      <c r="L106" s="388"/>
      <c r="M106" s="379"/>
      <c r="N106" s="379"/>
      <c r="O106" s="379"/>
      <c r="P106" s="342"/>
      <c r="Q106" s="342"/>
      <c r="R106" s="342"/>
      <c r="S106" s="343"/>
      <c r="T106" s="342"/>
      <c r="U106" s="342"/>
      <c r="V106" s="342"/>
      <c r="W106" s="342"/>
      <c r="X106" s="342"/>
      <c r="Y106" s="243"/>
      <c r="Z106" s="342"/>
      <c r="AA106" s="342"/>
      <c r="AB106" s="342"/>
      <c r="AC106" s="342"/>
      <c r="AD106" s="347"/>
      <c r="AE106" s="348"/>
      <c r="AF106" s="348"/>
      <c r="AG106" s="349"/>
      <c r="AJ106" s="182"/>
      <c r="AK106" s="182"/>
      <c r="AL106" s="256"/>
      <c r="AM106" s="116"/>
      <c r="AN106" s="116"/>
      <c r="AO106" s="116"/>
      <c r="AP106" s="116"/>
      <c r="AS106" s="116"/>
      <c r="AT106" s="116"/>
    </row>
    <row r="107" spans="3:46" ht="12.75" hidden="1" customHeight="1">
      <c r="C107" s="353"/>
      <c r="D107" s="354"/>
      <c r="E107" s="355"/>
      <c r="F107" s="354"/>
      <c r="G107" s="354"/>
      <c r="H107" s="113"/>
      <c r="I107" s="341"/>
      <c r="J107" s="341"/>
      <c r="K107" s="113"/>
      <c r="L107" s="388"/>
      <c r="M107" s="379"/>
      <c r="N107" s="379"/>
      <c r="O107" s="379"/>
      <c r="P107" s="342"/>
      <c r="Q107" s="342"/>
      <c r="R107" s="342"/>
      <c r="S107" s="343"/>
      <c r="T107" s="342"/>
      <c r="U107" s="342"/>
      <c r="V107" s="342"/>
      <c r="W107" s="342"/>
      <c r="X107" s="342"/>
      <c r="Y107" s="243"/>
      <c r="Z107" s="342"/>
      <c r="AA107" s="342"/>
      <c r="AB107" s="342"/>
      <c r="AC107" s="342"/>
      <c r="AD107" s="347"/>
      <c r="AE107" s="348"/>
      <c r="AF107" s="348"/>
      <c r="AG107" s="349"/>
      <c r="AJ107" s="182"/>
      <c r="AK107" s="182"/>
      <c r="AL107" s="256"/>
      <c r="AM107" s="116"/>
      <c r="AN107" s="116"/>
      <c r="AO107" s="116"/>
      <c r="AP107" s="116"/>
      <c r="AS107" s="116"/>
      <c r="AT107" s="116"/>
    </row>
    <row r="108" spans="3:46" ht="12.75" hidden="1" customHeight="1">
      <c r="C108" s="353"/>
      <c r="D108" s="354"/>
      <c r="E108" s="355"/>
      <c r="F108" s="354"/>
      <c r="G108" s="354"/>
      <c r="H108" s="113"/>
      <c r="I108" s="341"/>
      <c r="J108" s="341"/>
      <c r="K108" s="113"/>
      <c r="L108" s="388"/>
      <c r="M108" s="379"/>
      <c r="N108" s="379"/>
      <c r="O108" s="379"/>
      <c r="P108" s="342"/>
      <c r="Q108" s="342"/>
      <c r="R108" s="342"/>
      <c r="S108" s="343"/>
      <c r="T108" s="342"/>
      <c r="U108" s="342"/>
      <c r="V108" s="342"/>
      <c r="W108" s="342"/>
      <c r="X108" s="342"/>
      <c r="Y108" s="243"/>
      <c r="Z108" s="342"/>
      <c r="AA108" s="342"/>
      <c r="AB108" s="342"/>
      <c r="AC108" s="342"/>
      <c r="AD108" s="347"/>
      <c r="AE108" s="348"/>
      <c r="AF108" s="348"/>
      <c r="AG108" s="349"/>
      <c r="AJ108" s="182"/>
      <c r="AK108" s="182"/>
      <c r="AL108" s="256"/>
      <c r="AM108" s="116"/>
      <c r="AN108" s="116"/>
      <c r="AO108" s="116"/>
      <c r="AP108" s="116"/>
      <c r="AS108" s="116"/>
      <c r="AT108" s="116"/>
    </row>
    <row r="109" spans="3:46" ht="12.75" hidden="1" customHeight="1">
      <c r="C109" s="353"/>
      <c r="D109" s="354"/>
      <c r="E109" s="355"/>
      <c r="F109" s="354"/>
      <c r="G109" s="354"/>
      <c r="H109" s="113"/>
      <c r="I109" s="341"/>
      <c r="J109" s="341"/>
      <c r="K109" s="113"/>
      <c r="L109" s="388"/>
      <c r="M109" s="379"/>
      <c r="N109" s="379"/>
      <c r="O109" s="379"/>
      <c r="P109" s="342"/>
      <c r="Q109" s="342"/>
      <c r="R109" s="342"/>
      <c r="S109" s="343"/>
      <c r="T109" s="342"/>
      <c r="U109" s="342"/>
      <c r="V109" s="342"/>
      <c r="W109" s="342"/>
      <c r="X109" s="342"/>
      <c r="Y109" s="243"/>
      <c r="Z109" s="342"/>
      <c r="AA109" s="342"/>
      <c r="AB109" s="342"/>
      <c r="AC109" s="342"/>
      <c r="AD109" s="347"/>
      <c r="AE109" s="348"/>
      <c r="AF109" s="348"/>
      <c r="AG109" s="349"/>
      <c r="AJ109" s="182"/>
      <c r="AK109" s="182"/>
      <c r="AL109" s="256"/>
      <c r="AM109" s="116"/>
      <c r="AN109" s="116"/>
      <c r="AO109" s="116"/>
      <c r="AP109" s="116"/>
      <c r="AS109" s="116"/>
      <c r="AT109" s="116"/>
    </row>
    <row r="110" spans="3:46" ht="12.75" hidden="1" customHeight="1">
      <c r="C110" s="353"/>
      <c r="D110" s="354"/>
      <c r="E110" s="355"/>
      <c r="F110" s="354"/>
      <c r="G110" s="354"/>
      <c r="H110" s="113"/>
      <c r="I110" s="341"/>
      <c r="J110" s="341"/>
      <c r="K110" s="113"/>
      <c r="L110" s="388"/>
      <c r="M110" s="379"/>
      <c r="N110" s="379"/>
      <c r="O110" s="379"/>
      <c r="P110" s="342"/>
      <c r="Q110" s="342"/>
      <c r="R110" s="342"/>
      <c r="S110" s="343"/>
      <c r="T110" s="342"/>
      <c r="U110" s="342"/>
      <c r="V110" s="342"/>
      <c r="W110" s="342"/>
      <c r="X110" s="342"/>
      <c r="Y110" s="243"/>
      <c r="Z110" s="342"/>
      <c r="AA110" s="342"/>
      <c r="AB110" s="342"/>
      <c r="AC110" s="342"/>
      <c r="AD110" s="347"/>
      <c r="AE110" s="348"/>
      <c r="AF110" s="348"/>
      <c r="AG110" s="349"/>
      <c r="AJ110" s="182"/>
      <c r="AK110" s="182"/>
      <c r="AL110" s="256"/>
      <c r="AM110" s="116"/>
      <c r="AN110" s="116"/>
      <c r="AO110" s="116"/>
      <c r="AP110" s="116"/>
      <c r="AS110" s="116"/>
      <c r="AT110" s="116"/>
    </row>
    <row r="111" spans="3:46" ht="12.75" hidden="1" customHeight="1">
      <c r="C111" s="353"/>
      <c r="D111" s="354"/>
      <c r="E111" s="355"/>
      <c r="F111" s="354"/>
      <c r="G111" s="354"/>
      <c r="H111" s="113"/>
      <c r="I111" s="341"/>
      <c r="J111" s="341"/>
      <c r="K111" s="113"/>
      <c r="L111" s="388"/>
      <c r="M111" s="379"/>
      <c r="N111" s="379"/>
      <c r="O111" s="379"/>
      <c r="P111" s="342"/>
      <c r="Q111" s="342"/>
      <c r="R111" s="342"/>
      <c r="S111" s="343"/>
      <c r="T111" s="342"/>
      <c r="U111" s="342"/>
      <c r="V111" s="342"/>
      <c r="W111" s="342"/>
      <c r="X111" s="342"/>
      <c r="Y111" s="243"/>
      <c r="Z111" s="342"/>
      <c r="AA111" s="342"/>
      <c r="AB111" s="342"/>
      <c r="AC111" s="342"/>
      <c r="AD111" s="347"/>
      <c r="AE111" s="348"/>
      <c r="AF111" s="348"/>
      <c r="AG111" s="349"/>
      <c r="AJ111" s="182"/>
      <c r="AK111" s="182"/>
      <c r="AL111" s="256"/>
      <c r="AM111" s="116"/>
      <c r="AN111" s="116"/>
      <c r="AO111" s="116"/>
      <c r="AP111" s="116"/>
      <c r="AS111" s="116"/>
      <c r="AT111" s="116"/>
    </row>
    <row r="112" spans="3:46" ht="12.75" hidden="1" customHeight="1">
      <c r="C112" s="353"/>
      <c r="D112" s="354"/>
      <c r="E112" s="355"/>
      <c r="F112" s="354"/>
      <c r="G112" s="354"/>
      <c r="H112" s="113"/>
      <c r="I112" s="341"/>
      <c r="J112" s="341"/>
      <c r="K112" s="113"/>
      <c r="L112" s="388"/>
      <c r="M112" s="379"/>
      <c r="N112" s="379"/>
      <c r="O112" s="379"/>
      <c r="P112" s="342"/>
      <c r="Q112" s="342"/>
      <c r="R112" s="342"/>
      <c r="S112" s="343"/>
      <c r="T112" s="342"/>
      <c r="U112" s="342"/>
      <c r="V112" s="342"/>
      <c r="W112" s="342"/>
      <c r="X112" s="342"/>
      <c r="Y112" s="243"/>
      <c r="Z112" s="342"/>
      <c r="AA112" s="342"/>
      <c r="AB112" s="342"/>
      <c r="AC112" s="342"/>
      <c r="AD112" s="347"/>
      <c r="AE112" s="348"/>
      <c r="AF112" s="348"/>
      <c r="AG112" s="349"/>
      <c r="AJ112" s="182"/>
      <c r="AK112" s="182"/>
      <c r="AL112" s="256"/>
      <c r="AM112" s="116"/>
      <c r="AN112" s="116"/>
      <c r="AO112" s="116"/>
      <c r="AP112" s="116"/>
      <c r="AS112" s="116"/>
      <c r="AT112" s="116"/>
    </row>
    <row r="113" spans="3:238" ht="12.75" hidden="1" customHeight="1">
      <c r="C113" s="353"/>
      <c r="D113" s="354"/>
      <c r="E113" s="355"/>
      <c r="F113" s="354"/>
      <c r="G113" s="354"/>
      <c r="H113" s="113"/>
      <c r="I113" s="341"/>
      <c r="J113" s="341"/>
      <c r="K113" s="113"/>
      <c r="L113" s="388"/>
      <c r="M113" s="379"/>
      <c r="N113" s="379"/>
      <c r="O113" s="379"/>
      <c r="P113" s="342"/>
      <c r="Q113" s="342"/>
      <c r="R113" s="342"/>
      <c r="S113" s="343"/>
      <c r="T113" s="342"/>
      <c r="U113" s="342"/>
      <c r="V113" s="342"/>
      <c r="W113" s="342"/>
      <c r="X113" s="342"/>
      <c r="Y113" s="243"/>
      <c r="Z113" s="342"/>
      <c r="AA113" s="342"/>
      <c r="AB113" s="342"/>
      <c r="AC113" s="342"/>
      <c r="AD113" s="347"/>
      <c r="AE113" s="348"/>
      <c r="AF113" s="348"/>
      <c r="AG113" s="349"/>
      <c r="AJ113" s="182"/>
      <c r="AK113" s="182"/>
      <c r="AL113" s="256"/>
      <c r="AM113" s="116"/>
      <c r="AN113" s="116"/>
      <c r="AO113" s="116"/>
      <c r="AP113" s="116"/>
      <c r="AS113" s="116"/>
      <c r="AT113" s="116"/>
    </row>
    <row r="114" spans="3:238" ht="12.75" hidden="1" customHeight="1">
      <c r="C114" s="353"/>
      <c r="D114" s="354"/>
      <c r="E114" s="355"/>
      <c r="F114" s="354"/>
      <c r="G114" s="354"/>
      <c r="H114" s="113"/>
      <c r="I114" s="341"/>
      <c r="J114" s="341"/>
      <c r="K114" s="113"/>
      <c r="L114" s="388"/>
      <c r="M114" s="379"/>
      <c r="N114" s="379"/>
      <c r="O114" s="379"/>
      <c r="P114" s="342"/>
      <c r="Q114" s="342"/>
      <c r="R114" s="342"/>
      <c r="S114" s="343"/>
      <c r="T114" s="342"/>
      <c r="U114" s="342"/>
      <c r="V114" s="342"/>
      <c r="W114" s="342"/>
      <c r="X114" s="342"/>
      <c r="Y114" s="243"/>
      <c r="Z114" s="342"/>
      <c r="AA114" s="342"/>
      <c r="AB114" s="342"/>
      <c r="AC114" s="342"/>
      <c r="AD114" s="347"/>
      <c r="AE114" s="348"/>
      <c r="AF114" s="348"/>
      <c r="AG114" s="349"/>
      <c r="AJ114" s="182"/>
      <c r="AK114" s="182"/>
      <c r="AL114" s="256"/>
      <c r="AM114" s="116"/>
      <c r="AN114" s="116"/>
      <c r="AO114" s="116"/>
      <c r="AP114" s="116"/>
      <c r="AS114" s="116"/>
      <c r="AT114" s="116"/>
      <c r="BQ114" s="116"/>
      <c r="BR114" s="116"/>
      <c r="BS114" s="116"/>
      <c r="BT114" s="116"/>
      <c r="BU114" s="116"/>
      <c r="BV114" s="116"/>
      <c r="BW114" s="116"/>
      <c r="BX114" s="116"/>
      <c r="BY114" s="116"/>
      <c r="BZ114" s="116"/>
      <c r="CA114" s="116"/>
      <c r="CB114" s="116"/>
      <c r="CC114" s="116"/>
      <c r="CD114" s="116"/>
      <c r="CE114" s="116"/>
      <c r="CF114" s="116"/>
      <c r="CG114" s="116"/>
      <c r="CH114" s="116"/>
      <c r="CI114" s="116"/>
      <c r="CJ114" s="116"/>
      <c r="CK114" s="116"/>
      <c r="CL114" s="116"/>
      <c r="CM114" s="116"/>
      <c r="CN114" s="116"/>
      <c r="CO114" s="116"/>
      <c r="CP114" s="116"/>
      <c r="CQ114" s="116"/>
      <c r="CR114" s="116"/>
      <c r="CS114" s="116"/>
      <c r="CT114" s="116"/>
      <c r="CU114" s="116"/>
      <c r="CV114" s="116"/>
      <c r="CW114" s="116"/>
      <c r="CX114" s="116"/>
      <c r="CY114" s="116"/>
      <c r="CZ114" s="116"/>
      <c r="DA114" s="116"/>
      <c r="DB114" s="116"/>
      <c r="DC114" s="116"/>
      <c r="DD114" s="116"/>
      <c r="DE114" s="116"/>
      <c r="DF114" s="116"/>
      <c r="DG114" s="116"/>
      <c r="DH114" s="116"/>
      <c r="DI114" s="116"/>
      <c r="DJ114" s="116"/>
      <c r="DK114" s="116"/>
      <c r="DL114" s="116"/>
      <c r="DM114" s="116"/>
      <c r="DN114" s="116"/>
      <c r="DO114" s="116"/>
      <c r="DP114" s="116"/>
      <c r="DQ114" s="116"/>
      <c r="DR114" s="116"/>
      <c r="DS114" s="116"/>
      <c r="DT114" s="116"/>
      <c r="DU114" s="116"/>
      <c r="DV114" s="116"/>
      <c r="DW114" s="116"/>
      <c r="DX114" s="116"/>
      <c r="DY114" s="116"/>
      <c r="DZ114" s="116"/>
      <c r="EA114" s="116"/>
      <c r="EB114" s="116"/>
      <c r="EC114" s="116"/>
      <c r="ED114" s="116"/>
      <c r="EE114" s="116"/>
      <c r="EF114" s="116"/>
      <c r="EG114" s="116"/>
      <c r="EH114" s="116"/>
      <c r="EI114" s="116"/>
      <c r="EJ114" s="116"/>
      <c r="EK114" s="116"/>
      <c r="EL114" s="116"/>
      <c r="EM114" s="116"/>
      <c r="EN114" s="116"/>
      <c r="EO114" s="116"/>
      <c r="EP114" s="116"/>
      <c r="EQ114" s="116"/>
      <c r="ER114" s="116"/>
      <c r="ES114" s="116"/>
      <c r="ET114" s="116"/>
      <c r="EU114" s="116"/>
      <c r="EV114" s="116"/>
      <c r="EW114" s="116"/>
      <c r="EX114" s="116"/>
      <c r="EY114" s="116"/>
      <c r="EZ114" s="116"/>
      <c r="FA114" s="116"/>
      <c r="FB114" s="116"/>
      <c r="FC114" s="116"/>
      <c r="FD114" s="116"/>
      <c r="FE114" s="116"/>
      <c r="FF114" s="116"/>
      <c r="FG114" s="116"/>
      <c r="FH114" s="116"/>
      <c r="FI114" s="116"/>
      <c r="FJ114" s="116"/>
      <c r="FK114" s="116"/>
      <c r="FL114" s="116"/>
      <c r="FM114" s="116"/>
      <c r="FN114" s="116"/>
      <c r="FO114" s="116"/>
      <c r="FP114" s="116"/>
      <c r="FQ114" s="116"/>
      <c r="FR114" s="116"/>
      <c r="FS114" s="116"/>
      <c r="FT114" s="116"/>
      <c r="FU114" s="116"/>
      <c r="FV114" s="116"/>
      <c r="FW114" s="116"/>
      <c r="FX114" s="116"/>
      <c r="FY114" s="116"/>
      <c r="FZ114" s="116"/>
      <c r="GA114" s="116"/>
      <c r="GB114" s="116"/>
      <c r="GC114" s="116"/>
      <c r="GD114" s="116"/>
      <c r="GE114" s="116"/>
      <c r="GF114" s="116"/>
      <c r="GG114" s="116"/>
      <c r="GH114" s="116"/>
      <c r="GI114" s="116"/>
      <c r="GJ114" s="116"/>
      <c r="GK114" s="116"/>
      <c r="GL114" s="116"/>
      <c r="GM114" s="116"/>
      <c r="GN114" s="116"/>
      <c r="GO114" s="116"/>
      <c r="GP114" s="116"/>
      <c r="GQ114" s="116"/>
      <c r="GR114" s="116"/>
      <c r="GS114" s="116"/>
      <c r="GT114" s="116"/>
      <c r="GU114" s="116"/>
      <c r="GV114" s="116"/>
      <c r="GW114" s="116"/>
      <c r="GX114" s="116"/>
      <c r="GY114" s="116"/>
      <c r="GZ114" s="116"/>
      <c r="HA114" s="116"/>
      <c r="HB114" s="116"/>
      <c r="HC114" s="116"/>
      <c r="HD114" s="116"/>
      <c r="HE114" s="116"/>
      <c r="HF114" s="116"/>
      <c r="HG114" s="116"/>
      <c r="HH114" s="116"/>
      <c r="HI114" s="116"/>
      <c r="HJ114" s="116"/>
      <c r="HK114" s="116"/>
      <c r="HL114" s="116"/>
      <c r="HM114" s="116"/>
      <c r="HN114" s="116"/>
      <c r="HO114" s="116"/>
      <c r="HP114" s="116"/>
      <c r="HQ114" s="116"/>
      <c r="HR114" s="116"/>
      <c r="HS114" s="116"/>
      <c r="HT114" s="116"/>
      <c r="HU114" s="116"/>
      <c r="HV114" s="116"/>
      <c r="HW114" s="116"/>
      <c r="HX114" s="116"/>
      <c r="ID114" s="116"/>
    </row>
    <row r="115" spans="3:238" ht="12.75" hidden="1" customHeight="1">
      <c r="C115" s="353"/>
      <c r="D115" s="354"/>
      <c r="E115" s="355"/>
      <c r="F115" s="354"/>
      <c r="G115" s="354"/>
      <c r="H115" s="113"/>
      <c r="I115" s="341"/>
      <c r="J115" s="341"/>
      <c r="K115" s="113"/>
      <c r="L115" s="388"/>
      <c r="M115" s="379"/>
      <c r="N115" s="379"/>
      <c r="O115" s="379"/>
      <c r="P115" s="342"/>
      <c r="Q115" s="342"/>
      <c r="R115" s="342"/>
      <c r="S115" s="343"/>
      <c r="T115" s="342"/>
      <c r="U115" s="342"/>
      <c r="V115" s="342"/>
      <c r="W115" s="342"/>
      <c r="X115" s="342"/>
      <c r="Y115" s="243"/>
      <c r="Z115" s="342"/>
      <c r="AA115" s="342"/>
      <c r="AB115" s="342"/>
      <c r="AC115" s="342"/>
      <c r="AD115" s="347"/>
      <c r="AE115" s="348"/>
      <c r="AF115" s="348"/>
      <c r="AG115" s="349"/>
      <c r="AJ115" s="182"/>
      <c r="AK115" s="182"/>
      <c r="AL115" s="256"/>
      <c r="AM115" s="116"/>
      <c r="AN115" s="116"/>
      <c r="AO115" s="116"/>
      <c r="AP115" s="116"/>
      <c r="AS115" s="116"/>
      <c r="AT115" s="116"/>
      <c r="BQ115" s="116"/>
      <c r="BR115" s="116"/>
      <c r="BS115" s="116"/>
      <c r="BT115" s="116"/>
      <c r="BU115" s="116"/>
      <c r="BV115" s="116"/>
      <c r="BW115" s="116"/>
      <c r="BX115" s="116"/>
      <c r="BY115" s="116"/>
      <c r="BZ115" s="116"/>
      <c r="CA115" s="116"/>
      <c r="CB115" s="116"/>
      <c r="CC115" s="116"/>
      <c r="CD115" s="116"/>
      <c r="CE115" s="116"/>
      <c r="CF115" s="116"/>
      <c r="CG115" s="116"/>
      <c r="CH115" s="116"/>
      <c r="CI115" s="116"/>
      <c r="CJ115" s="116"/>
      <c r="CK115" s="116"/>
      <c r="CL115" s="116"/>
      <c r="CM115" s="116"/>
      <c r="CN115" s="116"/>
      <c r="CO115" s="116"/>
      <c r="CP115" s="116"/>
      <c r="CQ115" s="116"/>
      <c r="CR115" s="116"/>
      <c r="CS115" s="116"/>
      <c r="CT115" s="116"/>
      <c r="CU115" s="116"/>
      <c r="CV115" s="116"/>
      <c r="CW115" s="116"/>
      <c r="CX115" s="116"/>
      <c r="CY115" s="116"/>
      <c r="CZ115" s="116"/>
      <c r="DA115" s="116"/>
      <c r="DB115" s="116"/>
      <c r="DC115" s="116"/>
      <c r="DD115" s="116"/>
      <c r="DE115" s="116"/>
      <c r="DF115" s="116"/>
      <c r="DG115" s="116"/>
      <c r="DH115" s="116"/>
      <c r="DI115" s="116"/>
      <c r="DJ115" s="116"/>
      <c r="DK115" s="116"/>
      <c r="DL115" s="116"/>
      <c r="DM115" s="116"/>
      <c r="DN115" s="116"/>
      <c r="DO115" s="116"/>
      <c r="DP115" s="116"/>
      <c r="DQ115" s="116"/>
      <c r="DR115" s="116"/>
      <c r="DS115" s="116"/>
      <c r="DT115" s="116"/>
      <c r="DU115" s="116"/>
      <c r="DV115" s="116"/>
      <c r="DW115" s="116"/>
      <c r="DX115" s="116"/>
      <c r="DY115" s="116"/>
      <c r="DZ115" s="116"/>
      <c r="EA115" s="116"/>
      <c r="EB115" s="116"/>
      <c r="EC115" s="116"/>
      <c r="ED115" s="116"/>
      <c r="EE115" s="116"/>
      <c r="EF115" s="116"/>
      <c r="EG115" s="116"/>
      <c r="EH115" s="116"/>
      <c r="EI115" s="116"/>
      <c r="EJ115" s="116"/>
      <c r="EK115" s="116"/>
      <c r="EL115" s="116"/>
      <c r="EM115" s="116"/>
      <c r="EN115" s="116"/>
      <c r="EO115" s="116"/>
      <c r="EP115" s="116"/>
      <c r="EQ115" s="116"/>
      <c r="ER115" s="116"/>
      <c r="ES115" s="116"/>
      <c r="ET115" s="116"/>
      <c r="EU115" s="116"/>
      <c r="EV115" s="116"/>
      <c r="EW115" s="116"/>
      <c r="EX115" s="116"/>
      <c r="EY115" s="116"/>
      <c r="EZ115" s="116"/>
      <c r="FA115" s="116"/>
      <c r="FB115" s="116"/>
      <c r="FC115" s="116"/>
      <c r="FD115" s="116"/>
      <c r="FE115" s="116"/>
      <c r="FF115" s="116"/>
      <c r="FG115" s="116"/>
      <c r="FH115" s="116"/>
      <c r="FI115" s="116"/>
      <c r="FJ115" s="116"/>
      <c r="FK115" s="116"/>
      <c r="FL115" s="116"/>
      <c r="FM115" s="116"/>
      <c r="FN115" s="116"/>
      <c r="FO115" s="116"/>
      <c r="FP115" s="116"/>
      <c r="FQ115" s="116"/>
      <c r="FR115" s="116"/>
      <c r="FS115" s="116"/>
      <c r="FT115" s="116"/>
      <c r="FU115" s="116"/>
      <c r="FV115" s="116"/>
      <c r="FW115" s="116"/>
      <c r="FX115" s="116"/>
      <c r="FY115" s="116"/>
      <c r="FZ115" s="116"/>
      <c r="GA115" s="116"/>
      <c r="GB115" s="116"/>
      <c r="GC115" s="116"/>
      <c r="GD115" s="116"/>
      <c r="GE115" s="116"/>
      <c r="GF115" s="116"/>
      <c r="GG115" s="116"/>
      <c r="GH115" s="116"/>
      <c r="GI115" s="116"/>
      <c r="GJ115" s="116"/>
      <c r="GK115" s="116"/>
      <c r="GL115" s="116"/>
      <c r="GM115" s="116"/>
      <c r="GN115" s="116"/>
      <c r="GO115" s="116"/>
      <c r="GP115" s="116"/>
      <c r="GQ115" s="116"/>
      <c r="GR115" s="116"/>
      <c r="GS115" s="116"/>
      <c r="GT115" s="116"/>
      <c r="GU115" s="116"/>
      <c r="GV115" s="116"/>
      <c r="GW115" s="116"/>
      <c r="GX115" s="116"/>
      <c r="GY115" s="116"/>
      <c r="GZ115" s="116"/>
      <c r="HA115" s="116"/>
      <c r="HB115" s="116"/>
      <c r="HC115" s="116"/>
      <c r="HD115" s="116"/>
      <c r="HE115" s="116"/>
      <c r="HF115" s="116"/>
      <c r="HG115" s="116"/>
      <c r="HH115" s="116"/>
      <c r="HI115" s="116"/>
      <c r="HJ115" s="116"/>
      <c r="HK115" s="116"/>
      <c r="HL115" s="116"/>
      <c r="HM115" s="116"/>
      <c r="HN115" s="116"/>
      <c r="HO115" s="116"/>
      <c r="HP115" s="116"/>
      <c r="HQ115" s="116"/>
      <c r="HR115" s="116"/>
      <c r="HS115" s="116"/>
      <c r="HT115" s="116"/>
      <c r="HU115" s="116"/>
      <c r="HV115" s="116"/>
      <c r="HW115" s="116"/>
      <c r="HX115" s="116"/>
      <c r="ID115" s="116"/>
    </row>
    <row r="116" spans="3:238" ht="12.75" hidden="1" customHeight="1">
      <c r="C116" s="353"/>
      <c r="D116" s="354"/>
      <c r="E116" s="355"/>
      <c r="F116" s="354"/>
      <c r="G116" s="354"/>
      <c r="H116" s="113"/>
      <c r="I116" s="341"/>
      <c r="J116" s="341"/>
      <c r="K116" s="113"/>
      <c r="L116" s="388"/>
      <c r="M116" s="379"/>
      <c r="N116" s="379"/>
      <c r="O116" s="379"/>
      <c r="P116" s="342"/>
      <c r="Q116" s="342"/>
      <c r="R116" s="342"/>
      <c r="S116" s="343"/>
      <c r="T116" s="342"/>
      <c r="U116" s="342"/>
      <c r="V116" s="342"/>
      <c r="W116" s="342"/>
      <c r="X116" s="342"/>
      <c r="Y116" s="243"/>
      <c r="Z116" s="342"/>
      <c r="AA116" s="342"/>
      <c r="AB116" s="342"/>
      <c r="AC116" s="342"/>
      <c r="AD116" s="347"/>
      <c r="AE116" s="348"/>
      <c r="AF116" s="348"/>
      <c r="AG116" s="349"/>
      <c r="AJ116" s="232"/>
      <c r="AK116" s="182"/>
      <c r="AL116" s="256"/>
      <c r="AM116" s="116"/>
      <c r="AN116" s="116"/>
      <c r="AO116" s="116"/>
      <c r="AP116" s="116"/>
      <c r="AS116" s="116"/>
      <c r="AT116" s="116"/>
      <c r="BQ116" s="116"/>
      <c r="BR116" s="116"/>
      <c r="BS116" s="116"/>
      <c r="BT116" s="116"/>
      <c r="BU116" s="116"/>
      <c r="BV116" s="116"/>
      <c r="BW116" s="116"/>
      <c r="BX116" s="116"/>
      <c r="BY116" s="116"/>
      <c r="BZ116" s="116"/>
      <c r="CA116" s="116"/>
      <c r="CB116" s="116"/>
      <c r="CC116" s="116"/>
      <c r="CD116" s="116"/>
      <c r="CE116" s="116"/>
      <c r="CF116" s="116"/>
      <c r="CG116" s="116"/>
      <c r="CH116" s="116"/>
      <c r="CI116" s="116"/>
      <c r="CJ116" s="116"/>
      <c r="CK116" s="116"/>
      <c r="CL116" s="116"/>
      <c r="CM116" s="116"/>
      <c r="CN116" s="116"/>
      <c r="CO116" s="116"/>
      <c r="CP116" s="116"/>
      <c r="CQ116" s="116"/>
      <c r="CR116" s="116"/>
      <c r="CS116" s="116"/>
      <c r="CT116" s="116"/>
      <c r="CU116" s="116"/>
      <c r="CV116" s="116"/>
      <c r="CW116" s="116"/>
      <c r="CX116" s="116"/>
      <c r="CY116" s="116"/>
      <c r="CZ116" s="116"/>
      <c r="DA116" s="116"/>
      <c r="DB116" s="116"/>
      <c r="DC116" s="116"/>
      <c r="DD116" s="116"/>
      <c r="DE116" s="116"/>
      <c r="DF116" s="116"/>
      <c r="DG116" s="116"/>
      <c r="DH116" s="116"/>
      <c r="DI116" s="116"/>
      <c r="DJ116" s="116"/>
      <c r="DK116" s="116"/>
      <c r="DL116" s="116"/>
      <c r="DM116" s="116"/>
      <c r="DN116" s="116"/>
      <c r="DO116" s="116"/>
      <c r="DP116" s="116"/>
      <c r="DQ116" s="116"/>
      <c r="DR116" s="116"/>
      <c r="DS116" s="116"/>
      <c r="DT116" s="116"/>
      <c r="DU116" s="116"/>
      <c r="DV116" s="116"/>
      <c r="DW116" s="116"/>
      <c r="DX116" s="116"/>
      <c r="DY116" s="116"/>
      <c r="DZ116" s="116"/>
      <c r="EA116" s="116"/>
      <c r="EB116" s="116"/>
      <c r="EC116" s="116"/>
      <c r="ED116" s="116"/>
      <c r="EE116" s="116"/>
      <c r="EF116" s="116"/>
      <c r="EG116" s="116"/>
      <c r="EH116" s="116"/>
      <c r="EI116" s="116"/>
      <c r="EJ116" s="116"/>
      <c r="EK116" s="116"/>
      <c r="EL116" s="116"/>
      <c r="EM116" s="116"/>
      <c r="EN116" s="116"/>
      <c r="EO116" s="116"/>
      <c r="EP116" s="116"/>
      <c r="EQ116" s="116"/>
      <c r="ER116" s="116"/>
      <c r="ES116" s="116"/>
      <c r="ET116" s="116"/>
      <c r="EU116" s="116"/>
      <c r="EV116" s="116"/>
      <c r="EW116" s="116"/>
      <c r="EX116" s="116"/>
      <c r="EY116" s="116"/>
      <c r="EZ116" s="116"/>
      <c r="FA116" s="116"/>
      <c r="FB116" s="116"/>
      <c r="FC116" s="116"/>
      <c r="FD116" s="116"/>
      <c r="FE116" s="116"/>
      <c r="FF116" s="116"/>
      <c r="FG116" s="116"/>
      <c r="FH116" s="116"/>
      <c r="FI116" s="116"/>
      <c r="FJ116" s="116"/>
      <c r="FK116" s="116"/>
      <c r="FL116" s="116"/>
      <c r="FM116" s="116"/>
      <c r="FN116" s="116"/>
      <c r="FO116" s="116"/>
      <c r="FP116" s="116"/>
      <c r="FQ116" s="116"/>
      <c r="FR116" s="116"/>
      <c r="FS116" s="116"/>
      <c r="FT116" s="116"/>
      <c r="FU116" s="116"/>
      <c r="FV116" s="116"/>
      <c r="FW116" s="116"/>
      <c r="FX116" s="116"/>
      <c r="FY116" s="116"/>
      <c r="FZ116" s="116"/>
      <c r="GA116" s="116"/>
      <c r="GB116" s="116"/>
      <c r="GC116" s="116"/>
      <c r="GD116" s="116"/>
      <c r="GE116" s="116"/>
      <c r="GF116" s="116"/>
      <c r="GG116" s="116"/>
      <c r="GH116" s="116"/>
      <c r="GI116" s="116"/>
      <c r="GJ116" s="116"/>
      <c r="GK116" s="116"/>
      <c r="GL116" s="116"/>
      <c r="GM116" s="116"/>
      <c r="GN116" s="116"/>
      <c r="GO116" s="116"/>
      <c r="GP116" s="116"/>
      <c r="GQ116" s="116"/>
      <c r="GR116" s="116"/>
      <c r="GS116" s="116"/>
      <c r="GT116" s="116"/>
      <c r="GU116" s="116"/>
      <c r="GV116" s="116"/>
      <c r="GW116" s="116"/>
      <c r="GX116" s="116"/>
      <c r="GY116" s="116"/>
      <c r="GZ116" s="116"/>
      <c r="HA116" s="116"/>
      <c r="HB116" s="116"/>
      <c r="HC116" s="116"/>
      <c r="HD116" s="116"/>
      <c r="HE116" s="116"/>
      <c r="HF116" s="116"/>
      <c r="HG116" s="116"/>
      <c r="HH116" s="116"/>
      <c r="HI116" s="116"/>
      <c r="HJ116" s="116"/>
      <c r="HK116" s="116"/>
      <c r="HL116" s="116"/>
      <c r="HM116" s="116"/>
      <c r="HN116" s="116"/>
      <c r="HO116" s="116"/>
      <c r="HP116" s="116"/>
      <c r="HQ116" s="116"/>
      <c r="HR116" s="116"/>
      <c r="HS116" s="116"/>
      <c r="HT116" s="116"/>
      <c r="HU116" s="116"/>
      <c r="HV116" s="116"/>
      <c r="HW116" s="116"/>
      <c r="HX116" s="116"/>
      <c r="ID116" s="116"/>
    </row>
    <row r="117" spans="3:238" ht="12.75" hidden="1" customHeight="1">
      <c r="C117" s="353"/>
      <c r="D117" s="354"/>
      <c r="E117" s="355"/>
      <c r="F117" s="354"/>
      <c r="G117" s="354"/>
      <c r="H117" s="113"/>
      <c r="I117" s="341"/>
      <c r="J117" s="341"/>
      <c r="K117" s="113"/>
      <c r="L117" s="388"/>
      <c r="M117" s="379"/>
      <c r="N117" s="379"/>
      <c r="O117" s="379"/>
      <c r="P117" s="342"/>
      <c r="Q117" s="342"/>
      <c r="R117" s="342"/>
      <c r="S117" s="343"/>
      <c r="T117" s="342"/>
      <c r="U117" s="342"/>
      <c r="V117" s="342"/>
      <c r="W117" s="342"/>
      <c r="X117" s="342"/>
      <c r="Y117" s="243"/>
      <c r="Z117" s="342"/>
      <c r="AA117" s="342"/>
      <c r="AB117" s="342"/>
      <c r="AC117" s="342"/>
      <c r="AD117" s="347"/>
      <c r="AE117" s="348"/>
      <c r="AF117" s="348"/>
      <c r="AG117" s="349"/>
      <c r="AJ117" s="116"/>
      <c r="AK117" s="116"/>
      <c r="AL117" s="116"/>
      <c r="AM117" s="116"/>
      <c r="AN117" s="116"/>
      <c r="AO117" s="116"/>
      <c r="AP117" s="116"/>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s="273"/>
      <c r="CC117" s="273"/>
      <c r="CD117" s="273"/>
      <c r="CE117" s="273"/>
      <c r="CF117" s="273"/>
      <c r="CG117" s="273"/>
      <c r="CH117" s="273"/>
      <c r="CI117" s="273"/>
      <c r="CJ117" s="273"/>
      <c r="CK117" s="273"/>
      <c r="CL117" s="273"/>
      <c r="CM117" s="273"/>
      <c r="CN117" s="273"/>
      <c r="CO117" s="273"/>
      <c r="CP117" s="273"/>
      <c r="CQ117" s="273"/>
      <c r="CR117" s="273"/>
      <c r="CS117" s="273"/>
      <c r="CT117" s="273"/>
      <c r="CU117" s="273"/>
      <c r="CV117" s="273"/>
      <c r="CW117" s="273"/>
      <c r="CX117" s="273"/>
      <c r="CY117" s="273"/>
      <c r="CZ117" s="273"/>
      <c r="DA117" s="273"/>
      <c r="DB117" s="273"/>
      <c r="DC117" s="273"/>
      <c r="DD117" s="273"/>
      <c r="DE117" s="273"/>
      <c r="DF117" s="273"/>
      <c r="DG117" s="273"/>
      <c r="DH117" s="273"/>
      <c r="DI117" s="273"/>
      <c r="DJ117" s="273"/>
      <c r="DK117" s="273"/>
      <c r="DL117" s="273"/>
      <c r="DM117" s="273"/>
      <c r="DN117" s="273"/>
      <c r="DO117" s="273"/>
      <c r="DP117" s="273"/>
      <c r="DQ117" s="273"/>
      <c r="DR117" s="273"/>
      <c r="DS117" s="273"/>
      <c r="DT117" s="273"/>
      <c r="DU117" s="273"/>
      <c r="DV117" s="273"/>
      <c r="DW117" s="273"/>
      <c r="DX117" s="273"/>
      <c r="DY117" s="273"/>
      <c r="DZ117" s="273"/>
      <c r="EA117" s="273"/>
      <c r="EB117" s="273"/>
      <c r="EC117" s="273"/>
      <c r="ED117" s="273"/>
      <c r="EE117" s="273"/>
      <c r="EF117" s="273"/>
      <c r="EG117" s="273"/>
      <c r="EH117" s="273"/>
      <c r="EI117" s="273"/>
      <c r="EJ117" s="273"/>
      <c r="EK117" s="273"/>
      <c r="EL117" s="273"/>
      <c r="EM117" s="273"/>
      <c r="EN117" s="273"/>
      <c r="EO117" s="273"/>
      <c r="EP117" s="273"/>
      <c r="EQ117" s="273"/>
      <c r="ER117" s="273"/>
      <c r="ES117" s="273"/>
      <c r="ET117" s="273"/>
      <c r="EU117" s="273"/>
      <c r="EV117" s="273"/>
      <c r="EW117" s="273"/>
      <c r="EX117" s="273"/>
      <c r="EY117" s="273"/>
      <c r="EZ117" s="273"/>
      <c r="FA117" s="273"/>
      <c r="FB117" s="273"/>
      <c r="FC117" s="273"/>
      <c r="FD117" s="273"/>
      <c r="FE117" s="273"/>
      <c r="FF117" s="273"/>
      <c r="FG117" s="273"/>
      <c r="FH117" s="273"/>
      <c r="FI117" s="273"/>
      <c r="FJ117" s="273"/>
    </row>
    <row r="118" spans="3:238" ht="12.75" hidden="1" customHeight="1">
      <c r="C118" s="353"/>
      <c r="D118" s="354"/>
      <c r="E118" s="355"/>
      <c r="F118" s="354"/>
      <c r="G118" s="354"/>
      <c r="H118" s="113"/>
      <c r="I118" s="341"/>
      <c r="J118" s="341"/>
      <c r="K118" s="113"/>
      <c r="L118" s="388"/>
      <c r="M118" s="379"/>
      <c r="N118" s="379"/>
      <c r="O118" s="379"/>
      <c r="P118" s="342"/>
      <c r="Q118" s="342"/>
      <c r="R118" s="342"/>
      <c r="S118" s="343"/>
      <c r="T118" s="342"/>
      <c r="U118" s="342"/>
      <c r="V118" s="342"/>
      <c r="W118" s="342"/>
      <c r="X118" s="342"/>
      <c r="Y118" s="243"/>
      <c r="Z118" s="342"/>
      <c r="AA118" s="342"/>
      <c r="AB118" s="342"/>
      <c r="AC118" s="342"/>
      <c r="AD118" s="347"/>
      <c r="AE118" s="348"/>
      <c r="AF118" s="348"/>
      <c r="AG118" s="349"/>
      <c r="AJ118" s="116"/>
      <c r="AK118" s="116"/>
      <c r="AL118" s="116"/>
      <c r="AM118" s="116"/>
      <c r="AN118" s="116"/>
      <c r="AO118" s="116"/>
      <c r="AP118" s="116"/>
      <c r="AS118" s="116"/>
      <c r="AT118" s="116"/>
      <c r="BQ118" s="116"/>
      <c r="BR118" s="116"/>
      <c r="BS118" s="116"/>
      <c r="BT118" s="116"/>
      <c r="BU118" s="116"/>
      <c r="BV118" s="116"/>
      <c r="BW118" s="116"/>
      <c r="BX118" s="116"/>
      <c r="BY118" s="116"/>
      <c r="BZ118" s="116"/>
      <c r="CA118" s="116"/>
      <c r="CB118" s="116"/>
      <c r="CC118" s="116"/>
      <c r="CD118" s="116"/>
      <c r="CE118" s="116"/>
      <c r="CF118" s="116"/>
      <c r="CG118" s="116"/>
      <c r="CH118" s="116"/>
      <c r="CI118" s="116"/>
      <c r="CJ118" s="116"/>
      <c r="CK118" s="116"/>
      <c r="CL118" s="116"/>
      <c r="CM118" s="116"/>
      <c r="CN118" s="116"/>
      <c r="CO118" s="116"/>
      <c r="CP118" s="116"/>
      <c r="CQ118" s="116"/>
      <c r="CR118" s="116"/>
      <c r="CS118" s="116"/>
      <c r="CT118" s="116"/>
      <c r="CU118" s="116"/>
      <c r="CV118" s="116"/>
      <c r="CW118" s="116"/>
      <c r="CX118" s="116"/>
      <c r="CY118" s="116"/>
      <c r="CZ118" s="116"/>
      <c r="DA118" s="116"/>
      <c r="DB118" s="116"/>
      <c r="DC118" s="116"/>
      <c r="DD118" s="116"/>
      <c r="DE118" s="116"/>
      <c r="DF118" s="116"/>
      <c r="DG118" s="116"/>
      <c r="DH118" s="116"/>
      <c r="DI118" s="116"/>
      <c r="DJ118" s="116"/>
      <c r="DK118" s="116"/>
      <c r="DL118" s="116"/>
      <c r="DM118" s="116"/>
      <c r="DN118" s="116"/>
      <c r="DO118" s="116"/>
      <c r="DP118" s="116"/>
      <c r="DQ118" s="116"/>
      <c r="DR118" s="116"/>
      <c r="DS118" s="116"/>
      <c r="DT118" s="116"/>
      <c r="DU118" s="116"/>
      <c r="DV118" s="116"/>
      <c r="DW118" s="116"/>
      <c r="DX118" s="116"/>
      <c r="DY118" s="116"/>
      <c r="DZ118" s="116"/>
      <c r="EA118" s="116"/>
      <c r="EB118" s="116"/>
      <c r="EC118" s="116"/>
      <c r="ED118" s="116"/>
      <c r="EE118" s="116"/>
      <c r="EF118" s="116"/>
      <c r="EG118" s="116"/>
      <c r="EH118" s="116"/>
      <c r="EI118" s="116"/>
      <c r="EJ118" s="116"/>
      <c r="EK118" s="116"/>
      <c r="EL118" s="116"/>
      <c r="EM118" s="116"/>
      <c r="EN118" s="116"/>
      <c r="EO118" s="116"/>
      <c r="EP118" s="116"/>
      <c r="EQ118" s="116"/>
      <c r="ER118" s="116"/>
      <c r="ES118" s="116"/>
      <c r="ET118" s="116"/>
      <c r="EU118" s="116"/>
      <c r="EV118" s="116"/>
      <c r="EW118" s="116"/>
      <c r="EX118" s="116"/>
      <c r="EY118" s="116"/>
      <c r="EZ118" s="116"/>
      <c r="FA118" s="116"/>
      <c r="FB118" s="116"/>
      <c r="FC118" s="116"/>
      <c r="FD118" s="116"/>
      <c r="FE118" s="116"/>
      <c r="FF118" s="116"/>
      <c r="FG118" s="116"/>
      <c r="FH118" s="116"/>
      <c r="FI118" s="116"/>
      <c r="FJ118" s="116"/>
      <c r="FK118" s="116"/>
      <c r="FL118" s="116"/>
      <c r="FM118" s="116"/>
      <c r="FN118" s="116"/>
      <c r="FO118" s="116"/>
      <c r="FP118" s="116"/>
      <c r="FQ118" s="116"/>
      <c r="FR118" s="116"/>
      <c r="FS118" s="116"/>
      <c r="FT118" s="116"/>
      <c r="FU118" s="116"/>
      <c r="FV118" s="116"/>
      <c r="FW118" s="116"/>
      <c r="FX118" s="116"/>
      <c r="FY118" s="116"/>
      <c r="FZ118" s="116"/>
      <c r="GA118" s="116"/>
      <c r="GB118" s="116"/>
      <c r="GC118" s="116"/>
      <c r="GD118" s="116"/>
      <c r="GE118" s="116"/>
      <c r="GF118" s="116"/>
      <c r="GG118" s="116"/>
      <c r="GH118" s="116"/>
      <c r="GI118" s="116"/>
      <c r="GJ118" s="116"/>
      <c r="GK118" s="116"/>
      <c r="GL118" s="116"/>
      <c r="GM118" s="116"/>
      <c r="GN118" s="116"/>
      <c r="GO118" s="116"/>
      <c r="GP118" s="116"/>
      <c r="GQ118" s="116"/>
      <c r="GR118" s="116"/>
      <c r="GS118" s="116"/>
      <c r="GT118" s="116"/>
      <c r="GU118" s="116"/>
      <c r="GV118" s="116"/>
      <c r="GW118" s="116"/>
      <c r="GX118" s="116"/>
      <c r="GY118" s="116"/>
      <c r="GZ118" s="116"/>
      <c r="HA118" s="116"/>
      <c r="HB118" s="116"/>
      <c r="HC118" s="116"/>
      <c r="HD118" s="116"/>
      <c r="HE118" s="116"/>
      <c r="HF118" s="116"/>
      <c r="HG118" s="116"/>
      <c r="HH118" s="116"/>
      <c r="HI118" s="116"/>
      <c r="HJ118" s="116"/>
      <c r="HK118" s="116"/>
      <c r="HL118" s="116"/>
      <c r="HM118" s="116"/>
      <c r="HN118" s="116"/>
      <c r="HO118" s="116"/>
      <c r="HP118" s="116"/>
      <c r="HQ118" s="116"/>
      <c r="HR118" s="116"/>
      <c r="HS118" s="116"/>
      <c r="HT118" s="116"/>
      <c r="HU118" s="116"/>
      <c r="HV118" s="116"/>
      <c r="HW118" s="116"/>
      <c r="HX118" s="116"/>
      <c r="ID118" s="274"/>
    </row>
    <row r="119" spans="3:238" ht="12.75" hidden="1" customHeight="1">
      <c r="C119" s="353"/>
      <c r="D119" s="354"/>
      <c r="E119" s="355"/>
      <c r="F119" s="354"/>
      <c r="G119" s="354"/>
      <c r="H119" s="113"/>
      <c r="I119" s="341"/>
      <c r="J119" s="341"/>
      <c r="K119" s="113"/>
      <c r="L119" s="388"/>
      <c r="M119" s="379"/>
      <c r="N119" s="379"/>
      <c r="O119" s="379"/>
      <c r="P119" s="342"/>
      <c r="Q119" s="342"/>
      <c r="R119" s="342"/>
      <c r="S119" s="343"/>
      <c r="T119" s="342"/>
      <c r="U119" s="342"/>
      <c r="V119" s="342"/>
      <c r="W119" s="342"/>
      <c r="X119" s="342"/>
      <c r="Y119" s="243"/>
      <c r="Z119" s="342"/>
      <c r="AA119" s="342"/>
      <c r="AB119" s="342"/>
      <c r="AC119" s="342"/>
      <c r="AD119" s="347"/>
      <c r="AE119" s="348"/>
      <c r="AF119" s="348"/>
      <c r="AG119" s="349"/>
      <c r="AJ119" s="116"/>
      <c r="AK119" s="116"/>
      <c r="AL119" s="116"/>
      <c r="AM119" s="116"/>
      <c r="AN119" s="116"/>
      <c r="AO119" s="116"/>
      <c r="AP119" s="116"/>
      <c r="AS119" s="116"/>
      <c r="AT119" s="116"/>
      <c r="BQ119" s="116"/>
      <c r="BR119" s="116"/>
      <c r="BS119" s="116"/>
      <c r="BT119" s="116"/>
      <c r="BU119" s="116"/>
      <c r="BV119" s="116"/>
      <c r="BW119" s="116"/>
      <c r="BX119" s="116"/>
      <c r="BY119" s="116"/>
      <c r="BZ119" s="116"/>
      <c r="CA119" s="116"/>
      <c r="CB119" s="116"/>
      <c r="CC119" s="116"/>
      <c r="CD119" s="116"/>
      <c r="CE119" s="116"/>
      <c r="CF119" s="116"/>
      <c r="CG119" s="116"/>
      <c r="CH119" s="116"/>
      <c r="CI119" s="116"/>
      <c r="CJ119" s="116"/>
      <c r="CK119" s="116"/>
      <c r="CL119" s="116"/>
      <c r="CM119" s="116"/>
      <c r="CN119" s="116"/>
      <c r="CO119" s="116"/>
      <c r="CP119" s="116"/>
      <c r="CQ119" s="116"/>
      <c r="CR119" s="116"/>
      <c r="CS119" s="116"/>
      <c r="CT119" s="116"/>
      <c r="CU119" s="116"/>
      <c r="CV119" s="116"/>
      <c r="CW119" s="116"/>
      <c r="CX119" s="116"/>
      <c r="CY119" s="116"/>
      <c r="CZ119" s="116"/>
      <c r="DA119" s="116"/>
      <c r="DB119" s="116"/>
      <c r="DC119" s="116"/>
      <c r="DD119" s="116"/>
      <c r="DE119" s="116"/>
      <c r="DF119" s="116"/>
      <c r="DG119" s="116"/>
      <c r="DH119" s="116"/>
      <c r="DI119" s="116"/>
      <c r="DJ119" s="116"/>
      <c r="DK119" s="116"/>
      <c r="DL119" s="116"/>
      <c r="DM119" s="116"/>
      <c r="DN119" s="116"/>
      <c r="DO119" s="116"/>
      <c r="DP119" s="116"/>
      <c r="DQ119" s="116"/>
      <c r="DR119" s="116"/>
      <c r="DS119" s="116"/>
      <c r="DT119" s="116"/>
      <c r="DU119" s="116"/>
      <c r="DV119" s="116"/>
      <c r="DW119" s="116"/>
      <c r="DX119" s="116"/>
      <c r="DY119" s="116"/>
      <c r="DZ119" s="116"/>
      <c r="EA119" s="116"/>
      <c r="EB119" s="116"/>
      <c r="EC119" s="116"/>
      <c r="ED119" s="116"/>
      <c r="EE119" s="116"/>
      <c r="EF119" s="116"/>
      <c r="EG119" s="116"/>
      <c r="EH119" s="116"/>
      <c r="EI119" s="116"/>
      <c r="EJ119" s="116"/>
      <c r="EK119" s="116"/>
      <c r="EL119" s="116"/>
      <c r="EM119" s="116"/>
      <c r="EN119" s="116"/>
      <c r="EO119" s="116"/>
      <c r="EP119" s="116"/>
      <c r="EQ119" s="116"/>
      <c r="ER119" s="116"/>
      <c r="ES119" s="116"/>
      <c r="ET119" s="116"/>
      <c r="EU119" s="116"/>
      <c r="EV119" s="116"/>
      <c r="EW119" s="116"/>
      <c r="EX119" s="116"/>
      <c r="EY119" s="116"/>
      <c r="EZ119" s="116"/>
      <c r="FA119" s="116"/>
      <c r="FB119" s="116"/>
      <c r="FC119" s="116"/>
      <c r="FD119" s="116"/>
      <c r="FE119" s="116"/>
      <c r="FF119" s="116"/>
      <c r="FG119" s="116"/>
      <c r="FH119" s="116"/>
      <c r="FI119" s="116"/>
      <c r="FJ119" s="116"/>
      <c r="FK119" s="116"/>
      <c r="FL119" s="116"/>
      <c r="FM119" s="116"/>
      <c r="FN119" s="116"/>
      <c r="FO119" s="116"/>
      <c r="FP119" s="116"/>
      <c r="FQ119" s="116"/>
      <c r="FR119" s="116"/>
      <c r="FS119" s="116"/>
      <c r="FT119" s="116"/>
      <c r="FU119" s="116"/>
      <c r="FV119" s="116"/>
      <c r="FW119" s="116"/>
      <c r="FX119" s="116"/>
      <c r="FY119" s="116"/>
      <c r="FZ119" s="116"/>
      <c r="GA119" s="116"/>
      <c r="GB119" s="116"/>
      <c r="GC119" s="116"/>
      <c r="GD119" s="116"/>
      <c r="GE119" s="116"/>
      <c r="GF119" s="116"/>
      <c r="GG119" s="116"/>
      <c r="GH119" s="116"/>
      <c r="GI119" s="116"/>
      <c r="GJ119" s="116"/>
      <c r="GK119" s="116"/>
      <c r="GL119" s="116"/>
      <c r="GM119" s="116"/>
      <c r="GN119" s="116"/>
      <c r="GO119" s="116"/>
      <c r="GP119" s="116"/>
      <c r="GQ119" s="116"/>
      <c r="GR119" s="116"/>
      <c r="GS119" s="116"/>
      <c r="GT119" s="116"/>
      <c r="GU119" s="116"/>
      <c r="GV119" s="116"/>
      <c r="GW119" s="116"/>
      <c r="GX119" s="116"/>
      <c r="GY119" s="116"/>
      <c r="GZ119" s="116"/>
      <c r="HA119" s="116"/>
      <c r="HB119" s="116"/>
      <c r="HC119" s="116"/>
      <c r="HD119" s="116"/>
      <c r="HE119" s="116"/>
      <c r="HF119" s="116"/>
      <c r="HG119" s="116"/>
      <c r="HH119" s="116"/>
      <c r="HI119" s="116"/>
      <c r="HJ119" s="116"/>
      <c r="HK119" s="116"/>
      <c r="HL119" s="116"/>
      <c r="HM119" s="116"/>
      <c r="HN119" s="116"/>
      <c r="HO119" s="116"/>
      <c r="HP119" s="116"/>
      <c r="HQ119" s="116"/>
      <c r="HR119" s="116"/>
      <c r="HS119" s="116"/>
      <c r="HT119" s="116"/>
      <c r="HU119" s="116"/>
      <c r="HV119" s="116"/>
      <c r="HW119" s="116"/>
      <c r="HX119" s="116"/>
      <c r="ID119" s="274"/>
    </row>
    <row r="120" spans="3:238" ht="12.75" hidden="1" customHeight="1">
      <c r="C120" s="353"/>
      <c r="D120" s="354"/>
      <c r="E120" s="355"/>
      <c r="F120" s="354"/>
      <c r="G120" s="354"/>
      <c r="H120" s="202"/>
      <c r="I120" s="341"/>
      <c r="J120" s="341"/>
      <c r="K120" s="202"/>
      <c r="L120" s="388"/>
      <c r="M120" s="379"/>
      <c r="N120" s="379"/>
      <c r="O120" s="379"/>
      <c r="P120" s="342"/>
      <c r="Q120" s="342"/>
      <c r="R120" s="342"/>
      <c r="S120" s="343"/>
      <c r="T120" s="342"/>
      <c r="U120" s="342"/>
      <c r="V120" s="342"/>
      <c r="W120" s="342"/>
      <c r="X120" s="342"/>
      <c r="Y120" s="243"/>
      <c r="Z120" s="342"/>
      <c r="AA120" s="342"/>
      <c r="AB120" s="342"/>
      <c r="AC120" s="342"/>
      <c r="AD120" s="347"/>
      <c r="AE120" s="348"/>
      <c r="AF120" s="348"/>
      <c r="AG120" s="349"/>
      <c r="AJ120" s="116"/>
      <c r="AK120" s="116"/>
      <c r="AL120" s="116"/>
      <c r="AM120" s="116"/>
      <c r="AN120" s="116"/>
      <c r="AO120" s="116"/>
      <c r="AP120" s="116"/>
      <c r="AS120" s="116"/>
      <c r="AT120" s="116"/>
      <c r="BQ120" s="116"/>
      <c r="BR120" s="116"/>
      <c r="BS120" s="116"/>
      <c r="BT120" s="116"/>
      <c r="BU120" s="116"/>
      <c r="BV120" s="116"/>
      <c r="BW120" s="116"/>
      <c r="BX120" s="116"/>
      <c r="BY120" s="116"/>
      <c r="BZ120" s="116"/>
      <c r="CA120" s="116"/>
      <c r="CB120" s="116"/>
      <c r="CC120" s="116"/>
      <c r="CD120" s="116"/>
      <c r="CE120" s="116"/>
      <c r="CF120" s="116"/>
      <c r="CG120" s="116"/>
      <c r="CH120" s="116"/>
      <c r="CI120" s="116"/>
      <c r="CJ120" s="116"/>
      <c r="CK120" s="116"/>
      <c r="CL120" s="116"/>
      <c r="CM120" s="116"/>
      <c r="CN120" s="116"/>
      <c r="CO120" s="116"/>
      <c r="CP120" s="116"/>
      <c r="CQ120" s="116"/>
      <c r="CR120" s="116"/>
      <c r="CS120" s="116"/>
      <c r="CT120" s="116"/>
      <c r="CU120" s="116"/>
      <c r="CV120" s="116"/>
      <c r="CW120" s="116"/>
      <c r="CX120" s="116"/>
      <c r="CY120" s="116"/>
      <c r="CZ120" s="116"/>
      <c r="DA120" s="116"/>
      <c r="DB120" s="116"/>
      <c r="DC120" s="116"/>
      <c r="DD120" s="116"/>
      <c r="DE120" s="116"/>
      <c r="DF120" s="116"/>
      <c r="DG120" s="116"/>
      <c r="DH120" s="116"/>
      <c r="DI120" s="116"/>
      <c r="DJ120" s="116"/>
      <c r="DK120" s="116"/>
      <c r="DL120" s="116"/>
      <c r="DM120" s="116"/>
      <c r="DN120" s="116"/>
      <c r="DO120" s="116"/>
      <c r="DP120" s="116"/>
      <c r="DQ120" s="116"/>
      <c r="DR120" s="116"/>
      <c r="DS120" s="116"/>
      <c r="DT120" s="116"/>
      <c r="DU120" s="116"/>
      <c r="DV120" s="116"/>
      <c r="DW120" s="116"/>
      <c r="DX120" s="116"/>
      <c r="DY120" s="116"/>
      <c r="DZ120" s="116"/>
      <c r="EA120" s="116"/>
      <c r="EB120" s="116"/>
      <c r="EC120" s="116"/>
      <c r="ED120" s="116"/>
      <c r="EE120" s="116"/>
      <c r="EF120" s="116"/>
      <c r="EG120" s="116"/>
      <c r="EH120" s="116"/>
      <c r="EI120" s="116"/>
      <c r="EJ120" s="116"/>
      <c r="EK120" s="116"/>
      <c r="EL120" s="116"/>
      <c r="EM120" s="116"/>
      <c r="EN120" s="116"/>
      <c r="EO120" s="116"/>
      <c r="EP120" s="116"/>
      <c r="EQ120" s="116"/>
      <c r="ER120" s="116"/>
      <c r="ES120" s="116"/>
      <c r="ET120" s="116"/>
      <c r="EU120" s="116"/>
      <c r="EV120" s="116"/>
      <c r="EW120" s="116"/>
      <c r="EX120" s="116"/>
      <c r="EY120" s="116"/>
      <c r="EZ120" s="116"/>
      <c r="FA120" s="116"/>
      <c r="FB120" s="116"/>
      <c r="FC120" s="116"/>
      <c r="FD120" s="116"/>
      <c r="FE120" s="116"/>
      <c r="FF120" s="116"/>
      <c r="FG120" s="116"/>
      <c r="FH120" s="116"/>
      <c r="FI120" s="116"/>
      <c r="FJ120" s="116"/>
      <c r="FK120" s="116"/>
      <c r="FL120" s="116"/>
      <c r="FM120" s="116"/>
      <c r="FN120" s="116"/>
      <c r="FO120" s="116"/>
      <c r="FP120" s="116"/>
      <c r="FQ120" s="116"/>
      <c r="FR120" s="116"/>
      <c r="FS120" s="116"/>
      <c r="FT120" s="116"/>
      <c r="FU120" s="116"/>
      <c r="FV120" s="116"/>
      <c r="FW120" s="116"/>
      <c r="FX120" s="116"/>
      <c r="FY120" s="116"/>
      <c r="FZ120" s="116"/>
      <c r="GA120" s="116"/>
      <c r="GB120" s="116"/>
      <c r="GC120" s="116"/>
      <c r="GD120" s="116"/>
      <c r="GE120" s="116"/>
      <c r="GF120" s="116"/>
      <c r="GG120" s="116"/>
      <c r="GH120" s="116"/>
      <c r="GI120" s="116"/>
      <c r="GJ120" s="116"/>
      <c r="GK120" s="116"/>
      <c r="GL120" s="116"/>
      <c r="GM120" s="116"/>
      <c r="GN120" s="116"/>
      <c r="GO120" s="116"/>
      <c r="GP120" s="116"/>
      <c r="GQ120" s="116"/>
      <c r="GR120" s="116"/>
      <c r="GS120" s="116"/>
      <c r="GT120" s="116"/>
      <c r="GU120" s="116"/>
      <c r="GV120" s="116"/>
      <c r="GW120" s="116"/>
      <c r="GX120" s="116"/>
      <c r="GY120" s="116"/>
      <c r="GZ120" s="116"/>
      <c r="HA120" s="116"/>
      <c r="HB120" s="116"/>
      <c r="HC120" s="116"/>
      <c r="HD120" s="116"/>
      <c r="HE120" s="116"/>
      <c r="HF120" s="116"/>
      <c r="HG120" s="116"/>
      <c r="HH120" s="116"/>
      <c r="HI120" s="116"/>
      <c r="HJ120" s="116"/>
      <c r="HK120" s="116"/>
      <c r="HL120" s="116"/>
      <c r="HM120" s="116"/>
      <c r="HN120" s="116"/>
      <c r="HO120" s="116"/>
      <c r="HP120" s="116"/>
      <c r="HQ120" s="116"/>
      <c r="HR120" s="116"/>
      <c r="HS120" s="116"/>
      <c r="HT120" s="116"/>
      <c r="HU120" s="116"/>
      <c r="HV120" s="116"/>
      <c r="HW120" s="116"/>
      <c r="HX120" s="116"/>
      <c r="ID120" s="274"/>
    </row>
    <row r="121" spans="3:238" ht="12.75" hidden="1" customHeight="1">
      <c r="C121" s="353"/>
      <c r="D121" s="354"/>
      <c r="E121" s="355"/>
      <c r="F121" s="354"/>
      <c r="G121" s="354"/>
      <c r="H121" s="275"/>
      <c r="I121" s="341"/>
      <c r="J121" s="341"/>
      <c r="K121" s="275"/>
      <c r="L121" s="388"/>
      <c r="M121" s="379"/>
      <c r="N121" s="379"/>
      <c r="O121" s="379"/>
      <c r="P121" s="342"/>
      <c r="Q121" s="342"/>
      <c r="R121" s="342"/>
      <c r="S121" s="343"/>
      <c r="T121" s="342"/>
      <c r="U121" s="342"/>
      <c r="V121" s="342"/>
      <c r="W121" s="342"/>
      <c r="X121" s="342"/>
      <c r="Y121" s="243"/>
      <c r="Z121" s="342"/>
      <c r="AA121" s="342"/>
      <c r="AB121" s="342"/>
      <c r="AC121" s="342"/>
      <c r="AD121" s="347"/>
      <c r="AE121" s="348"/>
      <c r="AF121" s="348"/>
      <c r="AG121" s="349"/>
      <c r="AJ121" s="116"/>
      <c r="AK121" s="252"/>
      <c r="AL121" s="116"/>
      <c r="AM121" s="116"/>
      <c r="AN121" s="116"/>
      <c r="AO121" s="116"/>
      <c r="AP121" s="116"/>
      <c r="AS121" s="116"/>
      <c r="AT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6"/>
      <c r="DO121" s="116"/>
      <c r="DP121" s="116"/>
      <c r="DQ121" s="116"/>
      <c r="DR121" s="116"/>
      <c r="DS121" s="116"/>
      <c r="DT121" s="116"/>
      <c r="DU121" s="116"/>
      <c r="DV121" s="116"/>
      <c r="DW121" s="116"/>
      <c r="DX121" s="116"/>
      <c r="DY121" s="116"/>
      <c r="DZ121" s="116"/>
      <c r="EA121" s="116"/>
      <c r="EB121" s="116"/>
      <c r="EC121" s="116"/>
      <c r="ED121" s="116"/>
      <c r="EE121" s="116"/>
      <c r="EF121" s="116"/>
      <c r="EG121" s="116"/>
      <c r="EH121" s="116"/>
      <c r="EI121" s="116"/>
      <c r="EJ121" s="116"/>
      <c r="EK121" s="116"/>
      <c r="EL121" s="116"/>
      <c r="EM121" s="116"/>
      <c r="EN121" s="116"/>
      <c r="EO121" s="116"/>
      <c r="EP121" s="116"/>
      <c r="EQ121" s="116"/>
      <c r="ER121" s="116"/>
      <c r="ES121" s="116"/>
      <c r="ET121" s="116"/>
      <c r="EU121" s="116"/>
      <c r="EV121" s="116"/>
      <c r="EW121" s="116"/>
      <c r="EX121" s="116"/>
      <c r="EY121" s="116"/>
      <c r="EZ121" s="116"/>
      <c r="FA121" s="116"/>
      <c r="FB121" s="116"/>
      <c r="FC121" s="116"/>
      <c r="FD121" s="116"/>
      <c r="FE121" s="116"/>
      <c r="FF121" s="116"/>
      <c r="FG121" s="116"/>
      <c r="FH121" s="116"/>
      <c r="FI121" s="116"/>
      <c r="FJ121" s="116"/>
      <c r="FK121" s="116"/>
      <c r="FL121" s="116"/>
      <c r="FM121" s="116"/>
      <c r="FN121" s="116"/>
      <c r="FO121" s="116"/>
      <c r="FP121" s="116"/>
      <c r="FQ121" s="116"/>
      <c r="FR121" s="116"/>
      <c r="FS121" s="116"/>
      <c r="FT121" s="116"/>
      <c r="FU121" s="116"/>
      <c r="FV121" s="116"/>
      <c r="FW121" s="116"/>
      <c r="FX121" s="116"/>
      <c r="FY121" s="116"/>
      <c r="FZ121" s="116"/>
      <c r="GA121" s="116"/>
      <c r="GB121" s="116"/>
      <c r="GC121" s="116"/>
      <c r="GD121" s="116"/>
      <c r="GE121" s="116"/>
      <c r="GF121" s="116"/>
      <c r="GG121" s="116"/>
      <c r="GH121" s="116"/>
      <c r="GI121" s="116"/>
      <c r="GJ121" s="116"/>
      <c r="GK121" s="116"/>
      <c r="GL121" s="116"/>
      <c r="GM121" s="116"/>
      <c r="GN121" s="116"/>
      <c r="GO121" s="116"/>
      <c r="GP121" s="116"/>
      <c r="GQ121" s="116"/>
      <c r="GR121" s="116"/>
      <c r="GS121" s="116"/>
      <c r="GT121" s="116"/>
      <c r="GU121" s="116"/>
      <c r="GV121" s="116"/>
      <c r="GW121" s="116"/>
      <c r="GX121" s="116"/>
      <c r="GY121" s="116"/>
      <c r="GZ121" s="116"/>
      <c r="HA121" s="116"/>
      <c r="HB121" s="116"/>
      <c r="HC121" s="116"/>
      <c r="HD121" s="116"/>
      <c r="HE121" s="116"/>
      <c r="HF121" s="116"/>
      <c r="HG121" s="116"/>
      <c r="HH121" s="116"/>
      <c r="HI121" s="116"/>
      <c r="HJ121" s="116"/>
      <c r="HK121" s="116"/>
      <c r="HL121" s="116"/>
      <c r="HM121" s="116"/>
      <c r="HN121" s="116"/>
      <c r="HO121" s="116"/>
      <c r="HP121" s="116"/>
      <c r="HQ121" s="116"/>
      <c r="HR121" s="116"/>
      <c r="HS121" s="116"/>
      <c r="HT121" s="116"/>
      <c r="HU121" s="116"/>
      <c r="HV121" s="116"/>
      <c r="HW121" s="116"/>
      <c r="HX121" s="116"/>
      <c r="ID121" s="274"/>
    </row>
    <row r="122" spans="3:238" ht="12.75" hidden="1" customHeight="1">
      <c r="C122" s="353"/>
      <c r="D122" s="354"/>
      <c r="E122" s="355"/>
      <c r="F122" s="354"/>
      <c r="G122" s="354"/>
      <c r="H122" s="275"/>
      <c r="I122" s="341"/>
      <c r="J122" s="341"/>
      <c r="K122" s="275"/>
      <c r="L122" s="388"/>
      <c r="M122" s="379"/>
      <c r="N122" s="379"/>
      <c r="O122" s="379"/>
      <c r="P122" s="342"/>
      <c r="Q122" s="342"/>
      <c r="R122" s="342"/>
      <c r="S122" s="343"/>
      <c r="T122" s="342"/>
      <c r="U122" s="342"/>
      <c r="V122" s="342"/>
      <c r="W122" s="342"/>
      <c r="X122" s="342"/>
      <c r="Y122" s="243"/>
      <c r="Z122" s="342"/>
      <c r="AA122" s="342"/>
      <c r="AB122" s="342"/>
      <c r="AC122" s="342"/>
      <c r="AD122" s="347"/>
      <c r="AE122" s="348"/>
      <c r="AF122" s="348"/>
      <c r="AG122" s="349"/>
      <c r="AJ122" s="116"/>
      <c r="AK122" s="252"/>
      <c r="AL122" s="116"/>
      <c r="AM122" s="116"/>
      <c r="AN122" s="116"/>
      <c r="AO122" s="116"/>
      <c r="AP122" s="116"/>
      <c r="AS122" s="116"/>
      <c r="AT122" s="116"/>
      <c r="BQ122" s="116"/>
      <c r="BR122" s="116"/>
      <c r="BS122" s="116"/>
      <c r="BT122" s="116"/>
      <c r="BU122" s="116"/>
      <c r="BV122" s="116"/>
      <c r="BW122" s="116"/>
      <c r="BX122" s="116"/>
      <c r="BY122" s="116"/>
      <c r="BZ122" s="116"/>
      <c r="CA122" s="116"/>
      <c r="CB122" s="116"/>
      <c r="CC122" s="116"/>
      <c r="CD122" s="116"/>
      <c r="CE122" s="116"/>
      <c r="CF122" s="116"/>
      <c r="CG122" s="116"/>
      <c r="CH122" s="116"/>
      <c r="CI122" s="116"/>
      <c r="CJ122" s="116"/>
      <c r="CK122" s="116"/>
      <c r="CL122" s="116"/>
      <c r="CM122" s="116"/>
      <c r="CN122" s="116"/>
      <c r="CO122" s="116"/>
      <c r="CP122" s="116"/>
      <c r="CQ122" s="116"/>
      <c r="CR122" s="116"/>
      <c r="CS122" s="116"/>
      <c r="CT122" s="116"/>
      <c r="CU122" s="116"/>
      <c r="CV122" s="116"/>
      <c r="CW122" s="116"/>
      <c r="CX122" s="116"/>
      <c r="CY122" s="116"/>
      <c r="CZ122" s="116"/>
      <c r="DA122" s="116"/>
      <c r="DB122" s="116"/>
      <c r="DC122" s="116"/>
      <c r="DD122" s="116"/>
      <c r="DE122" s="116"/>
      <c r="DF122" s="116"/>
      <c r="DG122" s="116"/>
      <c r="DH122" s="116"/>
      <c r="DI122" s="116"/>
      <c r="DJ122" s="116"/>
      <c r="DK122" s="116"/>
      <c r="DL122" s="116"/>
      <c r="DM122" s="116"/>
      <c r="DN122" s="116"/>
      <c r="DO122" s="116"/>
      <c r="DP122" s="116"/>
      <c r="DQ122" s="116"/>
      <c r="DR122" s="116"/>
      <c r="DS122" s="116"/>
      <c r="DT122" s="116"/>
      <c r="DU122" s="116"/>
      <c r="DV122" s="116"/>
      <c r="DW122" s="116"/>
      <c r="DX122" s="116"/>
      <c r="DY122" s="116"/>
      <c r="DZ122" s="116"/>
      <c r="EA122" s="116"/>
      <c r="EB122" s="116"/>
      <c r="EC122" s="116"/>
      <c r="ED122" s="116"/>
      <c r="EE122" s="116"/>
      <c r="EF122" s="116"/>
      <c r="EG122" s="116"/>
      <c r="EH122" s="116"/>
      <c r="EI122" s="116"/>
      <c r="EJ122" s="116"/>
      <c r="EK122" s="116"/>
      <c r="EL122" s="116"/>
      <c r="EM122" s="116"/>
      <c r="EN122" s="116"/>
      <c r="EO122" s="116"/>
      <c r="EP122" s="116"/>
      <c r="EQ122" s="116"/>
      <c r="ER122" s="116"/>
      <c r="ES122" s="116"/>
      <c r="ET122" s="116"/>
      <c r="EU122" s="116"/>
      <c r="EV122" s="116"/>
      <c r="EW122" s="116"/>
      <c r="EX122" s="116"/>
      <c r="EY122" s="116"/>
      <c r="EZ122" s="116"/>
      <c r="FA122" s="116"/>
      <c r="FB122" s="116"/>
      <c r="FC122" s="116"/>
      <c r="FD122" s="116"/>
      <c r="FE122" s="116"/>
      <c r="FF122" s="116"/>
      <c r="FG122" s="116"/>
      <c r="FH122" s="116"/>
      <c r="FI122" s="116"/>
      <c r="FJ122" s="116"/>
      <c r="FK122" s="116"/>
      <c r="FL122" s="116"/>
      <c r="FM122" s="116"/>
      <c r="FN122" s="116"/>
      <c r="FO122" s="116"/>
      <c r="FP122" s="116"/>
      <c r="FQ122" s="116"/>
      <c r="FR122" s="116"/>
      <c r="FS122" s="116"/>
      <c r="FT122" s="116"/>
      <c r="FU122" s="116"/>
      <c r="FV122" s="116"/>
      <c r="FW122" s="116"/>
      <c r="FX122" s="116"/>
      <c r="FY122" s="116"/>
      <c r="FZ122" s="116"/>
      <c r="GA122" s="116"/>
      <c r="GB122" s="116"/>
      <c r="GC122" s="116"/>
      <c r="GD122" s="116"/>
      <c r="GE122" s="116"/>
      <c r="GF122" s="116"/>
      <c r="GG122" s="116"/>
      <c r="GH122" s="116"/>
      <c r="GI122" s="116"/>
      <c r="GJ122" s="116"/>
      <c r="GK122" s="116"/>
      <c r="GL122" s="116"/>
      <c r="GM122" s="116"/>
      <c r="GN122" s="116"/>
      <c r="GO122" s="116"/>
      <c r="GP122" s="116"/>
      <c r="GQ122" s="116"/>
      <c r="GR122" s="116"/>
      <c r="GS122" s="116"/>
      <c r="GT122" s="116"/>
      <c r="GU122" s="116"/>
      <c r="GV122" s="116"/>
      <c r="GW122" s="116"/>
      <c r="GX122" s="116"/>
      <c r="GY122" s="116"/>
      <c r="GZ122" s="116"/>
      <c r="HA122" s="116"/>
      <c r="HB122" s="116"/>
      <c r="HC122" s="116"/>
      <c r="HD122" s="116"/>
      <c r="HE122" s="116"/>
      <c r="HF122" s="116"/>
      <c r="HG122" s="116"/>
      <c r="HH122" s="116"/>
      <c r="HI122" s="116"/>
      <c r="HJ122" s="116"/>
      <c r="HK122" s="116"/>
      <c r="HL122" s="116"/>
      <c r="HM122" s="116"/>
      <c r="HN122" s="116"/>
      <c r="HO122" s="116"/>
      <c r="HP122" s="116"/>
      <c r="HQ122" s="116"/>
      <c r="HR122" s="116"/>
      <c r="HS122" s="116"/>
      <c r="HT122" s="116"/>
      <c r="HU122" s="116"/>
      <c r="HV122" s="116"/>
      <c r="HW122" s="116"/>
      <c r="HX122" s="116"/>
      <c r="ID122" s="274"/>
    </row>
    <row r="123" spans="3:238" ht="12.75" hidden="1" customHeight="1">
      <c r="C123" s="353"/>
      <c r="D123" s="354"/>
      <c r="E123" s="355"/>
      <c r="F123" s="354"/>
      <c r="G123" s="354"/>
      <c r="H123" s="275"/>
      <c r="I123" s="341"/>
      <c r="J123" s="341"/>
      <c r="K123" s="275"/>
      <c r="L123" s="388"/>
      <c r="M123" s="379"/>
      <c r="N123" s="379"/>
      <c r="O123" s="379"/>
      <c r="P123" s="342"/>
      <c r="Q123" s="342"/>
      <c r="R123" s="342"/>
      <c r="S123" s="343"/>
      <c r="T123" s="342"/>
      <c r="U123" s="342"/>
      <c r="V123" s="342"/>
      <c r="W123" s="342"/>
      <c r="X123" s="342"/>
      <c r="Y123" s="243"/>
      <c r="Z123" s="342"/>
      <c r="AA123" s="342"/>
      <c r="AB123" s="342"/>
      <c r="AC123" s="342"/>
      <c r="AD123" s="347"/>
      <c r="AE123" s="348"/>
      <c r="AF123" s="348"/>
      <c r="AG123" s="349"/>
      <c r="AJ123" s="116"/>
      <c r="AK123" s="252"/>
      <c r="AL123" s="116"/>
      <c r="AM123" s="116"/>
      <c r="AN123" s="116"/>
      <c r="AO123" s="116"/>
      <c r="AP123" s="116"/>
      <c r="AS123" s="116"/>
      <c r="AT123" s="116"/>
      <c r="BQ123" s="116"/>
      <c r="BR123" s="116"/>
      <c r="BS123" s="116"/>
      <c r="BT123" s="116"/>
      <c r="BU123" s="116"/>
      <c r="BV123" s="116"/>
      <c r="BW123" s="116"/>
      <c r="BX123" s="116"/>
      <c r="BY123" s="116"/>
      <c r="BZ123" s="116"/>
      <c r="CA123" s="116"/>
      <c r="CB123" s="116"/>
      <c r="CC123" s="116"/>
      <c r="CD123" s="116"/>
      <c r="CE123" s="116"/>
      <c r="CF123" s="116"/>
      <c r="CG123" s="116"/>
      <c r="CH123" s="116"/>
      <c r="CI123" s="116"/>
      <c r="CJ123" s="116"/>
      <c r="CK123" s="116"/>
      <c r="CL123" s="116"/>
      <c r="CM123" s="116"/>
      <c r="CN123" s="116"/>
      <c r="CO123" s="116"/>
      <c r="CP123" s="116"/>
      <c r="CQ123" s="116"/>
      <c r="CR123" s="116"/>
      <c r="CS123" s="116"/>
      <c r="CT123" s="116"/>
      <c r="CU123" s="116"/>
      <c r="CV123" s="116"/>
      <c r="CW123" s="116"/>
      <c r="CX123" s="116"/>
      <c r="CY123" s="116"/>
      <c r="CZ123" s="116"/>
      <c r="DA123" s="116"/>
      <c r="DB123" s="116"/>
      <c r="DC123" s="116"/>
      <c r="DD123" s="116"/>
      <c r="DE123" s="116"/>
      <c r="DF123" s="116"/>
      <c r="DG123" s="116"/>
      <c r="DH123" s="116"/>
      <c r="DI123" s="116"/>
      <c r="DJ123" s="116"/>
      <c r="DK123" s="116"/>
      <c r="DL123" s="116"/>
      <c r="DM123" s="116"/>
      <c r="DN123" s="116"/>
      <c r="DO123" s="116"/>
      <c r="DP123" s="116"/>
      <c r="DQ123" s="116"/>
      <c r="DR123" s="116"/>
      <c r="DS123" s="116"/>
      <c r="DT123" s="116"/>
      <c r="DU123" s="116"/>
      <c r="DV123" s="116"/>
      <c r="DW123" s="116"/>
      <c r="DX123" s="116"/>
      <c r="DY123" s="116"/>
      <c r="DZ123" s="116"/>
      <c r="EA123" s="116"/>
      <c r="EB123" s="116"/>
      <c r="EC123" s="116"/>
      <c r="ED123" s="116"/>
      <c r="EE123" s="116"/>
      <c r="EF123" s="116"/>
      <c r="EG123" s="116"/>
      <c r="EH123" s="116"/>
      <c r="EI123" s="116"/>
      <c r="EJ123" s="116"/>
      <c r="EK123" s="116"/>
      <c r="EL123" s="116"/>
      <c r="EM123" s="116"/>
      <c r="EN123" s="116"/>
      <c r="EO123" s="116"/>
      <c r="EP123" s="116"/>
      <c r="EQ123" s="116"/>
      <c r="ER123" s="116"/>
      <c r="ES123" s="116"/>
      <c r="ET123" s="116"/>
      <c r="EU123" s="116"/>
      <c r="EV123" s="116"/>
      <c r="EW123" s="116"/>
      <c r="EX123" s="116"/>
      <c r="EY123" s="116"/>
      <c r="EZ123" s="116"/>
      <c r="FA123" s="116"/>
      <c r="FB123" s="116"/>
      <c r="FC123" s="116"/>
      <c r="FD123" s="116"/>
      <c r="FE123" s="116"/>
      <c r="FF123" s="116"/>
      <c r="FG123" s="116"/>
      <c r="FH123" s="116"/>
      <c r="FI123" s="116"/>
      <c r="FJ123" s="116"/>
      <c r="FK123" s="116"/>
      <c r="FL123" s="116"/>
      <c r="FM123" s="116"/>
      <c r="FN123" s="116"/>
      <c r="FO123" s="116"/>
      <c r="FP123" s="116"/>
      <c r="FQ123" s="116"/>
      <c r="FR123" s="116"/>
      <c r="FS123" s="116"/>
      <c r="FT123" s="116"/>
      <c r="FU123" s="116"/>
      <c r="FV123" s="116"/>
      <c r="FW123" s="116"/>
      <c r="FX123" s="116"/>
      <c r="FY123" s="116"/>
      <c r="FZ123" s="116"/>
      <c r="GA123" s="116"/>
      <c r="GB123" s="116"/>
      <c r="GC123" s="116"/>
      <c r="GD123" s="116"/>
      <c r="GE123" s="116"/>
      <c r="GF123" s="116"/>
      <c r="GG123" s="116"/>
      <c r="GH123" s="116"/>
      <c r="GI123" s="116"/>
      <c r="GJ123" s="116"/>
      <c r="GK123" s="116"/>
      <c r="GL123" s="116"/>
      <c r="GM123" s="116"/>
      <c r="GN123" s="116"/>
      <c r="GO123" s="116"/>
      <c r="GP123" s="116"/>
      <c r="GQ123" s="116"/>
      <c r="GR123" s="116"/>
      <c r="GS123" s="116"/>
      <c r="GT123" s="116"/>
      <c r="GU123" s="116"/>
      <c r="GV123" s="116"/>
      <c r="GW123" s="116"/>
      <c r="GX123" s="116"/>
      <c r="GY123" s="116"/>
      <c r="GZ123" s="116"/>
      <c r="HA123" s="116"/>
      <c r="HB123" s="116"/>
      <c r="HC123" s="116"/>
      <c r="HD123" s="116"/>
      <c r="HE123" s="116"/>
      <c r="HF123" s="116"/>
      <c r="HG123" s="116"/>
      <c r="HH123" s="116"/>
      <c r="HI123" s="116"/>
      <c r="HJ123" s="116"/>
      <c r="HK123" s="116"/>
      <c r="HL123" s="116"/>
      <c r="HM123" s="116"/>
      <c r="HN123" s="116"/>
      <c r="HO123" s="116"/>
      <c r="HP123" s="116"/>
      <c r="HQ123" s="116"/>
      <c r="HR123" s="116"/>
      <c r="HS123" s="116"/>
      <c r="HT123" s="116"/>
      <c r="HU123" s="116"/>
      <c r="HV123" s="116"/>
      <c r="HW123" s="116"/>
      <c r="HX123" s="116"/>
      <c r="ID123" s="274"/>
    </row>
    <row r="124" spans="3:238" ht="12.75" hidden="1" customHeight="1">
      <c r="C124" s="353"/>
      <c r="D124" s="354"/>
      <c r="E124" s="355"/>
      <c r="F124" s="354"/>
      <c r="G124" s="354"/>
      <c r="H124" s="275"/>
      <c r="I124" s="341"/>
      <c r="J124" s="341"/>
      <c r="K124" s="275"/>
      <c r="L124" s="388"/>
      <c r="M124" s="379"/>
      <c r="N124" s="379"/>
      <c r="O124" s="379"/>
      <c r="P124" s="342"/>
      <c r="Q124" s="342"/>
      <c r="R124" s="342"/>
      <c r="S124" s="343"/>
      <c r="T124" s="342"/>
      <c r="U124" s="342"/>
      <c r="V124" s="342"/>
      <c r="W124" s="342"/>
      <c r="X124" s="342"/>
      <c r="Y124" s="243"/>
      <c r="Z124" s="342"/>
      <c r="AA124" s="342"/>
      <c r="AB124" s="342"/>
      <c r="AC124" s="342"/>
      <c r="AD124" s="347"/>
      <c r="AE124" s="348"/>
      <c r="AF124" s="348"/>
      <c r="AG124" s="349"/>
      <c r="AJ124" s="116"/>
      <c r="AK124" s="252"/>
      <c r="AL124" s="116"/>
      <c r="AM124" s="116"/>
      <c r="AN124" s="116"/>
      <c r="AO124" s="116"/>
      <c r="AP124" s="116"/>
      <c r="AS124" s="116"/>
      <c r="AT124" s="116"/>
      <c r="BQ124" s="116"/>
      <c r="BR124" s="116"/>
      <c r="BS124" s="116"/>
      <c r="BT124" s="116"/>
      <c r="BU124" s="116"/>
      <c r="BV124" s="116"/>
      <c r="BW124" s="116"/>
      <c r="BX124" s="116"/>
      <c r="BY124" s="116"/>
      <c r="BZ124" s="116"/>
      <c r="CA124" s="116"/>
      <c r="CB124" s="116"/>
      <c r="CC124" s="116"/>
      <c r="CD124" s="116"/>
      <c r="CE124" s="116"/>
      <c r="CF124" s="116"/>
      <c r="CG124" s="116"/>
      <c r="CH124" s="116"/>
      <c r="CI124" s="116"/>
      <c r="CJ124" s="116"/>
      <c r="CK124" s="116"/>
      <c r="CL124" s="116"/>
      <c r="CM124" s="116"/>
      <c r="CN124" s="116"/>
      <c r="CO124" s="116"/>
      <c r="CP124" s="116"/>
      <c r="CQ124" s="116"/>
      <c r="CR124" s="116"/>
      <c r="CS124" s="116"/>
      <c r="CT124" s="116"/>
      <c r="CU124" s="116"/>
      <c r="CV124" s="116"/>
      <c r="CW124" s="116"/>
      <c r="CX124" s="116"/>
      <c r="CY124" s="116"/>
      <c r="CZ124" s="116"/>
      <c r="DA124" s="116"/>
      <c r="DB124" s="116"/>
      <c r="DC124" s="116"/>
      <c r="DD124" s="116"/>
      <c r="DE124" s="116"/>
      <c r="DF124" s="116"/>
      <c r="DG124" s="116"/>
      <c r="DH124" s="116"/>
      <c r="DI124" s="116"/>
      <c r="DJ124" s="116"/>
      <c r="DK124" s="116"/>
      <c r="DL124" s="116"/>
      <c r="DM124" s="116"/>
      <c r="DN124" s="116"/>
      <c r="DO124" s="116"/>
      <c r="DP124" s="116"/>
      <c r="DQ124" s="116"/>
      <c r="DR124" s="116"/>
      <c r="DS124" s="116"/>
      <c r="DT124" s="116"/>
      <c r="DU124" s="116"/>
      <c r="DV124" s="116"/>
      <c r="DW124" s="116"/>
      <c r="DX124" s="116"/>
      <c r="DY124" s="116"/>
      <c r="DZ124" s="116"/>
      <c r="EA124" s="116"/>
      <c r="EB124" s="116"/>
      <c r="EC124" s="116"/>
      <c r="ED124" s="116"/>
      <c r="EE124" s="116"/>
      <c r="EF124" s="116"/>
      <c r="EG124" s="116"/>
      <c r="EH124" s="116"/>
      <c r="EI124" s="116"/>
      <c r="EJ124" s="116"/>
      <c r="EK124" s="116"/>
      <c r="EL124" s="116"/>
      <c r="EM124" s="116"/>
      <c r="EN124" s="116"/>
      <c r="EO124" s="116"/>
      <c r="EP124" s="116"/>
      <c r="EQ124" s="116"/>
      <c r="ER124" s="116"/>
      <c r="ES124" s="116"/>
      <c r="ET124" s="116"/>
      <c r="EU124" s="116"/>
      <c r="EV124" s="116"/>
      <c r="EW124" s="116"/>
      <c r="EX124" s="116"/>
      <c r="EY124" s="116"/>
      <c r="EZ124" s="116"/>
      <c r="FA124" s="116"/>
      <c r="FB124" s="116"/>
      <c r="FC124" s="116"/>
      <c r="FD124" s="116"/>
      <c r="FE124" s="116"/>
      <c r="FF124" s="116"/>
      <c r="FG124" s="116"/>
      <c r="FH124" s="116"/>
      <c r="FI124" s="116"/>
      <c r="FJ124" s="116"/>
      <c r="FK124" s="116"/>
      <c r="FL124" s="116"/>
      <c r="FM124" s="116"/>
      <c r="FN124" s="116"/>
      <c r="FO124" s="116"/>
      <c r="FP124" s="116"/>
      <c r="FQ124" s="116"/>
      <c r="FR124" s="116"/>
      <c r="FS124" s="116"/>
      <c r="FT124" s="116"/>
      <c r="FU124" s="116"/>
      <c r="FV124" s="116"/>
      <c r="FW124" s="116"/>
      <c r="FX124" s="116"/>
      <c r="FY124" s="116"/>
      <c r="FZ124" s="116"/>
      <c r="GA124" s="116"/>
      <c r="GB124" s="116"/>
      <c r="GC124" s="116"/>
      <c r="GD124" s="116"/>
      <c r="GE124" s="116"/>
      <c r="GF124" s="116"/>
      <c r="GG124" s="116"/>
      <c r="GH124" s="116"/>
      <c r="GI124" s="116"/>
      <c r="GJ124" s="116"/>
      <c r="GK124" s="116"/>
      <c r="GL124" s="116"/>
      <c r="GM124" s="116"/>
      <c r="GN124" s="116"/>
      <c r="GO124" s="116"/>
      <c r="GP124" s="116"/>
      <c r="GQ124" s="116"/>
      <c r="GR124" s="116"/>
      <c r="GS124" s="116"/>
      <c r="GT124" s="116"/>
      <c r="GU124" s="116"/>
      <c r="GV124" s="116"/>
      <c r="GW124" s="116"/>
      <c r="GX124" s="116"/>
      <c r="GY124" s="116"/>
      <c r="GZ124" s="116"/>
      <c r="HA124" s="116"/>
      <c r="HB124" s="116"/>
      <c r="HC124" s="116"/>
      <c r="HD124" s="116"/>
      <c r="HE124" s="116"/>
      <c r="HF124" s="116"/>
      <c r="HG124" s="116"/>
      <c r="HH124" s="116"/>
      <c r="HI124" s="116"/>
      <c r="HJ124" s="116"/>
      <c r="HK124" s="116"/>
      <c r="HL124" s="116"/>
      <c r="HM124" s="116"/>
      <c r="HN124" s="116"/>
      <c r="HO124" s="116"/>
      <c r="HP124" s="116"/>
      <c r="HQ124" s="116"/>
      <c r="HR124" s="116"/>
      <c r="HS124" s="116"/>
      <c r="HT124" s="116"/>
      <c r="HU124" s="116"/>
      <c r="HV124" s="116"/>
      <c r="HW124" s="116"/>
      <c r="HX124" s="116"/>
      <c r="ID124" s="274"/>
    </row>
    <row r="125" spans="3:238" ht="12.75" hidden="1" customHeight="1">
      <c r="C125" s="353"/>
      <c r="D125" s="354"/>
      <c r="E125" s="355"/>
      <c r="F125" s="354"/>
      <c r="G125" s="354"/>
      <c r="H125" s="275"/>
      <c r="I125" s="341"/>
      <c r="J125" s="341"/>
      <c r="K125" s="275"/>
      <c r="L125" s="388"/>
      <c r="M125" s="379"/>
      <c r="N125" s="379"/>
      <c r="O125" s="379"/>
      <c r="P125" s="342"/>
      <c r="Q125" s="342"/>
      <c r="R125" s="342"/>
      <c r="S125" s="343"/>
      <c r="T125" s="342"/>
      <c r="U125" s="342"/>
      <c r="V125" s="342"/>
      <c r="W125" s="342"/>
      <c r="X125" s="342"/>
      <c r="Y125" s="243"/>
      <c r="Z125" s="342"/>
      <c r="AA125" s="342"/>
      <c r="AB125" s="342"/>
      <c r="AC125" s="342"/>
      <c r="AD125" s="347"/>
      <c r="AE125" s="348"/>
      <c r="AF125" s="348"/>
      <c r="AG125" s="349"/>
      <c r="AJ125" s="116"/>
      <c r="AK125" s="252"/>
      <c r="AL125" s="116"/>
      <c r="AM125" s="116"/>
      <c r="AN125" s="116"/>
      <c r="AO125" s="116"/>
      <c r="AP125" s="116"/>
      <c r="AS125" s="116"/>
      <c r="AT125" s="116"/>
      <c r="BQ125" s="116"/>
      <c r="BR125" s="116"/>
      <c r="BS125" s="116"/>
      <c r="BT125" s="116"/>
      <c r="BU125" s="116"/>
      <c r="BV125" s="116"/>
      <c r="BW125" s="116"/>
      <c r="BX125" s="116"/>
      <c r="BY125" s="116"/>
      <c r="BZ125" s="116"/>
      <c r="CA125" s="116"/>
      <c r="CB125" s="116"/>
      <c r="CC125" s="116"/>
      <c r="CD125" s="116"/>
      <c r="CE125" s="116"/>
      <c r="CF125" s="116"/>
      <c r="CG125" s="116"/>
      <c r="CH125" s="116"/>
      <c r="CI125" s="116"/>
      <c r="CJ125" s="116"/>
      <c r="CK125" s="116"/>
      <c r="CL125" s="116"/>
      <c r="CM125" s="116"/>
      <c r="CN125" s="116"/>
      <c r="CO125" s="116"/>
      <c r="CP125" s="116"/>
      <c r="CQ125" s="116"/>
      <c r="CR125" s="116"/>
      <c r="CS125" s="116"/>
      <c r="CT125" s="116"/>
      <c r="CU125" s="116"/>
      <c r="CV125" s="116"/>
      <c r="CW125" s="116"/>
      <c r="CX125" s="116"/>
      <c r="CY125" s="116"/>
      <c r="CZ125" s="116"/>
      <c r="DA125" s="116"/>
      <c r="DB125" s="116"/>
      <c r="DC125" s="116"/>
      <c r="DD125" s="116"/>
      <c r="DE125" s="116"/>
      <c r="DF125" s="116"/>
      <c r="DG125" s="116"/>
      <c r="DH125" s="116"/>
      <c r="DI125" s="116"/>
      <c r="DJ125" s="116"/>
      <c r="DK125" s="116"/>
      <c r="DL125" s="116"/>
      <c r="DM125" s="116"/>
      <c r="DN125" s="116"/>
      <c r="DO125" s="116"/>
      <c r="DP125" s="116"/>
      <c r="DQ125" s="116"/>
      <c r="DR125" s="116"/>
      <c r="DS125" s="116"/>
      <c r="DT125" s="116"/>
      <c r="DU125" s="116"/>
      <c r="DV125" s="116"/>
      <c r="DW125" s="116"/>
      <c r="DX125" s="116"/>
      <c r="DY125" s="116"/>
      <c r="DZ125" s="116"/>
      <c r="EA125" s="116"/>
      <c r="EB125" s="116"/>
      <c r="EC125" s="116"/>
      <c r="ED125" s="116"/>
      <c r="EE125" s="116"/>
      <c r="EF125" s="116"/>
      <c r="EG125" s="116"/>
      <c r="EH125" s="116"/>
      <c r="EI125" s="116"/>
      <c r="EJ125" s="116"/>
      <c r="EK125" s="116"/>
      <c r="EL125" s="116"/>
      <c r="EM125" s="116"/>
      <c r="EN125" s="116"/>
      <c r="EO125" s="116"/>
      <c r="EP125" s="116"/>
      <c r="EQ125" s="116"/>
      <c r="ER125" s="116"/>
      <c r="ES125" s="116"/>
      <c r="ET125" s="116"/>
      <c r="EU125" s="116"/>
      <c r="EV125" s="116"/>
      <c r="EW125" s="116"/>
      <c r="EX125" s="116"/>
      <c r="EY125" s="116"/>
      <c r="EZ125" s="116"/>
      <c r="FA125" s="116"/>
      <c r="FB125" s="116"/>
      <c r="FC125" s="116"/>
      <c r="FD125" s="116"/>
      <c r="FE125" s="116"/>
      <c r="FF125" s="116"/>
      <c r="FG125" s="116"/>
      <c r="FH125" s="116"/>
      <c r="FI125" s="116"/>
      <c r="FJ125" s="116"/>
      <c r="FK125" s="116"/>
      <c r="FL125" s="116"/>
      <c r="FM125" s="116"/>
      <c r="FN125" s="116"/>
      <c r="FO125" s="116"/>
      <c r="FP125" s="116"/>
      <c r="FQ125" s="116"/>
      <c r="FR125" s="116"/>
      <c r="FS125" s="116"/>
      <c r="FT125" s="116"/>
      <c r="FU125" s="116"/>
      <c r="FV125" s="116"/>
      <c r="FW125" s="116"/>
      <c r="FX125" s="116"/>
      <c r="FY125" s="116"/>
      <c r="FZ125" s="116"/>
      <c r="GA125" s="116"/>
      <c r="GB125" s="116"/>
      <c r="GC125" s="116"/>
      <c r="GD125" s="116"/>
      <c r="GE125" s="116"/>
      <c r="GF125" s="116"/>
      <c r="GG125" s="116"/>
      <c r="GH125" s="116"/>
      <c r="GI125" s="116"/>
      <c r="GJ125" s="116"/>
      <c r="GK125" s="116"/>
      <c r="GL125" s="116"/>
      <c r="GM125" s="116"/>
      <c r="GN125" s="116"/>
      <c r="GO125" s="116"/>
      <c r="GP125" s="116"/>
      <c r="GQ125" s="116"/>
      <c r="GR125" s="116"/>
      <c r="GS125" s="116"/>
      <c r="GT125" s="116"/>
      <c r="GU125" s="116"/>
      <c r="GV125" s="116"/>
      <c r="GW125" s="116"/>
      <c r="GX125" s="116"/>
      <c r="GY125" s="116"/>
      <c r="GZ125" s="116"/>
      <c r="HA125" s="116"/>
      <c r="HB125" s="116"/>
      <c r="HC125" s="116"/>
      <c r="HD125" s="116"/>
      <c r="HE125" s="116"/>
      <c r="HF125" s="116"/>
      <c r="HG125" s="116"/>
      <c r="HH125" s="116"/>
      <c r="HI125" s="116"/>
      <c r="HJ125" s="116"/>
      <c r="HK125" s="116"/>
      <c r="HL125" s="116"/>
      <c r="HM125" s="116"/>
      <c r="HN125" s="116"/>
      <c r="HO125" s="116"/>
      <c r="HP125" s="116"/>
      <c r="HQ125" s="116"/>
      <c r="HR125" s="116"/>
      <c r="HS125" s="116"/>
      <c r="HT125" s="116"/>
      <c r="HU125" s="116"/>
      <c r="HV125" s="116"/>
      <c r="HW125" s="116"/>
      <c r="HX125" s="116"/>
      <c r="ID125" s="274"/>
    </row>
    <row r="126" spans="3:238" ht="12.75" hidden="1" customHeight="1">
      <c r="C126" s="353"/>
      <c r="D126" s="354"/>
      <c r="E126" s="355"/>
      <c r="F126" s="354"/>
      <c r="G126" s="354"/>
      <c r="H126" s="275"/>
      <c r="I126" s="341"/>
      <c r="J126" s="341"/>
      <c r="K126" s="275"/>
      <c r="L126" s="388"/>
      <c r="M126" s="379"/>
      <c r="N126" s="379"/>
      <c r="O126" s="379"/>
      <c r="P126" s="342"/>
      <c r="Q126" s="342"/>
      <c r="R126" s="342"/>
      <c r="S126" s="343"/>
      <c r="T126" s="342"/>
      <c r="U126" s="342"/>
      <c r="V126" s="342"/>
      <c r="W126" s="342"/>
      <c r="X126" s="342"/>
      <c r="Y126" s="243"/>
      <c r="Z126" s="342"/>
      <c r="AA126" s="342"/>
      <c r="AB126" s="342"/>
      <c r="AC126" s="342"/>
      <c r="AD126" s="347"/>
      <c r="AE126" s="348"/>
      <c r="AF126" s="348"/>
      <c r="AG126" s="349"/>
      <c r="AJ126" s="116"/>
      <c r="AK126" s="252"/>
      <c r="AL126" s="116"/>
      <c r="AM126" s="116"/>
      <c r="AN126" s="116"/>
      <c r="AO126" s="116"/>
      <c r="AP126" s="116"/>
      <c r="AS126" s="116"/>
      <c r="AT126" s="116"/>
      <c r="BQ126" s="116"/>
      <c r="BR126" s="116"/>
      <c r="BS126" s="116"/>
      <c r="BT126" s="116"/>
      <c r="BU126" s="116"/>
      <c r="BV126" s="116"/>
      <c r="BW126" s="116"/>
      <c r="BX126" s="116"/>
      <c r="BY126" s="116"/>
      <c r="BZ126" s="116"/>
      <c r="CA126" s="116"/>
      <c r="CB126" s="116"/>
      <c r="CC126" s="116"/>
      <c r="CD126" s="116"/>
      <c r="CE126" s="116"/>
      <c r="CF126" s="116"/>
      <c r="CG126" s="116"/>
      <c r="CH126" s="116"/>
      <c r="CI126" s="116"/>
      <c r="CJ126" s="116"/>
      <c r="CK126" s="116"/>
      <c r="CL126" s="116"/>
      <c r="CM126" s="116"/>
      <c r="CN126" s="116"/>
      <c r="CO126" s="116"/>
      <c r="CP126" s="116"/>
      <c r="CQ126" s="116"/>
      <c r="CR126" s="116"/>
      <c r="CS126" s="116"/>
      <c r="CT126" s="116"/>
      <c r="CU126" s="116"/>
      <c r="CV126" s="116"/>
      <c r="CW126" s="116"/>
      <c r="CX126" s="116"/>
      <c r="CY126" s="116"/>
      <c r="CZ126" s="116"/>
      <c r="DA126" s="116"/>
      <c r="DB126" s="116"/>
      <c r="DC126" s="116"/>
      <c r="DD126" s="116"/>
      <c r="DE126" s="116"/>
      <c r="DF126" s="116"/>
      <c r="DG126" s="116"/>
      <c r="DH126" s="116"/>
      <c r="DI126" s="116"/>
      <c r="DJ126" s="116"/>
      <c r="DK126" s="116"/>
      <c r="DL126" s="116"/>
      <c r="DM126" s="116"/>
      <c r="DN126" s="116"/>
      <c r="DO126" s="116"/>
      <c r="DP126" s="116"/>
      <c r="DQ126" s="116"/>
      <c r="DR126" s="116"/>
      <c r="DS126" s="116"/>
      <c r="DT126" s="116"/>
      <c r="DU126" s="116"/>
      <c r="DV126" s="116"/>
      <c r="DW126" s="116"/>
      <c r="DX126" s="116"/>
      <c r="DY126" s="116"/>
      <c r="DZ126" s="116"/>
      <c r="EA126" s="116"/>
      <c r="EB126" s="116"/>
      <c r="EC126" s="116"/>
      <c r="ED126" s="116"/>
      <c r="EE126" s="116"/>
      <c r="EF126" s="116"/>
      <c r="EG126" s="116"/>
      <c r="EH126" s="116"/>
      <c r="EI126" s="116"/>
      <c r="EJ126" s="116"/>
      <c r="EK126" s="116"/>
      <c r="EL126" s="116"/>
      <c r="EM126" s="116"/>
      <c r="EN126" s="116"/>
      <c r="EO126" s="116"/>
      <c r="EP126" s="116"/>
      <c r="EQ126" s="116"/>
      <c r="ER126" s="116"/>
      <c r="ES126" s="116"/>
      <c r="ET126" s="116"/>
      <c r="EU126" s="116"/>
      <c r="EV126" s="116"/>
      <c r="EW126" s="116"/>
      <c r="EX126" s="116"/>
      <c r="EY126" s="116"/>
      <c r="EZ126" s="116"/>
      <c r="FA126" s="116"/>
      <c r="FB126" s="116"/>
      <c r="FC126" s="116"/>
      <c r="FD126" s="116"/>
      <c r="FE126" s="116"/>
      <c r="FF126" s="116"/>
      <c r="FG126" s="116"/>
      <c r="FH126" s="116"/>
      <c r="FI126" s="116"/>
      <c r="FJ126" s="116"/>
      <c r="FK126" s="116"/>
      <c r="FL126" s="116"/>
      <c r="FM126" s="116"/>
      <c r="FN126" s="116"/>
      <c r="FO126" s="116"/>
      <c r="FP126" s="116"/>
      <c r="FQ126" s="116"/>
      <c r="FR126" s="116"/>
      <c r="FS126" s="116"/>
      <c r="FT126" s="116"/>
      <c r="FU126" s="116"/>
      <c r="FV126" s="116"/>
      <c r="FW126" s="116"/>
      <c r="FX126" s="116"/>
      <c r="FY126" s="116"/>
      <c r="FZ126" s="116"/>
      <c r="GA126" s="116"/>
      <c r="GB126" s="116"/>
      <c r="GC126" s="116"/>
      <c r="GD126" s="116"/>
      <c r="GE126" s="116"/>
      <c r="GF126" s="116"/>
      <c r="GG126" s="116"/>
      <c r="GH126" s="116"/>
      <c r="GI126" s="116"/>
      <c r="GJ126" s="116"/>
      <c r="GK126" s="116"/>
      <c r="GL126" s="116"/>
      <c r="GM126" s="116"/>
      <c r="GN126" s="116"/>
      <c r="GO126" s="116"/>
      <c r="GP126" s="116"/>
      <c r="GQ126" s="116"/>
      <c r="GR126" s="116"/>
      <c r="GS126" s="116"/>
      <c r="GT126" s="116"/>
      <c r="GU126" s="116"/>
      <c r="GV126" s="116"/>
      <c r="GW126" s="116"/>
      <c r="GX126" s="116"/>
      <c r="GY126" s="116"/>
      <c r="GZ126" s="116"/>
      <c r="HA126" s="116"/>
      <c r="HB126" s="116"/>
      <c r="HC126" s="116"/>
      <c r="HD126" s="116"/>
      <c r="HE126" s="116"/>
      <c r="HF126" s="116"/>
      <c r="HG126" s="116"/>
      <c r="HH126" s="116"/>
      <c r="HI126" s="116"/>
      <c r="HJ126" s="116"/>
      <c r="HK126" s="116"/>
      <c r="HL126" s="116"/>
      <c r="HM126" s="116"/>
      <c r="HN126" s="116"/>
      <c r="HO126" s="116"/>
      <c r="HP126" s="116"/>
      <c r="HQ126" s="116"/>
      <c r="HR126" s="116"/>
      <c r="HS126" s="116"/>
      <c r="HT126" s="116"/>
      <c r="HU126" s="116"/>
      <c r="HV126" s="116"/>
      <c r="HW126" s="116"/>
      <c r="HX126" s="116"/>
      <c r="ID126" s="274"/>
    </row>
    <row r="127" spans="3:238" ht="12.75" hidden="1" customHeight="1">
      <c r="C127" s="276"/>
      <c r="D127" s="276"/>
      <c r="E127" s="276"/>
      <c r="F127" s="277"/>
      <c r="G127" s="276"/>
      <c r="H127" s="113"/>
      <c r="I127" s="113"/>
      <c r="J127" s="113"/>
      <c r="K127" s="113"/>
      <c r="L127" s="278"/>
      <c r="M127" s="279"/>
      <c r="N127" s="279"/>
      <c r="O127" s="279"/>
      <c r="P127" s="339"/>
      <c r="Q127" s="339"/>
      <c r="R127" s="339"/>
      <c r="S127" s="340"/>
      <c r="T127" s="279"/>
      <c r="U127" s="279"/>
      <c r="V127" s="279"/>
      <c r="W127" s="280"/>
      <c r="X127" s="280"/>
      <c r="Y127" s="114"/>
      <c r="Z127" s="281"/>
      <c r="AA127" s="279"/>
      <c r="AB127" s="279"/>
      <c r="AC127" s="279"/>
      <c r="AD127" s="279"/>
      <c r="AE127" s="279"/>
      <c r="AF127" s="282"/>
      <c r="AG127" s="282"/>
      <c r="AJ127" s="116"/>
      <c r="AK127" s="252"/>
      <c r="AL127" s="116"/>
      <c r="AM127" s="116"/>
      <c r="AN127" s="116"/>
      <c r="AO127" s="116"/>
      <c r="AP127" s="116"/>
      <c r="AS127" s="116"/>
      <c r="AT127" s="116"/>
      <c r="BQ127" s="116"/>
      <c r="BR127" s="116"/>
      <c r="BS127" s="116"/>
      <c r="BT127" s="116"/>
      <c r="BU127" s="116"/>
      <c r="BV127" s="116"/>
      <c r="BW127" s="116"/>
      <c r="BX127" s="116"/>
      <c r="BY127" s="116"/>
      <c r="BZ127" s="116"/>
      <c r="CA127" s="116"/>
      <c r="CB127" s="116"/>
      <c r="CC127" s="116"/>
      <c r="CD127" s="116"/>
      <c r="CE127" s="116"/>
      <c r="CF127" s="116"/>
      <c r="CG127" s="116"/>
      <c r="CH127" s="116"/>
      <c r="CI127" s="116"/>
      <c r="CJ127" s="116"/>
      <c r="CK127" s="116"/>
      <c r="CL127" s="116"/>
      <c r="CM127" s="116"/>
      <c r="CN127" s="116"/>
      <c r="CO127" s="116"/>
      <c r="CP127" s="116"/>
      <c r="CQ127" s="116"/>
      <c r="CR127" s="116"/>
      <c r="CS127" s="116"/>
      <c r="CT127" s="116"/>
      <c r="CU127" s="116"/>
      <c r="CV127" s="116"/>
      <c r="CW127" s="116"/>
      <c r="CX127" s="116"/>
      <c r="CY127" s="116"/>
      <c r="CZ127" s="116"/>
      <c r="DA127" s="116"/>
      <c r="DB127" s="116"/>
      <c r="DC127" s="116"/>
      <c r="DD127" s="116"/>
      <c r="DE127" s="116"/>
      <c r="DF127" s="116"/>
      <c r="DG127" s="116"/>
      <c r="DH127" s="116"/>
      <c r="DI127" s="116"/>
      <c r="DJ127" s="116"/>
      <c r="DK127" s="116"/>
      <c r="DL127" s="116"/>
      <c r="DM127" s="116"/>
      <c r="DN127" s="116"/>
      <c r="DO127" s="116"/>
      <c r="DP127" s="116"/>
      <c r="DQ127" s="116"/>
      <c r="DR127" s="116"/>
      <c r="DS127" s="116"/>
      <c r="DT127" s="116"/>
      <c r="DU127" s="116"/>
      <c r="DV127" s="116"/>
      <c r="DW127" s="116"/>
      <c r="DX127" s="116"/>
      <c r="DY127" s="116"/>
      <c r="DZ127" s="116"/>
      <c r="EA127" s="116"/>
      <c r="EB127" s="116"/>
      <c r="EC127" s="116"/>
      <c r="ED127" s="116"/>
      <c r="EE127" s="116"/>
      <c r="EF127" s="116"/>
      <c r="EG127" s="116"/>
      <c r="EH127" s="116"/>
      <c r="EI127" s="116"/>
      <c r="EJ127" s="116"/>
      <c r="EK127" s="116"/>
      <c r="EL127" s="116"/>
      <c r="EM127" s="116"/>
      <c r="EN127" s="116"/>
      <c r="EO127" s="116"/>
      <c r="EP127" s="116"/>
      <c r="EQ127" s="116"/>
      <c r="ER127" s="116"/>
      <c r="ES127" s="116"/>
      <c r="ET127" s="116"/>
      <c r="EU127" s="116"/>
      <c r="EV127" s="116"/>
      <c r="EW127" s="116"/>
      <c r="EX127" s="116"/>
      <c r="EY127" s="116"/>
      <c r="EZ127" s="116"/>
      <c r="FA127" s="116"/>
      <c r="FB127" s="116"/>
      <c r="FC127" s="116"/>
      <c r="FD127" s="116"/>
      <c r="FE127" s="116"/>
      <c r="FF127" s="116"/>
      <c r="FG127" s="116"/>
      <c r="FH127" s="116"/>
      <c r="FI127" s="116"/>
      <c r="FJ127" s="116"/>
      <c r="FK127" s="116"/>
      <c r="FL127" s="116"/>
      <c r="FM127" s="116"/>
      <c r="FN127" s="116"/>
      <c r="FO127" s="116"/>
      <c r="FP127" s="116"/>
      <c r="FQ127" s="116"/>
      <c r="FR127" s="116"/>
      <c r="FS127" s="116"/>
      <c r="FT127" s="116"/>
      <c r="FU127" s="116"/>
      <c r="FV127" s="116"/>
      <c r="FW127" s="116"/>
      <c r="FX127" s="116"/>
      <c r="FY127" s="116"/>
      <c r="FZ127" s="116"/>
      <c r="GA127" s="116"/>
      <c r="GB127" s="116"/>
      <c r="GC127" s="116"/>
      <c r="GD127" s="116"/>
      <c r="GE127" s="116"/>
      <c r="GF127" s="116"/>
      <c r="GG127" s="116"/>
      <c r="GH127" s="116"/>
      <c r="GI127" s="116"/>
      <c r="GJ127" s="116"/>
      <c r="GK127" s="116"/>
      <c r="GL127" s="116"/>
      <c r="GM127" s="116"/>
      <c r="GN127" s="116"/>
      <c r="GO127" s="116"/>
      <c r="GP127" s="116"/>
      <c r="GQ127" s="116"/>
      <c r="GR127" s="116"/>
      <c r="GS127" s="116"/>
      <c r="GT127" s="116"/>
      <c r="GU127" s="116"/>
      <c r="GV127" s="116"/>
      <c r="GW127" s="116"/>
      <c r="GX127" s="116"/>
      <c r="GY127" s="116"/>
      <c r="GZ127" s="116"/>
      <c r="HA127" s="116"/>
      <c r="HB127" s="116"/>
      <c r="HC127" s="116"/>
      <c r="HD127" s="116"/>
      <c r="HE127" s="116"/>
      <c r="HF127" s="116"/>
      <c r="HG127" s="116"/>
      <c r="HH127" s="116"/>
      <c r="HI127" s="116"/>
      <c r="HJ127" s="116"/>
      <c r="HK127" s="116"/>
      <c r="HL127" s="116"/>
      <c r="HM127" s="116"/>
      <c r="HN127" s="116"/>
      <c r="HO127" s="116"/>
      <c r="HP127" s="116"/>
      <c r="HQ127" s="116"/>
      <c r="HR127" s="116"/>
      <c r="HS127" s="116"/>
      <c r="HT127" s="116"/>
      <c r="HU127" s="116"/>
      <c r="HV127" s="116"/>
      <c r="HW127" s="116"/>
      <c r="HX127" s="116"/>
      <c r="ID127" s="116"/>
    </row>
    <row r="128" spans="3:238" ht="12.75" hidden="1" customHeight="1">
      <c r="C128" s="283"/>
      <c r="D128" s="284"/>
      <c r="E128" s="285"/>
      <c r="F128" s="285"/>
      <c r="G128" s="283"/>
      <c r="H128" s="286"/>
      <c r="I128" s="283"/>
      <c r="J128" s="283"/>
      <c r="K128" s="283"/>
      <c r="L128" s="287"/>
      <c r="M128" s="287"/>
      <c r="N128" s="287"/>
      <c r="O128" s="287"/>
      <c r="P128" s="287"/>
      <c r="Q128" s="287"/>
      <c r="R128" s="283"/>
      <c r="S128" s="287"/>
      <c r="T128" s="287"/>
      <c r="U128" s="381"/>
      <c r="V128" s="382"/>
      <c r="W128" s="382"/>
      <c r="X128" s="382"/>
      <c r="Y128" s="382"/>
      <c r="Z128" s="283"/>
      <c r="AA128" s="286"/>
      <c r="AB128" s="286"/>
      <c r="AC128" s="286"/>
      <c r="AD128" s="383"/>
      <c r="AE128" s="383"/>
      <c r="AF128" s="383"/>
      <c r="AG128" s="384"/>
      <c r="AJ128" s="116"/>
      <c r="AK128" s="252"/>
      <c r="AL128" s="116"/>
      <c r="AM128" s="116"/>
      <c r="AN128" s="116"/>
      <c r="AO128" s="116"/>
      <c r="AP128" s="116"/>
      <c r="AS128" s="116"/>
      <c r="AT128" s="116"/>
      <c r="BQ128" s="116"/>
      <c r="BR128" s="116"/>
      <c r="BS128" s="116"/>
      <c r="BT128" s="116"/>
      <c r="BU128" s="116"/>
      <c r="BV128" s="116"/>
      <c r="BW128" s="116"/>
      <c r="BX128" s="116"/>
      <c r="BY128" s="116"/>
      <c r="BZ128" s="116"/>
      <c r="CA128" s="116"/>
      <c r="CB128" s="116"/>
      <c r="CC128" s="116"/>
      <c r="CD128" s="116"/>
      <c r="CE128" s="116"/>
      <c r="CF128" s="116"/>
      <c r="CG128" s="116"/>
      <c r="CH128" s="116"/>
      <c r="CI128" s="116"/>
      <c r="CJ128" s="116"/>
      <c r="CK128" s="116"/>
      <c r="CL128" s="116"/>
      <c r="CM128" s="116"/>
      <c r="CN128" s="116"/>
      <c r="CO128" s="116"/>
      <c r="CP128" s="116"/>
      <c r="CQ128" s="116"/>
      <c r="CR128" s="116"/>
      <c r="CS128" s="116"/>
      <c r="CT128" s="116"/>
      <c r="CU128" s="116"/>
      <c r="CV128" s="116"/>
      <c r="CW128" s="116"/>
      <c r="CX128" s="116"/>
      <c r="CY128" s="116"/>
      <c r="CZ128" s="116"/>
      <c r="DA128" s="116"/>
      <c r="DB128" s="116"/>
      <c r="DC128" s="116"/>
      <c r="DD128" s="116"/>
      <c r="DE128" s="116"/>
      <c r="DF128" s="116"/>
      <c r="DG128" s="116"/>
      <c r="DH128" s="116"/>
      <c r="DI128" s="116"/>
      <c r="DJ128" s="116"/>
      <c r="DK128" s="116"/>
      <c r="DL128" s="116"/>
      <c r="DM128" s="116"/>
      <c r="DN128" s="116"/>
      <c r="DO128" s="116"/>
      <c r="DP128" s="116"/>
      <c r="DQ128" s="116"/>
      <c r="DR128" s="116"/>
      <c r="DS128" s="116"/>
      <c r="DT128" s="116"/>
      <c r="DU128" s="116"/>
      <c r="DV128" s="116"/>
      <c r="DW128" s="116"/>
      <c r="DX128" s="116"/>
      <c r="DY128" s="116"/>
      <c r="DZ128" s="116"/>
      <c r="EA128" s="116"/>
      <c r="EB128" s="116"/>
      <c r="EC128" s="116"/>
      <c r="ED128" s="116"/>
      <c r="EE128" s="116"/>
      <c r="EF128" s="116"/>
      <c r="EG128" s="116"/>
      <c r="EH128" s="116"/>
      <c r="EI128" s="116"/>
      <c r="EJ128" s="116"/>
      <c r="EK128" s="116"/>
      <c r="EL128" s="116"/>
      <c r="EM128" s="116"/>
      <c r="EN128" s="116"/>
      <c r="EO128" s="116"/>
      <c r="EP128" s="116"/>
      <c r="EQ128" s="116"/>
      <c r="ER128" s="116"/>
      <c r="ES128" s="116"/>
      <c r="ET128" s="116"/>
      <c r="EU128" s="116"/>
      <c r="EV128" s="116"/>
      <c r="EW128" s="116"/>
      <c r="EX128" s="116"/>
      <c r="EY128" s="116"/>
      <c r="EZ128" s="116"/>
      <c r="FA128" s="116"/>
      <c r="FB128" s="116"/>
      <c r="FC128" s="116"/>
      <c r="FD128" s="116"/>
      <c r="FE128" s="116"/>
      <c r="FF128" s="116"/>
      <c r="FG128" s="116"/>
      <c r="FH128" s="116"/>
      <c r="FI128" s="116"/>
      <c r="FJ128" s="116"/>
      <c r="FK128" s="116"/>
      <c r="FL128" s="116"/>
      <c r="FM128" s="116"/>
      <c r="FN128" s="116"/>
      <c r="FO128" s="116"/>
      <c r="FP128" s="116"/>
      <c r="FQ128" s="116"/>
      <c r="FR128" s="116"/>
      <c r="FS128" s="116"/>
      <c r="FT128" s="116"/>
      <c r="FU128" s="116"/>
      <c r="FV128" s="116"/>
      <c r="FW128" s="116"/>
      <c r="FX128" s="116"/>
      <c r="FY128" s="116"/>
      <c r="FZ128" s="116"/>
      <c r="GA128" s="116"/>
      <c r="GB128" s="116"/>
      <c r="GC128" s="116"/>
      <c r="GD128" s="116"/>
      <c r="GE128" s="116"/>
      <c r="GF128" s="116"/>
      <c r="GG128" s="116"/>
      <c r="GH128" s="116"/>
      <c r="GI128" s="116"/>
      <c r="GJ128" s="116"/>
      <c r="GK128" s="116"/>
      <c r="GL128" s="116"/>
      <c r="GM128" s="116"/>
      <c r="GN128" s="116"/>
      <c r="GO128" s="116"/>
      <c r="GP128" s="116"/>
      <c r="GQ128" s="116"/>
      <c r="GR128" s="116"/>
      <c r="GS128" s="116"/>
      <c r="GT128" s="116"/>
      <c r="GU128" s="116"/>
      <c r="GV128" s="116"/>
      <c r="GW128" s="116"/>
      <c r="GX128" s="116"/>
      <c r="GY128" s="116"/>
      <c r="GZ128" s="116"/>
      <c r="HA128" s="116"/>
      <c r="HB128" s="116"/>
      <c r="HC128" s="116"/>
      <c r="HD128" s="116"/>
      <c r="HE128" s="116"/>
      <c r="HF128" s="116"/>
      <c r="HG128" s="116"/>
      <c r="HH128" s="116"/>
      <c r="HI128" s="116"/>
      <c r="HJ128" s="116"/>
      <c r="HK128" s="116"/>
      <c r="HL128" s="116"/>
      <c r="HM128" s="116"/>
      <c r="HN128" s="116"/>
      <c r="HO128" s="116"/>
      <c r="HP128" s="116"/>
      <c r="HQ128" s="116"/>
      <c r="HR128" s="116"/>
      <c r="HS128" s="116"/>
      <c r="HT128" s="116"/>
      <c r="HU128" s="116"/>
      <c r="HV128" s="116"/>
      <c r="HW128" s="116"/>
      <c r="HX128" s="116"/>
      <c r="ID128" s="116"/>
    </row>
    <row r="129" spans="1:238" s="116" customFormat="1" ht="12.75" hidden="1" customHeight="1">
      <c r="A129" s="111"/>
      <c r="B129" s="112"/>
      <c r="C129" s="288"/>
      <c r="D129" s="289"/>
      <c r="E129" s="289"/>
      <c r="F129" s="289"/>
      <c r="G129" s="288"/>
      <c r="H129" s="290"/>
      <c r="I129" s="288"/>
      <c r="J129" s="290"/>
      <c r="K129" s="288"/>
      <c r="L129" s="291"/>
      <c r="M129" s="292"/>
      <c r="N129" s="291"/>
      <c r="O129" s="292"/>
      <c r="P129" s="291"/>
      <c r="Q129" s="292"/>
      <c r="R129" s="288"/>
      <c r="S129" s="291"/>
      <c r="T129" s="292"/>
      <c r="U129" s="291"/>
      <c r="V129" s="292"/>
      <c r="W129" s="288"/>
      <c r="X129" s="288"/>
      <c r="Y129" s="288"/>
      <c r="Z129" s="288"/>
      <c r="AA129" s="292"/>
      <c r="AB129" s="292"/>
      <c r="AC129" s="292"/>
      <c r="AD129" s="292"/>
      <c r="AE129" s="292"/>
      <c r="AF129" s="288"/>
      <c r="AG129" s="288"/>
      <c r="AH129" s="113"/>
      <c r="AI129" s="114"/>
      <c r="AK129" s="252"/>
      <c r="HY129" s="117"/>
      <c r="HZ129" s="117"/>
      <c r="IA129" s="117"/>
      <c r="IB129" s="117"/>
      <c r="IC129" s="117"/>
    </row>
    <row r="130" spans="1:238" s="116" customFormat="1" ht="12.75" hidden="1" customHeight="1">
      <c r="A130" s="111"/>
      <c r="B130" s="112"/>
      <c r="C130" s="288"/>
      <c r="D130" s="293"/>
      <c r="E130" s="294"/>
      <c r="F130" s="294"/>
      <c r="G130" s="293"/>
      <c r="H130" s="295"/>
      <c r="I130" s="293"/>
      <c r="J130" s="295"/>
      <c r="K130" s="293"/>
      <c r="L130" s="295"/>
      <c r="M130" s="296"/>
      <c r="N130" s="296"/>
      <c r="O130" s="296"/>
      <c r="P130" s="377"/>
      <c r="Q130" s="378"/>
      <c r="R130" s="378"/>
      <c r="S130" s="378"/>
      <c r="T130" s="296"/>
      <c r="U130" s="370"/>
      <c r="V130" s="371"/>
      <c r="W130" s="371"/>
      <c r="X130" s="371"/>
      <c r="Y130" s="371"/>
      <c r="Z130" s="371"/>
      <c r="AA130" s="371"/>
      <c r="AB130" s="371"/>
      <c r="AC130" s="371"/>
      <c r="AD130" s="371"/>
      <c r="AE130" s="371"/>
      <c r="AF130" s="356"/>
      <c r="AG130" s="357"/>
      <c r="AH130" s="113"/>
      <c r="AI130" s="114"/>
      <c r="AK130" s="252"/>
      <c r="HY130" s="117"/>
      <c r="HZ130" s="117"/>
      <c r="IA130" s="117"/>
      <c r="IB130" s="117"/>
      <c r="IC130" s="117"/>
    </row>
    <row r="131" spans="1:238" s="116" customFormat="1" ht="12.75" hidden="1" customHeight="1">
      <c r="A131" s="111"/>
      <c r="B131" s="112"/>
      <c r="C131" s="288"/>
      <c r="D131" s="293"/>
      <c r="E131" s="294"/>
      <c r="F131" s="294"/>
      <c r="G131" s="293"/>
      <c r="H131" s="295"/>
      <c r="I131" s="293"/>
      <c r="J131" s="293"/>
      <c r="K131" s="293"/>
      <c r="L131" s="293"/>
      <c r="M131" s="296"/>
      <c r="N131" s="296"/>
      <c r="O131" s="296"/>
      <c r="P131" s="377"/>
      <c r="Q131" s="378"/>
      <c r="R131" s="378"/>
      <c r="S131" s="378"/>
      <c r="T131" s="296"/>
      <c r="U131" s="370"/>
      <c r="V131" s="371"/>
      <c r="W131" s="371"/>
      <c r="X131" s="371"/>
      <c r="Y131" s="371"/>
      <c r="Z131" s="371"/>
      <c r="AA131" s="371"/>
      <c r="AB131" s="371"/>
      <c r="AC131" s="371"/>
      <c r="AD131" s="371"/>
      <c r="AE131" s="371"/>
      <c r="AF131" s="375"/>
      <c r="AG131" s="376"/>
      <c r="AH131" s="113"/>
      <c r="AI131" s="114"/>
      <c r="AK131" s="252"/>
      <c r="HY131" s="117"/>
      <c r="HZ131" s="117"/>
      <c r="IA131" s="117"/>
      <c r="IB131" s="117"/>
      <c r="IC131" s="117"/>
    </row>
    <row r="132" spans="1:238" s="274" customFormat="1" ht="12.75" hidden="1" customHeight="1">
      <c r="A132" s="111"/>
      <c r="B132" s="112"/>
      <c r="C132" s="288"/>
      <c r="D132" s="293"/>
      <c r="E132" s="294"/>
      <c r="F132" s="294"/>
      <c r="G132" s="293"/>
      <c r="H132" s="295"/>
      <c r="I132" s="293"/>
      <c r="J132" s="293"/>
      <c r="K132" s="293"/>
      <c r="L132" s="293"/>
      <c r="M132" s="296"/>
      <c r="N132" s="296"/>
      <c r="O132" s="296"/>
      <c r="P132" s="379"/>
      <c r="Q132" s="380"/>
      <c r="R132" s="380"/>
      <c r="S132" s="380"/>
      <c r="T132" s="296"/>
      <c r="U132" s="370"/>
      <c r="V132" s="371"/>
      <c r="W132" s="371"/>
      <c r="X132" s="371"/>
      <c r="Y132" s="371"/>
      <c r="Z132" s="371"/>
      <c r="AA132" s="371"/>
      <c r="AB132" s="371"/>
      <c r="AC132" s="371"/>
      <c r="AD132" s="371"/>
      <c r="AE132" s="371"/>
      <c r="AF132" s="356"/>
      <c r="AG132" s="357"/>
      <c r="AH132" s="113"/>
      <c r="AI132" s="114"/>
      <c r="AJ132" s="116"/>
      <c r="AK132" s="252"/>
      <c r="AL132" s="116"/>
      <c r="AM132" s="116"/>
      <c r="AN132" s="116"/>
      <c r="AO132" s="116"/>
      <c r="AP132" s="116"/>
      <c r="AQ132" s="116"/>
      <c r="AR132" s="116"/>
      <c r="AS132" s="116"/>
      <c r="AT132" s="116"/>
      <c r="AU132" s="116"/>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116"/>
      <c r="CD132" s="116"/>
      <c r="CE132" s="116"/>
      <c r="CF132" s="116"/>
      <c r="CG132" s="116"/>
      <c r="CH132" s="116"/>
      <c r="CI132" s="116"/>
      <c r="CJ132" s="116"/>
      <c r="CK132" s="116"/>
      <c r="CL132" s="116"/>
      <c r="CM132" s="116"/>
      <c r="CN132" s="116"/>
      <c r="CO132" s="116"/>
      <c r="CP132" s="116"/>
      <c r="CQ132" s="116"/>
      <c r="CR132" s="116"/>
      <c r="CS132" s="116"/>
      <c r="CT132" s="116"/>
      <c r="CU132" s="116"/>
      <c r="CV132" s="116"/>
      <c r="CW132" s="116"/>
      <c r="CX132" s="116"/>
      <c r="CY132" s="116"/>
      <c r="CZ132" s="116"/>
      <c r="DA132" s="116"/>
      <c r="DB132" s="116"/>
      <c r="DC132" s="116"/>
      <c r="DD132" s="116"/>
      <c r="DE132" s="116"/>
      <c r="DF132" s="116"/>
      <c r="DG132" s="116"/>
      <c r="DH132" s="116"/>
      <c r="DI132" s="116"/>
      <c r="DJ132" s="116"/>
      <c r="DK132" s="116"/>
      <c r="DL132" s="116"/>
      <c r="DM132" s="116"/>
      <c r="DN132" s="116"/>
      <c r="DO132" s="116"/>
      <c r="DP132" s="116"/>
      <c r="DQ132" s="116"/>
      <c r="DR132" s="116"/>
      <c r="DS132" s="116"/>
      <c r="DT132" s="116"/>
      <c r="DU132" s="116"/>
      <c r="DV132" s="116"/>
      <c r="DW132" s="116"/>
      <c r="DX132" s="116"/>
      <c r="DY132" s="116"/>
      <c r="DZ132" s="116"/>
      <c r="EA132" s="116"/>
      <c r="EB132" s="116"/>
      <c r="EC132" s="116"/>
      <c r="ED132" s="116"/>
      <c r="EE132" s="116"/>
      <c r="EF132" s="116"/>
      <c r="EG132" s="116"/>
      <c r="EH132" s="116"/>
      <c r="EI132" s="116"/>
      <c r="EJ132" s="116"/>
      <c r="EK132" s="116"/>
      <c r="EL132" s="116"/>
      <c r="EM132" s="116"/>
      <c r="EN132" s="116"/>
      <c r="EO132" s="116"/>
      <c r="EP132" s="116"/>
      <c r="EQ132" s="116"/>
      <c r="ER132" s="116"/>
      <c r="ES132" s="116"/>
      <c r="ET132" s="116"/>
      <c r="EU132" s="116"/>
      <c r="EV132" s="116"/>
      <c r="EW132" s="116"/>
      <c r="EX132" s="116"/>
      <c r="EY132" s="116"/>
      <c r="EZ132" s="116"/>
      <c r="FA132" s="116"/>
      <c r="FB132" s="116"/>
      <c r="FC132" s="116"/>
      <c r="FD132" s="116"/>
      <c r="FE132" s="116"/>
      <c r="FF132" s="116"/>
      <c r="FG132" s="116"/>
      <c r="FH132" s="116"/>
      <c r="FI132" s="116"/>
      <c r="FJ132" s="116"/>
      <c r="FK132" s="116"/>
      <c r="FL132" s="116"/>
      <c r="FM132" s="116"/>
      <c r="FN132" s="116"/>
      <c r="FO132" s="116"/>
      <c r="FP132" s="116"/>
      <c r="FQ132" s="116"/>
      <c r="FR132" s="116"/>
      <c r="FS132" s="116"/>
      <c r="FT132" s="116"/>
      <c r="FU132" s="116"/>
      <c r="FV132" s="116"/>
      <c r="FW132" s="116"/>
      <c r="FX132" s="116"/>
      <c r="FY132" s="116"/>
      <c r="FZ132" s="116"/>
      <c r="GA132" s="116"/>
      <c r="GB132" s="116"/>
      <c r="GC132" s="116"/>
      <c r="GD132" s="116"/>
      <c r="GE132" s="116"/>
      <c r="GF132" s="116"/>
      <c r="GG132" s="116"/>
      <c r="GH132" s="116"/>
      <c r="GI132" s="116"/>
      <c r="GJ132" s="116"/>
      <c r="GK132" s="116"/>
      <c r="GL132" s="116"/>
      <c r="GM132" s="116"/>
      <c r="GN132" s="116"/>
      <c r="GO132" s="116"/>
      <c r="GP132" s="116"/>
      <c r="GQ132" s="116"/>
      <c r="GR132" s="116"/>
      <c r="GS132" s="116"/>
      <c r="GT132" s="116"/>
      <c r="GU132" s="116"/>
      <c r="GV132" s="116"/>
      <c r="GW132" s="116"/>
      <c r="GX132" s="116"/>
      <c r="GY132" s="116"/>
      <c r="GZ132" s="116"/>
      <c r="HA132" s="116"/>
      <c r="HB132" s="116"/>
      <c r="HC132" s="116"/>
      <c r="HD132" s="116"/>
      <c r="HE132" s="116"/>
      <c r="HF132" s="116"/>
      <c r="HG132" s="116"/>
      <c r="HH132" s="116"/>
      <c r="HI132" s="116"/>
      <c r="HJ132" s="116"/>
      <c r="HK132" s="116"/>
      <c r="HL132" s="116"/>
      <c r="HM132" s="116"/>
      <c r="HN132" s="116"/>
      <c r="HO132" s="116"/>
      <c r="HP132" s="116"/>
      <c r="HQ132" s="116"/>
      <c r="HR132" s="116"/>
      <c r="HS132" s="116"/>
      <c r="HT132" s="116"/>
      <c r="HU132" s="116"/>
      <c r="HV132" s="116"/>
      <c r="HW132" s="116"/>
      <c r="HX132" s="116"/>
      <c r="HY132" s="117"/>
      <c r="HZ132" s="117"/>
      <c r="IA132" s="117"/>
      <c r="IB132" s="117"/>
      <c r="IC132" s="117"/>
      <c r="ID132" s="116"/>
    </row>
    <row r="133" spans="1:238" s="274" customFormat="1" ht="12.75" hidden="1" customHeight="1">
      <c r="A133" s="297"/>
      <c r="B133" s="298"/>
      <c r="C133" s="288"/>
      <c r="D133" s="293"/>
      <c r="E133" s="294"/>
      <c r="F133" s="294"/>
      <c r="G133" s="293"/>
      <c r="H133" s="295"/>
      <c r="I133" s="293"/>
      <c r="J133" s="293"/>
      <c r="K133" s="293"/>
      <c r="L133" s="293"/>
      <c r="M133" s="296"/>
      <c r="N133" s="296"/>
      <c r="O133" s="296"/>
      <c r="P133" s="372" t="e">
        <f>+#REF!</f>
        <v>#REF!</v>
      </c>
      <c r="Q133" s="372"/>
      <c r="R133" s="372"/>
      <c r="S133" s="372"/>
      <c r="T133" s="296"/>
      <c r="U133" s="368"/>
      <c r="V133" s="369"/>
      <c r="W133" s="369"/>
      <c r="X133" s="369"/>
      <c r="Y133" s="369"/>
      <c r="Z133" s="369"/>
      <c r="AA133" s="369"/>
      <c r="AB133" s="369"/>
      <c r="AC133" s="369"/>
      <c r="AD133" s="369"/>
      <c r="AE133" s="369"/>
      <c r="AF133" s="356"/>
      <c r="AG133" s="357"/>
      <c r="AH133" s="113"/>
      <c r="AI133" s="114"/>
      <c r="AJ133" s="116"/>
      <c r="AK133" s="252"/>
      <c r="AL133" s="116"/>
      <c r="AM133" s="116"/>
      <c r="AN133" s="116"/>
      <c r="AO133" s="116"/>
      <c r="AP133" s="116"/>
      <c r="AQ133" s="116"/>
      <c r="AR133" s="116"/>
      <c r="AS133" s="116"/>
      <c r="AT133" s="116"/>
      <c r="AU133" s="116"/>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16"/>
      <c r="CR133" s="116"/>
      <c r="CS133" s="116"/>
      <c r="CT133" s="116"/>
      <c r="CU133" s="116"/>
      <c r="CV133" s="116"/>
      <c r="CW133" s="116"/>
      <c r="CX133" s="116"/>
      <c r="CY133" s="116"/>
      <c r="CZ133" s="116"/>
      <c r="DA133" s="116"/>
      <c r="DB133" s="116"/>
      <c r="DC133" s="116"/>
      <c r="DD133" s="116"/>
      <c r="DE133" s="116"/>
      <c r="DF133" s="116"/>
      <c r="DG133" s="116"/>
      <c r="DH133" s="116"/>
      <c r="DI133" s="116"/>
      <c r="DJ133" s="116"/>
      <c r="DK133" s="116"/>
      <c r="DL133" s="116"/>
      <c r="DM133" s="116"/>
      <c r="DN133" s="116"/>
      <c r="DO133" s="116"/>
      <c r="DP133" s="116"/>
      <c r="DQ133" s="116"/>
      <c r="DR133" s="116"/>
      <c r="DS133" s="116"/>
      <c r="DT133" s="116"/>
      <c r="DU133" s="116"/>
      <c r="DV133" s="116"/>
      <c r="DW133" s="116"/>
      <c r="DX133" s="116"/>
      <c r="DY133" s="116"/>
      <c r="DZ133" s="116"/>
      <c r="EA133" s="116"/>
      <c r="EB133" s="116"/>
      <c r="EC133" s="116"/>
      <c r="ED133" s="116"/>
      <c r="EE133" s="116"/>
      <c r="EF133" s="116"/>
      <c r="EG133" s="116"/>
      <c r="EH133" s="116"/>
      <c r="EI133" s="116"/>
      <c r="EJ133" s="116"/>
      <c r="EK133" s="116"/>
      <c r="EL133" s="116"/>
      <c r="EM133" s="116"/>
      <c r="EN133" s="116"/>
      <c r="EO133" s="116"/>
      <c r="EP133" s="116"/>
      <c r="EQ133" s="116"/>
      <c r="ER133" s="116"/>
      <c r="ES133" s="116"/>
      <c r="ET133" s="116"/>
      <c r="EU133" s="116"/>
      <c r="EV133" s="116"/>
      <c r="EW133" s="116"/>
      <c r="EX133" s="116"/>
      <c r="EY133" s="116"/>
      <c r="EZ133" s="116"/>
      <c r="FA133" s="116"/>
      <c r="FB133" s="116"/>
      <c r="FC133" s="116"/>
      <c r="FD133" s="116"/>
      <c r="FE133" s="116"/>
      <c r="FF133" s="116"/>
      <c r="FG133" s="116"/>
      <c r="FH133" s="116"/>
      <c r="FI133" s="116"/>
      <c r="FJ133" s="116"/>
      <c r="FK133" s="116"/>
      <c r="FL133" s="116"/>
      <c r="FM133" s="116"/>
      <c r="FN133" s="116"/>
      <c r="FO133" s="116"/>
      <c r="FP133" s="116"/>
      <c r="FQ133" s="116"/>
      <c r="FR133" s="116"/>
      <c r="FS133" s="116"/>
      <c r="FT133" s="116"/>
      <c r="FU133" s="116"/>
      <c r="FV133" s="116"/>
      <c r="FW133" s="116"/>
      <c r="FX133" s="116"/>
      <c r="FY133" s="116"/>
      <c r="FZ133" s="116"/>
      <c r="GA133" s="116"/>
      <c r="GB133" s="116"/>
      <c r="GC133" s="116"/>
      <c r="GD133" s="116"/>
      <c r="GE133" s="116"/>
      <c r="GF133" s="116"/>
      <c r="GG133" s="116"/>
      <c r="GH133" s="116"/>
      <c r="GI133" s="116"/>
      <c r="GJ133" s="116"/>
      <c r="GK133" s="116"/>
      <c r="GL133" s="116"/>
      <c r="GM133" s="116"/>
      <c r="GN133" s="116"/>
      <c r="GO133" s="116"/>
      <c r="GP133" s="116"/>
      <c r="GQ133" s="116"/>
      <c r="GR133" s="116"/>
      <c r="GS133" s="116"/>
      <c r="GT133" s="116"/>
      <c r="GU133" s="116"/>
      <c r="GV133" s="116"/>
      <c r="GW133" s="116"/>
      <c r="GX133" s="116"/>
      <c r="GY133" s="116"/>
      <c r="GZ133" s="116"/>
      <c r="HA133" s="116"/>
      <c r="HB133" s="116"/>
      <c r="HC133" s="116"/>
      <c r="HD133" s="116"/>
      <c r="HE133" s="116"/>
      <c r="HF133" s="116"/>
      <c r="HG133" s="116"/>
      <c r="HH133" s="116"/>
      <c r="HI133" s="116"/>
      <c r="HJ133" s="116"/>
      <c r="HK133" s="116"/>
      <c r="HL133" s="116"/>
      <c r="HM133" s="116"/>
      <c r="HN133" s="116"/>
      <c r="HO133" s="116"/>
      <c r="HP133" s="116"/>
      <c r="HQ133" s="116"/>
      <c r="HR133" s="116"/>
      <c r="HS133" s="116"/>
      <c r="HT133" s="116"/>
      <c r="HU133" s="116"/>
      <c r="HV133" s="116"/>
      <c r="HW133" s="116"/>
      <c r="HX133" s="116"/>
      <c r="HY133" s="117"/>
      <c r="HZ133" s="117"/>
      <c r="IA133" s="117"/>
      <c r="IB133" s="117"/>
      <c r="IC133" s="117"/>
      <c r="ID133" s="116"/>
    </row>
    <row r="134" spans="1:238" s="274" customFormat="1" ht="12.75" hidden="1" customHeight="1">
      <c r="A134" s="297"/>
      <c r="B134" s="298"/>
      <c r="C134" s="288"/>
      <c r="D134" s="293"/>
      <c r="E134" s="294"/>
      <c r="F134" s="294"/>
      <c r="G134" s="293"/>
      <c r="H134" s="295"/>
      <c r="I134" s="293"/>
      <c r="J134" s="293"/>
      <c r="K134" s="293"/>
      <c r="L134" s="293"/>
      <c r="M134" s="296"/>
      <c r="N134" s="296"/>
      <c r="O134" s="296"/>
      <c r="P134" s="377"/>
      <c r="Q134" s="378"/>
      <c r="R134" s="378"/>
      <c r="S134" s="378"/>
      <c r="T134" s="296"/>
      <c r="U134" s="368"/>
      <c r="V134" s="369"/>
      <c r="W134" s="369"/>
      <c r="X134" s="369"/>
      <c r="Y134" s="369"/>
      <c r="Z134" s="369"/>
      <c r="AA134" s="369"/>
      <c r="AB134" s="369"/>
      <c r="AC134" s="369"/>
      <c r="AD134" s="369"/>
      <c r="AE134" s="369"/>
      <c r="AF134" s="373"/>
      <c r="AG134" s="374"/>
      <c r="AH134" s="113"/>
      <c r="AI134" s="114"/>
      <c r="AJ134" s="116"/>
      <c r="AK134" s="252"/>
      <c r="AL134" s="116"/>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116"/>
      <c r="CD134" s="116"/>
      <c r="CE134" s="116"/>
      <c r="CF134" s="116"/>
      <c r="CG134" s="116"/>
      <c r="CH134" s="116"/>
      <c r="CI134" s="116"/>
      <c r="CJ134" s="116"/>
      <c r="CK134" s="116"/>
      <c r="CL134" s="116"/>
      <c r="CM134" s="116"/>
      <c r="CN134" s="116"/>
      <c r="CO134" s="116"/>
      <c r="CP134" s="116"/>
      <c r="CQ134" s="116"/>
      <c r="CR134" s="116"/>
      <c r="CS134" s="116"/>
      <c r="CT134" s="116"/>
      <c r="CU134" s="116"/>
      <c r="CV134" s="116"/>
      <c r="CW134" s="116"/>
      <c r="CX134" s="116"/>
      <c r="CY134" s="116"/>
      <c r="CZ134" s="116"/>
      <c r="DA134" s="116"/>
      <c r="DB134" s="116"/>
      <c r="DC134" s="116"/>
      <c r="DD134" s="116"/>
      <c r="DE134" s="116"/>
      <c r="DF134" s="116"/>
      <c r="DG134" s="116"/>
      <c r="DH134" s="116"/>
      <c r="DI134" s="116"/>
      <c r="DJ134" s="116"/>
      <c r="DK134" s="116"/>
      <c r="DL134" s="116"/>
      <c r="DM134" s="116"/>
      <c r="DN134" s="116"/>
      <c r="DO134" s="116"/>
      <c r="DP134" s="116"/>
      <c r="DQ134" s="116"/>
      <c r="DR134" s="116"/>
      <c r="DS134" s="116"/>
      <c r="DT134" s="116"/>
      <c r="DU134" s="116"/>
      <c r="DV134" s="116"/>
      <c r="DW134" s="116"/>
      <c r="DX134" s="116"/>
      <c r="DY134" s="116"/>
      <c r="DZ134" s="116"/>
      <c r="EA134" s="116"/>
      <c r="EB134" s="116"/>
      <c r="EC134" s="116"/>
      <c r="ED134" s="116"/>
      <c r="EE134" s="116"/>
      <c r="EF134" s="116"/>
      <c r="EG134" s="116"/>
      <c r="EH134" s="116"/>
      <c r="EI134" s="116"/>
      <c r="EJ134" s="116"/>
      <c r="EK134" s="116"/>
      <c r="EL134" s="116"/>
      <c r="EM134" s="116"/>
      <c r="EN134" s="116"/>
      <c r="EO134" s="116"/>
      <c r="EP134" s="116"/>
      <c r="EQ134" s="116"/>
      <c r="ER134" s="116"/>
      <c r="ES134" s="116"/>
      <c r="ET134" s="116"/>
      <c r="EU134" s="116"/>
      <c r="EV134" s="116"/>
      <c r="EW134" s="116"/>
      <c r="EX134" s="116"/>
      <c r="EY134" s="116"/>
      <c r="EZ134" s="116"/>
      <c r="FA134" s="116"/>
      <c r="FB134" s="116"/>
      <c r="FC134" s="116"/>
      <c r="FD134" s="116"/>
      <c r="FE134" s="116"/>
      <c r="FF134" s="116"/>
      <c r="FG134" s="116"/>
      <c r="FH134" s="116"/>
      <c r="FI134" s="116"/>
      <c r="FJ134" s="116"/>
      <c r="FK134" s="116"/>
      <c r="FL134" s="116"/>
      <c r="FM134" s="116"/>
      <c r="FN134" s="116"/>
      <c r="FO134" s="116"/>
      <c r="FP134" s="116"/>
      <c r="FQ134" s="116"/>
      <c r="FR134" s="116"/>
      <c r="FS134" s="116"/>
      <c r="FT134" s="116"/>
      <c r="FU134" s="116"/>
      <c r="FV134" s="116"/>
      <c r="FW134" s="116"/>
      <c r="FX134" s="116"/>
      <c r="FY134" s="116"/>
      <c r="FZ134" s="116"/>
      <c r="GA134" s="116"/>
      <c r="GB134" s="116"/>
      <c r="GC134" s="116"/>
      <c r="GD134" s="116"/>
      <c r="GE134" s="116"/>
      <c r="GF134" s="116"/>
      <c r="GG134" s="116"/>
      <c r="GH134" s="116"/>
      <c r="GI134" s="116"/>
      <c r="GJ134" s="116"/>
      <c r="GK134" s="116"/>
      <c r="GL134" s="116"/>
      <c r="GM134" s="116"/>
      <c r="GN134" s="116"/>
      <c r="GO134" s="116"/>
      <c r="GP134" s="116"/>
      <c r="GQ134" s="116"/>
      <c r="GR134" s="116"/>
      <c r="GS134" s="116"/>
      <c r="GT134" s="116"/>
      <c r="GU134" s="116"/>
      <c r="GV134" s="116"/>
      <c r="GW134" s="116"/>
      <c r="GX134" s="116"/>
      <c r="GY134" s="116"/>
      <c r="GZ134" s="116"/>
      <c r="HA134" s="116"/>
      <c r="HB134" s="116"/>
      <c r="HC134" s="116"/>
      <c r="HD134" s="116"/>
      <c r="HE134" s="116"/>
      <c r="HF134" s="116"/>
      <c r="HG134" s="116"/>
      <c r="HH134" s="116"/>
      <c r="HI134" s="116"/>
      <c r="HJ134" s="116"/>
      <c r="HK134" s="116"/>
      <c r="HL134" s="116"/>
      <c r="HM134" s="116"/>
      <c r="HN134" s="116"/>
      <c r="HO134" s="116"/>
      <c r="HP134" s="116"/>
      <c r="HQ134" s="116"/>
      <c r="HR134" s="116"/>
      <c r="HS134" s="116"/>
      <c r="HT134" s="116"/>
      <c r="HU134" s="116"/>
      <c r="HV134" s="116"/>
      <c r="HW134" s="116"/>
      <c r="HX134" s="116"/>
      <c r="HY134" s="117"/>
      <c r="HZ134" s="117"/>
      <c r="IA134" s="117"/>
      <c r="IB134" s="117"/>
      <c r="IC134" s="117"/>
      <c r="ID134" s="116"/>
    </row>
    <row r="135" spans="1:238" s="274" customFormat="1" ht="12.75" hidden="1" customHeight="1">
      <c r="A135" s="297"/>
      <c r="B135" s="298"/>
      <c r="C135" s="288"/>
      <c r="D135" s="293"/>
      <c r="E135" s="289"/>
      <c r="F135" s="289"/>
      <c r="G135" s="288"/>
      <c r="H135" s="290"/>
      <c r="I135" s="288"/>
      <c r="J135" s="288"/>
      <c r="K135" s="288"/>
      <c r="L135" s="288"/>
      <c r="M135" s="290"/>
      <c r="N135" s="299"/>
      <c r="O135" s="299"/>
      <c r="P135" s="299"/>
      <c r="Q135" s="288"/>
      <c r="R135" s="288"/>
      <c r="S135" s="288"/>
      <c r="T135" s="290"/>
      <c r="U135" s="299"/>
      <c r="V135" s="299"/>
      <c r="W135" s="300"/>
      <c r="X135" s="300"/>
      <c r="Y135" s="300"/>
      <c r="Z135" s="300"/>
      <c r="AA135" s="299"/>
      <c r="AB135" s="299"/>
      <c r="AC135" s="299"/>
      <c r="AD135" s="299"/>
      <c r="AE135" s="299"/>
      <c r="AF135" s="300"/>
      <c r="AG135" s="300"/>
      <c r="AH135" s="113"/>
      <c r="AI135" s="114"/>
      <c r="AJ135" s="116"/>
      <c r="AK135" s="252"/>
      <c r="AL135" s="116"/>
      <c r="AM135" s="116"/>
      <c r="AN135" s="116"/>
      <c r="AO135" s="116"/>
      <c r="AP135" s="116"/>
      <c r="AQ135" s="116"/>
      <c r="AR135" s="116"/>
      <c r="AS135" s="116"/>
      <c r="AT135" s="116"/>
      <c r="AU135" s="116"/>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116"/>
      <c r="CE135" s="116"/>
      <c r="CF135" s="116"/>
      <c r="CG135" s="116"/>
      <c r="CH135" s="116"/>
      <c r="CI135" s="116"/>
      <c r="CJ135" s="116"/>
      <c r="CK135" s="116"/>
      <c r="CL135" s="116"/>
      <c r="CM135" s="116"/>
      <c r="CN135" s="116"/>
      <c r="CO135" s="116"/>
      <c r="CP135" s="116"/>
      <c r="CQ135" s="116"/>
      <c r="CR135" s="116"/>
      <c r="CS135" s="116"/>
      <c r="CT135" s="116"/>
      <c r="CU135" s="116"/>
      <c r="CV135" s="116"/>
      <c r="CW135" s="116"/>
      <c r="CX135" s="116"/>
      <c r="CY135" s="116"/>
      <c r="CZ135" s="116"/>
      <c r="DA135" s="116"/>
      <c r="DB135" s="116"/>
      <c r="DC135" s="116"/>
      <c r="DD135" s="116"/>
      <c r="DE135" s="116"/>
      <c r="DF135" s="116"/>
      <c r="DG135" s="116"/>
      <c r="DH135" s="116"/>
      <c r="DI135" s="116"/>
      <c r="DJ135" s="116"/>
      <c r="DK135" s="116"/>
      <c r="DL135" s="116"/>
      <c r="DM135" s="116"/>
      <c r="DN135" s="116"/>
      <c r="DO135" s="116"/>
      <c r="DP135" s="116"/>
      <c r="DQ135" s="116"/>
      <c r="DR135" s="116"/>
      <c r="DS135" s="116"/>
      <c r="DT135" s="116"/>
      <c r="DU135" s="116"/>
      <c r="DV135" s="116"/>
      <c r="DW135" s="116"/>
      <c r="DX135" s="116"/>
      <c r="DY135" s="116"/>
      <c r="DZ135" s="116"/>
      <c r="EA135" s="116"/>
      <c r="EB135" s="116"/>
      <c r="EC135" s="116"/>
      <c r="ED135" s="116"/>
      <c r="EE135" s="116"/>
      <c r="EF135" s="116"/>
      <c r="EG135" s="116"/>
      <c r="EH135" s="116"/>
      <c r="EI135" s="116"/>
      <c r="EJ135" s="116"/>
      <c r="EK135" s="116"/>
      <c r="EL135" s="116"/>
      <c r="EM135" s="116"/>
      <c r="EN135" s="116"/>
      <c r="EO135" s="116"/>
      <c r="EP135" s="116"/>
      <c r="EQ135" s="116"/>
      <c r="ER135" s="116"/>
      <c r="ES135" s="116"/>
      <c r="ET135" s="116"/>
      <c r="EU135" s="116"/>
      <c r="EV135" s="116"/>
      <c r="EW135" s="116"/>
      <c r="EX135" s="116"/>
      <c r="EY135" s="116"/>
      <c r="EZ135" s="116"/>
      <c r="FA135" s="116"/>
      <c r="FB135" s="116"/>
      <c r="FC135" s="116"/>
      <c r="FD135" s="116"/>
      <c r="FE135" s="116"/>
      <c r="FF135" s="116"/>
      <c r="FG135" s="116"/>
      <c r="FH135" s="116"/>
      <c r="FI135" s="116"/>
      <c r="FJ135" s="116"/>
      <c r="FK135" s="116"/>
      <c r="FL135" s="116"/>
      <c r="FM135" s="116"/>
      <c r="FN135" s="116"/>
      <c r="FO135" s="116"/>
      <c r="FP135" s="116"/>
      <c r="FQ135" s="116"/>
      <c r="FR135" s="116"/>
      <c r="FS135" s="116"/>
      <c r="FT135" s="116"/>
      <c r="FU135" s="116"/>
      <c r="FV135" s="116"/>
      <c r="FW135" s="116"/>
      <c r="FX135" s="116"/>
      <c r="FY135" s="116"/>
      <c r="FZ135" s="116"/>
      <c r="GA135" s="116"/>
      <c r="GB135" s="116"/>
      <c r="GC135" s="116"/>
      <c r="GD135" s="116"/>
      <c r="GE135" s="116"/>
      <c r="GF135" s="116"/>
      <c r="GG135" s="116"/>
      <c r="GH135" s="116"/>
      <c r="GI135" s="116"/>
      <c r="GJ135" s="116"/>
      <c r="GK135" s="116"/>
      <c r="GL135" s="116"/>
      <c r="GM135" s="116"/>
      <c r="GN135" s="116"/>
      <c r="GO135" s="116"/>
      <c r="GP135" s="116"/>
      <c r="GQ135" s="116"/>
      <c r="GR135" s="116"/>
      <c r="GS135" s="116"/>
      <c r="GT135" s="116"/>
      <c r="GU135" s="116"/>
      <c r="GV135" s="116"/>
      <c r="GW135" s="116"/>
      <c r="GX135" s="116"/>
      <c r="GY135" s="116"/>
      <c r="GZ135" s="116"/>
      <c r="HA135" s="116"/>
      <c r="HB135" s="116"/>
      <c r="HC135" s="116"/>
      <c r="HD135" s="116"/>
      <c r="HE135" s="116"/>
      <c r="HF135" s="116"/>
      <c r="HG135" s="116"/>
      <c r="HH135" s="116"/>
      <c r="HI135" s="116"/>
      <c r="HJ135" s="116"/>
      <c r="HK135" s="116"/>
      <c r="HL135" s="116"/>
      <c r="HM135" s="116"/>
      <c r="HN135" s="116"/>
      <c r="HO135" s="116"/>
      <c r="HP135" s="116"/>
      <c r="HQ135" s="116"/>
      <c r="HR135" s="116"/>
      <c r="HS135" s="116"/>
      <c r="HT135" s="116"/>
      <c r="HU135" s="116"/>
      <c r="HV135" s="116"/>
      <c r="HW135" s="116"/>
      <c r="HX135" s="116"/>
      <c r="HY135" s="117"/>
      <c r="HZ135" s="117"/>
      <c r="IA135" s="117"/>
      <c r="IB135" s="117"/>
      <c r="IC135" s="117"/>
      <c r="ID135" s="116"/>
    </row>
    <row r="136" spans="1:238" s="274" customFormat="1" ht="12.75" hidden="1" customHeight="1">
      <c r="A136" s="297"/>
      <c r="B136" s="298"/>
      <c r="C136" s="301"/>
      <c r="D136" s="302"/>
      <c r="E136" s="302"/>
      <c r="F136" s="302"/>
      <c r="G136" s="302"/>
      <c r="H136" s="302"/>
      <c r="I136" s="302"/>
      <c r="J136" s="302"/>
      <c r="K136" s="302"/>
      <c r="L136" s="302"/>
      <c r="M136" s="302"/>
      <c r="N136" s="302"/>
      <c r="O136" s="302"/>
      <c r="P136" s="302"/>
      <c r="Q136" s="303"/>
      <c r="R136" s="302"/>
      <c r="S136" s="302"/>
      <c r="T136" s="302"/>
      <c r="U136" s="302"/>
      <c r="V136" s="302"/>
      <c r="W136" s="301"/>
      <c r="X136" s="301"/>
      <c r="Y136" s="301"/>
      <c r="Z136" s="301"/>
      <c r="AA136" s="302"/>
      <c r="AB136" s="302"/>
      <c r="AC136" s="302"/>
      <c r="AD136" s="302"/>
      <c r="AE136" s="302"/>
      <c r="AF136" s="301"/>
      <c r="AG136" s="301"/>
      <c r="AH136" s="113"/>
      <c r="AI136" s="114"/>
      <c r="AJ136" s="116"/>
      <c r="AK136" s="252"/>
      <c r="AL136" s="116"/>
      <c r="AM136" s="116"/>
      <c r="AN136" s="116"/>
      <c r="AO136" s="116"/>
      <c r="AP136" s="116"/>
      <c r="AQ136" s="116"/>
      <c r="AR136" s="116"/>
      <c r="AS136" s="116"/>
      <c r="AT136" s="116"/>
      <c r="AU136" s="116"/>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116"/>
      <c r="CD136" s="116"/>
      <c r="CE136" s="116"/>
      <c r="CF136" s="116"/>
      <c r="CG136" s="116"/>
      <c r="CH136" s="116"/>
      <c r="CI136" s="116"/>
      <c r="CJ136" s="116"/>
      <c r="CK136" s="116"/>
      <c r="CL136" s="116"/>
      <c r="CM136" s="116"/>
      <c r="CN136" s="116"/>
      <c r="CO136" s="116"/>
      <c r="CP136" s="116"/>
      <c r="CQ136" s="116"/>
      <c r="CR136" s="116"/>
      <c r="CS136" s="116"/>
      <c r="CT136" s="116"/>
      <c r="CU136" s="116"/>
      <c r="CV136" s="116"/>
      <c r="CW136" s="116"/>
      <c r="CX136" s="116"/>
      <c r="CY136" s="116"/>
      <c r="CZ136" s="116"/>
      <c r="DA136" s="116"/>
      <c r="DB136" s="116"/>
      <c r="DC136" s="116"/>
      <c r="DD136" s="116"/>
      <c r="DE136" s="116"/>
      <c r="DF136" s="116"/>
      <c r="DG136" s="116"/>
      <c r="DH136" s="116"/>
      <c r="DI136" s="116"/>
      <c r="DJ136" s="116"/>
      <c r="DK136" s="116"/>
      <c r="DL136" s="116"/>
      <c r="DM136" s="116"/>
      <c r="DN136" s="116"/>
      <c r="DO136" s="116"/>
      <c r="DP136" s="116"/>
      <c r="DQ136" s="116"/>
      <c r="DR136" s="116"/>
      <c r="DS136" s="116"/>
      <c r="DT136" s="116"/>
      <c r="DU136" s="116"/>
      <c r="DV136" s="116"/>
      <c r="DW136" s="116"/>
      <c r="DX136" s="116"/>
      <c r="DY136" s="116"/>
      <c r="DZ136" s="116"/>
      <c r="EA136" s="116"/>
      <c r="EB136" s="116"/>
      <c r="EC136" s="116"/>
      <c r="ED136" s="116"/>
      <c r="EE136" s="116"/>
      <c r="EF136" s="116"/>
      <c r="EG136" s="116"/>
      <c r="EH136" s="116"/>
      <c r="EI136" s="116"/>
      <c r="EJ136" s="116"/>
      <c r="EK136" s="116"/>
      <c r="EL136" s="116"/>
      <c r="EM136" s="116"/>
      <c r="EN136" s="116"/>
      <c r="EO136" s="116"/>
      <c r="EP136" s="116"/>
      <c r="EQ136" s="116"/>
      <c r="ER136" s="116"/>
      <c r="ES136" s="116"/>
      <c r="ET136" s="116"/>
      <c r="EU136" s="116"/>
      <c r="EV136" s="116"/>
      <c r="EW136" s="116"/>
      <c r="EX136" s="116"/>
      <c r="EY136" s="116"/>
      <c r="EZ136" s="116"/>
      <c r="FA136" s="116"/>
      <c r="FB136" s="116"/>
      <c r="FC136" s="116"/>
      <c r="FD136" s="116"/>
      <c r="FE136" s="116"/>
      <c r="FF136" s="116"/>
      <c r="FG136" s="116"/>
      <c r="FH136" s="116"/>
      <c r="FI136" s="116"/>
      <c r="FJ136" s="116"/>
      <c r="FK136" s="116"/>
      <c r="FL136" s="116"/>
      <c r="FM136" s="116"/>
      <c r="FN136" s="116"/>
      <c r="FO136" s="116"/>
      <c r="FP136" s="116"/>
      <c r="FQ136" s="116"/>
      <c r="FR136" s="116"/>
      <c r="FS136" s="116"/>
      <c r="FT136" s="116"/>
      <c r="FU136" s="116"/>
      <c r="FV136" s="116"/>
      <c r="FW136" s="116"/>
      <c r="FX136" s="116"/>
      <c r="FY136" s="116"/>
      <c r="FZ136" s="116"/>
      <c r="GA136" s="116"/>
      <c r="GB136" s="116"/>
      <c r="GC136" s="116"/>
      <c r="GD136" s="116"/>
      <c r="GE136" s="116"/>
      <c r="GF136" s="116"/>
      <c r="GG136" s="116"/>
      <c r="GH136" s="116"/>
      <c r="GI136" s="116"/>
      <c r="GJ136" s="116"/>
      <c r="GK136" s="116"/>
      <c r="GL136" s="116"/>
      <c r="GM136" s="116"/>
      <c r="GN136" s="116"/>
      <c r="GO136" s="116"/>
      <c r="GP136" s="116"/>
      <c r="GQ136" s="116"/>
      <c r="GR136" s="116"/>
      <c r="GS136" s="116"/>
      <c r="GT136" s="116"/>
      <c r="GU136" s="116"/>
      <c r="GV136" s="116"/>
      <c r="GW136" s="116"/>
      <c r="GX136" s="116"/>
      <c r="GY136" s="116"/>
      <c r="GZ136" s="116"/>
      <c r="HA136" s="116"/>
      <c r="HB136" s="116"/>
      <c r="HC136" s="116"/>
      <c r="HD136" s="116"/>
      <c r="HE136" s="116"/>
      <c r="HF136" s="116"/>
      <c r="HG136" s="116"/>
      <c r="HH136" s="116"/>
      <c r="HI136" s="116"/>
      <c r="HJ136" s="116"/>
      <c r="HK136" s="116"/>
      <c r="HL136" s="116"/>
      <c r="HM136" s="116"/>
      <c r="HN136" s="116"/>
      <c r="HO136" s="116"/>
      <c r="HP136" s="116"/>
      <c r="HQ136" s="116"/>
      <c r="HR136" s="116"/>
      <c r="HS136" s="116"/>
      <c r="HT136" s="116"/>
      <c r="HU136" s="116"/>
      <c r="HV136" s="116"/>
      <c r="HW136" s="116"/>
      <c r="HX136" s="116"/>
      <c r="HY136" s="117"/>
      <c r="HZ136" s="117"/>
      <c r="IA136" s="117"/>
      <c r="IB136" s="117"/>
      <c r="IC136" s="117"/>
      <c r="ID136" s="116"/>
    </row>
    <row r="137" spans="1:238" s="274" customFormat="1" ht="12.75" hidden="1" customHeight="1">
      <c r="A137" s="297"/>
      <c r="B137" s="298"/>
      <c r="C137" s="304"/>
      <c r="D137" s="363"/>
      <c r="E137" s="364"/>
      <c r="F137" s="364"/>
      <c r="G137" s="364"/>
      <c r="H137" s="364"/>
      <c r="I137" s="364"/>
      <c r="J137" s="364"/>
      <c r="K137" s="364"/>
      <c r="L137" s="364"/>
      <c r="M137" s="364"/>
      <c r="N137" s="364"/>
      <c r="O137" s="364"/>
      <c r="P137" s="364"/>
      <c r="Q137" s="364"/>
      <c r="R137" s="364"/>
      <c r="S137" s="364"/>
      <c r="T137" s="364"/>
      <c r="U137" s="364"/>
      <c r="V137" s="364"/>
      <c r="W137" s="364"/>
      <c r="X137" s="364"/>
      <c r="Y137" s="364"/>
      <c r="Z137" s="364"/>
      <c r="AA137" s="364"/>
      <c r="AB137" s="364"/>
      <c r="AC137" s="364"/>
      <c r="AD137" s="364"/>
      <c r="AE137" s="364"/>
      <c r="AF137" s="364"/>
      <c r="AG137" s="365"/>
      <c r="AH137" s="113"/>
      <c r="AI137" s="114"/>
      <c r="AJ137" s="116"/>
      <c r="AK137" s="252"/>
      <c r="AL137" s="116"/>
      <c r="AM137" s="116"/>
      <c r="AN137" s="116"/>
      <c r="AO137" s="116"/>
      <c r="AP137" s="116"/>
      <c r="AQ137" s="116"/>
      <c r="AR137" s="116"/>
      <c r="AS137" s="116"/>
      <c r="AT137" s="116"/>
      <c r="AU137" s="116"/>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c r="CE137" s="116"/>
      <c r="CF137" s="116"/>
      <c r="CG137" s="116"/>
      <c r="CH137" s="116"/>
      <c r="CI137" s="116"/>
      <c r="CJ137" s="116"/>
      <c r="CK137" s="116"/>
      <c r="CL137" s="116"/>
      <c r="CM137" s="116"/>
      <c r="CN137" s="116"/>
      <c r="CO137" s="116"/>
      <c r="CP137" s="116"/>
      <c r="CQ137" s="116"/>
      <c r="CR137" s="116"/>
      <c r="CS137" s="116"/>
      <c r="CT137" s="116"/>
      <c r="CU137" s="116"/>
      <c r="CV137" s="116"/>
      <c r="CW137" s="116"/>
      <c r="CX137" s="116"/>
      <c r="CY137" s="116"/>
      <c r="CZ137" s="116"/>
      <c r="DA137" s="116"/>
      <c r="DB137" s="116"/>
      <c r="DC137" s="116"/>
      <c r="DD137" s="116"/>
      <c r="DE137" s="116"/>
      <c r="DF137" s="116"/>
      <c r="DG137" s="116"/>
      <c r="DH137" s="116"/>
      <c r="DI137" s="116"/>
      <c r="DJ137" s="116"/>
      <c r="DK137" s="116"/>
      <c r="DL137" s="116"/>
      <c r="DM137" s="116"/>
      <c r="DN137" s="116"/>
      <c r="DO137" s="116"/>
      <c r="DP137" s="116"/>
      <c r="DQ137" s="116"/>
      <c r="DR137" s="116"/>
      <c r="DS137" s="116"/>
      <c r="DT137" s="116"/>
      <c r="DU137" s="116"/>
      <c r="DV137" s="116"/>
      <c r="DW137" s="116"/>
      <c r="DX137" s="116"/>
      <c r="DY137" s="116"/>
      <c r="DZ137" s="116"/>
      <c r="EA137" s="116"/>
      <c r="EB137" s="116"/>
      <c r="EC137" s="116"/>
      <c r="ED137" s="116"/>
      <c r="EE137" s="116"/>
      <c r="EF137" s="116"/>
      <c r="EG137" s="116"/>
      <c r="EH137" s="116"/>
      <c r="EI137" s="116"/>
      <c r="EJ137" s="116"/>
      <c r="EK137" s="116"/>
      <c r="EL137" s="116"/>
      <c r="EM137" s="116"/>
      <c r="EN137" s="116"/>
      <c r="EO137" s="116"/>
      <c r="EP137" s="116"/>
      <c r="EQ137" s="116"/>
      <c r="ER137" s="116"/>
      <c r="ES137" s="116"/>
      <c r="ET137" s="116"/>
      <c r="EU137" s="116"/>
      <c r="EV137" s="116"/>
      <c r="EW137" s="116"/>
      <c r="EX137" s="116"/>
      <c r="EY137" s="116"/>
      <c r="EZ137" s="116"/>
      <c r="FA137" s="116"/>
      <c r="FB137" s="116"/>
      <c r="FC137" s="116"/>
      <c r="FD137" s="116"/>
      <c r="FE137" s="116"/>
      <c r="FF137" s="116"/>
      <c r="FG137" s="116"/>
      <c r="FH137" s="116"/>
      <c r="FI137" s="116"/>
      <c r="FJ137" s="116"/>
      <c r="FK137" s="116"/>
      <c r="FL137" s="116"/>
      <c r="FM137" s="116"/>
      <c r="FN137" s="116"/>
      <c r="FO137" s="116"/>
      <c r="FP137" s="116"/>
      <c r="FQ137" s="116"/>
      <c r="FR137" s="116"/>
      <c r="FS137" s="116"/>
      <c r="FT137" s="116"/>
      <c r="FU137" s="116"/>
      <c r="FV137" s="116"/>
      <c r="FW137" s="116"/>
      <c r="FX137" s="116"/>
      <c r="FY137" s="116"/>
      <c r="FZ137" s="116"/>
      <c r="GA137" s="116"/>
      <c r="GB137" s="116"/>
      <c r="GC137" s="116"/>
      <c r="GD137" s="116"/>
      <c r="GE137" s="116"/>
      <c r="GF137" s="116"/>
      <c r="GG137" s="116"/>
      <c r="GH137" s="116"/>
      <c r="GI137" s="116"/>
      <c r="GJ137" s="116"/>
      <c r="GK137" s="116"/>
      <c r="GL137" s="116"/>
      <c r="GM137" s="116"/>
      <c r="GN137" s="116"/>
      <c r="GO137" s="116"/>
      <c r="GP137" s="116"/>
      <c r="GQ137" s="116"/>
      <c r="GR137" s="116"/>
      <c r="GS137" s="116"/>
      <c r="GT137" s="116"/>
      <c r="GU137" s="116"/>
      <c r="GV137" s="116"/>
      <c r="GW137" s="116"/>
      <c r="GX137" s="116"/>
      <c r="GY137" s="116"/>
      <c r="GZ137" s="116"/>
      <c r="HA137" s="116"/>
      <c r="HB137" s="116"/>
      <c r="HC137" s="116"/>
      <c r="HD137" s="116"/>
      <c r="HE137" s="116"/>
      <c r="HF137" s="116"/>
      <c r="HG137" s="116"/>
      <c r="HH137" s="116"/>
      <c r="HI137" s="116"/>
      <c r="HJ137" s="116"/>
      <c r="HK137" s="116"/>
      <c r="HL137" s="116"/>
      <c r="HM137" s="116"/>
      <c r="HN137" s="116"/>
      <c r="HO137" s="116"/>
      <c r="HP137" s="116"/>
      <c r="HQ137" s="116"/>
      <c r="HR137" s="116"/>
      <c r="HS137" s="116"/>
      <c r="HT137" s="116"/>
      <c r="HU137" s="116"/>
      <c r="HV137" s="116"/>
      <c r="HW137" s="116"/>
      <c r="HX137" s="116"/>
      <c r="HY137" s="117"/>
      <c r="HZ137" s="117"/>
      <c r="IA137" s="117"/>
      <c r="IB137" s="117"/>
      <c r="IC137" s="117"/>
      <c r="ID137" s="116"/>
    </row>
    <row r="138" spans="1:238" s="274" customFormat="1" ht="12.75" hidden="1" customHeight="1">
      <c r="A138" s="297"/>
      <c r="B138" s="298"/>
      <c r="C138" s="304"/>
      <c r="D138" s="366"/>
      <c r="E138" s="366"/>
      <c r="F138" s="366"/>
      <c r="G138" s="366"/>
      <c r="H138" s="366"/>
      <c r="I138" s="366"/>
      <c r="J138" s="366"/>
      <c r="K138" s="366"/>
      <c r="L138" s="366"/>
      <c r="M138" s="366"/>
      <c r="N138" s="366"/>
      <c r="O138" s="366"/>
      <c r="P138" s="366"/>
      <c r="Q138" s="366"/>
      <c r="R138" s="366"/>
      <c r="S138" s="366"/>
      <c r="T138" s="366"/>
      <c r="U138" s="366"/>
      <c r="V138" s="366"/>
      <c r="W138" s="366"/>
      <c r="X138" s="366"/>
      <c r="Y138" s="366"/>
      <c r="Z138" s="366"/>
      <c r="AA138" s="366"/>
      <c r="AB138" s="366"/>
      <c r="AC138" s="366"/>
      <c r="AD138" s="366"/>
      <c r="AE138" s="366"/>
      <c r="AF138" s="366"/>
      <c r="AG138" s="367"/>
      <c r="AH138" s="113"/>
      <c r="AI138" s="114"/>
      <c r="AJ138" s="116"/>
      <c r="AK138" s="252"/>
      <c r="AL138" s="116"/>
      <c r="AM138" s="116"/>
      <c r="AN138" s="116"/>
      <c r="AO138" s="116"/>
      <c r="AP138" s="116"/>
      <c r="AQ138" s="116"/>
      <c r="AR138" s="116"/>
      <c r="AS138" s="116"/>
      <c r="AT138" s="116"/>
      <c r="AU138" s="116"/>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116"/>
      <c r="CD138" s="116"/>
      <c r="CE138" s="116"/>
      <c r="CF138" s="116"/>
      <c r="CG138" s="116"/>
      <c r="CH138" s="116"/>
      <c r="CI138" s="116"/>
      <c r="CJ138" s="116"/>
      <c r="CK138" s="116"/>
      <c r="CL138" s="116"/>
      <c r="CM138" s="116"/>
      <c r="CN138" s="116"/>
      <c r="CO138" s="116"/>
      <c r="CP138" s="116"/>
      <c r="CQ138" s="116"/>
      <c r="CR138" s="116"/>
      <c r="CS138" s="116"/>
      <c r="CT138" s="116"/>
      <c r="CU138" s="116"/>
      <c r="CV138" s="116"/>
      <c r="CW138" s="116"/>
      <c r="CX138" s="116"/>
      <c r="CY138" s="116"/>
      <c r="CZ138" s="116"/>
      <c r="DA138" s="116"/>
      <c r="DB138" s="116"/>
      <c r="DC138" s="116"/>
      <c r="DD138" s="116"/>
      <c r="DE138" s="116"/>
      <c r="DF138" s="116"/>
      <c r="DG138" s="116"/>
      <c r="DH138" s="116"/>
      <c r="DI138" s="116"/>
      <c r="DJ138" s="116"/>
      <c r="DK138" s="116"/>
      <c r="DL138" s="116"/>
      <c r="DM138" s="116"/>
      <c r="DN138" s="116"/>
      <c r="DO138" s="116"/>
      <c r="DP138" s="116"/>
      <c r="DQ138" s="116"/>
      <c r="DR138" s="116"/>
      <c r="DS138" s="116"/>
      <c r="DT138" s="116"/>
      <c r="DU138" s="116"/>
      <c r="DV138" s="116"/>
      <c r="DW138" s="116"/>
      <c r="DX138" s="116"/>
      <c r="DY138" s="116"/>
      <c r="DZ138" s="116"/>
      <c r="EA138" s="116"/>
      <c r="EB138" s="116"/>
      <c r="EC138" s="116"/>
      <c r="ED138" s="116"/>
      <c r="EE138" s="116"/>
      <c r="EF138" s="116"/>
      <c r="EG138" s="116"/>
      <c r="EH138" s="116"/>
      <c r="EI138" s="116"/>
      <c r="EJ138" s="116"/>
      <c r="EK138" s="116"/>
      <c r="EL138" s="116"/>
      <c r="EM138" s="116"/>
      <c r="EN138" s="116"/>
      <c r="EO138" s="116"/>
      <c r="EP138" s="116"/>
      <c r="EQ138" s="116"/>
      <c r="ER138" s="116"/>
      <c r="ES138" s="116"/>
      <c r="ET138" s="116"/>
      <c r="EU138" s="116"/>
      <c r="EV138" s="116"/>
      <c r="EW138" s="116"/>
      <c r="EX138" s="116"/>
      <c r="EY138" s="116"/>
      <c r="EZ138" s="116"/>
      <c r="FA138" s="116"/>
      <c r="FB138" s="116"/>
      <c r="FC138" s="116"/>
      <c r="FD138" s="116"/>
      <c r="FE138" s="116"/>
      <c r="FF138" s="116"/>
      <c r="FG138" s="116"/>
      <c r="FH138" s="116"/>
      <c r="FI138" s="116"/>
      <c r="FJ138" s="116"/>
      <c r="FK138" s="116"/>
      <c r="FL138" s="116"/>
      <c r="FM138" s="116"/>
      <c r="FN138" s="116"/>
      <c r="FO138" s="116"/>
      <c r="FP138" s="116"/>
      <c r="FQ138" s="116"/>
      <c r="FR138" s="116"/>
      <c r="FS138" s="116"/>
      <c r="FT138" s="116"/>
      <c r="FU138" s="116"/>
      <c r="FV138" s="116"/>
      <c r="FW138" s="116"/>
      <c r="FX138" s="116"/>
      <c r="FY138" s="116"/>
      <c r="FZ138" s="116"/>
      <c r="GA138" s="116"/>
      <c r="GB138" s="116"/>
      <c r="GC138" s="116"/>
      <c r="GD138" s="116"/>
      <c r="GE138" s="116"/>
      <c r="GF138" s="116"/>
      <c r="GG138" s="116"/>
      <c r="GH138" s="116"/>
      <c r="GI138" s="116"/>
      <c r="GJ138" s="116"/>
      <c r="GK138" s="116"/>
      <c r="GL138" s="116"/>
      <c r="GM138" s="116"/>
      <c r="GN138" s="116"/>
      <c r="GO138" s="116"/>
      <c r="GP138" s="116"/>
      <c r="GQ138" s="116"/>
      <c r="GR138" s="116"/>
      <c r="GS138" s="116"/>
      <c r="GT138" s="116"/>
      <c r="GU138" s="116"/>
      <c r="GV138" s="116"/>
      <c r="GW138" s="116"/>
      <c r="GX138" s="116"/>
      <c r="GY138" s="116"/>
      <c r="GZ138" s="116"/>
      <c r="HA138" s="116"/>
      <c r="HB138" s="116"/>
      <c r="HC138" s="116"/>
      <c r="HD138" s="116"/>
      <c r="HE138" s="116"/>
      <c r="HF138" s="116"/>
      <c r="HG138" s="116"/>
      <c r="HH138" s="116"/>
      <c r="HI138" s="116"/>
      <c r="HJ138" s="116"/>
      <c r="HK138" s="116"/>
      <c r="HL138" s="116"/>
      <c r="HM138" s="116"/>
      <c r="HN138" s="116"/>
      <c r="HO138" s="116"/>
      <c r="HP138" s="116"/>
      <c r="HQ138" s="116"/>
      <c r="HR138" s="116"/>
      <c r="HS138" s="116"/>
      <c r="HT138" s="116"/>
      <c r="HU138" s="116"/>
      <c r="HV138" s="116"/>
      <c r="HW138" s="116"/>
      <c r="HX138" s="116"/>
      <c r="HY138" s="117"/>
      <c r="HZ138" s="117"/>
      <c r="IA138" s="117"/>
      <c r="IB138" s="117"/>
      <c r="IC138" s="117"/>
      <c r="ID138" s="116"/>
    </row>
    <row r="139" spans="1:238" s="274" customFormat="1" ht="12.75" hidden="1" customHeight="1">
      <c r="A139" s="297"/>
      <c r="B139" s="298"/>
      <c r="C139" s="304"/>
      <c r="D139" s="366"/>
      <c r="E139" s="366"/>
      <c r="F139" s="366"/>
      <c r="G139" s="366"/>
      <c r="H139" s="366"/>
      <c r="I139" s="366"/>
      <c r="J139" s="366"/>
      <c r="K139" s="366"/>
      <c r="L139" s="366"/>
      <c r="M139" s="366"/>
      <c r="N139" s="366"/>
      <c r="O139" s="366"/>
      <c r="P139" s="366"/>
      <c r="Q139" s="366"/>
      <c r="R139" s="366"/>
      <c r="S139" s="366"/>
      <c r="T139" s="366"/>
      <c r="U139" s="366"/>
      <c r="V139" s="366"/>
      <c r="W139" s="366"/>
      <c r="X139" s="366"/>
      <c r="Y139" s="366"/>
      <c r="Z139" s="366"/>
      <c r="AA139" s="366"/>
      <c r="AB139" s="366"/>
      <c r="AC139" s="366"/>
      <c r="AD139" s="366"/>
      <c r="AE139" s="366"/>
      <c r="AF139" s="366"/>
      <c r="AG139" s="367"/>
      <c r="AH139" s="113"/>
      <c r="AI139" s="114"/>
      <c r="AJ139" s="116"/>
      <c r="AK139" s="252"/>
      <c r="AL139" s="116"/>
      <c r="AM139" s="116"/>
      <c r="AN139" s="116"/>
      <c r="AO139" s="116"/>
      <c r="AP139" s="116"/>
      <c r="AQ139" s="116"/>
      <c r="AR139" s="116"/>
      <c r="AS139" s="116"/>
      <c r="AT139" s="116"/>
      <c r="AU139" s="116"/>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116"/>
      <c r="CD139" s="116"/>
      <c r="CE139" s="116"/>
      <c r="CF139" s="116"/>
      <c r="CG139" s="116"/>
      <c r="CH139" s="116"/>
      <c r="CI139" s="116"/>
      <c r="CJ139" s="116"/>
      <c r="CK139" s="116"/>
      <c r="CL139" s="116"/>
      <c r="CM139" s="116"/>
      <c r="CN139" s="116"/>
      <c r="CO139" s="116"/>
      <c r="CP139" s="116"/>
      <c r="CQ139" s="116"/>
      <c r="CR139" s="116"/>
      <c r="CS139" s="116"/>
      <c r="CT139" s="116"/>
      <c r="CU139" s="116"/>
      <c r="CV139" s="116"/>
      <c r="CW139" s="116"/>
      <c r="CX139" s="116"/>
      <c r="CY139" s="116"/>
      <c r="CZ139" s="116"/>
      <c r="DA139" s="116"/>
      <c r="DB139" s="116"/>
      <c r="DC139" s="116"/>
      <c r="DD139" s="116"/>
      <c r="DE139" s="116"/>
      <c r="DF139" s="116"/>
      <c r="DG139" s="116"/>
      <c r="DH139" s="116"/>
      <c r="DI139" s="116"/>
      <c r="DJ139" s="116"/>
      <c r="DK139" s="116"/>
      <c r="DL139" s="116"/>
      <c r="DM139" s="116"/>
      <c r="DN139" s="116"/>
      <c r="DO139" s="116"/>
      <c r="DP139" s="116"/>
      <c r="DQ139" s="116"/>
      <c r="DR139" s="116"/>
      <c r="DS139" s="116"/>
      <c r="DT139" s="116"/>
      <c r="DU139" s="116"/>
      <c r="DV139" s="116"/>
      <c r="DW139" s="116"/>
      <c r="DX139" s="116"/>
      <c r="DY139" s="116"/>
      <c r="DZ139" s="116"/>
      <c r="EA139" s="116"/>
      <c r="EB139" s="116"/>
      <c r="EC139" s="116"/>
      <c r="ED139" s="116"/>
      <c r="EE139" s="116"/>
      <c r="EF139" s="116"/>
      <c r="EG139" s="116"/>
      <c r="EH139" s="116"/>
      <c r="EI139" s="116"/>
      <c r="EJ139" s="116"/>
      <c r="EK139" s="116"/>
      <c r="EL139" s="116"/>
      <c r="EM139" s="116"/>
      <c r="EN139" s="116"/>
      <c r="EO139" s="116"/>
      <c r="EP139" s="116"/>
      <c r="EQ139" s="116"/>
      <c r="ER139" s="116"/>
      <c r="ES139" s="116"/>
      <c r="ET139" s="116"/>
      <c r="EU139" s="116"/>
      <c r="EV139" s="116"/>
      <c r="EW139" s="116"/>
      <c r="EX139" s="116"/>
      <c r="EY139" s="116"/>
      <c r="EZ139" s="116"/>
      <c r="FA139" s="116"/>
      <c r="FB139" s="116"/>
      <c r="FC139" s="116"/>
      <c r="FD139" s="116"/>
      <c r="FE139" s="116"/>
      <c r="FF139" s="116"/>
      <c r="FG139" s="116"/>
      <c r="FH139" s="116"/>
      <c r="FI139" s="116"/>
      <c r="FJ139" s="116"/>
      <c r="FK139" s="116"/>
      <c r="FL139" s="116"/>
      <c r="FM139" s="116"/>
      <c r="FN139" s="116"/>
      <c r="FO139" s="116"/>
      <c r="FP139" s="116"/>
      <c r="FQ139" s="116"/>
      <c r="FR139" s="116"/>
      <c r="FS139" s="116"/>
      <c r="FT139" s="116"/>
      <c r="FU139" s="116"/>
      <c r="FV139" s="116"/>
      <c r="FW139" s="116"/>
      <c r="FX139" s="116"/>
      <c r="FY139" s="116"/>
      <c r="FZ139" s="116"/>
      <c r="GA139" s="116"/>
      <c r="GB139" s="116"/>
      <c r="GC139" s="116"/>
      <c r="GD139" s="116"/>
      <c r="GE139" s="116"/>
      <c r="GF139" s="116"/>
      <c r="GG139" s="116"/>
      <c r="GH139" s="116"/>
      <c r="GI139" s="116"/>
      <c r="GJ139" s="116"/>
      <c r="GK139" s="116"/>
      <c r="GL139" s="116"/>
      <c r="GM139" s="116"/>
      <c r="GN139" s="116"/>
      <c r="GO139" s="116"/>
      <c r="GP139" s="116"/>
      <c r="GQ139" s="116"/>
      <c r="GR139" s="116"/>
      <c r="GS139" s="116"/>
      <c r="GT139" s="116"/>
      <c r="GU139" s="116"/>
      <c r="GV139" s="116"/>
      <c r="GW139" s="116"/>
      <c r="GX139" s="116"/>
      <c r="GY139" s="116"/>
      <c r="GZ139" s="116"/>
      <c r="HA139" s="116"/>
      <c r="HB139" s="116"/>
      <c r="HC139" s="116"/>
      <c r="HD139" s="116"/>
      <c r="HE139" s="116"/>
      <c r="HF139" s="116"/>
      <c r="HG139" s="116"/>
      <c r="HH139" s="116"/>
      <c r="HI139" s="116"/>
      <c r="HJ139" s="116"/>
      <c r="HK139" s="116"/>
      <c r="HL139" s="116"/>
      <c r="HM139" s="116"/>
      <c r="HN139" s="116"/>
      <c r="HO139" s="116"/>
      <c r="HP139" s="116"/>
      <c r="HQ139" s="116"/>
      <c r="HR139" s="116"/>
      <c r="HS139" s="116"/>
      <c r="HT139" s="116"/>
      <c r="HU139" s="116"/>
      <c r="HV139" s="116"/>
      <c r="HW139" s="116"/>
      <c r="HX139" s="116"/>
      <c r="HY139" s="117"/>
      <c r="HZ139" s="117"/>
      <c r="IA139" s="117"/>
      <c r="IB139" s="117"/>
      <c r="IC139" s="117"/>
      <c r="ID139" s="116"/>
    </row>
    <row r="140" spans="1:238" s="274" customFormat="1" ht="12.75" hidden="1" customHeight="1">
      <c r="A140" s="297"/>
      <c r="B140" s="298"/>
      <c r="C140" s="304"/>
      <c r="D140" s="366"/>
      <c r="E140" s="366"/>
      <c r="F140" s="366"/>
      <c r="G140" s="366"/>
      <c r="H140" s="366"/>
      <c r="I140" s="366"/>
      <c r="J140" s="366"/>
      <c r="K140" s="366"/>
      <c r="L140" s="366"/>
      <c r="M140" s="366"/>
      <c r="N140" s="366"/>
      <c r="O140" s="366"/>
      <c r="P140" s="366"/>
      <c r="Q140" s="366"/>
      <c r="R140" s="366"/>
      <c r="S140" s="366"/>
      <c r="T140" s="366"/>
      <c r="U140" s="366"/>
      <c r="V140" s="366"/>
      <c r="W140" s="366"/>
      <c r="X140" s="366"/>
      <c r="Y140" s="366"/>
      <c r="Z140" s="366"/>
      <c r="AA140" s="366"/>
      <c r="AB140" s="366"/>
      <c r="AC140" s="366"/>
      <c r="AD140" s="366"/>
      <c r="AE140" s="366"/>
      <c r="AF140" s="366"/>
      <c r="AG140" s="367"/>
      <c r="AH140" s="113"/>
      <c r="AI140" s="114"/>
      <c r="AJ140" s="116"/>
      <c r="AK140" s="252"/>
      <c r="AL140" s="116"/>
      <c r="AM140" s="116"/>
      <c r="AN140" s="116"/>
      <c r="AO140" s="116"/>
      <c r="AP140" s="116"/>
      <c r="AQ140" s="116"/>
      <c r="AR140" s="116"/>
      <c r="AS140" s="116"/>
      <c r="AT140" s="116"/>
      <c r="AU140" s="116"/>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116"/>
      <c r="CD140" s="116"/>
      <c r="CE140" s="116"/>
      <c r="CF140" s="116"/>
      <c r="CG140" s="116"/>
      <c r="CH140" s="116"/>
      <c r="CI140" s="116"/>
      <c r="CJ140" s="116"/>
      <c r="CK140" s="116"/>
      <c r="CL140" s="116"/>
      <c r="CM140" s="116"/>
      <c r="CN140" s="116"/>
      <c r="CO140" s="116"/>
      <c r="CP140" s="116"/>
      <c r="CQ140" s="116"/>
      <c r="CR140" s="116"/>
      <c r="CS140" s="116"/>
      <c r="CT140" s="116"/>
      <c r="CU140" s="116"/>
      <c r="CV140" s="116"/>
      <c r="CW140" s="116"/>
      <c r="CX140" s="116"/>
      <c r="CY140" s="116"/>
      <c r="CZ140" s="116"/>
      <c r="DA140" s="116"/>
      <c r="DB140" s="116"/>
      <c r="DC140" s="116"/>
      <c r="DD140" s="116"/>
      <c r="DE140" s="116"/>
      <c r="DF140" s="116"/>
      <c r="DG140" s="116"/>
      <c r="DH140" s="116"/>
      <c r="DI140" s="116"/>
      <c r="DJ140" s="116"/>
      <c r="DK140" s="116"/>
      <c r="DL140" s="116"/>
      <c r="DM140" s="116"/>
      <c r="DN140" s="116"/>
      <c r="DO140" s="116"/>
      <c r="DP140" s="116"/>
      <c r="DQ140" s="116"/>
      <c r="DR140" s="116"/>
      <c r="DS140" s="116"/>
      <c r="DT140" s="116"/>
      <c r="DU140" s="116"/>
      <c r="DV140" s="116"/>
      <c r="DW140" s="116"/>
      <c r="DX140" s="116"/>
      <c r="DY140" s="116"/>
      <c r="DZ140" s="116"/>
      <c r="EA140" s="116"/>
      <c r="EB140" s="116"/>
      <c r="EC140" s="116"/>
      <c r="ED140" s="116"/>
      <c r="EE140" s="116"/>
      <c r="EF140" s="116"/>
      <c r="EG140" s="116"/>
      <c r="EH140" s="116"/>
      <c r="EI140" s="116"/>
      <c r="EJ140" s="116"/>
      <c r="EK140" s="116"/>
      <c r="EL140" s="116"/>
      <c r="EM140" s="116"/>
      <c r="EN140" s="116"/>
      <c r="EO140" s="116"/>
      <c r="EP140" s="116"/>
      <c r="EQ140" s="116"/>
      <c r="ER140" s="116"/>
      <c r="ES140" s="116"/>
      <c r="ET140" s="116"/>
      <c r="EU140" s="116"/>
      <c r="EV140" s="116"/>
      <c r="EW140" s="116"/>
      <c r="EX140" s="116"/>
      <c r="EY140" s="116"/>
      <c r="EZ140" s="116"/>
      <c r="FA140" s="116"/>
      <c r="FB140" s="116"/>
      <c r="FC140" s="116"/>
      <c r="FD140" s="116"/>
      <c r="FE140" s="116"/>
      <c r="FF140" s="116"/>
      <c r="FG140" s="116"/>
      <c r="FH140" s="116"/>
      <c r="FI140" s="116"/>
      <c r="FJ140" s="116"/>
      <c r="FK140" s="116"/>
      <c r="FL140" s="116"/>
      <c r="FM140" s="116"/>
      <c r="FN140" s="116"/>
      <c r="FO140" s="116"/>
      <c r="FP140" s="116"/>
      <c r="FQ140" s="116"/>
      <c r="FR140" s="116"/>
      <c r="FS140" s="116"/>
      <c r="FT140" s="116"/>
      <c r="FU140" s="116"/>
      <c r="FV140" s="116"/>
      <c r="FW140" s="116"/>
      <c r="FX140" s="116"/>
      <c r="FY140" s="116"/>
      <c r="FZ140" s="116"/>
      <c r="GA140" s="116"/>
      <c r="GB140" s="116"/>
      <c r="GC140" s="116"/>
      <c r="GD140" s="116"/>
      <c r="GE140" s="116"/>
      <c r="GF140" s="116"/>
      <c r="GG140" s="116"/>
      <c r="GH140" s="116"/>
      <c r="GI140" s="116"/>
      <c r="GJ140" s="116"/>
      <c r="GK140" s="116"/>
      <c r="GL140" s="116"/>
      <c r="GM140" s="116"/>
      <c r="GN140" s="116"/>
      <c r="GO140" s="116"/>
      <c r="GP140" s="116"/>
      <c r="GQ140" s="116"/>
      <c r="GR140" s="116"/>
      <c r="GS140" s="116"/>
      <c r="GT140" s="116"/>
      <c r="GU140" s="116"/>
      <c r="GV140" s="116"/>
      <c r="GW140" s="116"/>
      <c r="GX140" s="116"/>
      <c r="GY140" s="116"/>
      <c r="GZ140" s="116"/>
      <c r="HA140" s="116"/>
      <c r="HB140" s="116"/>
      <c r="HC140" s="116"/>
      <c r="HD140" s="116"/>
      <c r="HE140" s="116"/>
      <c r="HF140" s="116"/>
      <c r="HG140" s="116"/>
      <c r="HH140" s="116"/>
      <c r="HI140" s="116"/>
      <c r="HJ140" s="116"/>
      <c r="HK140" s="116"/>
      <c r="HL140" s="116"/>
      <c r="HM140" s="116"/>
      <c r="HN140" s="116"/>
      <c r="HO140" s="116"/>
      <c r="HP140" s="116"/>
      <c r="HQ140" s="116"/>
      <c r="HR140" s="116"/>
      <c r="HS140" s="116"/>
      <c r="HT140" s="116"/>
      <c r="HU140" s="116"/>
      <c r="HV140" s="116"/>
      <c r="HW140" s="116"/>
      <c r="HX140" s="116"/>
      <c r="HY140" s="117"/>
      <c r="HZ140" s="117"/>
      <c r="IA140" s="117"/>
      <c r="IB140" s="117"/>
      <c r="IC140" s="117"/>
      <c r="ID140" s="116"/>
    </row>
    <row r="141" spans="1:238" s="116" customFormat="1" ht="12.75" hidden="1" customHeight="1">
      <c r="A141" s="297"/>
      <c r="B141" s="298"/>
      <c r="C141" s="304"/>
      <c r="D141" s="366"/>
      <c r="E141" s="366"/>
      <c r="F141" s="366"/>
      <c r="G141" s="366"/>
      <c r="H141" s="366"/>
      <c r="I141" s="366"/>
      <c r="J141" s="366"/>
      <c r="K141" s="366"/>
      <c r="L141" s="366"/>
      <c r="M141" s="366"/>
      <c r="N141" s="366"/>
      <c r="O141" s="366"/>
      <c r="P141" s="366"/>
      <c r="Q141" s="366"/>
      <c r="R141" s="366"/>
      <c r="S141" s="366"/>
      <c r="T141" s="366"/>
      <c r="U141" s="366"/>
      <c r="V141" s="366"/>
      <c r="W141" s="366"/>
      <c r="X141" s="366"/>
      <c r="Y141" s="366"/>
      <c r="Z141" s="366"/>
      <c r="AA141" s="366"/>
      <c r="AB141" s="366"/>
      <c r="AC141" s="366"/>
      <c r="AD141" s="366"/>
      <c r="AE141" s="366"/>
      <c r="AF141" s="366"/>
      <c r="AG141" s="367"/>
      <c r="AH141" s="113"/>
      <c r="AI141" s="114"/>
      <c r="AK141" s="252"/>
      <c r="HY141" s="117"/>
      <c r="HZ141" s="117"/>
      <c r="IA141" s="117"/>
      <c r="IB141" s="117"/>
      <c r="IC141" s="117"/>
    </row>
    <row r="142" spans="1:238" s="116" customFormat="1" ht="12.75" hidden="1" customHeight="1">
      <c r="A142" s="111"/>
      <c r="B142" s="305"/>
      <c r="C142" s="304"/>
      <c r="D142" s="366"/>
      <c r="E142" s="366"/>
      <c r="F142" s="366"/>
      <c r="G142" s="366"/>
      <c r="H142" s="366"/>
      <c r="I142" s="366"/>
      <c r="J142" s="366"/>
      <c r="K142" s="366"/>
      <c r="L142" s="366"/>
      <c r="M142" s="366"/>
      <c r="N142" s="366"/>
      <c r="O142" s="366"/>
      <c r="P142" s="366"/>
      <c r="Q142" s="366"/>
      <c r="R142" s="366"/>
      <c r="S142" s="366"/>
      <c r="T142" s="366"/>
      <c r="U142" s="366"/>
      <c r="V142" s="366"/>
      <c r="W142" s="366"/>
      <c r="X142" s="366"/>
      <c r="Y142" s="366"/>
      <c r="Z142" s="366"/>
      <c r="AA142" s="366"/>
      <c r="AB142" s="366"/>
      <c r="AC142" s="366"/>
      <c r="AD142" s="366"/>
      <c r="AE142" s="366"/>
      <c r="AF142" s="366"/>
      <c r="AG142" s="367"/>
      <c r="AH142" s="113"/>
      <c r="AI142" s="114"/>
      <c r="AK142" s="252"/>
      <c r="HY142" s="117"/>
      <c r="HZ142" s="117"/>
      <c r="IA142" s="117"/>
      <c r="IB142" s="117"/>
      <c r="IC142" s="117"/>
    </row>
    <row r="143" spans="1:238" s="116" customFormat="1" ht="12.75" hidden="1" customHeight="1">
      <c r="A143" s="111"/>
      <c r="B143" s="305"/>
      <c r="C143" s="304"/>
      <c r="D143" s="358"/>
      <c r="E143" s="359"/>
      <c r="F143" s="359"/>
      <c r="G143" s="359"/>
      <c r="H143" s="359"/>
      <c r="I143" s="359"/>
      <c r="J143" s="359"/>
      <c r="K143" s="359"/>
      <c r="L143" s="359"/>
      <c r="M143" s="359"/>
      <c r="N143" s="359"/>
      <c r="O143" s="359"/>
      <c r="P143" s="359"/>
      <c r="Q143" s="359"/>
      <c r="R143" s="359"/>
      <c r="S143" s="359"/>
      <c r="T143" s="359"/>
      <c r="U143" s="359"/>
      <c r="V143" s="359"/>
      <c r="W143" s="359"/>
      <c r="X143" s="359"/>
      <c r="Y143" s="359"/>
      <c r="Z143" s="359"/>
      <c r="AA143" s="359"/>
      <c r="AB143" s="359"/>
      <c r="AC143" s="359"/>
      <c r="AD143" s="359"/>
      <c r="AE143" s="359"/>
      <c r="AF143" s="359"/>
      <c r="AG143" s="360"/>
      <c r="AH143" s="113"/>
      <c r="AI143" s="114"/>
      <c r="AK143" s="252"/>
      <c r="HY143" s="117"/>
      <c r="HZ143" s="117"/>
      <c r="IA143" s="117"/>
      <c r="IB143" s="117"/>
      <c r="IC143" s="117"/>
    </row>
    <row r="144" spans="1:238" s="116" customFormat="1" ht="12.75" hidden="1" customHeight="1">
      <c r="A144" s="111"/>
      <c r="B144" s="305"/>
      <c r="C144" s="304"/>
      <c r="D144" s="359"/>
      <c r="E144" s="359"/>
      <c r="F144" s="359"/>
      <c r="G144" s="359"/>
      <c r="H144" s="359"/>
      <c r="I144" s="359"/>
      <c r="J144" s="359"/>
      <c r="K144" s="359"/>
      <c r="L144" s="359"/>
      <c r="M144" s="359"/>
      <c r="N144" s="359"/>
      <c r="O144" s="359"/>
      <c r="P144" s="359"/>
      <c r="Q144" s="359"/>
      <c r="R144" s="359"/>
      <c r="S144" s="359"/>
      <c r="T144" s="359"/>
      <c r="U144" s="359"/>
      <c r="V144" s="359"/>
      <c r="W144" s="359"/>
      <c r="X144" s="359"/>
      <c r="Y144" s="359"/>
      <c r="Z144" s="359"/>
      <c r="AA144" s="359"/>
      <c r="AB144" s="359"/>
      <c r="AC144" s="359"/>
      <c r="AD144" s="359"/>
      <c r="AE144" s="359"/>
      <c r="AF144" s="359"/>
      <c r="AG144" s="360"/>
      <c r="AH144" s="113"/>
      <c r="AI144" s="114"/>
      <c r="AK144" s="252"/>
      <c r="HY144" s="117"/>
      <c r="HZ144" s="117"/>
      <c r="IA144" s="117"/>
      <c r="IB144" s="117"/>
      <c r="IC144" s="117"/>
    </row>
    <row r="145" spans="1:237" s="116" customFormat="1" ht="12.75" hidden="1" customHeight="1">
      <c r="A145" s="111"/>
      <c r="B145" s="305"/>
      <c r="C145" s="304"/>
      <c r="D145" s="359"/>
      <c r="E145" s="359"/>
      <c r="F145" s="359"/>
      <c r="G145" s="359"/>
      <c r="H145" s="359"/>
      <c r="I145" s="359"/>
      <c r="J145" s="359"/>
      <c r="K145" s="359"/>
      <c r="L145" s="359"/>
      <c r="M145" s="359"/>
      <c r="N145" s="359"/>
      <c r="O145" s="359"/>
      <c r="P145" s="359"/>
      <c r="Q145" s="359"/>
      <c r="R145" s="359"/>
      <c r="S145" s="359"/>
      <c r="T145" s="359"/>
      <c r="U145" s="359"/>
      <c r="V145" s="359"/>
      <c r="W145" s="359"/>
      <c r="X145" s="359"/>
      <c r="Y145" s="359"/>
      <c r="Z145" s="359"/>
      <c r="AA145" s="359"/>
      <c r="AB145" s="359"/>
      <c r="AC145" s="359"/>
      <c r="AD145" s="359"/>
      <c r="AE145" s="359"/>
      <c r="AF145" s="359"/>
      <c r="AG145" s="360"/>
      <c r="AH145" s="113"/>
      <c r="AI145" s="114"/>
      <c r="AK145" s="252"/>
      <c r="HY145" s="117"/>
      <c r="HZ145" s="117"/>
      <c r="IA145" s="117"/>
      <c r="IB145" s="117"/>
      <c r="IC145" s="117"/>
    </row>
    <row r="146" spans="1:237" s="116" customFormat="1" ht="12.75" hidden="1" customHeight="1">
      <c r="A146" s="111"/>
      <c r="B146" s="305"/>
      <c r="C146" s="306"/>
      <c r="D146" s="361"/>
      <c r="E146" s="361"/>
      <c r="F146" s="361"/>
      <c r="G146" s="361"/>
      <c r="H146" s="361"/>
      <c r="I146" s="361"/>
      <c r="J146" s="361"/>
      <c r="K146" s="361"/>
      <c r="L146" s="361"/>
      <c r="M146" s="361"/>
      <c r="N146" s="361"/>
      <c r="O146" s="361"/>
      <c r="P146" s="361"/>
      <c r="Q146" s="361"/>
      <c r="R146" s="361"/>
      <c r="S146" s="361"/>
      <c r="T146" s="361"/>
      <c r="U146" s="361"/>
      <c r="V146" s="361"/>
      <c r="W146" s="361"/>
      <c r="X146" s="361"/>
      <c r="Y146" s="361"/>
      <c r="Z146" s="361"/>
      <c r="AA146" s="361"/>
      <c r="AB146" s="361"/>
      <c r="AC146" s="361"/>
      <c r="AD146" s="361"/>
      <c r="AE146" s="361"/>
      <c r="AF146" s="361"/>
      <c r="AG146" s="362"/>
      <c r="AH146" s="113"/>
      <c r="AI146" s="114"/>
      <c r="AK146" s="252"/>
      <c r="HY146" s="117"/>
      <c r="HZ146" s="117"/>
      <c r="IA146" s="117"/>
      <c r="IB146" s="117"/>
      <c r="IC146" s="117"/>
    </row>
    <row r="147" spans="1:237" s="116" customFormat="1" ht="12.75" hidden="1" customHeight="1">
      <c r="A147" s="111"/>
      <c r="B147" s="305"/>
      <c r="C147" s="307"/>
      <c r="D147" s="307"/>
      <c r="E147" s="307"/>
      <c r="F147" s="307"/>
      <c r="G147" s="307"/>
      <c r="H147" s="307"/>
      <c r="I147" s="307"/>
      <c r="J147" s="307"/>
      <c r="K147" s="307"/>
      <c r="L147" s="307"/>
      <c r="M147" s="307"/>
      <c r="N147" s="307"/>
      <c r="O147" s="307"/>
      <c r="P147" s="307"/>
      <c r="Q147" s="307"/>
      <c r="R147" s="307"/>
      <c r="S147" s="307"/>
      <c r="T147" s="307"/>
      <c r="U147" s="307"/>
      <c r="V147" s="307"/>
      <c r="W147" s="307"/>
      <c r="X147" s="307"/>
      <c r="Y147" s="307"/>
      <c r="Z147" s="307"/>
      <c r="AA147" s="307"/>
      <c r="AB147" s="307"/>
      <c r="AC147" s="307"/>
      <c r="AD147" s="307"/>
      <c r="AE147" s="307"/>
      <c r="AF147" s="307"/>
      <c r="AG147" s="307"/>
      <c r="AH147" s="113"/>
      <c r="AI147" s="114"/>
      <c r="AK147" s="252"/>
      <c r="HY147" s="117"/>
      <c r="HZ147" s="117"/>
      <c r="IA147" s="117"/>
      <c r="IB147" s="117"/>
      <c r="IC147" s="117"/>
    </row>
    <row r="148" spans="1:237" s="116" customFormat="1" ht="12.75" hidden="1" customHeight="1">
      <c r="A148" s="111"/>
      <c r="B148" s="305"/>
      <c r="C148" s="308"/>
      <c r="D148" s="308"/>
      <c r="E148" s="308"/>
      <c r="F148" s="308"/>
      <c r="G148" s="308"/>
      <c r="H148" s="308"/>
      <c r="I148" s="308"/>
      <c r="J148" s="308"/>
      <c r="K148" s="308"/>
      <c r="L148" s="308"/>
      <c r="M148" s="308"/>
      <c r="N148" s="308"/>
      <c r="O148" s="308"/>
      <c r="P148" s="308"/>
      <c r="Q148" s="308"/>
      <c r="R148" s="308"/>
      <c r="S148" s="308"/>
      <c r="T148" s="308"/>
      <c r="U148" s="308"/>
      <c r="V148" s="308"/>
      <c r="W148" s="308"/>
      <c r="X148" s="308"/>
      <c r="Y148" s="308"/>
      <c r="Z148" s="308"/>
      <c r="AA148" s="308"/>
      <c r="AB148" s="308"/>
      <c r="AC148" s="308"/>
      <c r="AD148" s="308"/>
      <c r="AE148" s="308"/>
      <c r="AF148" s="111"/>
      <c r="AG148" s="309"/>
      <c r="AH148" s="113"/>
      <c r="AI148" s="114"/>
      <c r="AK148" s="252"/>
      <c r="HY148" s="117"/>
      <c r="HZ148" s="117"/>
      <c r="IA148" s="117"/>
      <c r="IB148" s="117"/>
      <c r="IC148" s="117"/>
    </row>
    <row r="149" spans="1:237" s="116" customFormat="1" ht="12.75" hidden="1" customHeight="1">
      <c r="A149" s="111"/>
      <c r="B149" s="305"/>
      <c r="C149" s="308"/>
      <c r="D149" s="308"/>
      <c r="E149" s="308"/>
      <c r="F149" s="308"/>
      <c r="G149" s="308"/>
      <c r="H149" s="308"/>
      <c r="I149" s="308"/>
      <c r="J149" s="308"/>
      <c r="K149" s="308"/>
      <c r="L149" s="308"/>
      <c r="M149" s="111"/>
      <c r="N149" s="111"/>
      <c r="O149" s="111"/>
      <c r="P149" s="111"/>
      <c r="Q149" s="308"/>
      <c r="R149" s="308"/>
      <c r="S149" s="308"/>
      <c r="T149" s="111"/>
      <c r="U149" s="111"/>
      <c r="V149" s="111"/>
      <c r="W149" s="111"/>
      <c r="X149" s="111"/>
      <c r="Y149" s="111"/>
      <c r="Z149" s="111"/>
      <c r="AA149" s="111"/>
      <c r="AB149" s="111"/>
      <c r="AC149" s="111"/>
      <c r="AD149" s="111"/>
      <c r="AE149" s="111"/>
      <c r="AF149" s="111"/>
      <c r="AG149" s="111"/>
      <c r="AH149" s="113"/>
      <c r="AI149" s="114"/>
      <c r="AK149" s="252"/>
      <c r="HY149" s="117"/>
      <c r="HZ149" s="117"/>
      <c r="IA149" s="117"/>
      <c r="IB149" s="117"/>
      <c r="IC149" s="117"/>
    </row>
    <row r="150" spans="1:237" s="116" customFormat="1" ht="12.75" hidden="1" customHeight="1">
      <c r="A150" s="111"/>
      <c r="B150" s="305"/>
      <c r="C150" s="308"/>
      <c r="D150" s="308"/>
      <c r="E150" s="308"/>
      <c r="F150" s="308"/>
      <c r="G150" s="308"/>
      <c r="H150" s="308"/>
      <c r="I150" s="308"/>
      <c r="J150" s="308"/>
      <c r="K150" s="308"/>
      <c r="L150" s="308"/>
      <c r="M150" s="111"/>
      <c r="N150" s="111"/>
      <c r="O150" s="111"/>
      <c r="P150" s="111"/>
      <c r="Q150" s="308"/>
      <c r="R150" s="308"/>
      <c r="S150" s="308"/>
      <c r="T150" s="111"/>
      <c r="U150" s="111"/>
      <c r="V150" s="111"/>
      <c r="W150" s="111"/>
      <c r="X150" s="111"/>
      <c r="Y150" s="111"/>
      <c r="Z150" s="111"/>
      <c r="AA150" s="111"/>
      <c r="AB150" s="111"/>
      <c r="AC150" s="111"/>
      <c r="AD150" s="111"/>
      <c r="AE150" s="111"/>
      <c r="AF150" s="111"/>
      <c r="AG150" s="111"/>
      <c r="AH150" s="113"/>
      <c r="AI150" s="114"/>
      <c r="AK150" s="252"/>
      <c r="HY150" s="117"/>
      <c r="HZ150" s="117"/>
      <c r="IA150" s="117"/>
      <c r="IB150" s="117"/>
      <c r="IC150" s="117"/>
    </row>
    <row r="151" spans="1:237" s="116" customFormat="1" ht="12.75" hidden="1" customHeight="1">
      <c r="A151" s="111"/>
      <c r="B151" s="305"/>
      <c r="C151" s="308"/>
      <c r="D151" s="308"/>
      <c r="E151" s="308"/>
      <c r="F151" s="308"/>
      <c r="G151" s="308"/>
      <c r="H151" s="308"/>
      <c r="I151" s="308"/>
      <c r="J151" s="308"/>
      <c r="K151" s="308"/>
      <c r="L151" s="308"/>
      <c r="M151" s="111"/>
      <c r="N151" s="111"/>
      <c r="O151" s="111"/>
      <c r="P151" s="111"/>
      <c r="Q151" s="308"/>
      <c r="R151" s="308"/>
      <c r="S151" s="308"/>
      <c r="T151" s="111"/>
      <c r="U151" s="111"/>
      <c r="V151" s="111"/>
      <c r="W151" s="111"/>
      <c r="X151" s="111"/>
      <c r="Y151" s="111"/>
      <c r="Z151" s="111"/>
      <c r="AA151" s="111"/>
      <c r="AB151" s="111"/>
      <c r="AC151" s="111"/>
      <c r="AD151" s="111"/>
      <c r="AE151" s="111"/>
      <c r="AF151" s="111"/>
      <c r="AG151" s="111"/>
      <c r="AH151" s="113"/>
      <c r="AI151" s="114"/>
      <c r="AK151" s="252"/>
      <c r="HY151" s="117"/>
      <c r="HZ151" s="117"/>
      <c r="IA151" s="117"/>
      <c r="IB151" s="117"/>
      <c r="IC151" s="117"/>
    </row>
    <row r="152" spans="1:237" s="116" customFormat="1" ht="12.75" hidden="1" customHeight="1">
      <c r="A152" s="111"/>
      <c r="B152" s="305"/>
      <c r="C152" s="308"/>
      <c r="D152" s="308"/>
      <c r="E152" s="308"/>
      <c r="F152" s="308"/>
      <c r="G152" s="308"/>
      <c r="H152" s="308"/>
      <c r="I152" s="308"/>
      <c r="J152" s="308"/>
      <c r="K152" s="308"/>
      <c r="L152" s="308"/>
      <c r="M152" s="111"/>
      <c r="N152" s="111"/>
      <c r="O152" s="111"/>
      <c r="P152" s="111"/>
      <c r="Q152" s="308"/>
      <c r="R152" s="308"/>
      <c r="S152" s="308"/>
      <c r="T152" s="111"/>
      <c r="U152" s="111"/>
      <c r="V152" s="111"/>
      <c r="W152" s="111"/>
      <c r="X152" s="111"/>
      <c r="Y152" s="111"/>
      <c r="Z152" s="111"/>
      <c r="AA152" s="111"/>
      <c r="AB152" s="111"/>
      <c r="AC152" s="111"/>
      <c r="AD152" s="111"/>
      <c r="AE152" s="111"/>
      <c r="AF152" s="111"/>
      <c r="AG152" s="111"/>
      <c r="AH152" s="113"/>
      <c r="AI152" s="114"/>
      <c r="AK152" s="252"/>
      <c r="HY152" s="117"/>
      <c r="HZ152" s="117"/>
      <c r="IA152" s="117"/>
      <c r="IB152" s="117"/>
      <c r="IC152" s="117"/>
    </row>
    <row r="153" spans="1:237" s="116" customFormat="1" ht="12" hidden="1" customHeight="1">
      <c r="A153" s="310"/>
      <c r="B153" s="305"/>
      <c r="C153" s="308"/>
      <c r="D153" s="308"/>
      <c r="E153" s="308"/>
      <c r="F153" s="308"/>
      <c r="G153" s="308"/>
      <c r="H153" s="308"/>
      <c r="I153" s="308"/>
      <c r="J153" s="308"/>
      <c r="K153" s="308"/>
      <c r="L153" s="308"/>
      <c r="M153" s="111"/>
      <c r="N153" s="111"/>
      <c r="O153" s="111"/>
      <c r="P153" s="111"/>
      <c r="Q153" s="308"/>
      <c r="R153" s="308"/>
      <c r="S153" s="308"/>
      <c r="T153" s="111"/>
      <c r="U153" s="111"/>
      <c r="V153" s="111"/>
      <c r="W153" s="308"/>
      <c r="X153" s="308"/>
      <c r="Y153" s="308"/>
      <c r="Z153" s="308"/>
      <c r="AA153" s="111"/>
      <c r="AB153" s="111"/>
      <c r="AC153" s="111"/>
      <c r="AD153" s="111"/>
      <c r="AE153" s="111"/>
      <c r="AF153" s="308"/>
      <c r="AG153" s="308"/>
      <c r="AH153" s="114"/>
      <c r="AI153" s="114"/>
      <c r="AK153" s="252"/>
    </row>
    <row r="154" spans="1:237" s="116" customFormat="1" ht="12" hidden="1" customHeight="1">
      <c r="A154" s="111"/>
      <c r="B154" s="305"/>
      <c r="C154" s="308"/>
      <c r="D154" s="308"/>
      <c r="E154" s="308"/>
      <c r="F154" s="308"/>
      <c r="G154" s="308"/>
      <c r="H154" s="308"/>
      <c r="I154" s="308"/>
      <c r="J154" s="308"/>
      <c r="K154" s="308"/>
      <c r="L154" s="308"/>
      <c r="M154" s="308"/>
      <c r="N154" s="308"/>
      <c r="O154" s="308"/>
      <c r="P154" s="308"/>
      <c r="Q154" s="308"/>
      <c r="R154" s="308"/>
      <c r="S154" s="308"/>
      <c r="T154" s="308"/>
      <c r="U154" s="308"/>
      <c r="V154" s="308"/>
      <c r="W154" s="308"/>
      <c r="X154" s="308"/>
      <c r="Y154" s="308"/>
      <c r="Z154" s="308"/>
      <c r="AA154" s="308"/>
      <c r="AB154" s="308"/>
      <c r="AC154" s="308"/>
      <c r="AD154" s="308"/>
      <c r="AE154" s="308"/>
      <c r="AF154" s="308"/>
      <c r="AG154" s="308"/>
      <c r="AH154" s="113"/>
      <c r="AI154" s="114"/>
      <c r="AK154" s="252"/>
    </row>
    <row r="155" spans="1:237" s="116" customFormat="1" ht="12" hidden="1" customHeight="1">
      <c r="A155" s="111"/>
      <c r="B155" s="305"/>
      <c r="C155" s="308"/>
      <c r="D155" s="308"/>
      <c r="E155" s="308"/>
      <c r="F155" s="308"/>
      <c r="G155" s="308"/>
      <c r="H155" s="308"/>
      <c r="I155" s="308"/>
      <c r="J155" s="308"/>
      <c r="K155" s="308"/>
      <c r="L155" s="308"/>
      <c r="M155" s="308"/>
      <c r="N155" s="308"/>
      <c r="O155" s="308"/>
      <c r="P155" s="308"/>
      <c r="Q155" s="308"/>
      <c r="R155" s="308"/>
      <c r="S155" s="308"/>
      <c r="T155" s="308"/>
      <c r="U155" s="308"/>
      <c r="V155" s="308"/>
      <c r="W155" s="308"/>
      <c r="X155" s="308"/>
      <c r="Y155" s="308"/>
      <c r="Z155" s="308"/>
      <c r="AA155" s="308"/>
      <c r="AB155" s="308"/>
      <c r="AC155" s="308"/>
      <c r="AD155" s="308"/>
      <c r="AE155" s="308"/>
      <c r="AF155" s="308"/>
      <c r="AG155" s="308"/>
      <c r="AH155" s="113"/>
      <c r="AI155" s="114"/>
      <c r="AK155" s="252"/>
    </row>
    <row r="156" spans="1:237" s="116" customFormat="1" ht="12" hidden="1" customHeight="1">
      <c r="A156" s="111"/>
      <c r="B156" s="305"/>
      <c r="C156" s="311"/>
      <c r="D156" s="311"/>
      <c r="E156" s="311"/>
      <c r="F156" s="311"/>
      <c r="G156" s="311"/>
      <c r="H156" s="311"/>
      <c r="I156" s="311"/>
      <c r="J156" s="311"/>
      <c r="K156" s="311"/>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113"/>
      <c r="AI156" s="114"/>
      <c r="AK156" s="252"/>
    </row>
    <row r="157" spans="1:237" s="116" customFormat="1" ht="12" hidden="1" customHeight="1">
      <c r="A157" s="111"/>
      <c r="B157" s="305"/>
      <c r="C157" s="311"/>
      <c r="D157" s="311"/>
      <c r="E157" s="311"/>
      <c r="F157" s="311"/>
      <c r="G157" s="311"/>
      <c r="H157" s="311"/>
      <c r="I157" s="311"/>
      <c r="J157" s="311"/>
      <c r="K157" s="311"/>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113"/>
      <c r="AI157" s="114"/>
      <c r="AK157" s="252"/>
    </row>
    <row r="158" spans="1:237" s="116" customFormat="1" ht="12" hidden="1" customHeight="1">
      <c r="A158" s="111"/>
      <c r="B158" s="305"/>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113"/>
      <c r="AI158" s="114"/>
      <c r="AK158" s="252"/>
    </row>
    <row r="159" spans="1:237" s="116" customFormat="1" ht="12" hidden="1" customHeight="1">
      <c r="A159" s="111"/>
      <c r="B159" s="305"/>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113"/>
      <c r="AI159" s="114"/>
      <c r="AK159" s="252"/>
    </row>
    <row r="160" spans="1:237" s="116" customFormat="1" ht="12" hidden="1" customHeight="1">
      <c r="A160" s="111"/>
      <c r="B160" s="305"/>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113"/>
      <c r="AI160" s="114"/>
      <c r="AK160" s="252"/>
    </row>
    <row r="161" spans="1:37" s="116" customFormat="1" ht="12" hidden="1" customHeight="1">
      <c r="A161" s="111"/>
      <c r="B161" s="305"/>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113"/>
      <c r="AI161" s="114"/>
      <c r="AK161" s="252"/>
    </row>
    <row r="162" spans="1:37" s="116" customFormat="1" ht="12" hidden="1" customHeight="1">
      <c r="A162" s="111"/>
      <c r="B162" s="305"/>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3"/>
      <c r="AI162" s="114"/>
      <c r="AK162" s="252"/>
    </row>
    <row r="163" spans="1:37" s="116" customFormat="1" ht="12" hidden="1" customHeight="1">
      <c r="A163" s="111"/>
      <c r="B163" s="112"/>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3"/>
      <c r="AI163" s="114"/>
      <c r="AK163" s="252"/>
    </row>
    <row r="164" spans="1:37" s="116" customFormat="1" ht="12" hidden="1" customHeight="1">
      <c r="A164" s="111"/>
      <c r="B164" s="112"/>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3"/>
      <c r="AI164" s="114"/>
      <c r="AK164" s="252"/>
    </row>
    <row r="165" spans="1:37" s="116" customFormat="1" ht="12" hidden="1" customHeight="1">
      <c r="A165" s="111"/>
      <c r="B165" s="112"/>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3"/>
      <c r="AI165" s="114"/>
      <c r="AK165" s="252"/>
    </row>
    <row r="166" spans="1:37" s="116" customFormat="1" ht="12" hidden="1" customHeight="1">
      <c r="A166" s="111"/>
      <c r="B166" s="112"/>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3"/>
      <c r="AI166" s="114"/>
      <c r="AK166" s="252">
        <v>0.46</v>
      </c>
    </row>
    <row r="167" spans="1:37" s="116" customFormat="1" ht="12" hidden="1" customHeight="1">
      <c r="A167" s="111"/>
      <c r="B167" s="112"/>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3"/>
      <c r="AI167" s="114"/>
      <c r="AK167" s="252">
        <v>0.47</v>
      </c>
    </row>
    <row r="168" spans="1:37" s="116" customFormat="1" ht="12" hidden="1" customHeight="1">
      <c r="A168" s="111"/>
      <c r="B168" s="112"/>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3"/>
      <c r="AI168" s="114"/>
      <c r="AK168" s="252">
        <v>0.48</v>
      </c>
    </row>
    <row r="169" spans="1:37" s="116" customFormat="1" ht="12" hidden="1" customHeight="1">
      <c r="A169" s="111"/>
      <c r="B169" s="112"/>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3"/>
      <c r="AI169" s="114"/>
      <c r="AK169" s="252">
        <v>0.49</v>
      </c>
    </row>
    <row r="170" spans="1:37" s="116" customFormat="1" ht="12" hidden="1" customHeight="1">
      <c r="A170" s="111"/>
      <c r="B170" s="112"/>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3"/>
      <c r="AI170" s="114"/>
      <c r="AK170" s="252">
        <v>0.5</v>
      </c>
    </row>
    <row r="171" spans="1:37" s="116" customFormat="1" ht="12" hidden="1" customHeight="1">
      <c r="A171" s="111"/>
      <c r="B171" s="112"/>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3"/>
      <c r="AI171" s="114"/>
      <c r="AK171" s="252">
        <v>0.51</v>
      </c>
    </row>
    <row r="172" spans="1:37" s="116" customFormat="1" ht="12" hidden="1" customHeight="1">
      <c r="A172" s="111"/>
      <c r="B172" s="112"/>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3"/>
      <c r="AI172" s="114"/>
      <c r="AK172" s="252">
        <v>0.52</v>
      </c>
    </row>
    <row r="173" spans="1:37" s="116" customFormat="1" ht="12" hidden="1" customHeight="1">
      <c r="A173" s="111"/>
      <c r="B173" s="112"/>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3"/>
      <c r="AI173" s="114"/>
      <c r="AK173" s="252">
        <v>0.53</v>
      </c>
    </row>
    <row r="174" spans="1:37" s="116" customFormat="1" ht="12" hidden="1" customHeight="1">
      <c r="A174" s="111"/>
      <c r="B174" s="112"/>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3"/>
      <c r="AI174" s="114"/>
      <c r="AK174" s="252">
        <v>0.54</v>
      </c>
    </row>
    <row r="175" spans="1:37" s="116" customFormat="1" ht="12" hidden="1" customHeight="1">
      <c r="A175" s="111"/>
      <c r="B175" s="112"/>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3"/>
      <c r="AI175" s="114"/>
      <c r="AK175" s="252">
        <v>0.55000000000000004</v>
      </c>
    </row>
    <row r="176" spans="1:37" s="116" customFormat="1" ht="12" hidden="1" customHeight="1">
      <c r="A176" s="111"/>
      <c r="B176" s="112"/>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3"/>
      <c r="AI176" s="114"/>
      <c r="AK176" s="252">
        <v>0.56000000000000005</v>
      </c>
    </row>
    <row r="177" spans="1:37" s="116" customFormat="1" ht="12" hidden="1" customHeight="1">
      <c r="A177" s="111"/>
      <c r="B177" s="112"/>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3"/>
      <c r="AI177" s="114"/>
      <c r="AK177" s="252">
        <v>0.56999999999999995</v>
      </c>
    </row>
    <row r="178" spans="1:37" s="116" customFormat="1" ht="12" hidden="1" customHeight="1">
      <c r="A178" s="111"/>
      <c r="B178" s="112"/>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3"/>
      <c r="AI178" s="114"/>
      <c r="AK178" s="252">
        <v>0.57999999999999996</v>
      </c>
    </row>
    <row r="179" spans="1:37" s="116" customFormat="1" ht="12" hidden="1" customHeight="1">
      <c r="A179" s="111"/>
      <c r="B179" s="112"/>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3"/>
      <c r="AI179" s="114"/>
      <c r="AK179" s="252">
        <v>0.59</v>
      </c>
    </row>
    <row r="180" spans="1:37" s="116" customFormat="1" ht="12" hidden="1" customHeight="1">
      <c r="A180" s="111"/>
      <c r="B180" s="112"/>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3"/>
      <c r="AI180" s="114"/>
      <c r="AK180" s="252">
        <v>0.6</v>
      </c>
    </row>
    <row r="181" spans="1:37" s="116" customFormat="1" ht="12" hidden="1" customHeight="1">
      <c r="A181" s="111"/>
      <c r="B181" s="112"/>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3"/>
      <c r="AI181" s="114"/>
      <c r="AK181" s="252">
        <v>0.61</v>
      </c>
    </row>
    <row r="182" spans="1:37" s="116" customFormat="1" ht="12" hidden="1" customHeight="1">
      <c r="A182" s="111"/>
      <c r="B182" s="112"/>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3"/>
      <c r="AI182" s="114"/>
      <c r="AK182" s="252">
        <v>0.62</v>
      </c>
    </row>
    <row r="183" spans="1:37" s="116" customFormat="1" ht="12" hidden="1" customHeight="1">
      <c r="A183" s="111"/>
      <c r="B183" s="112"/>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3"/>
      <c r="AI183" s="114"/>
      <c r="AK183" s="252">
        <v>0.63</v>
      </c>
    </row>
    <row r="184" spans="1:37" s="116" customFormat="1" ht="12" hidden="1" customHeight="1">
      <c r="A184" s="111"/>
      <c r="B184" s="112"/>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3"/>
      <c r="AI184" s="114"/>
      <c r="AK184" s="252">
        <v>0.64</v>
      </c>
    </row>
    <row r="185" spans="1:37" s="116" customFormat="1" ht="12" hidden="1" customHeight="1">
      <c r="A185" s="111"/>
      <c r="B185" s="112"/>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3"/>
      <c r="AI185" s="114"/>
      <c r="AK185" s="252">
        <v>0.65</v>
      </c>
    </row>
    <row r="186" spans="1:37" s="116" customFormat="1" ht="12" hidden="1" customHeight="1">
      <c r="A186" s="111"/>
      <c r="B186" s="112"/>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3"/>
      <c r="AI186" s="114"/>
      <c r="AK186" s="252">
        <v>0.66</v>
      </c>
    </row>
    <row r="187" spans="1:37" s="116" customFormat="1" ht="12" hidden="1" customHeight="1">
      <c r="A187" s="111"/>
      <c r="B187" s="112"/>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3"/>
      <c r="AI187" s="114"/>
      <c r="AK187" s="252">
        <v>0.67</v>
      </c>
    </row>
    <row r="188" spans="1:37" s="116" customFormat="1" ht="12" hidden="1" customHeight="1">
      <c r="A188" s="111"/>
      <c r="B188" s="112"/>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3"/>
      <c r="AI188" s="114"/>
      <c r="AK188" s="252">
        <v>0.68</v>
      </c>
    </row>
    <row r="189" spans="1:37" s="116" customFormat="1" ht="12" hidden="1" customHeight="1">
      <c r="A189" s="111"/>
      <c r="B189" s="112"/>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3"/>
      <c r="AI189" s="114"/>
      <c r="AK189" s="252">
        <v>0.69</v>
      </c>
    </row>
    <row r="190" spans="1:37" s="116" customFormat="1" ht="12" hidden="1" customHeight="1">
      <c r="A190" s="111"/>
      <c r="B190" s="112"/>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3"/>
      <c r="AI190" s="114"/>
      <c r="AK190" s="252">
        <v>0.7</v>
      </c>
    </row>
    <row r="191" spans="1:37" s="116" customFormat="1" ht="12" hidden="1" customHeight="1">
      <c r="A191" s="111"/>
      <c r="B191" s="112"/>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3"/>
      <c r="AI191" s="114"/>
      <c r="AK191" s="252">
        <v>0.71</v>
      </c>
    </row>
    <row r="192" spans="1:37" s="116" customFormat="1" ht="12" hidden="1" customHeight="1">
      <c r="A192" s="111"/>
      <c r="B192" s="112"/>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3"/>
      <c r="AI192" s="114"/>
      <c r="AK192" s="252">
        <v>0.72</v>
      </c>
    </row>
    <row r="193" spans="1:37" s="116" customFormat="1" ht="12" hidden="1" customHeight="1">
      <c r="A193" s="111"/>
      <c r="B193" s="112"/>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3"/>
      <c r="AI193" s="114"/>
      <c r="AK193" s="252">
        <v>0.73</v>
      </c>
    </row>
    <row r="194" spans="1:37" s="116" customFormat="1" ht="12" hidden="1" customHeight="1">
      <c r="A194" s="111"/>
      <c r="B194" s="112"/>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3"/>
      <c r="AI194" s="114"/>
      <c r="AK194" s="252">
        <v>0.74</v>
      </c>
    </row>
    <row r="195" spans="1:37" s="116" customFormat="1" ht="12" hidden="1" customHeight="1">
      <c r="A195" s="111"/>
      <c r="B195" s="112"/>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3"/>
      <c r="AI195" s="114"/>
      <c r="AK195" s="252">
        <v>0.75</v>
      </c>
    </row>
    <row r="196" spans="1:37" s="116" customFormat="1" ht="12" hidden="1" customHeight="1">
      <c r="A196" s="111"/>
      <c r="B196" s="112"/>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3"/>
      <c r="AI196" s="114"/>
      <c r="AK196" s="252">
        <v>0.76</v>
      </c>
    </row>
    <row r="197" spans="1:37" s="116" customFormat="1" ht="12" hidden="1" customHeight="1">
      <c r="A197" s="111"/>
      <c r="B197" s="112"/>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3"/>
      <c r="AI197" s="114"/>
      <c r="AK197" s="252">
        <v>0.77</v>
      </c>
    </row>
    <row r="198" spans="1:37" s="116" customFormat="1" ht="12" hidden="1" customHeight="1">
      <c r="A198" s="111"/>
      <c r="B198" s="112"/>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3"/>
      <c r="AI198" s="114"/>
      <c r="AK198" s="252">
        <v>0.78</v>
      </c>
    </row>
    <row r="199" spans="1:37" s="116" customFormat="1" ht="12" hidden="1" customHeight="1">
      <c r="A199" s="111"/>
      <c r="B199" s="112"/>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3"/>
      <c r="AI199" s="114"/>
      <c r="AK199" s="252">
        <v>0.79</v>
      </c>
    </row>
    <row r="200" spans="1:37" s="116" customFormat="1" ht="12" hidden="1" customHeight="1">
      <c r="A200" s="111"/>
      <c r="B200" s="112"/>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3"/>
      <c r="AI200" s="114"/>
      <c r="AK200" s="252">
        <v>0.8</v>
      </c>
    </row>
    <row r="201" spans="1:37" s="116" customFormat="1" ht="12" hidden="1" customHeight="1">
      <c r="A201" s="111"/>
      <c r="B201" s="112"/>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3"/>
      <c r="AI201" s="114"/>
      <c r="AK201" s="252">
        <v>0.81</v>
      </c>
    </row>
    <row r="202" spans="1:37" s="116" customFormat="1" ht="12" hidden="1" customHeight="1">
      <c r="A202" s="111"/>
      <c r="B202" s="112"/>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3"/>
      <c r="AI202" s="114"/>
      <c r="AK202" s="252">
        <v>0.82</v>
      </c>
    </row>
    <row r="203" spans="1:37" s="116" customFormat="1" ht="12" hidden="1" customHeight="1">
      <c r="A203" s="111"/>
      <c r="B203" s="112"/>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3"/>
      <c r="AI203" s="114"/>
      <c r="AK203" s="252">
        <v>0.83</v>
      </c>
    </row>
    <row r="204" spans="1:37" s="116" customFormat="1" ht="12" hidden="1" customHeight="1">
      <c r="A204" s="111"/>
      <c r="B204" s="112"/>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3"/>
      <c r="AI204" s="114"/>
      <c r="AK204" s="252">
        <v>0.84</v>
      </c>
    </row>
    <row r="205" spans="1:37" s="116" customFormat="1" ht="12" hidden="1" customHeight="1">
      <c r="A205" s="111"/>
      <c r="B205" s="112"/>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3"/>
      <c r="AI205" s="114"/>
      <c r="AK205" s="252">
        <v>0.85</v>
      </c>
    </row>
    <row r="206" spans="1:37" s="116" customFormat="1" ht="12" hidden="1" customHeight="1">
      <c r="A206" s="111"/>
      <c r="B206" s="112"/>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3"/>
      <c r="AI206" s="114"/>
      <c r="AK206" s="252">
        <v>0.86</v>
      </c>
    </row>
    <row r="207" spans="1:37" s="116" customFormat="1" ht="12" hidden="1" customHeight="1">
      <c r="A207" s="111"/>
      <c r="B207" s="112"/>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3"/>
      <c r="AI207" s="114"/>
      <c r="AK207" s="252">
        <v>0.87</v>
      </c>
    </row>
    <row r="208" spans="1:37" s="116" customFormat="1" ht="12" hidden="1" customHeight="1">
      <c r="A208" s="111"/>
      <c r="B208" s="112"/>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3"/>
      <c r="AI208" s="114"/>
      <c r="AK208" s="252">
        <v>0.88</v>
      </c>
    </row>
    <row r="209" spans="1:37" s="116" customFormat="1" ht="12" hidden="1" customHeight="1">
      <c r="A209" s="111"/>
      <c r="B209" s="112"/>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3"/>
      <c r="AI209" s="114"/>
      <c r="AK209" s="252">
        <v>0.89</v>
      </c>
    </row>
    <row r="210" spans="1:37" s="116" customFormat="1" ht="12" hidden="1" customHeight="1">
      <c r="A210" s="111"/>
      <c r="B210" s="112"/>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3"/>
      <c r="AI210" s="114"/>
      <c r="AK210" s="252">
        <v>0.9</v>
      </c>
    </row>
    <row r="211" spans="1:37" s="116" customFormat="1" ht="12" hidden="1" customHeight="1">
      <c r="A211" s="111"/>
      <c r="B211" s="112"/>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3"/>
      <c r="AI211" s="114"/>
      <c r="AK211" s="252">
        <v>0.91</v>
      </c>
    </row>
    <row r="212" spans="1:37" s="116" customFormat="1" ht="12" hidden="1" customHeight="1">
      <c r="A212" s="111"/>
      <c r="B212" s="112"/>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3"/>
      <c r="AI212" s="114"/>
      <c r="AK212" s="252">
        <v>0.92</v>
      </c>
    </row>
    <row r="213" spans="1:37" s="116" customFormat="1" ht="12" hidden="1" customHeight="1">
      <c r="A213" s="111"/>
      <c r="B213" s="112"/>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3"/>
      <c r="AI213" s="114"/>
      <c r="AK213" s="252">
        <v>0.93</v>
      </c>
    </row>
    <row r="214" spans="1:37" s="116" customFormat="1" ht="12" hidden="1" customHeight="1">
      <c r="A214" s="111"/>
      <c r="B214" s="112"/>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3"/>
      <c r="AI214" s="114"/>
      <c r="AK214" s="252">
        <v>0.94</v>
      </c>
    </row>
    <row r="215" spans="1:37" s="116" customFormat="1" ht="12" hidden="1" customHeight="1">
      <c r="A215" s="111"/>
      <c r="B215" s="112"/>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3"/>
      <c r="AI215" s="114"/>
      <c r="AK215" s="252">
        <v>0.95</v>
      </c>
    </row>
    <row r="216" spans="1:37" s="116" customFormat="1" ht="12" hidden="1" customHeight="1">
      <c r="A216" s="111"/>
      <c r="B216" s="112"/>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3"/>
      <c r="AI216" s="114"/>
      <c r="AK216" s="252">
        <v>0.96</v>
      </c>
    </row>
    <row r="217" spans="1:37" s="116" customFormat="1" ht="12" hidden="1" customHeight="1">
      <c r="A217" s="111"/>
      <c r="B217" s="112"/>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3"/>
      <c r="AI217" s="114"/>
      <c r="AK217" s="252">
        <v>0.97</v>
      </c>
    </row>
    <row r="218" spans="1:37" s="116" customFormat="1" ht="12" hidden="1" customHeight="1">
      <c r="A218" s="111"/>
      <c r="B218" s="112"/>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3"/>
      <c r="AI218" s="114"/>
      <c r="AK218" s="252">
        <v>0.98</v>
      </c>
    </row>
    <row r="219" spans="1:37" s="116" customFormat="1" ht="12" hidden="1" customHeight="1">
      <c r="A219" s="111"/>
      <c r="B219" s="112"/>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3"/>
      <c r="AI219" s="114"/>
      <c r="AK219" s="252">
        <v>0.99</v>
      </c>
    </row>
    <row r="220" spans="1:37" s="116" customFormat="1" ht="12" hidden="1" customHeight="1">
      <c r="A220" s="111"/>
      <c r="B220" s="112"/>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3"/>
      <c r="AI220" s="114"/>
      <c r="AK220" s="252">
        <v>1</v>
      </c>
    </row>
    <row r="221" spans="1:37" s="116" customFormat="1" ht="12" hidden="1" customHeight="1">
      <c r="A221" s="111"/>
      <c r="B221" s="112"/>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3"/>
      <c r="AI221" s="114"/>
    </row>
    <row r="222" spans="1:37" s="116" customFormat="1" ht="12" hidden="1" customHeight="1">
      <c r="A222" s="111"/>
      <c r="B222" s="112"/>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3"/>
      <c r="AI222" s="114"/>
    </row>
    <row r="223" spans="1:37" s="116" customFormat="1" ht="12" hidden="1" customHeight="1">
      <c r="A223" s="111"/>
      <c r="B223" s="112"/>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3"/>
      <c r="AI223" s="114"/>
    </row>
    <row r="224" spans="1:37" s="116" customFormat="1" ht="12" hidden="1" customHeight="1">
      <c r="A224" s="111"/>
      <c r="B224" s="112"/>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3"/>
      <c r="AI224" s="114"/>
    </row>
    <row r="225" spans="1:35" s="116" customFormat="1" ht="12" hidden="1" customHeight="1">
      <c r="A225" s="111"/>
      <c r="B225" s="112"/>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3"/>
      <c r="AI225" s="114"/>
    </row>
    <row r="226" spans="1:35" s="116" customFormat="1" ht="12" hidden="1" customHeight="1">
      <c r="A226" s="111"/>
      <c r="B226" s="112"/>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3"/>
      <c r="AI226" s="114"/>
    </row>
    <row r="227" spans="1:35" s="116" customFormat="1" ht="12" hidden="1" customHeight="1">
      <c r="A227" s="111"/>
      <c r="B227" s="112"/>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3"/>
      <c r="AI227" s="114"/>
    </row>
    <row r="228" spans="1:35" s="116" customFormat="1" ht="12" hidden="1" customHeight="1">
      <c r="A228" s="111"/>
      <c r="B228" s="112"/>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c r="AD228" s="111"/>
      <c r="AE228" s="111"/>
      <c r="AF228" s="111"/>
      <c r="AG228" s="111"/>
      <c r="AH228" s="113"/>
      <c r="AI228" s="114"/>
    </row>
    <row r="229" spans="1:35" s="116" customFormat="1" ht="12" hidden="1" customHeight="1">
      <c r="A229" s="111"/>
      <c r="B229" s="112"/>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c r="AD229" s="111"/>
      <c r="AE229" s="111"/>
      <c r="AF229" s="111"/>
      <c r="AG229" s="111"/>
      <c r="AH229" s="113"/>
      <c r="AI229" s="114"/>
    </row>
    <row r="230" spans="1:35" s="116" customFormat="1" ht="12" hidden="1" customHeight="1">
      <c r="A230" s="111"/>
      <c r="B230" s="112"/>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c r="AD230" s="111"/>
      <c r="AE230" s="111"/>
      <c r="AF230" s="111"/>
      <c r="AG230" s="111"/>
      <c r="AH230" s="113"/>
      <c r="AI230" s="114"/>
    </row>
    <row r="231" spans="1:35" s="116" customFormat="1" ht="12" hidden="1" customHeight="1">
      <c r="A231" s="111"/>
      <c r="B231" s="112"/>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c r="AD231" s="111"/>
      <c r="AE231" s="111"/>
      <c r="AF231" s="111"/>
      <c r="AG231" s="111"/>
      <c r="AH231" s="113"/>
      <c r="AI231" s="114"/>
    </row>
    <row r="232" spans="1:35" s="116" customFormat="1" ht="12" hidden="1" customHeight="1">
      <c r="A232" s="111"/>
      <c r="B232" s="112"/>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c r="AD232" s="111"/>
      <c r="AE232" s="111"/>
      <c r="AF232" s="111"/>
      <c r="AG232" s="111"/>
      <c r="AH232" s="113"/>
      <c r="AI232" s="114"/>
    </row>
    <row r="233" spans="1:35" s="116" customFormat="1" ht="12" hidden="1" customHeight="1">
      <c r="A233" s="111"/>
      <c r="B233" s="112"/>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c r="AD233" s="111"/>
      <c r="AE233" s="111"/>
      <c r="AF233" s="111"/>
      <c r="AG233" s="111"/>
      <c r="AH233" s="113"/>
      <c r="AI233" s="114"/>
    </row>
    <row r="234" spans="1:35" s="116" customFormat="1" ht="12" hidden="1" customHeight="1">
      <c r="A234" s="111"/>
      <c r="B234" s="112"/>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c r="AD234" s="111"/>
      <c r="AE234" s="111"/>
      <c r="AF234" s="111"/>
      <c r="AG234" s="111"/>
      <c r="AH234" s="113"/>
      <c r="AI234" s="114"/>
    </row>
    <row r="235" spans="1:35" s="116" customFormat="1" ht="12" hidden="1" customHeight="1">
      <c r="A235" s="111"/>
      <c r="B235" s="112"/>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c r="AD235" s="111"/>
      <c r="AE235" s="111"/>
      <c r="AF235" s="111"/>
      <c r="AG235" s="111"/>
      <c r="AH235" s="113"/>
      <c r="AI235" s="114"/>
    </row>
    <row r="236" spans="1:35" s="116" customFormat="1" ht="12" hidden="1" customHeight="1">
      <c r="A236" s="111"/>
      <c r="B236" s="112"/>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c r="AD236" s="111"/>
      <c r="AE236" s="111"/>
      <c r="AF236" s="111"/>
      <c r="AG236" s="111"/>
      <c r="AH236" s="113"/>
      <c r="AI236" s="114"/>
    </row>
    <row r="237" spans="1:35" s="116" customFormat="1" ht="12" hidden="1" customHeight="1">
      <c r="A237" s="111"/>
      <c r="B237" s="112"/>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c r="AD237" s="111"/>
      <c r="AE237" s="111"/>
      <c r="AF237" s="111"/>
      <c r="AG237" s="111"/>
      <c r="AH237" s="113"/>
      <c r="AI237" s="114"/>
    </row>
    <row r="238" spans="1:35" s="116" customFormat="1" ht="12" hidden="1" customHeight="1">
      <c r="A238" s="111"/>
      <c r="B238" s="112"/>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c r="AD238" s="111"/>
      <c r="AE238" s="111"/>
      <c r="AF238" s="111"/>
      <c r="AG238" s="111"/>
      <c r="AH238" s="113"/>
      <c r="AI238" s="114"/>
    </row>
    <row r="239" spans="1:35" s="116" customFormat="1" ht="12" hidden="1" customHeight="1">
      <c r="A239" s="111"/>
      <c r="B239" s="112"/>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c r="AD239" s="111"/>
      <c r="AE239" s="111"/>
      <c r="AF239" s="111"/>
      <c r="AG239" s="111"/>
      <c r="AH239" s="113"/>
      <c r="AI239" s="114"/>
    </row>
    <row r="240" spans="1:35" s="116" customFormat="1" ht="12" hidden="1" customHeight="1">
      <c r="A240" s="111"/>
      <c r="B240" s="112"/>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c r="AD240" s="111"/>
      <c r="AE240" s="111"/>
      <c r="AF240" s="111"/>
      <c r="AG240" s="111"/>
      <c r="AH240" s="113"/>
      <c r="AI240" s="114"/>
    </row>
    <row r="241" spans="1:232" s="116" customFormat="1" ht="12" hidden="1" customHeight="1">
      <c r="A241" s="111"/>
      <c r="B241" s="112"/>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c r="AD241" s="111"/>
      <c r="AE241" s="111"/>
      <c r="AF241" s="111"/>
      <c r="AG241" s="111"/>
      <c r="AH241" s="113"/>
      <c r="AI241" s="114"/>
    </row>
    <row r="242" spans="1:232" s="116" customFormat="1" ht="12" hidden="1" customHeight="1">
      <c r="A242" s="111"/>
      <c r="B242" s="112"/>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3"/>
      <c r="AI242" s="114"/>
    </row>
    <row r="243" spans="1:232" s="116" customFormat="1" ht="12" hidden="1" customHeight="1">
      <c r="A243" s="111"/>
      <c r="B243" s="112"/>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c r="AD243" s="111"/>
      <c r="AE243" s="111"/>
      <c r="AF243" s="111"/>
      <c r="AG243" s="111"/>
      <c r="AH243" s="113"/>
      <c r="AI243" s="114"/>
    </row>
    <row r="244" spans="1:232" s="116" customFormat="1" ht="12" hidden="1" customHeight="1">
      <c r="A244" s="111"/>
      <c r="B244" s="112"/>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c r="AD244" s="111"/>
      <c r="AE244" s="111"/>
      <c r="AF244" s="111"/>
      <c r="AG244" s="111"/>
      <c r="AH244" s="113"/>
      <c r="AI244" s="114"/>
    </row>
    <row r="245" spans="1:232" s="116" customFormat="1" ht="12" hidden="1" customHeight="1">
      <c r="A245" s="111"/>
      <c r="B245" s="112"/>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c r="AD245" s="111"/>
      <c r="AE245" s="111"/>
      <c r="AF245" s="111"/>
      <c r="AG245" s="111"/>
      <c r="AH245" s="113"/>
      <c r="AI245" s="114"/>
    </row>
    <row r="246" spans="1:232" s="116" customFormat="1" ht="12" hidden="1" customHeight="1">
      <c r="A246" s="111"/>
      <c r="B246" s="112"/>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c r="AD246" s="111"/>
      <c r="AE246" s="111"/>
      <c r="AF246" s="111"/>
      <c r="AG246" s="111"/>
      <c r="AH246" s="113"/>
      <c r="AI246" s="114"/>
    </row>
    <row r="247" spans="1:232" s="116" customFormat="1" ht="12" hidden="1" customHeight="1">
      <c r="A247" s="111"/>
      <c r="B247" s="112"/>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3"/>
      <c r="AI247" s="114"/>
    </row>
    <row r="248" spans="1:232" s="116" customFormat="1" ht="12" hidden="1" customHeight="1">
      <c r="A248" s="111"/>
      <c r="B248" s="112"/>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c r="AD248" s="111"/>
      <c r="AE248" s="111"/>
      <c r="AF248" s="111"/>
      <c r="AG248" s="111"/>
      <c r="AH248" s="113"/>
      <c r="AI248" s="114"/>
    </row>
    <row r="249" spans="1:232" s="116" customFormat="1" ht="12" hidden="1" customHeight="1">
      <c r="A249" s="111"/>
      <c r="B249" s="112"/>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c r="AD249" s="111"/>
      <c r="AE249" s="111"/>
      <c r="AF249" s="111"/>
      <c r="AG249" s="111"/>
      <c r="AH249" s="113"/>
      <c r="AI249" s="114"/>
    </row>
    <row r="250" spans="1:232" ht="12.75" hidden="1" customHeight="1">
      <c r="AJ250" s="117"/>
      <c r="AK250" s="117"/>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c r="BF250" s="117"/>
      <c r="BG250" s="117"/>
      <c r="BH250" s="117"/>
      <c r="BI250" s="117"/>
      <c r="BJ250" s="117"/>
      <c r="BK250" s="117"/>
      <c r="BL250" s="117"/>
      <c r="BM250" s="117"/>
      <c r="BN250" s="117"/>
      <c r="BO250" s="117"/>
      <c r="BP250" s="117"/>
      <c r="BQ250" s="117"/>
      <c r="BR250" s="117"/>
      <c r="BS250" s="117"/>
      <c r="BT250" s="117"/>
      <c r="BU250" s="117"/>
      <c r="BV250" s="117"/>
      <c r="BW250" s="117"/>
      <c r="BX250" s="117"/>
      <c r="BY250" s="117"/>
      <c r="BZ250" s="117"/>
      <c r="CA250" s="117"/>
      <c r="CB250" s="117"/>
      <c r="CC250" s="117"/>
      <c r="CD250" s="117"/>
      <c r="CE250" s="117"/>
      <c r="CF250" s="117"/>
      <c r="CG250" s="117"/>
      <c r="CH250" s="117"/>
      <c r="CI250" s="117"/>
      <c r="CJ250" s="117"/>
      <c r="CK250" s="117"/>
      <c r="CL250" s="117"/>
      <c r="CM250" s="117"/>
      <c r="CN250" s="117"/>
      <c r="CO250" s="117"/>
      <c r="CP250" s="117"/>
      <c r="CQ250" s="117"/>
      <c r="CR250" s="117"/>
      <c r="CS250" s="117"/>
      <c r="CT250" s="117"/>
      <c r="CU250" s="117"/>
      <c r="CV250" s="117"/>
      <c r="CW250" s="117"/>
      <c r="CX250" s="117"/>
      <c r="CY250" s="117"/>
      <c r="CZ250" s="117"/>
      <c r="DA250" s="117"/>
      <c r="DB250" s="117"/>
      <c r="DC250" s="117"/>
      <c r="DD250" s="117"/>
      <c r="DE250" s="117"/>
      <c r="DF250" s="117"/>
      <c r="DG250" s="117"/>
      <c r="DH250" s="117"/>
      <c r="DI250" s="117"/>
      <c r="DJ250" s="117"/>
      <c r="DK250" s="117"/>
      <c r="DL250" s="117"/>
      <c r="DM250" s="117"/>
      <c r="DN250" s="117"/>
      <c r="DO250" s="117"/>
      <c r="DP250" s="117"/>
      <c r="DQ250" s="117"/>
      <c r="DR250" s="117"/>
      <c r="DS250" s="117"/>
      <c r="DT250" s="117"/>
      <c r="DU250" s="117"/>
      <c r="DV250" s="117"/>
      <c r="DW250" s="117"/>
      <c r="DX250" s="117"/>
      <c r="DY250" s="117"/>
      <c r="DZ250" s="117"/>
      <c r="EA250" s="117"/>
      <c r="EB250" s="117"/>
      <c r="EC250" s="117"/>
      <c r="ED250" s="117"/>
      <c r="EE250" s="117"/>
      <c r="EF250" s="117"/>
      <c r="EG250" s="117"/>
      <c r="EH250" s="117"/>
      <c r="EI250" s="117"/>
      <c r="EJ250" s="117"/>
      <c r="EK250" s="117"/>
      <c r="EL250" s="117"/>
      <c r="EM250" s="117"/>
      <c r="EN250" s="117"/>
      <c r="EO250" s="117"/>
      <c r="EP250" s="117"/>
      <c r="EQ250" s="117"/>
      <c r="ER250" s="117"/>
      <c r="ES250" s="117"/>
      <c r="ET250" s="117"/>
      <c r="EU250" s="117"/>
      <c r="EV250" s="117"/>
      <c r="EW250" s="117"/>
      <c r="EX250" s="117"/>
      <c r="EY250" s="117"/>
      <c r="EZ250" s="117"/>
      <c r="FA250" s="117"/>
      <c r="FB250" s="117"/>
      <c r="FC250" s="117"/>
      <c r="FD250" s="117"/>
      <c r="FE250" s="117"/>
      <c r="FF250" s="117"/>
      <c r="FG250" s="117"/>
      <c r="FH250" s="117"/>
      <c r="FI250" s="117"/>
      <c r="FJ250" s="117"/>
      <c r="FK250" s="117"/>
      <c r="FL250" s="117"/>
      <c r="FM250" s="117"/>
      <c r="FN250" s="117"/>
      <c r="FO250" s="117"/>
      <c r="FP250" s="117"/>
      <c r="FQ250" s="117"/>
      <c r="FR250" s="117"/>
      <c r="FS250" s="117"/>
      <c r="FT250" s="117"/>
      <c r="FU250" s="117"/>
      <c r="FV250" s="117"/>
      <c r="FW250" s="117"/>
      <c r="FX250" s="117"/>
      <c r="FY250" s="117"/>
      <c r="FZ250" s="117"/>
      <c r="GA250" s="117"/>
      <c r="GB250" s="117"/>
      <c r="GC250" s="117"/>
      <c r="GD250" s="117"/>
      <c r="GE250" s="117"/>
      <c r="GF250" s="117"/>
      <c r="GG250" s="117"/>
      <c r="GH250" s="117"/>
      <c r="GI250" s="117"/>
      <c r="GJ250" s="117"/>
      <c r="GK250" s="117"/>
      <c r="GL250" s="117"/>
      <c r="GM250" s="117"/>
      <c r="GN250" s="117"/>
      <c r="GO250" s="117"/>
      <c r="GP250" s="117"/>
      <c r="GQ250" s="117"/>
      <c r="GR250" s="117"/>
      <c r="GS250" s="117"/>
      <c r="GT250" s="117"/>
      <c r="GU250" s="117"/>
      <c r="GV250" s="117"/>
      <c r="GW250" s="117"/>
      <c r="GX250" s="117"/>
      <c r="GY250" s="117"/>
      <c r="GZ250" s="117"/>
      <c r="HA250" s="117"/>
      <c r="HB250" s="117"/>
      <c r="HC250" s="117"/>
      <c r="HD250" s="117"/>
      <c r="HE250" s="117"/>
      <c r="HF250" s="117"/>
      <c r="HG250" s="117"/>
      <c r="HH250" s="117"/>
      <c r="HI250" s="117"/>
      <c r="HJ250" s="117"/>
      <c r="HK250" s="117"/>
      <c r="HL250" s="117"/>
      <c r="HM250" s="117"/>
      <c r="HN250" s="117"/>
      <c r="HO250" s="117"/>
      <c r="HP250" s="117"/>
      <c r="HQ250" s="117"/>
      <c r="HR250" s="117"/>
      <c r="HS250" s="117"/>
      <c r="HT250" s="117"/>
      <c r="HU250" s="117"/>
      <c r="HV250" s="117"/>
      <c r="HW250" s="117"/>
      <c r="HX250" s="117"/>
    </row>
    <row r="251" spans="1:232" ht="12.75" hidden="1" customHeight="1">
      <c r="AJ251" s="117"/>
      <c r="AK251" s="117"/>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c r="BF251" s="117"/>
      <c r="BG251" s="117"/>
      <c r="BH251" s="117"/>
      <c r="BI251" s="117"/>
      <c r="BJ251" s="117"/>
      <c r="BK251" s="117"/>
      <c r="BL251" s="117"/>
      <c r="BM251" s="117"/>
      <c r="BN251" s="117"/>
      <c r="BO251" s="117"/>
      <c r="BP251" s="117"/>
      <c r="BQ251" s="117"/>
      <c r="BR251" s="117"/>
      <c r="BS251" s="117"/>
      <c r="BT251" s="117"/>
      <c r="BU251" s="117"/>
      <c r="BV251" s="117"/>
      <c r="BW251" s="117"/>
      <c r="BX251" s="117"/>
      <c r="BY251" s="117"/>
      <c r="BZ251" s="117"/>
      <c r="CA251" s="117"/>
      <c r="CB251" s="117"/>
      <c r="CC251" s="117"/>
      <c r="CD251" s="117"/>
      <c r="CE251" s="117"/>
      <c r="CF251" s="117"/>
      <c r="CG251" s="117"/>
      <c r="CH251" s="117"/>
      <c r="CI251" s="117"/>
      <c r="CJ251" s="117"/>
      <c r="CK251" s="117"/>
      <c r="CL251" s="117"/>
      <c r="CM251" s="117"/>
      <c r="CN251" s="117"/>
      <c r="CO251" s="117"/>
      <c r="CP251" s="117"/>
      <c r="CQ251" s="117"/>
      <c r="CR251" s="117"/>
      <c r="CS251" s="117"/>
      <c r="CT251" s="117"/>
      <c r="CU251" s="117"/>
      <c r="CV251" s="117"/>
      <c r="CW251" s="117"/>
      <c r="CX251" s="117"/>
      <c r="CY251" s="117"/>
      <c r="CZ251" s="117"/>
      <c r="DA251" s="117"/>
      <c r="DB251" s="117"/>
      <c r="DC251" s="117"/>
      <c r="DD251" s="117"/>
      <c r="DE251" s="117"/>
      <c r="DF251" s="117"/>
      <c r="DG251" s="117"/>
      <c r="DH251" s="117"/>
      <c r="DI251" s="117"/>
      <c r="DJ251" s="117"/>
      <c r="DK251" s="117"/>
      <c r="DL251" s="117"/>
      <c r="DM251" s="117"/>
      <c r="DN251" s="117"/>
      <c r="DO251" s="117"/>
      <c r="DP251" s="117"/>
      <c r="DQ251" s="117"/>
      <c r="DR251" s="117"/>
      <c r="DS251" s="117"/>
      <c r="DT251" s="117"/>
      <c r="DU251" s="117"/>
      <c r="DV251" s="117"/>
      <c r="DW251" s="117"/>
      <c r="DX251" s="117"/>
      <c r="DY251" s="117"/>
      <c r="DZ251" s="117"/>
      <c r="EA251" s="117"/>
      <c r="EB251" s="117"/>
      <c r="EC251" s="117"/>
      <c r="ED251" s="117"/>
      <c r="EE251" s="117"/>
      <c r="EF251" s="117"/>
      <c r="EG251" s="117"/>
      <c r="EH251" s="117"/>
      <c r="EI251" s="117"/>
      <c r="EJ251" s="117"/>
      <c r="EK251" s="117"/>
      <c r="EL251" s="117"/>
      <c r="EM251" s="117"/>
      <c r="EN251" s="117"/>
      <c r="EO251" s="117"/>
      <c r="EP251" s="117"/>
      <c r="EQ251" s="117"/>
      <c r="ER251" s="117"/>
      <c r="ES251" s="117"/>
      <c r="ET251" s="117"/>
      <c r="EU251" s="117"/>
      <c r="EV251" s="117"/>
      <c r="EW251" s="117"/>
      <c r="EX251" s="117"/>
      <c r="EY251" s="117"/>
      <c r="EZ251" s="117"/>
      <c r="FA251" s="117"/>
      <c r="FB251" s="117"/>
      <c r="FC251" s="117"/>
      <c r="FD251" s="117"/>
      <c r="FE251" s="117"/>
      <c r="FF251" s="117"/>
      <c r="FG251" s="117"/>
      <c r="FH251" s="117"/>
      <c r="FI251" s="117"/>
      <c r="FJ251" s="117"/>
      <c r="FK251" s="117"/>
      <c r="FL251" s="117"/>
      <c r="FM251" s="117"/>
      <c r="FN251" s="117"/>
      <c r="FO251" s="117"/>
      <c r="FP251" s="117"/>
      <c r="FQ251" s="117"/>
      <c r="FR251" s="117"/>
      <c r="FS251" s="117"/>
      <c r="FT251" s="117"/>
      <c r="FU251" s="117"/>
      <c r="FV251" s="117"/>
      <c r="FW251" s="117"/>
      <c r="FX251" s="117"/>
      <c r="FY251" s="117"/>
      <c r="FZ251" s="117"/>
      <c r="GA251" s="117"/>
      <c r="GB251" s="117"/>
      <c r="GC251" s="117"/>
      <c r="GD251" s="117"/>
      <c r="GE251" s="117"/>
      <c r="GF251" s="117"/>
      <c r="GG251" s="117"/>
      <c r="GH251" s="117"/>
      <c r="GI251" s="117"/>
      <c r="GJ251" s="117"/>
      <c r="GK251" s="117"/>
      <c r="GL251" s="117"/>
      <c r="GM251" s="117"/>
      <c r="GN251" s="117"/>
      <c r="GO251" s="117"/>
      <c r="GP251" s="117"/>
      <c r="GQ251" s="117"/>
      <c r="GR251" s="117"/>
      <c r="GS251" s="117"/>
      <c r="GT251" s="117"/>
      <c r="GU251" s="117"/>
      <c r="GV251" s="117"/>
      <c r="GW251" s="117"/>
      <c r="GX251" s="117"/>
      <c r="GY251" s="117"/>
      <c r="GZ251" s="117"/>
      <c r="HA251" s="117"/>
      <c r="HB251" s="117"/>
      <c r="HC251" s="117"/>
      <c r="HD251" s="117"/>
      <c r="HE251" s="117"/>
      <c r="HF251" s="117"/>
      <c r="HG251" s="117"/>
      <c r="HH251" s="117"/>
      <c r="HI251" s="117"/>
      <c r="HJ251" s="117"/>
      <c r="HK251" s="117"/>
      <c r="HL251" s="117"/>
      <c r="HM251" s="117"/>
      <c r="HN251" s="117"/>
      <c r="HO251" s="117"/>
      <c r="HP251" s="117"/>
      <c r="HQ251" s="117"/>
      <c r="HR251" s="117"/>
      <c r="HS251" s="117"/>
      <c r="HT251" s="117"/>
      <c r="HU251" s="117"/>
      <c r="HV251" s="117"/>
      <c r="HW251" s="117"/>
      <c r="HX251" s="117"/>
    </row>
    <row r="252" spans="1:232" ht="12.75" hidden="1" customHeight="1">
      <c r="AJ252" s="117"/>
      <c r="AK252" s="117"/>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c r="BF252" s="117"/>
      <c r="BG252" s="117"/>
      <c r="BH252" s="117"/>
      <c r="BI252" s="117"/>
      <c r="BJ252" s="117"/>
      <c r="BK252" s="117"/>
      <c r="BL252" s="117"/>
      <c r="BM252" s="117"/>
      <c r="BN252" s="117"/>
      <c r="BO252" s="117"/>
      <c r="BP252" s="117"/>
      <c r="BQ252" s="117"/>
      <c r="BR252" s="117"/>
      <c r="BS252" s="117"/>
      <c r="BT252" s="117"/>
      <c r="BU252" s="117"/>
      <c r="BV252" s="117"/>
      <c r="BW252" s="117"/>
      <c r="BX252" s="117"/>
      <c r="BY252" s="117"/>
      <c r="BZ252" s="117"/>
      <c r="CA252" s="117"/>
      <c r="CB252" s="117"/>
      <c r="CC252" s="117"/>
      <c r="CD252" s="117"/>
      <c r="CE252" s="117"/>
      <c r="CF252" s="117"/>
      <c r="CG252" s="117"/>
      <c r="CH252" s="117"/>
      <c r="CI252" s="117"/>
      <c r="CJ252" s="117"/>
      <c r="CK252" s="117"/>
      <c r="CL252" s="117"/>
      <c r="CM252" s="117"/>
      <c r="CN252" s="117"/>
      <c r="CO252" s="117"/>
      <c r="CP252" s="117"/>
      <c r="CQ252" s="117"/>
      <c r="CR252" s="117"/>
      <c r="CS252" s="117"/>
      <c r="CT252" s="117"/>
      <c r="CU252" s="117"/>
      <c r="CV252" s="117"/>
      <c r="CW252" s="117"/>
      <c r="CX252" s="117"/>
      <c r="CY252" s="117"/>
      <c r="CZ252" s="117"/>
      <c r="DA252" s="117"/>
      <c r="DB252" s="117"/>
      <c r="DC252" s="117"/>
      <c r="DD252" s="117"/>
      <c r="DE252" s="117"/>
      <c r="DF252" s="117"/>
      <c r="DG252" s="117"/>
      <c r="DH252" s="117"/>
      <c r="DI252" s="117"/>
      <c r="DJ252" s="117"/>
      <c r="DK252" s="117"/>
      <c r="DL252" s="117"/>
      <c r="DM252" s="117"/>
      <c r="DN252" s="117"/>
      <c r="DO252" s="117"/>
      <c r="DP252" s="117"/>
      <c r="DQ252" s="117"/>
      <c r="DR252" s="117"/>
      <c r="DS252" s="117"/>
      <c r="DT252" s="117"/>
      <c r="DU252" s="117"/>
      <c r="DV252" s="117"/>
      <c r="DW252" s="117"/>
      <c r="DX252" s="117"/>
      <c r="DY252" s="117"/>
      <c r="DZ252" s="117"/>
      <c r="EA252" s="117"/>
      <c r="EB252" s="117"/>
      <c r="EC252" s="117"/>
      <c r="ED252" s="117"/>
      <c r="EE252" s="117"/>
      <c r="EF252" s="117"/>
      <c r="EG252" s="117"/>
      <c r="EH252" s="117"/>
      <c r="EI252" s="117"/>
      <c r="EJ252" s="117"/>
      <c r="EK252" s="117"/>
      <c r="EL252" s="117"/>
      <c r="EM252" s="117"/>
      <c r="EN252" s="117"/>
      <c r="EO252" s="117"/>
      <c r="EP252" s="117"/>
      <c r="EQ252" s="117"/>
      <c r="ER252" s="117"/>
      <c r="ES252" s="117"/>
      <c r="ET252" s="117"/>
      <c r="EU252" s="117"/>
      <c r="EV252" s="117"/>
      <c r="EW252" s="117"/>
      <c r="EX252" s="117"/>
      <c r="EY252" s="117"/>
      <c r="EZ252" s="117"/>
      <c r="FA252" s="117"/>
      <c r="FB252" s="117"/>
      <c r="FC252" s="117"/>
      <c r="FD252" s="117"/>
      <c r="FE252" s="117"/>
      <c r="FF252" s="117"/>
      <c r="FG252" s="117"/>
      <c r="FH252" s="117"/>
      <c r="FI252" s="117"/>
      <c r="FJ252" s="117"/>
      <c r="FK252" s="117"/>
      <c r="FL252" s="117"/>
      <c r="FM252" s="117"/>
      <c r="FN252" s="117"/>
      <c r="FO252" s="117"/>
      <c r="FP252" s="117"/>
      <c r="FQ252" s="117"/>
      <c r="FR252" s="117"/>
      <c r="FS252" s="117"/>
      <c r="FT252" s="117"/>
      <c r="FU252" s="117"/>
      <c r="FV252" s="117"/>
      <c r="FW252" s="117"/>
      <c r="FX252" s="117"/>
      <c r="FY252" s="117"/>
      <c r="FZ252" s="117"/>
      <c r="GA252" s="117"/>
      <c r="GB252" s="117"/>
      <c r="GC252" s="117"/>
      <c r="GD252" s="117"/>
      <c r="GE252" s="117"/>
      <c r="GF252" s="117"/>
      <c r="GG252" s="117"/>
      <c r="GH252" s="117"/>
      <c r="GI252" s="117"/>
      <c r="GJ252" s="117"/>
      <c r="GK252" s="117"/>
      <c r="GL252" s="117"/>
      <c r="GM252" s="117"/>
      <c r="GN252" s="117"/>
      <c r="GO252" s="117"/>
      <c r="GP252" s="117"/>
      <c r="GQ252" s="117"/>
      <c r="GR252" s="117"/>
      <c r="GS252" s="117"/>
      <c r="GT252" s="117"/>
      <c r="GU252" s="117"/>
      <c r="GV252" s="117"/>
      <c r="GW252" s="117"/>
      <c r="GX252" s="117"/>
      <c r="GY252" s="117"/>
      <c r="GZ252" s="117"/>
      <c r="HA252" s="117"/>
      <c r="HB252" s="117"/>
      <c r="HC252" s="117"/>
      <c r="HD252" s="117"/>
      <c r="HE252" s="117"/>
      <c r="HF252" s="117"/>
      <c r="HG252" s="117"/>
      <c r="HH252" s="117"/>
      <c r="HI252" s="117"/>
      <c r="HJ252" s="117"/>
      <c r="HK252" s="117"/>
      <c r="HL252" s="117"/>
      <c r="HM252" s="117"/>
      <c r="HN252" s="117"/>
      <c r="HO252" s="117"/>
      <c r="HP252" s="117"/>
      <c r="HQ252" s="117"/>
      <c r="HR252" s="117"/>
      <c r="HS252" s="117"/>
      <c r="HT252" s="117"/>
      <c r="HU252" s="117"/>
      <c r="HV252" s="117"/>
      <c r="HW252" s="117"/>
      <c r="HX252" s="117"/>
    </row>
    <row r="253" spans="1:232" ht="12.75" hidden="1" customHeight="1">
      <c r="AJ253" s="117"/>
      <c r="AK253" s="117"/>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c r="BF253" s="117"/>
      <c r="BG253" s="117"/>
      <c r="BH253" s="117"/>
      <c r="BI253" s="117"/>
      <c r="BJ253" s="117"/>
      <c r="BK253" s="117"/>
      <c r="BL253" s="117"/>
      <c r="BM253" s="117"/>
      <c r="BN253" s="117"/>
      <c r="BO253" s="117"/>
      <c r="BP253" s="117"/>
      <c r="BQ253" s="117"/>
      <c r="BR253" s="117"/>
      <c r="BS253" s="117"/>
      <c r="BT253" s="117"/>
      <c r="BU253" s="117"/>
      <c r="BV253" s="117"/>
      <c r="BW253" s="117"/>
      <c r="BX253" s="117"/>
      <c r="BY253" s="117"/>
      <c r="BZ253" s="117"/>
      <c r="CA253" s="117"/>
      <c r="CB253" s="117"/>
      <c r="CC253" s="117"/>
      <c r="CD253" s="117"/>
      <c r="CE253" s="117"/>
      <c r="CF253" s="117"/>
      <c r="CG253" s="117"/>
      <c r="CH253" s="117"/>
      <c r="CI253" s="117"/>
      <c r="CJ253" s="117"/>
      <c r="CK253" s="117"/>
      <c r="CL253" s="117"/>
      <c r="CM253" s="117"/>
      <c r="CN253" s="117"/>
      <c r="CO253" s="117"/>
      <c r="CP253" s="117"/>
      <c r="CQ253" s="117"/>
      <c r="CR253" s="117"/>
      <c r="CS253" s="117"/>
      <c r="CT253" s="117"/>
      <c r="CU253" s="117"/>
      <c r="CV253" s="117"/>
      <c r="CW253" s="117"/>
      <c r="CX253" s="117"/>
      <c r="CY253" s="117"/>
      <c r="CZ253" s="117"/>
      <c r="DA253" s="117"/>
      <c r="DB253" s="117"/>
      <c r="DC253" s="117"/>
      <c r="DD253" s="117"/>
      <c r="DE253" s="117"/>
      <c r="DF253" s="117"/>
      <c r="DG253" s="117"/>
      <c r="DH253" s="117"/>
      <c r="DI253" s="117"/>
      <c r="DJ253" s="117"/>
      <c r="DK253" s="117"/>
      <c r="DL253" s="117"/>
      <c r="DM253" s="117"/>
      <c r="DN253" s="117"/>
      <c r="DO253" s="117"/>
      <c r="DP253" s="117"/>
      <c r="DQ253" s="117"/>
      <c r="DR253" s="117"/>
      <c r="DS253" s="117"/>
      <c r="DT253" s="117"/>
      <c r="DU253" s="117"/>
      <c r="DV253" s="117"/>
      <c r="DW253" s="117"/>
      <c r="DX253" s="117"/>
      <c r="DY253" s="117"/>
      <c r="DZ253" s="117"/>
      <c r="EA253" s="117"/>
      <c r="EB253" s="117"/>
      <c r="EC253" s="117"/>
      <c r="ED253" s="117"/>
      <c r="EE253" s="117"/>
      <c r="EF253" s="117"/>
      <c r="EG253" s="117"/>
      <c r="EH253" s="117"/>
      <c r="EI253" s="117"/>
      <c r="EJ253" s="117"/>
      <c r="EK253" s="117"/>
      <c r="EL253" s="117"/>
      <c r="EM253" s="117"/>
      <c r="EN253" s="117"/>
      <c r="EO253" s="117"/>
      <c r="EP253" s="117"/>
      <c r="EQ253" s="117"/>
      <c r="ER253" s="117"/>
      <c r="ES253" s="117"/>
      <c r="ET253" s="117"/>
      <c r="EU253" s="117"/>
      <c r="EV253" s="117"/>
      <c r="EW253" s="117"/>
      <c r="EX253" s="117"/>
      <c r="EY253" s="117"/>
      <c r="EZ253" s="117"/>
      <c r="FA253" s="117"/>
      <c r="FB253" s="117"/>
      <c r="FC253" s="117"/>
      <c r="FD253" s="117"/>
      <c r="FE253" s="117"/>
      <c r="FF253" s="117"/>
      <c r="FG253" s="117"/>
      <c r="FH253" s="117"/>
      <c r="FI253" s="117"/>
      <c r="FJ253" s="117"/>
      <c r="FK253" s="117"/>
      <c r="FL253" s="117"/>
      <c r="FM253" s="117"/>
      <c r="FN253" s="117"/>
      <c r="FO253" s="117"/>
      <c r="FP253" s="117"/>
      <c r="FQ253" s="117"/>
      <c r="FR253" s="117"/>
      <c r="FS253" s="117"/>
      <c r="FT253" s="117"/>
      <c r="FU253" s="117"/>
      <c r="FV253" s="117"/>
      <c r="FW253" s="117"/>
      <c r="FX253" s="117"/>
      <c r="FY253" s="117"/>
      <c r="FZ253" s="117"/>
      <c r="GA253" s="117"/>
      <c r="GB253" s="117"/>
      <c r="GC253" s="117"/>
      <c r="GD253" s="117"/>
      <c r="GE253" s="117"/>
      <c r="GF253" s="117"/>
      <c r="GG253" s="117"/>
      <c r="GH253" s="117"/>
      <c r="GI253" s="117"/>
      <c r="GJ253" s="117"/>
      <c r="GK253" s="117"/>
      <c r="GL253" s="117"/>
      <c r="GM253" s="117"/>
      <c r="GN253" s="117"/>
      <c r="GO253" s="117"/>
      <c r="GP253" s="117"/>
      <c r="GQ253" s="117"/>
      <c r="GR253" s="117"/>
      <c r="GS253" s="117"/>
      <c r="GT253" s="117"/>
      <c r="GU253" s="117"/>
      <c r="GV253" s="117"/>
      <c r="GW253" s="117"/>
      <c r="GX253" s="117"/>
      <c r="GY253" s="117"/>
      <c r="GZ253" s="117"/>
      <c r="HA253" s="117"/>
      <c r="HB253" s="117"/>
      <c r="HC253" s="117"/>
      <c r="HD253" s="117"/>
      <c r="HE253" s="117"/>
      <c r="HF253" s="117"/>
      <c r="HG253" s="117"/>
      <c r="HH253" s="117"/>
      <c r="HI253" s="117"/>
      <c r="HJ253" s="117"/>
      <c r="HK253" s="117"/>
      <c r="HL253" s="117"/>
      <c r="HM253" s="117"/>
      <c r="HN253" s="117"/>
      <c r="HO253" s="117"/>
      <c r="HP253" s="117"/>
      <c r="HQ253" s="117"/>
      <c r="HR253" s="117"/>
      <c r="HS253" s="117"/>
      <c r="HT253" s="117"/>
      <c r="HU253" s="117"/>
      <c r="HV253" s="117"/>
      <c r="HW253" s="117"/>
      <c r="HX253" s="117"/>
    </row>
    <row r="254" spans="1:232" ht="12.75" hidden="1" customHeight="1">
      <c r="AJ254" s="117"/>
      <c r="AK254" s="117"/>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c r="BF254" s="117"/>
      <c r="BG254" s="117"/>
      <c r="BH254" s="117"/>
      <c r="BI254" s="117"/>
      <c r="BJ254" s="117"/>
      <c r="BK254" s="117"/>
      <c r="BL254" s="117"/>
      <c r="BM254" s="117"/>
      <c r="BN254" s="117"/>
      <c r="BO254" s="117"/>
      <c r="BP254" s="117"/>
      <c r="BQ254" s="117"/>
      <c r="BR254" s="117"/>
      <c r="BS254" s="117"/>
      <c r="BT254" s="117"/>
      <c r="BU254" s="117"/>
      <c r="BV254" s="117"/>
      <c r="BW254" s="117"/>
      <c r="BX254" s="117"/>
      <c r="BY254" s="117"/>
      <c r="BZ254" s="117"/>
      <c r="CA254" s="117"/>
      <c r="CB254" s="117"/>
      <c r="CC254" s="117"/>
      <c r="CD254" s="117"/>
      <c r="CE254" s="117"/>
      <c r="CF254" s="117"/>
      <c r="CG254" s="117"/>
      <c r="CH254" s="117"/>
      <c r="CI254" s="117"/>
      <c r="CJ254" s="117"/>
      <c r="CK254" s="117"/>
      <c r="CL254" s="117"/>
      <c r="CM254" s="117"/>
      <c r="CN254" s="117"/>
      <c r="CO254" s="117"/>
      <c r="CP254" s="117"/>
      <c r="CQ254" s="117"/>
      <c r="CR254" s="117"/>
      <c r="CS254" s="117"/>
      <c r="CT254" s="117"/>
      <c r="CU254" s="117"/>
      <c r="CV254" s="117"/>
      <c r="CW254" s="117"/>
      <c r="CX254" s="117"/>
      <c r="CY254" s="117"/>
      <c r="CZ254" s="117"/>
      <c r="DA254" s="117"/>
      <c r="DB254" s="117"/>
      <c r="DC254" s="117"/>
      <c r="DD254" s="117"/>
      <c r="DE254" s="117"/>
      <c r="DF254" s="117"/>
      <c r="DG254" s="117"/>
      <c r="DH254" s="117"/>
      <c r="DI254" s="117"/>
      <c r="DJ254" s="117"/>
      <c r="DK254" s="117"/>
      <c r="DL254" s="117"/>
      <c r="DM254" s="117"/>
      <c r="DN254" s="117"/>
      <c r="DO254" s="117"/>
      <c r="DP254" s="117"/>
      <c r="DQ254" s="117"/>
      <c r="DR254" s="117"/>
      <c r="DS254" s="117"/>
      <c r="DT254" s="117"/>
      <c r="DU254" s="117"/>
      <c r="DV254" s="117"/>
      <c r="DW254" s="117"/>
      <c r="DX254" s="117"/>
      <c r="DY254" s="117"/>
      <c r="DZ254" s="117"/>
      <c r="EA254" s="117"/>
      <c r="EB254" s="117"/>
      <c r="EC254" s="117"/>
      <c r="ED254" s="117"/>
      <c r="EE254" s="117"/>
      <c r="EF254" s="117"/>
      <c r="EG254" s="117"/>
      <c r="EH254" s="117"/>
      <c r="EI254" s="117"/>
      <c r="EJ254" s="117"/>
      <c r="EK254" s="117"/>
      <c r="EL254" s="117"/>
      <c r="EM254" s="117"/>
      <c r="EN254" s="117"/>
      <c r="EO254" s="117"/>
      <c r="EP254" s="117"/>
      <c r="EQ254" s="117"/>
      <c r="ER254" s="117"/>
      <c r="ES254" s="117"/>
      <c r="ET254" s="117"/>
      <c r="EU254" s="117"/>
      <c r="EV254" s="117"/>
      <c r="EW254" s="117"/>
      <c r="EX254" s="117"/>
      <c r="EY254" s="117"/>
      <c r="EZ254" s="117"/>
      <c r="FA254" s="117"/>
      <c r="FB254" s="117"/>
      <c r="FC254" s="117"/>
      <c r="FD254" s="117"/>
      <c r="FE254" s="117"/>
      <c r="FF254" s="117"/>
      <c r="FG254" s="117"/>
      <c r="FH254" s="117"/>
      <c r="FI254" s="117"/>
      <c r="FJ254" s="117"/>
      <c r="FK254" s="117"/>
      <c r="FL254" s="117"/>
      <c r="FM254" s="117"/>
      <c r="FN254" s="117"/>
      <c r="FO254" s="117"/>
      <c r="FP254" s="117"/>
      <c r="FQ254" s="117"/>
      <c r="FR254" s="117"/>
      <c r="FS254" s="117"/>
      <c r="FT254" s="117"/>
      <c r="FU254" s="117"/>
      <c r="FV254" s="117"/>
      <c r="FW254" s="117"/>
      <c r="FX254" s="117"/>
      <c r="FY254" s="117"/>
      <c r="FZ254" s="117"/>
      <c r="GA254" s="117"/>
      <c r="GB254" s="117"/>
      <c r="GC254" s="117"/>
      <c r="GD254" s="117"/>
      <c r="GE254" s="117"/>
      <c r="GF254" s="117"/>
      <c r="GG254" s="117"/>
      <c r="GH254" s="117"/>
      <c r="GI254" s="117"/>
      <c r="GJ254" s="117"/>
      <c r="GK254" s="117"/>
      <c r="GL254" s="117"/>
      <c r="GM254" s="117"/>
      <c r="GN254" s="117"/>
      <c r="GO254" s="117"/>
      <c r="GP254" s="117"/>
      <c r="GQ254" s="117"/>
      <c r="GR254" s="117"/>
      <c r="GS254" s="117"/>
      <c r="GT254" s="117"/>
      <c r="GU254" s="117"/>
      <c r="GV254" s="117"/>
      <c r="GW254" s="117"/>
      <c r="GX254" s="117"/>
      <c r="GY254" s="117"/>
      <c r="GZ254" s="117"/>
      <c r="HA254" s="117"/>
      <c r="HB254" s="117"/>
      <c r="HC254" s="117"/>
      <c r="HD254" s="117"/>
      <c r="HE254" s="117"/>
      <c r="HF254" s="117"/>
      <c r="HG254" s="117"/>
      <c r="HH254" s="117"/>
      <c r="HI254" s="117"/>
      <c r="HJ254" s="117"/>
      <c r="HK254" s="117"/>
      <c r="HL254" s="117"/>
      <c r="HM254" s="117"/>
      <c r="HN254" s="117"/>
      <c r="HO254" s="117"/>
      <c r="HP254" s="117"/>
      <c r="HQ254" s="117"/>
      <c r="HR254" s="117"/>
      <c r="HS254" s="117"/>
      <c r="HT254" s="117"/>
      <c r="HU254" s="117"/>
      <c r="HV254" s="117"/>
      <c r="HW254" s="117"/>
      <c r="HX254" s="117"/>
    </row>
    <row r="255" spans="1:232" ht="12.75" hidden="1" customHeight="1">
      <c r="AJ255" s="117"/>
      <c r="AK255" s="117"/>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c r="BF255" s="117"/>
      <c r="BG255" s="117"/>
      <c r="BH255" s="117"/>
      <c r="BI255" s="117"/>
      <c r="BJ255" s="117"/>
      <c r="BK255" s="117"/>
      <c r="BL255" s="117"/>
      <c r="BM255" s="117"/>
      <c r="BN255" s="117"/>
      <c r="BO255" s="117"/>
      <c r="BP255" s="117"/>
      <c r="BQ255" s="117"/>
      <c r="BR255" s="117"/>
      <c r="BS255" s="117"/>
      <c r="BT255" s="117"/>
      <c r="BU255" s="117"/>
      <c r="BV255" s="117"/>
      <c r="BW255" s="117"/>
      <c r="BX255" s="117"/>
      <c r="BY255" s="117"/>
      <c r="BZ255" s="117"/>
      <c r="CA255" s="117"/>
      <c r="CB255" s="117"/>
      <c r="CC255" s="117"/>
      <c r="CD255" s="117"/>
      <c r="CE255" s="117"/>
      <c r="CF255" s="117"/>
      <c r="CG255" s="117"/>
      <c r="CH255" s="117"/>
      <c r="CI255" s="117"/>
      <c r="CJ255" s="117"/>
      <c r="CK255" s="117"/>
      <c r="CL255" s="117"/>
      <c r="CM255" s="117"/>
      <c r="CN255" s="117"/>
      <c r="CO255" s="117"/>
      <c r="CP255" s="117"/>
      <c r="CQ255" s="117"/>
      <c r="CR255" s="117"/>
      <c r="CS255" s="117"/>
      <c r="CT255" s="117"/>
      <c r="CU255" s="117"/>
      <c r="CV255" s="117"/>
      <c r="CW255" s="117"/>
      <c r="CX255" s="117"/>
      <c r="CY255" s="117"/>
      <c r="CZ255" s="117"/>
      <c r="DA255" s="117"/>
      <c r="DB255" s="117"/>
      <c r="DC255" s="117"/>
      <c r="DD255" s="117"/>
      <c r="DE255" s="117"/>
      <c r="DF255" s="117"/>
      <c r="DG255" s="117"/>
      <c r="DH255" s="117"/>
      <c r="DI255" s="117"/>
      <c r="DJ255" s="117"/>
      <c r="DK255" s="117"/>
      <c r="DL255" s="117"/>
      <c r="DM255" s="117"/>
      <c r="DN255" s="117"/>
      <c r="DO255" s="117"/>
      <c r="DP255" s="117"/>
      <c r="DQ255" s="117"/>
      <c r="DR255" s="117"/>
      <c r="DS255" s="117"/>
      <c r="DT255" s="117"/>
      <c r="DU255" s="117"/>
      <c r="DV255" s="117"/>
      <c r="DW255" s="117"/>
      <c r="DX255" s="117"/>
      <c r="DY255" s="117"/>
      <c r="DZ255" s="117"/>
      <c r="EA255" s="117"/>
      <c r="EB255" s="117"/>
      <c r="EC255" s="117"/>
      <c r="ED255" s="117"/>
      <c r="EE255" s="117"/>
      <c r="EF255" s="117"/>
      <c r="EG255" s="117"/>
      <c r="EH255" s="117"/>
      <c r="EI255" s="117"/>
      <c r="EJ255" s="117"/>
      <c r="EK255" s="117"/>
      <c r="EL255" s="117"/>
      <c r="EM255" s="117"/>
      <c r="EN255" s="117"/>
      <c r="EO255" s="117"/>
      <c r="EP255" s="117"/>
      <c r="EQ255" s="117"/>
      <c r="ER255" s="117"/>
      <c r="ES255" s="117"/>
      <c r="ET255" s="117"/>
      <c r="EU255" s="117"/>
      <c r="EV255" s="117"/>
      <c r="EW255" s="117"/>
      <c r="EX255" s="117"/>
      <c r="EY255" s="117"/>
      <c r="EZ255" s="117"/>
      <c r="FA255" s="117"/>
      <c r="FB255" s="117"/>
      <c r="FC255" s="117"/>
      <c r="FD255" s="117"/>
      <c r="FE255" s="117"/>
      <c r="FF255" s="117"/>
      <c r="FG255" s="117"/>
      <c r="FH255" s="117"/>
      <c r="FI255" s="117"/>
      <c r="FJ255" s="117"/>
      <c r="FK255" s="117"/>
      <c r="FL255" s="117"/>
      <c r="FM255" s="117"/>
      <c r="FN255" s="117"/>
      <c r="FO255" s="117"/>
      <c r="FP255" s="117"/>
      <c r="FQ255" s="117"/>
      <c r="FR255" s="117"/>
      <c r="FS255" s="117"/>
      <c r="FT255" s="117"/>
      <c r="FU255" s="117"/>
      <c r="FV255" s="117"/>
      <c r="FW255" s="117"/>
      <c r="FX255" s="117"/>
      <c r="FY255" s="117"/>
      <c r="FZ255" s="117"/>
      <c r="GA255" s="117"/>
      <c r="GB255" s="117"/>
      <c r="GC255" s="117"/>
      <c r="GD255" s="117"/>
      <c r="GE255" s="117"/>
      <c r="GF255" s="117"/>
      <c r="GG255" s="117"/>
      <c r="GH255" s="117"/>
      <c r="GI255" s="117"/>
      <c r="GJ255" s="117"/>
      <c r="GK255" s="117"/>
      <c r="GL255" s="117"/>
      <c r="GM255" s="117"/>
      <c r="GN255" s="117"/>
      <c r="GO255" s="117"/>
      <c r="GP255" s="117"/>
      <c r="GQ255" s="117"/>
      <c r="GR255" s="117"/>
      <c r="GS255" s="117"/>
      <c r="GT255" s="117"/>
      <c r="GU255" s="117"/>
      <c r="GV255" s="117"/>
      <c r="GW255" s="117"/>
      <c r="GX255" s="117"/>
      <c r="GY255" s="117"/>
      <c r="GZ255" s="117"/>
      <c r="HA255" s="117"/>
      <c r="HB255" s="117"/>
      <c r="HC255" s="117"/>
      <c r="HD255" s="117"/>
      <c r="HE255" s="117"/>
      <c r="HF255" s="117"/>
      <c r="HG255" s="117"/>
      <c r="HH255" s="117"/>
      <c r="HI255" s="117"/>
      <c r="HJ255" s="117"/>
      <c r="HK255" s="117"/>
      <c r="HL255" s="117"/>
      <c r="HM255" s="117"/>
      <c r="HN255" s="117"/>
      <c r="HO255" s="117"/>
      <c r="HP255" s="117"/>
      <c r="HQ255" s="117"/>
      <c r="HR255" s="117"/>
      <c r="HS255" s="117"/>
      <c r="HT255" s="117"/>
      <c r="HU255" s="117"/>
      <c r="HV255" s="117"/>
      <c r="HW255" s="117"/>
      <c r="HX255" s="117"/>
    </row>
    <row r="256" spans="1:232" ht="12.75" hidden="1" customHeight="1">
      <c r="AJ256" s="117"/>
      <c r="AK256" s="117"/>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c r="BF256" s="117"/>
      <c r="BG256" s="117"/>
      <c r="BH256" s="117"/>
      <c r="BI256" s="117"/>
      <c r="BJ256" s="117"/>
      <c r="BK256" s="117"/>
      <c r="BL256" s="117"/>
      <c r="BM256" s="117"/>
      <c r="BN256" s="117"/>
      <c r="BO256" s="117"/>
      <c r="BP256" s="117"/>
      <c r="BQ256" s="117"/>
      <c r="BR256" s="117"/>
      <c r="BS256" s="117"/>
      <c r="BT256" s="117"/>
      <c r="BU256" s="117"/>
      <c r="BV256" s="117"/>
      <c r="BW256" s="117"/>
      <c r="BX256" s="117"/>
      <c r="BY256" s="117"/>
      <c r="BZ256" s="117"/>
      <c r="CA256" s="117"/>
      <c r="CB256" s="117"/>
      <c r="CC256" s="117"/>
      <c r="CD256" s="117"/>
      <c r="CE256" s="117"/>
      <c r="CF256" s="117"/>
      <c r="CG256" s="117"/>
      <c r="CH256" s="117"/>
      <c r="CI256" s="117"/>
      <c r="CJ256" s="117"/>
      <c r="CK256" s="117"/>
      <c r="CL256" s="117"/>
      <c r="CM256" s="117"/>
      <c r="CN256" s="117"/>
      <c r="CO256" s="117"/>
      <c r="CP256" s="117"/>
      <c r="CQ256" s="117"/>
      <c r="CR256" s="117"/>
      <c r="CS256" s="117"/>
      <c r="CT256" s="117"/>
      <c r="CU256" s="117"/>
      <c r="CV256" s="117"/>
      <c r="CW256" s="117"/>
      <c r="CX256" s="117"/>
      <c r="CY256" s="117"/>
      <c r="CZ256" s="117"/>
      <c r="DA256" s="117"/>
      <c r="DB256" s="117"/>
      <c r="DC256" s="117"/>
      <c r="DD256" s="117"/>
      <c r="DE256" s="117"/>
      <c r="DF256" s="117"/>
      <c r="DG256" s="117"/>
      <c r="DH256" s="117"/>
      <c r="DI256" s="117"/>
      <c r="DJ256" s="117"/>
      <c r="DK256" s="117"/>
      <c r="DL256" s="117"/>
      <c r="DM256" s="117"/>
      <c r="DN256" s="117"/>
      <c r="DO256" s="117"/>
      <c r="DP256" s="117"/>
      <c r="DQ256" s="117"/>
      <c r="DR256" s="117"/>
      <c r="DS256" s="117"/>
      <c r="DT256" s="117"/>
      <c r="DU256" s="117"/>
      <c r="DV256" s="117"/>
      <c r="DW256" s="117"/>
      <c r="DX256" s="117"/>
      <c r="DY256" s="117"/>
      <c r="DZ256" s="117"/>
      <c r="EA256" s="117"/>
      <c r="EB256" s="117"/>
      <c r="EC256" s="117"/>
      <c r="ED256" s="117"/>
      <c r="EE256" s="117"/>
      <c r="EF256" s="117"/>
      <c r="EG256" s="117"/>
      <c r="EH256" s="117"/>
      <c r="EI256" s="117"/>
      <c r="EJ256" s="117"/>
      <c r="EK256" s="117"/>
      <c r="EL256" s="117"/>
      <c r="EM256" s="117"/>
      <c r="EN256" s="117"/>
      <c r="EO256" s="117"/>
      <c r="EP256" s="117"/>
      <c r="EQ256" s="117"/>
      <c r="ER256" s="117"/>
      <c r="ES256" s="117"/>
      <c r="ET256" s="117"/>
      <c r="EU256" s="117"/>
      <c r="EV256" s="117"/>
      <c r="EW256" s="117"/>
      <c r="EX256" s="117"/>
      <c r="EY256" s="117"/>
      <c r="EZ256" s="117"/>
      <c r="FA256" s="117"/>
      <c r="FB256" s="117"/>
      <c r="FC256" s="117"/>
      <c r="FD256" s="117"/>
      <c r="FE256" s="117"/>
      <c r="FF256" s="117"/>
      <c r="FG256" s="117"/>
      <c r="FH256" s="117"/>
      <c r="FI256" s="117"/>
      <c r="FJ256" s="117"/>
      <c r="FK256" s="117"/>
      <c r="FL256" s="117"/>
      <c r="FM256" s="117"/>
      <c r="FN256" s="117"/>
      <c r="FO256" s="117"/>
      <c r="FP256" s="117"/>
      <c r="FQ256" s="117"/>
      <c r="FR256" s="117"/>
      <c r="FS256" s="117"/>
      <c r="FT256" s="117"/>
      <c r="FU256" s="117"/>
      <c r="FV256" s="117"/>
      <c r="FW256" s="117"/>
      <c r="FX256" s="117"/>
      <c r="FY256" s="117"/>
      <c r="FZ256" s="117"/>
      <c r="GA256" s="117"/>
      <c r="GB256" s="117"/>
      <c r="GC256" s="117"/>
      <c r="GD256" s="117"/>
      <c r="GE256" s="117"/>
      <c r="GF256" s="117"/>
      <c r="GG256" s="117"/>
      <c r="GH256" s="117"/>
      <c r="GI256" s="117"/>
      <c r="GJ256" s="117"/>
      <c r="GK256" s="117"/>
      <c r="GL256" s="117"/>
      <c r="GM256" s="117"/>
      <c r="GN256" s="117"/>
      <c r="GO256" s="117"/>
      <c r="GP256" s="117"/>
      <c r="GQ256" s="117"/>
      <c r="GR256" s="117"/>
      <c r="GS256" s="117"/>
      <c r="GT256" s="117"/>
      <c r="GU256" s="117"/>
      <c r="GV256" s="117"/>
      <c r="GW256" s="117"/>
      <c r="GX256" s="117"/>
      <c r="GY256" s="117"/>
      <c r="GZ256" s="117"/>
      <c r="HA256" s="117"/>
      <c r="HB256" s="117"/>
      <c r="HC256" s="117"/>
      <c r="HD256" s="117"/>
      <c r="HE256" s="117"/>
      <c r="HF256" s="117"/>
      <c r="HG256" s="117"/>
      <c r="HH256" s="117"/>
      <c r="HI256" s="117"/>
      <c r="HJ256" s="117"/>
      <c r="HK256" s="117"/>
      <c r="HL256" s="117"/>
      <c r="HM256" s="117"/>
      <c r="HN256" s="117"/>
      <c r="HO256" s="117"/>
      <c r="HP256" s="117"/>
      <c r="HQ256" s="117"/>
      <c r="HR256" s="117"/>
      <c r="HS256" s="117"/>
      <c r="HT256" s="117"/>
      <c r="HU256" s="117"/>
      <c r="HV256" s="117"/>
      <c r="HW256" s="117"/>
      <c r="HX256" s="117"/>
    </row>
    <row r="257" spans="36:232" ht="12.75" hidden="1" customHeight="1">
      <c r="AJ257" s="117"/>
      <c r="AK257" s="117"/>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c r="BF257" s="117"/>
      <c r="BG257" s="117"/>
      <c r="BH257" s="117"/>
      <c r="BI257" s="117"/>
      <c r="BJ257" s="117"/>
      <c r="BK257" s="117"/>
      <c r="BL257" s="117"/>
      <c r="BM257" s="117"/>
      <c r="BN257" s="117"/>
      <c r="BO257" s="117"/>
      <c r="BP257" s="117"/>
      <c r="BQ257" s="117"/>
      <c r="BR257" s="117"/>
      <c r="BS257" s="117"/>
      <c r="BT257" s="117"/>
      <c r="BU257" s="117"/>
      <c r="BV257" s="117"/>
      <c r="BW257" s="117"/>
      <c r="BX257" s="117"/>
      <c r="BY257" s="117"/>
      <c r="BZ257" s="117"/>
      <c r="CA257" s="117"/>
      <c r="CB257" s="117"/>
      <c r="CC257" s="117"/>
      <c r="CD257" s="117"/>
      <c r="CE257" s="117"/>
      <c r="CF257" s="117"/>
      <c r="CG257" s="117"/>
      <c r="CH257" s="117"/>
      <c r="CI257" s="117"/>
      <c r="CJ257" s="117"/>
      <c r="CK257" s="117"/>
      <c r="CL257" s="117"/>
      <c r="CM257" s="117"/>
      <c r="CN257" s="117"/>
      <c r="CO257" s="117"/>
      <c r="CP257" s="117"/>
      <c r="CQ257" s="117"/>
      <c r="CR257" s="117"/>
      <c r="CS257" s="117"/>
      <c r="CT257" s="117"/>
      <c r="CU257" s="117"/>
      <c r="CV257" s="117"/>
      <c r="CW257" s="117"/>
      <c r="CX257" s="117"/>
      <c r="CY257" s="117"/>
      <c r="CZ257" s="117"/>
      <c r="DA257" s="117"/>
      <c r="DB257" s="117"/>
      <c r="DC257" s="117"/>
      <c r="DD257" s="117"/>
      <c r="DE257" s="117"/>
      <c r="DF257" s="117"/>
      <c r="DG257" s="117"/>
      <c r="DH257" s="117"/>
      <c r="DI257" s="117"/>
      <c r="DJ257" s="117"/>
      <c r="DK257" s="117"/>
      <c r="DL257" s="117"/>
      <c r="DM257" s="117"/>
      <c r="DN257" s="117"/>
      <c r="DO257" s="117"/>
      <c r="DP257" s="117"/>
      <c r="DQ257" s="117"/>
      <c r="DR257" s="117"/>
      <c r="DS257" s="117"/>
      <c r="DT257" s="117"/>
      <c r="DU257" s="117"/>
      <c r="DV257" s="117"/>
      <c r="DW257" s="117"/>
      <c r="DX257" s="117"/>
      <c r="DY257" s="117"/>
      <c r="DZ257" s="117"/>
      <c r="EA257" s="117"/>
      <c r="EB257" s="117"/>
      <c r="EC257" s="117"/>
      <c r="ED257" s="117"/>
      <c r="EE257" s="117"/>
      <c r="EF257" s="117"/>
      <c r="EG257" s="117"/>
      <c r="EH257" s="117"/>
      <c r="EI257" s="117"/>
      <c r="EJ257" s="117"/>
      <c r="EK257" s="117"/>
      <c r="EL257" s="117"/>
      <c r="EM257" s="117"/>
      <c r="EN257" s="117"/>
      <c r="EO257" s="117"/>
      <c r="EP257" s="117"/>
      <c r="EQ257" s="117"/>
      <c r="ER257" s="117"/>
      <c r="ES257" s="117"/>
      <c r="ET257" s="117"/>
      <c r="EU257" s="117"/>
      <c r="EV257" s="117"/>
      <c r="EW257" s="117"/>
      <c r="EX257" s="117"/>
      <c r="EY257" s="117"/>
      <c r="EZ257" s="117"/>
      <c r="FA257" s="117"/>
      <c r="FB257" s="117"/>
      <c r="FC257" s="117"/>
      <c r="FD257" s="117"/>
      <c r="FE257" s="117"/>
      <c r="FF257" s="117"/>
      <c r="FG257" s="117"/>
      <c r="FH257" s="117"/>
      <c r="FI257" s="117"/>
      <c r="FJ257" s="117"/>
      <c r="FK257" s="117"/>
      <c r="FL257" s="117"/>
      <c r="FM257" s="117"/>
      <c r="FN257" s="117"/>
      <c r="FO257" s="117"/>
      <c r="FP257" s="117"/>
      <c r="FQ257" s="117"/>
      <c r="FR257" s="117"/>
      <c r="FS257" s="117"/>
      <c r="FT257" s="117"/>
      <c r="FU257" s="117"/>
      <c r="FV257" s="117"/>
      <c r="FW257" s="117"/>
      <c r="FX257" s="117"/>
      <c r="FY257" s="117"/>
      <c r="FZ257" s="117"/>
      <c r="GA257" s="117"/>
      <c r="GB257" s="117"/>
      <c r="GC257" s="117"/>
      <c r="GD257" s="117"/>
      <c r="GE257" s="117"/>
      <c r="GF257" s="117"/>
      <c r="GG257" s="117"/>
      <c r="GH257" s="117"/>
      <c r="GI257" s="117"/>
      <c r="GJ257" s="117"/>
      <c r="GK257" s="117"/>
      <c r="GL257" s="117"/>
      <c r="GM257" s="117"/>
      <c r="GN257" s="117"/>
      <c r="GO257" s="117"/>
      <c r="GP257" s="117"/>
      <c r="GQ257" s="117"/>
      <c r="GR257" s="117"/>
      <c r="GS257" s="117"/>
      <c r="GT257" s="117"/>
      <c r="GU257" s="117"/>
      <c r="GV257" s="117"/>
      <c r="GW257" s="117"/>
      <c r="GX257" s="117"/>
      <c r="GY257" s="117"/>
      <c r="GZ257" s="117"/>
      <c r="HA257" s="117"/>
      <c r="HB257" s="117"/>
      <c r="HC257" s="117"/>
      <c r="HD257" s="117"/>
      <c r="HE257" s="117"/>
      <c r="HF257" s="117"/>
      <c r="HG257" s="117"/>
      <c r="HH257" s="117"/>
      <c r="HI257" s="117"/>
      <c r="HJ257" s="117"/>
      <c r="HK257" s="117"/>
      <c r="HL257" s="117"/>
      <c r="HM257" s="117"/>
      <c r="HN257" s="117"/>
      <c r="HO257" s="117"/>
      <c r="HP257" s="117"/>
      <c r="HQ257" s="117"/>
      <c r="HR257" s="117"/>
      <c r="HS257" s="117"/>
      <c r="HT257" s="117"/>
      <c r="HU257" s="117"/>
      <c r="HV257" s="117"/>
      <c r="HW257" s="117"/>
      <c r="HX257" s="117"/>
    </row>
    <row r="258" spans="36:232" ht="12.75" hidden="1" customHeight="1">
      <c r="AJ258" s="117"/>
      <c r="AK258" s="117"/>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c r="BF258" s="117"/>
      <c r="BG258" s="117"/>
      <c r="BH258" s="117"/>
      <c r="BI258" s="117"/>
      <c r="BJ258" s="117"/>
      <c r="BK258" s="117"/>
      <c r="BL258" s="117"/>
      <c r="BM258" s="117"/>
      <c r="BN258" s="117"/>
      <c r="BO258" s="117"/>
      <c r="BP258" s="117"/>
      <c r="BQ258" s="117"/>
      <c r="BR258" s="117"/>
      <c r="BS258" s="117"/>
      <c r="BT258" s="117"/>
      <c r="BU258" s="117"/>
      <c r="BV258" s="117"/>
      <c r="BW258" s="117"/>
      <c r="BX258" s="117"/>
      <c r="BY258" s="117"/>
      <c r="BZ258" s="117"/>
      <c r="CA258" s="117"/>
      <c r="CB258" s="117"/>
      <c r="CC258" s="117"/>
      <c r="CD258" s="117"/>
      <c r="CE258" s="117"/>
      <c r="CF258" s="117"/>
      <c r="CG258" s="117"/>
      <c r="CH258" s="117"/>
      <c r="CI258" s="117"/>
      <c r="CJ258" s="117"/>
      <c r="CK258" s="117"/>
      <c r="CL258" s="117"/>
      <c r="CM258" s="117"/>
      <c r="CN258" s="117"/>
      <c r="CO258" s="117"/>
      <c r="CP258" s="117"/>
      <c r="CQ258" s="117"/>
      <c r="CR258" s="117"/>
      <c r="CS258" s="117"/>
      <c r="CT258" s="117"/>
      <c r="CU258" s="117"/>
      <c r="CV258" s="117"/>
      <c r="CW258" s="117"/>
      <c r="CX258" s="117"/>
      <c r="CY258" s="117"/>
      <c r="CZ258" s="117"/>
      <c r="DA258" s="117"/>
      <c r="DB258" s="117"/>
      <c r="DC258" s="117"/>
      <c r="DD258" s="117"/>
      <c r="DE258" s="117"/>
      <c r="DF258" s="117"/>
      <c r="DG258" s="117"/>
      <c r="DH258" s="117"/>
      <c r="DI258" s="117"/>
      <c r="DJ258" s="117"/>
      <c r="DK258" s="117"/>
      <c r="DL258" s="117"/>
      <c r="DM258" s="117"/>
      <c r="DN258" s="117"/>
      <c r="DO258" s="117"/>
      <c r="DP258" s="117"/>
      <c r="DQ258" s="117"/>
      <c r="DR258" s="117"/>
      <c r="DS258" s="117"/>
      <c r="DT258" s="117"/>
      <c r="DU258" s="117"/>
      <c r="DV258" s="117"/>
      <c r="DW258" s="117"/>
      <c r="DX258" s="117"/>
      <c r="DY258" s="117"/>
      <c r="DZ258" s="117"/>
      <c r="EA258" s="117"/>
      <c r="EB258" s="117"/>
      <c r="EC258" s="117"/>
      <c r="ED258" s="117"/>
      <c r="EE258" s="117"/>
      <c r="EF258" s="117"/>
      <c r="EG258" s="117"/>
      <c r="EH258" s="117"/>
      <c r="EI258" s="117"/>
      <c r="EJ258" s="117"/>
      <c r="EK258" s="117"/>
      <c r="EL258" s="117"/>
      <c r="EM258" s="117"/>
      <c r="EN258" s="117"/>
      <c r="EO258" s="117"/>
      <c r="EP258" s="117"/>
      <c r="EQ258" s="117"/>
      <c r="ER258" s="117"/>
      <c r="ES258" s="117"/>
      <c r="ET258" s="117"/>
      <c r="EU258" s="117"/>
      <c r="EV258" s="117"/>
      <c r="EW258" s="117"/>
      <c r="EX258" s="117"/>
      <c r="EY258" s="117"/>
      <c r="EZ258" s="117"/>
      <c r="FA258" s="117"/>
      <c r="FB258" s="117"/>
      <c r="FC258" s="117"/>
      <c r="FD258" s="117"/>
      <c r="FE258" s="117"/>
      <c r="FF258" s="117"/>
      <c r="FG258" s="117"/>
      <c r="FH258" s="117"/>
      <c r="FI258" s="117"/>
      <c r="FJ258" s="117"/>
      <c r="FK258" s="117"/>
      <c r="FL258" s="117"/>
      <c r="FM258" s="117"/>
      <c r="FN258" s="117"/>
      <c r="FO258" s="117"/>
      <c r="FP258" s="117"/>
      <c r="FQ258" s="117"/>
      <c r="FR258" s="117"/>
      <c r="FS258" s="117"/>
      <c r="FT258" s="117"/>
      <c r="FU258" s="117"/>
      <c r="FV258" s="117"/>
      <c r="FW258" s="117"/>
      <c r="FX258" s="117"/>
      <c r="FY258" s="117"/>
      <c r="FZ258" s="117"/>
      <c r="GA258" s="117"/>
      <c r="GB258" s="117"/>
      <c r="GC258" s="117"/>
      <c r="GD258" s="117"/>
      <c r="GE258" s="117"/>
      <c r="GF258" s="117"/>
      <c r="GG258" s="117"/>
      <c r="GH258" s="117"/>
      <c r="GI258" s="117"/>
      <c r="GJ258" s="117"/>
      <c r="GK258" s="117"/>
      <c r="GL258" s="117"/>
      <c r="GM258" s="117"/>
      <c r="GN258" s="117"/>
      <c r="GO258" s="117"/>
      <c r="GP258" s="117"/>
      <c r="GQ258" s="117"/>
      <c r="GR258" s="117"/>
      <c r="GS258" s="117"/>
      <c r="GT258" s="117"/>
      <c r="GU258" s="117"/>
      <c r="GV258" s="117"/>
      <c r="GW258" s="117"/>
      <c r="GX258" s="117"/>
      <c r="GY258" s="117"/>
      <c r="GZ258" s="117"/>
      <c r="HA258" s="117"/>
      <c r="HB258" s="117"/>
      <c r="HC258" s="117"/>
      <c r="HD258" s="117"/>
      <c r="HE258" s="117"/>
      <c r="HF258" s="117"/>
      <c r="HG258" s="117"/>
      <c r="HH258" s="117"/>
      <c r="HI258" s="117"/>
      <c r="HJ258" s="117"/>
      <c r="HK258" s="117"/>
      <c r="HL258" s="117"/>
      <c r="HM258" s="117"/>
      <c r="HN258" s="117"/>
      <c r="HO258" s="117"/>
      <c r="HP258" s="117"/>
      <c r="HQ258" s="117"/>
      <c r="HR258" s="117"/>
      <c r="HS258" s="117"/>
      <c r="HT258" s="117"/>
      <c r="HU258" s="117"/>
      <c r="HV258" s="117"/>
      <c r="HW258" s="117"/>
      <c r="HX258" s="117"/>
    </row>
    <row r="259" spans="36:232" ht="12.75" hidden="1" customHeight="1">
      <c r="AJ259" s="117"/>
      <c r="AK259" s="117"/>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c r="BF259" s="117"/>
      <c r="BG259" s="117"/>
      <c r="BH259" s="117"/>
      <c r="BI259" s="117"/>
      <c r="BJ259" s="117"/>
      <c r="BK259" s="117"/>
      <c r="BL259" s="117"/>
      <c r="BM259" s="117"/>
      <c r="BN259" s="117"/>
      <c r="BO259" s="117"/>
      <c r="BP259" s="117"/>
      <c r="BQ259" s="117"/>
      <c r="BR259" s="117"/>
      <c r="BS259" s="117"/>
      <c r="BT259" s="117"/>
      <c r="BU259" s="117"/>
      <c r="BV259" s="117"/>
      <c r="BW259" s="117"/>
      <c r="BX259" s="117"/>
      <c r="BY259" s="117"/>
      <c r="BZ259" s="117"/>
      <c r="CA259" s="117"/>
      <c r="CB259" s="117"/>
      <c r="CC259" s="117"/>
      <c r="CD259" s="117"/>
      <c r="CE259" s="117"/>
      <c r="CF259" s="117"/>
      <c r="CG259" s="117"/>
      <c r="CH259" s="117"/>
      <c r="CI259" s="117"/>
      <c r="CJ259" s="117"/>
      <c r="CK259" s="117"/>
      <c r="CL259" s="117"/>
      <c r="CM259" s="117"/>
      <c r="CN259" s="117"/>
      <c r="CO259" s="117"/>
      <c r="CP259" s="117"/>
      <c r="CQ259" s="117"/>
      <c r="CR259" s="117"/>
      <c r="CS259" s="117"/>
      <c r="CT259" s="117"/>
      <c r="CU259" s="117"/>
      <c r="CV259" s="117"/>
      <c r="CW259" s="117"/>
      <c r="CX259" s="117"/>
      <c r="CY259" s="117"/>
      <c r="CZ259" s="117"/>
      <c r="DA259" s="117"/>
      <c r="DB259" s="117"/>
      <c r="DC259" s="117"/>
      <c r="DD259" s="117"/>
      <c r="DE259" s="117"/>
      <c r="DF259" s="117"/>
      <c r="DG259" s="117"/>
      <c r="DH259" s="117"/>
      <c r="DI259" s="117"/>
      <c r="DJ259" s="117"/>
      <c r="DK259" s="117"/>
      <c r="DL259" s="117"/>
      <c r="DM259" s="117"/>
      <c r="DN259" s="117"/>
      <c r="DO259" s="117"/>
      <c r="DP259" s="117"/>
      <c r="DQ259" s="117"/>
      <c r="DR259" s="117"/>
      <c r="DS259" s="117"/>
      <c r="DT259" s="117"/>
      <c r="DU259" s="117"/>
      <c r="DV259" s="117"/>
      <c r="DW259" s="117"/>
      <c r="DX259" s="117"/>
      <c r="DY259" s="117"/>
      <c r="DZ259" s="117"/>
      <c r="EA259" s="117"/>
      <c r="EB259" s="117"/>
      <c r="EC259" s="117"/>
      <c r="ED259" s="117"/>
      <c r="EE259" s="117"/>
      <c r="EF259" s="117"/>
      <c r="EG259" s="117"/>
      <c r="EH259" s="117"/>
      <c r="EI259" s="117"/>
      <c r="EJ259" s="117"/>
      <c r="EK259" s="117"/>
      <c r="EL259" s="117"/>
      <c r="EM259" s="117"/>
      <c r="EN259" s="117"/>
      <c r="EO259" s="117"/>
      <c r="EP259" s="117"/>
      <c r="EQ259" s="117"/>
      <c r="ER259" s="117"/>
      <c r="ES259" s="117"/>
      <c r="ET259" s="117"/>
      <c r="EU259" s="117"/>
      <c r="EV259" s="117"/>
      <c r="EW259" s="117"/>
      <c r="EX259" s="117"/>
      <c r="EY259" s="117"/>
      <c r="EZ259" s="117"/>
      <c r="FA259" s="117"/>
      <c r="FB259" s="117"/>
      <c r="FC259" s="117"/>
      <c r="FD259" s="117"/>
      <c r="FE259" s="117"/>
      <c r="FF259" s="117"/>
      <c r="FG259" s="117"/>
      <c r="FH259" s="117"/>
      <c r="FI259" s="117"/>
      <c r="FJ259" s="117"/>
      <c r="FK259" s="117"/>
      <c r="FL259" s="117"/>
      <c r="FM259" s="117"/>
      <c r="FN259" s="117"/>
      <c r="FO259" s="117"/>
      <c r="FP259" s="117"/>
      <c r="FQ259" s="117"/>
      <c r="FR259" s="117"/>
      <c r="FS259" s="117"/>
      <c r="FT259" s="117"/>
      <c r="FU259" s="117"/>
      <c r="FV259" s="117"/>
      <c r="FW259" s="117"/>
      <c r="FX259" s="117"/>
      <c r="FY259" s="117"/>
      <c r="FZ259" s="117"/>
      <c r="GA259" s="117"/>
      <c r="GB259" s="117"/>
      <c r="GC259" s="117"/>
      <c r="GD259" s="117"/>
      <c r="GE259" s="117"/>
      <c r="GF259" s="117"/>
      <c r="GG259" s="117"/>
      <c r="GH259" s="117"/>
      <c r="GI259" s="117"/>
      <c r="GJ259" s="117"/>
      <c r="GK259" s="117"/>
      <c r="GL259" s="117"/>
      <c r="GM259" s="117"/>
      <c r="GN259" s="117"/>
      <c r="GO259" s="117"/>
      <c r="GP259" s="117"/>
      <c r="GQ259" s="117"/>
      <c r="GR259" s="117"/>
      <c r="GS259" s="117"/>
      <c r="GT259" s="117"/>
      <c r="GU259" s="117"/>
      <c r="GV259" s="117"/>
      <c r="GW259" s="117"/>
      <c r="GX259" s="117"/>
      <c r="GY259" s="117"/>
      <c r="GZ259" s="117"/>
      <c r="HA259" s="117"/>
      <c r="HB259" s="117"/>
      <c r="HC259" s="117"/>
      <c r="HD259" s="117"/>
      <c r="HE259" s="117"/>
      <c r="HF259" s="117"/>
      <c r="HG259" s="117"/>
      <c r="HH259" s="117"/>
      <c r="HI259" s="117"/>
      <c r="HJ259" s="117"/>
      <c r="HK259" s="117"/>
      <c r="HL259" s="117"/>
      <c r="HM259" s="117"/>
      <c r="HN259" s="117"/>
      <c r="HO259" s="117"/>
      <c r="HP259" s="117"/>
      <c r="HQ259" s="117"/>
      <c r="HR259" s="117"/>
      <c r="HS259" s="117"/>
      <c r="HT259" s="117"/>
      <c r="HU259" s="117"/>
      <c r="HV259" s="117"/>
      <c r="HW259" s="117"/>
      <c r="HX259" s="117"/>
    </row>
    <row r="260" spans="36:232" ht="12.75" hidden="1" customHeight="1">
      <c r="AJ260" s="116"/>
      <c r="AK260" s="116"/>
      <c r="AL260" s="116"/>
      <c r="AM260" s="116"/>
      <c r="AN260" s="116"/>
      <c r="AO260" s="116"/>
      <c r="AP260" s="116"/>
      <c r="AQ260" s="273"/>
      <c r="AR260" s="273"/>
      <c r="AS260" s="273"/>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273"/>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273"/>
      <c r="DH260" s="273"/>
      <c r="DI260" s="273"/>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273"/>
      <c r="FF260" s="273"/>
      <c r="FG260" s="273"/>
      <c r="FH260" s="273"/>
      <c r="FI260" s="273"/>
      <c r="FJ260" s="273"/>
    </row>
    <row r="261" spans="36:232" ht="12.75" hidden="1" customHeight="1">
      <c r="AJ261" s="116"/>
      <c r="AK261" s="116"/>
      <c r="AL261" s="116"/>
      <c r="AM261" s="116"/>
      <c r="AN261" s="116"/>
      <c r="AO261" s="116"/>
      <c r="AP261" s="116"/>
      <c r="AQ261" s="273"/>
      <c r="AR261" s="273"/>
      <c r="AS261" s="273"/>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273"/>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273"/>
      <c r="DH261" s="273"/>
      <c r="DI261" s="273"/>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273"/>
      <c r="FF261" s="273"/>
      <c r="FG261" s="273"/>
      <c r="FH261" s="273"/>
      <c r="FI261" s="273"/>
      <c r="FJ261" s="273"/>
    </row>
    <row r="262" spans="36:232" ht="12.75" hidden="1" customHeight="1">
      <c r="AJ262" s="116"/>
      <c r="AK262" s="116"/>
      <c r="AL262" s="116"/>
      <c r="AM262" s="116"/>
      <c r="AN262" s="116"/>
      <c r="AO262" s="116"/>
      <c r="AP262" s="116"/>
      <c r="AQ262" s="273"/>
      <c r="AR262" s="273"/>
      <c r="AS262" s="273"/>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273"/>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273"/>
      <c r="DH262" s="273"/>
      <c r="DI262" s="273"/>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273"/>
      <c r="FF262" s="273"/>
      <c r="FG262" s="273"/>
      <c r="FH262" s="273"/>
      <c r="FI262" s="273"/>
      <c r="FJ262" s="273"/>
    </row>
    <row r="263" spans="36:232" ht="12.75" hidden="1" customHeight="1">
      <c r="AJ263" s="116"/>
      <c r="AK263" s="116"/>
      <c r="AL263" s="116"/>
      <c r="AM263" s="116"/>
      <c r="AN263" s="116"/>
      <c r="AO263" s="116"/>
      <c r="AP263" s="116"/>
      <c r="AQ263" s="273"/>
      <c r="AR263" s="273"/>
      <c r="AS263" s="273"/>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273"/>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273"/>
      <c r="DH263" s="273"/>
      <c r="DI263" s="273"/>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273"/>
      <c r="FF263" s="273"/>
      <c r="FG263" s="273"/>
      <c r="FH263" s="273"/>
      <c r="FI263" s="273"/>
      <c r="FJ263" s="273"/>
    </row>
    <row r="264" spans="36:232" ht="12.75" hidden="1" customHeight="1">
      <c r="AJ264" s="116"/>
      <c r="AK264" s="116"/>
      <c r="AL264" s="116"/>
      <c r="AM264" s="116"/>
      <c r="AN264" s="116"/>
      <c r="AO264" s="116"/>
      <c r="AP264" s="116"/>
      <c r="AQ264" s="273"/>
      <c r="AR264" s="273"/>
      <c r="AS264" s="273"/>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273"/>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273"/>
      <c r="DH264" s="273"/>
      <c r="DI264" s="273"/>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273"/>
      <c r="FF264" s="273"/>
      <c r="FG264" s="273"/>
      <c r="FH264" s="273"/>
      <c r="FI264" s="273"/>
      <c r="FJ264" s="273"/>
    </row>
    <row r="265" spans="36:232" ht="12.75" hidden="1" customHeight="1">
      <c r="AJ265" s="116"/>
      <c r="AK265" s="116"/>
      <c r="AL265" s="116"/>
      <c r="AM265" s="116"/>
      <c r="AN265" s="116"/>
      <c r="AO265" s="116"/>
      <c r="AP265" s="116"/>
      <c r="AQ265" s="273"/>
      <c r="AR265" s="273"/>
      <c r="AS265" s="273"/>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273"/>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273"/>
      <c r="DH265" s="273"/>
      <c r="DI265" s="273"/>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273"/>
      <c r="FF265" s="273"/>
      <c r="FG265" s="273"/>
      <c r="FH265" s="273"/>
      <c r="FI265" s="273"/>
      <c r="FJ265" s="273"/>
    </row>
    <row r="266" spans="36:232" ht="12.75" hidden="1" customHeight="1">
      <c r="AJ266" s="116"/>
      <c r="AK266" s="116"/>
      <c r="AL266" s="116"/>
      <c r="AM266" s="116"/>
      <c r="AN266" s="116"/>
      <c r="AO266" s="116"/>
      <c r="AP266" s="116"/>
      <c r="AQ266" s="273"/>
      <c r="AR266" s="273"/>
      <c r="AS266" s="273"/>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273"/>
      <c r="BW266" s="273"/>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273"/>
      <c r="DH266" s="273"/>
      <c r="DI266" s="273"/>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273"/>
      <c r="FF266" s="273"/>
      <c r="FG266" s="273"/>
      <c r="FH266" s="273"/>
      <c r="FI266" s="273"/>
      <c r="FJ266" s="273"/>
    </row>
    <row r="267" spans="36:232" ht="12.75" hidden="1" customHeight="1">
      <c r="AJ267" s="116"/>
      <c r="AK267" s="116"/>
      <c r="AL267" s="116"/>
      <c r="AM267" s="116"/>
      <c r="AN267" s="116"/>
      <c r="AO267" s="116"/>
      <c r="AP267" s="116"/>
      <c r="AQ267" s="273"/>
      <c r="AR267" s="273"/>
      <c r="AS267" s="273"/>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273"/>
      <c r="BW267" s="273"/>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273"/>
      <c r="DH267" s="273"/>
      <c r="DI267" s="273"/>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273"/>
      <c r="FF267" s="273"/>
      <c r="FG267" s="273"/>
      <c r="FH267" s="273"/>
      <c r="FI267" s="273"/>
      <c r="FJ267" s="273"/>
    </row>
    <row r="268" spans="36:232" ht="12.75" hidden="1" customHeight="1">
      <c r="AJ268" s="116"/>
      <c r="AK268" s="116"/>
      <c r="AL268" s="116"/>
      <c r="AM268" s="116"/>
      <c r="AN268" s="116"/>
      <c r="AO268" s="116"/>
      <c r="AP268" s="116"/>
      <c r="AQ268" s="273"/>
      <c r="AR268" s="273"/>
      <c r="AS268" s="273"/>
      <c r="AT268" s="273"/>
      <c r="AU268" s="273"/>
      <c r="AV268" s="273"/>
      <c r="AW268" s="273"/>
      <c r="AX268" s="273"/>
      <c r="AY268" s="273"/>
      <c r="AZ268" s="273"/>
      <c r="BA268" s="273"/>
      <c r="BB268" s="273"/>
      <c r="BC268" s="273"/>
      <c r="BD268" s="273"/>
      <c r="BE268" s="273"/>
      <c r="BF268" s="273"/>
      <c r="BG268" s="273"/>
      <c r="BH268" s="273"/>
      <c r="BI268" s="273"/>
      <c r="BJ268" s="273"/>
      <c r="BK268" s="273"/>
      <c r="BL268" s="273"/>
      <c r="BM268" s="273"/>
      <c r="BN268" s="273"/>
      <c r="BO268" s="273"/>
      <c r="BP268" s="273"/>
      <c r="BQ268" s="273"/>
      <c r="BR268" s="273"/>
      <c r="BS268" s="273"/>
      <c r="BT268" s="273"/>
      <c r="BU268" s="273"/>
      <c r="BV268" s="273"/>
      <c r="BW268" s="273"/>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273"/>
      <c r="DH268" s="273"/>
      <c r="DI268" s="273"/>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273"/>
      <c r="FF268" s="273"/>
      <c r="FG268" s="273"/>
      <c r="FH268" s="273"/>
      <c r="FI268" s="273"/>
      <c r="FJ268" s="273"/>
    </row>
    <row r="269" spans="36:232" ht="12.75" hidden="1" customHeight="1">
      <c r="AJ269" s="116"/>
      <c r="AK269" s="116"/>
      <c r="AL269" s="116"/>
      <c r="AM269" s="116"/>
      <c r="AN269" s="116"/>
      <c r="AO269" s="116"/>
      <c r="AP269" s="116"/>
      <c r="AQ269" s="273"/>
      <c r="AR269" s="273"/>
      <c r="AS269" s="273"/>
      <c r="AT269" s="273"/>
      <c r="AU269" s="273"/>
      <c r="AV269" s="273"/>
      <c r="AW269" s="273"/>
      <c r="AX269" s="273"/>
      <c r="AY269" s="273"/>
      <c r="AZ269" s="273"/>
      <c r="BA269" s="273"/>
      <c r="BB269" s="273"/>
      <c r="BC269" s="273"/>
      <c r="BD269" s="273"/>
      <c r="BE269" s="273"/>
      <c r="BF269" s="273"/>
      <c r="BG269" s="273"/>
      <c r="BH269" s="273"/>
      <c r="BI269" s="273"/>
      <c r="BJ269" s="273"/>
      <c r="BK269" s="273"/>
      <c r="BL269" s="273"/>
      <c r="BM269" s="273"/>
      <c r="BN269" s="273"/>
      <c r="BO269" s="273"/>
      <c r="BP269" s="273"/>
      <c r="BQ269" s="273"/>
      <c r="BR269" s="273"/>
      <c r="BS269" s="273"/>
      <c r="BT269" s="273"/>
      <c r="BU269" s="273"/>
      <c r="BV269" s="273"/>
      <c r="BW269" s="273"/>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273"/>
      <c r="DH269" s="273"/>
      <c r="DI269" s="273"/>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273"/>
      <c r="FF269" s="273"/>
      <c r="FG269" s="273"/>
      <c r="FH269" s="273"/>
      <c r="FI269" s="273"/>
      <c r="FJ269" s="273"/>
    </row>
    <row r="270" spans="36:232" ht="12.75" hidden="1" customHeight="1">
      <c r="AJ270" s="116"/>
      <c r="AK270" s="116"/>
      <c r="AL270" s="116"/>
      <c r="AM270" s="116"/>
      <c r="AN270" s="116"/>
      <c r="AO270" s="116"/>
      <c r="AP270" s="116"/>
      <c r="AQ270" s="273"/>
      <c r="AR270" s="273"/>
      <c r="AS270" s="273"/>
      <c r="AT270" s="273"/>
      <c r="AU270" s="273"/>
      <c r="AV270" s="273"/>
      <c r="AW270" s="273"/>
      <c r="AX270" s="273"/>
      <c r="AY270" s="273"/>
      <c r="AZ270" s="273"/>
      <c r="BA270" s="273"/>
      <c r="BB270" s="273"/>
      <c r="BC270" s="273"/>
      <c r="BD270" s="273"/>
      <c r="BE270" s="273"/>
      <c r="BF270" s="273"/>
      <c r="BG270" s="273"/>
      <c r="BH270" s="273"/>
      <c r="BI270" s="273"/>
      <c r="BJ270" s="273"/>
      <c r="BK270" s="273"/>
      <c r="BL270" s="273"/>
      <c r="BM270" s="273"/>
      <c r="BN270" s="273"/>
      <c r="BO270" s="273"/>
      <c r="BP270" s="273"/>
      <c r="BQ270" s="273"/>
      <c r="BR270" s="273"/>
      <c r="BS270" s="273"/>
      <c r="BT270" s="273"/>
      <c r="BU270" s="273"/>
      <c r="BV270" s="273"/>
      <c r="BW270" s="273"/>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c r="DD270" s="273"/>
      <c r="DE270" s="273"/>
      <c r="DF270" s="273"/>
      <c r="DG270" s="273"/>
      <c r="DH270" s="273"/>
      <c r="DI270" s="273"/>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273"/>
      <c r="FF270" s="273"/>
      <c r="FG270" s="273"/>
      <c r="FH270" s="273"/>
      <c r="FI270" s="273"/>
      <c r="FJ270" s="273"/>
    </row>
    <row r="271" spans="36:232" ht="12.75" hidden="1" customHeight="1">
      <c r="AJ271" s="116"/>
      <c r="AK271" s="116"/>
      <c r="AL271" s="116"/>
      <c r="AM271" s="116"/>
      <c r="AN271" s="116"/>
      <c r="AO271" s="116"/>
      <c r="AP271" s="116"/>
      <c r="AQ271" s="273"/>
      <c r="AR271" s="273"/>
      <c r="AS271" s="273"/>
      <c r="AT271" s="273"/>
      <c r="AU271" s="273"/>
      <c r="AV271" s="273"/>
      <c r="AW271" s="273"/>
      <c r="AX271" s="273"/>
      <c r="AY271" s="273"/>
      <c r="AZ271" s="273"/>
      <c r="BA271" s="273"/>
      <c r="BB271" s="273"/>
      <c r="BC271" s="273"/>
      <c r="BD271" s="273"/>
      <c r="BE271" s="273"/>
      <c r="BF271" s="273"/>
      <c r="BG271" s="273"/>
      <c r="BH271" s="273"/>
      <c r="BI271" s="273"/>
      <c r="BJ271" s="273"/>
      <c r="BK271" s="273"/>
      <c r="BL271" s="273"/>
      <c r="BM271" s="273"/>
      <c r="BN271" s="273"/>
      <c r="BO271" s="273"/>
      <c r="BP271" s="273"/>
      <c r="BQ271" s="273"/>
      <c r="BR271" s="273"/>
      <c r="BS271" s="273"/>
      <c r="BT271" s="273"/>
      <c r="BU271" s="273"/>
      <c r="BV271" s="273"/>
      <c r="BW271" s="273"/>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c r="DE271" s="273"/>
      <c r="DF271" s="273"/>
      <c r="DG271" s="273"/>
      <c r="DH271" s="273"/>
      <c r="DI271" s="273"/>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273"/>
      <c r="FF271" s="273"/>
      <c r="FG271" s="273"/>
      <c r="FH271" s="273"/>
      <c r="FI271" s="273"/>
      <c r="FJ271" s="273"/>
    </row>
    <row r="272" spans="36:232" ht="12.75" hidden="1" customHeight="1">
      <c r="AJ272" s="116"/>
      <c r="AK272" s="116"/>
      <c r="AL272" s="116"/>
      <c r="AM272" s="116"/>
      <c r="AN272" s="116"/>
      <c r="AO272" s="116"/>
      <c r="AP272" s="116"/>
      <c r="AQ272" s="273"/>
      <c r="AR272" s="273"/>
      <c r="AS272" s="273"/>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273"/>
      <c r="BW272" s="273"/>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273"/>
      <c r="DH272" s="273"/>
      <c r="DI272" s="273"/>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273"/>
      <c r="FF272" s="273"/>
      <c r="FG272" s="273"/>
      <c r="FH272" s="273"/>
      <c r="FI272" s="273"/>
      <c r="FJ272" s="273"/>
    </row>
    <row r="273" spans="36:166" ht="12.75" hidden="1" customHeight="1">
      <c r="AJ273" s="116"/>
      <c r="AK273" s="116"/>
      <c r="AL273" s="116"/>
      <c r="AM273" s="116"/>
      <c r="AN273" s="116"/>
      <c r="AO273" s="116"/>
      <c r="AP273" s="116"/>
      <c r="AQ273" s="273"/>
      <c r="AR273" s="273"/>
      <c r="AS273" s="273"/>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273"/>
      <c r="BW273" s="273"/>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273"/>
      <c r="DH273" s="273"/>
      <c r="DI273" s="273"/>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273"/>
      <c r="FF273" s="273"/>
      <c r="FG273" s="273"/>
      <c r="FH273" s="273"/>
      <c r="FI273" s="273"/>
      <c r="FJ273" s="273"/>
    </row>
    <row r="274" spans="36:166" ht="12.75" hidden="1" customHeight="1">
      <c r="AJ274" s="116"/>
      <c r="AK274" s="116"/>
      <c r="AL274" s="116"/>
      <c r="AM274" s="116"/>
      <c r="AN274" s="116"/>
      <c r="AO274" s="116"/>
      <c r="AP274" s="116"/>
      <c r="AQ274" s="273"/>
      <c r="AR274" s="273"/>
      <c r="AS274" s="273"/>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273"/>
      <c r="BW274" s="273"/>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273"/>
      <c r="DH274" s="273"/>
      <c r="DI274" s="273"/>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273"/>
      <c r="FF274" s="273"/>
      <c r="FG274" s="273"/>
      <c r="FH274" s="273"/>
      <c r="FI274" s="273"/>
      <c r="FJ274" s="273"/>
    </row>
    <row r="275" spans="36:166" ht="12.75" hidden="1" customHeight="1">
      <c r="AJ275" s="116"/>
      <c r="AK275" s="116"/>
      <c r="AL275" s="116"/>
      <c r="AM275" s="116"/>
      <c r="AN275" s="116"/>
      <c r="AO275" s="116"/>
      <c r="AP275" s="116"/>
      <c r="AQ275" s="273"/>
      <c r="AR275" s="273"/>
      <c r="AS275" s="273"/>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273"/>
      <c r="BW275" s="273"/>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273"/>
      <c r="DH275" s="273"/>
      <c r="DI275" s="273"/>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273"/>
      <c r="FF275" s="273"/>
      <c r="FG275" s="273"/>
      <c r="FH275" s="273"/>
      <c r="FI275" s="273"/>
      <c r="FJ275" s="273"/>
    </row>
    <row r="276" spans="36:166" ht="12.75" hidden="1" customHeight="1">
      <c r="AJ276" s="116"/>
      <c r="AK276" s="116"/>
      <c r="AL276" s="116"/>
      <c r="AM276" s="116"/>
      <c r="AN276" s="116"/>
      <c r="AO276" s="116"/>
      <c r="AP276" s="116"/>
      <c r="AQ276" s="273"/>
      <c r="AR276" s="273"/>
      <c r="AS276" s="273"/>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273"/>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273"/>
      <c r="DH276" s="273"/>
      <c r="DI276" s="273"/>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273"/>
      <c r="FF276" s="273"/>
      <c r="FG276" s="273"/>
      <c r="FH276" s="273"/>
      <c r="FI276" s="273"/>
      <c r="FJ276" s="273"/>
    </row>
    <row r="277" spans="36:166" ht="12.75" hidden="1" customHeight="1">
      <c r="AJ277" s="116"/>
      <c r="AK277" s="116"/>
      <c r="AL277" s="116"/>
      <c r="AM277" s="116"/>
      <c r="AN277" s="116"/>
      <c r="AO277" s="116"/>
      <c r="AP277" s="116"/>
      <c r="AQ277" s="273"/>
      <c r="AR277" s="273"/>
      <c r="AS277" s="273"/>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273"/>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273"/>
      <c r="DH277" s="273"/>
      <c r="DI277" s="273"/>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273"/>
      <c r="FF277" s="273"/>
      <c r="FG277" s="273"/>
      <c r="FH277" s="273"/>
      <c r="FI277" s="273"/>
      <c r="FJ277" s="273"/>
    </row>
    <row r="278" spans="36:166" ht="12.75" hidden="1" customHeight="1">
      <c r="AJ278" s="116"/>
      <c r="AK278" s="116"/>
      <c r="AL278" s="116"/>
      <c r="AM278" s="116"/>
      <c r="AN278" s="116"/>
      <c r="AO278" s="116"/>
      <c r="AP278" s="116"/>
      <c r="AQ278" s="273"/>
      <c r="AR278" s="273"/>
      <c r="AS278" s="273"/>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273"/>
      <c r="BW278" s="273"/>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273"/>
      <c r="DH278" s="273"/>
      <c r="DI278" s="273"/>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273"/>
      <c r="FF278" s="273"/>
      <c r="FG278" s="273"/>
      <c r="FH278" s="273"/>
      <c r="FI278" s="273"/>
      <c r="FJ278" s="273"/>
    </row>
    <row r="279" spans="36:166" ht="12.75" hidden="1" customHeight="1">
      <c r="AJ279" s="116"/>
      <c r="AK279" s="116"/>
      <c r="AL279" s="116"/>
      <c r="AM279" s="116"/>
      <c r="AN279" s="116"/>
      <c r="AO279" s="116"/>
      <c r="AP279" s="116"/>
      <c r="AQ279" s="273"/>
      <c r="AR279" s="273"/>
      <c r="AS279" s="273"/>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273"/>
      <c r="BW279" s="273"/>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273"/>
      <c r="DH279" s="273"/>
      <c r="DI279" s="273"/>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273"/>
      <c r="FF279" s="273"/>
      <c r="FG279" s="273"/>
      <c r="FH279" s="273"/>
      <c r="FI279" s="273"/>
      <c r="FJ279" s="273"/>
    </row>
    <row r="280" spans="36:166" ht="12.75" hidden="1" customHeight="1">
      <c r="AJ280" s="116"/>
      <c r="AK280" s="116"/>
      <c r="AL280" s="116"/>
      <c r="AM280" s="116"/>
      <c r="AN280" s="116"/>
      <c r="AO280" s="116"/>
      <c r="AP280" s="116"/>
      <c r="AQ280" s="273"/>
      <c r="AR280" s="273"/>
      <c r="AS280" s="273"/>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273"/>
      <c r="BW280" s="273"/>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273"/>
      <c r="DH280" s="273"/>
      <c r="DI280" s="273"/>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273"/>
      <c r="FF280" s="273"/>
      <c r="FG280" s="273"/>
      <c r="FH280" s="273"/>
      <c r="FI280" s="273"/>
      <c r="FJ280" s="273"/>
    </row>
    <row r="281" spans="36:166" ht="12.75" hidden="1" customHeight="1">
      <c r="AJ281" s="116"/>
      <c r="AK281" s="116"/>
      <c r="AL281" s="116"/>
      <c r="AM281" s="116"/>
      <c r="AN281" s="116"/>
      <c r="AO281" s="116"/>
      <c r="AP281" s="116"/>
      <c r="AQ281" s="273"/>
      <c r="AR281" s="273"/>
      <c r="AS281" s="273"/>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273"/>
      <c r="BW281" s="273"/>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273"/>
      <c r="DH281" s="273"/>
      <c r="DI281" s="273"/>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273"/>
      <c r="FF281" s="273"/>
      <c r="FG281" s="273"/>
      <c r="FH281" s="273"/>
      <c r="FI281" s="273"/>
      <c r="FJ281" s="273"/>
    </row>
    <row r="282" spans="36:166" ht="12.75" hidden="1" customHeight="1">
      <c r="AJ282" s="116"/>
      <c r="AK282" s="116"/>
      <c r="AL282" s="116"/>
      <c r="AM282" s="116"/>
      <c r="AN282" s="116"/>
      <c r="AO282" s="116"/>
      <c r="AP282" s="116"/>
      <c r="AQ282" s="273"/>
      <c r="AR282" s="273"/>
      <c r="AS282" s="273"/>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273"/>
      <c r="BW282" s="273"/>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273"/>
      <c r="DH282" s="273"/>
      <c r="DI282" s="273"/>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273"/>
      <c r="FF282" s="273"/>
      <c r="FG282" s="273"/>
      <c r="FH282" s="273"/>
      <c r="FI282" s="273"/>
      <c r="FJ282" s="273"/>
    </row>
    <row r="283" spans="36:166" ht="12.75" hidden="1" customHeight="1">
      <c r="AJ283" s="116"/>
      <c r="AK283" s="116"/>
      <c r="AL283" s="116"/>
      <c r="AM283" s="116"/>
      <c r="AN283" s="116"/>
      <c r="AO283" s="116"/>
      <c r="AP283" s="116"/>
      <c r="AQ283" s="273"/>
      <c r="AR283" s="273"/>
      <c r="AS283" s="273"/>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273"/>
      <c r="BW283" s="273"/>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273"/>
      <c r="DH283" s="273"/>
      <c r="DI283" s="273"/>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273"/>
      <c r="FF283" s="273"/>
      <c r="FG283" s="273"/>
      <c r="FH283" s="273"/>
      <c r="FI283" s="273"/>
      <c r="FJ283" s="273"/>
    </row>
    <row r="284" spans="36:166" ht="12.75" hidden="1" customHeight="1">
      <c r="AJ284" s="116"/>
      <c r="AK284" s="116"/>
      <c r="AL284" s="116"/>
      <c r="AM284" s="116"/>
      <c r="AN284" s="116"/>
      <c r="AO284" s="116"/>
      <c r="AP284" s="116"/>
      <c r="AQ284" s="273"/>
      <c r="AR284" s="273"/>
      <c r="AS284" s="273"/>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273"/>
      <c r="BW284" s="273"/>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273"/>
      <c r="DH284" s="273"/>
      <c r="DI284" s="273"/>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273"/>
      <c r="FF284" s="273"/>
      <c r="FG284" s="273"/>
      <c r="FH284" s="273"/>
      <c r="FI284" s="273"/>
      <c r="FJ284" s="273"/>
    </row>
    <row r="285" spans="36:166" ht="12.75" hidden="1" customHeight="1">
      <c r="AJ285" s="116"/>
      <c r="AK285" s="116"/>
      <c r="AL285" s="116"/>
      <c r="AM285" s="116"/>
      <c r="AN285" s="116"/>
      <c r="AO285" s="116"/>
      <c r="AP285" s="116"/>
      <c r="AQ285" s="273"/>
      <c r="AR285" s="273"/>
      <c r="AS285" s="273"/>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273"/>
      <c r="BW285" s="273"/>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273"/>
      <c r="DH285" s="273"/>
      <c r="DI285" s="273"/>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273"/>
      <c r="FF285" s="273"/>
      <c r="FG285" s="273"/>
      <c r="FH285" s="273"/>
      <c r="FI285" s="273"/>
      <c r="FJ285" s="273"/>
    </row>
    <row r="286" spans="36:166" ht="12.75" hidden="1" customHeight="1">
      <c r="AJ286" s="116"/>
      <c r="AK286" s="116"/>
      <c r="AL286" s="116"/>
      <c r="AM286" s="116"/>
      <c r="AN286" s="116"/>
      <c r="AO286" s="116"/>
      <c r="AP286" s="116"/>
      <c r="AQ286" s="273"/>
      <c r="AR286" s="273"/>
      <c r="AS286" s="273"/>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273"/>
      <c r="BW286" s="273"/>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273"/>
      <c r="DH286" s="273"/>
      <c r="DI286" s="273"/>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273"/>
      <c r="FF286" s="273"/>
      <c r="FG286" s="273"/>
      <c r="FH286" s="273"/>
      <c r="FI286" s="273"/>
      <c r="FJ286" s="273"/>
    </row>
    <row r="287" spans="36:166" ht="12.75" hidden="1" customHeight="1">
      <c r="AJ287" s="116"/>
      <c r="AK287" s="116"/>
      <c r="AL287" s="116"/>
      <c r="AM287" s="116"/>
      <c r="AN287" s="116"/>
      <c r="AO287" s="116"/>
      <c r="AP287" s="116"/>
      <c r="AQ287" s="273"/>
      <c r="AR287" s="273"/>
      <c r="AS287" s="273"/>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273"/>
      <c r="BW287" s="273"/>
      <c r="BX287" s="273"/>
      <c r="BY287" s="273"/>
      <c r="BZ287" s="273"/>
      <c r="CA287" s="273"/>
      <c r="CB287" s="273"/>
      <c r="CC287" s="273"/>
      <c r="CD287" s="273"/>
      <c r="CE287" s="273"/>
      <c r="CF287" s="273"/>
      <c r="CG287" s="273"/>
      <c r="CH287" s="273"/>
      <c r="CI287" s="273"/>
      <c r="CJ287" s="273"/>
      <c r="CK287" s="273"/>
      <c r="CL287" s="273"/>
      <c r="CM287" s="273"/>
      <c r="CN287" s="273"/>
      <c r="CO287" s="273"/>
      <c r="CP287" s="273"/>
      <c r="CQ287" s="273"/>
      <c r="CR287" s="273"/>
      <c r="CS287" s="273"/>
      <c r="CT287" s="273"/>
      <c r="CU287" s="273"/>
      <c r="CV287" s="273"/>
      <c r="CW287" s="273"/>
      <c r="CX287" s="273"/>
      <c r="CY287" s="273"/>
      <c r="CZ287" s="273"/>
      <c r="DA287" s="273"/>
      <c r="DB287" s="273"/>
      <c r="DC287" s="273"/>
      <c r="DD287" s="273"/>
      <c r="DE287" s="273"/>
      <c r="DF287" s="273"/>
      <c r="DG287" s="273"/>
      <c r="DH287" s="273"/>
      <c r="DI287" s="273"/>
      <c r="DJ287" s="273"/>
      <c r="DK287" s="273"/>
      <c r="DL287" s="273"/>
      <c r="DM287" s="273"/>
      <c r="DN287" s="273"/>
      <c r="DO287" s="273"/>
      <c r="DP287" s="273"/>
      <c r="DQ287" s="273"/>
      <c r="DR287" s="273"/>
      <c r="DS287" s="273"/>
      <c r="DT287" s="273"/>
      <c r="DU287" s="273"/>
      <c r="DV287" s="273"/>
      <c r="DW287" s="273"/>
      <c r="DX287" s="273"/>
      <c r="DY287" s="273"/>
      <c r="DZ287" s="273"/>
      <c r="EA287" s="273"/>
      <c r="EB287" s="273"/>
      <c r="EC287" s="273"/>
      <c r="ED287" s="273"/>
      <c r="EE287" s="273"/>
      <c r="EF287" s="273"/>
      <c r="EG287" s="273"/>
      <c r="EH287" s="273"/>
      <c r="EI287" s="273"/>
      <c r="EJ287" s="273"/>
      <c r="EK287" s="273"/>
      <c r="EL287" s="273"/>
      <c r="EM287" s="273"/>
      <c r="EN287" s="273"/>
      <c r="EO287" s="273"/>
      <c r="EP287" s="273"/>
      <c r="EQ287" s="273"/>
      <c r="ER287" s="273"/>
      <c r="ES287" s="273"/>
      <c r="ET287" s="273"/>
      <c r="EU287" s="273"/>
      <c r="EV287" s="273"/>
      <c r="EW287" s="273"/>
      <c r="EX287" s="273"/>
      <c r="EY287" s="273"/>
      <c r="EZ287" s="273"/>
      <c r="FA287" s="273"/>
      <c r="FB287" s="273"/>
      <c r="FC287" s="273"/>
      <c r="FD287" s="273"/>
      <c r="FE287" s="273"/>
      <c r="FF287" s="273"/>
      <c r="FG287" s="273"/>
      <c r="FH287" s="273"/>
      <c r="FI287" s="273"/>
      <c r="FJ287" s="273"/>
    </row>
    <row r="288" spans="36:166" ht="12.75" hidden="1" customHeight="1">
      <c r="AJ288" s="116"/>
      <c r="AK288" s="116"/>
      <c r="AL288" s="116"/>
      <c r="AM288" s="116"/>
      <c r="AN288" s="116"/>
      <c r="AO288" s="116"/>
      <c r="AP288" s="116"/>
      <c r="AQ288" s="273"/>
      <c r="AR288" s="273"/>
      <c r="AS288" s="273"/>
      <c r="AT288" s="273"/>
      <c r="AU288" s="273"/>
      <c r="AV288" s="273"/>
      <c r="AW288" s="273"/>
      <c r="AX288" s="273"/>
      <c r="AY288" s="273"/>
      <c r="AZ288" s="273"/>
      <c r="BA288" s="273"/>
      <c r="BB288" s="273"/>
      <c r="BC288" s="273"/>
      <c r="BD288" s="273"/>
      <c r="BE288" s="273"/>
      <c r="BF288" s="273"/>
      <c r="BG288" s="273"/>
      <c r="BH288" s="273"/>
      <c r="BI288" s="273"/>
      <c r="BJ288" s="273"/>
      <c r="BK288" s="273"/>
      <c r="BL288" s="273"/>
      <c r="BM288" s="273"/>
      <c r="BN288" s="273"/>
      <c r="BO288" s="273"/>
      <c r="BP288" s="273"/>
      <c r="BQ288" s="273"/>
      <c r="BR288" s="273"/>
      <c r="BS288" s="273"/>
      <c r="BT288" s="273"/>
      <c r="BU288" s="273"/>
      <c r="BV288" s="273"/>
      <c r="BW288" s="273"/>
      <c r="BX288" s="273"/>
      <c r="BY288" s="273"/>
      <c r="BZ288" s="273"/>
      <c r="CA288" s="273"/>
      <c r="CB288" s="273"/>
      <c r="CC288" s="273"/>
      <c r="CD288" s="273"/>
      <c r="CE288" s="273"/>
      <c r="CF288" s="273"/>
      <c r="CG288" s="273"/>
      <c r="CH288" s="273"/>
      <c r="CI288" s="273"/>
      <c r="CJ288" s="273"/>
      <c r="CK288" s="273"/>
      <c r="CL288" s="273"/>
      <c r="CM288" s="273"/>
      <c r="CN288" s="273"/>
      <c r="CO288" s="273"/>
      <c r="CP288" s="273"/>
      <c r="CQ288" s="273"/>
      <c r="CR288" s="273"/>
      <c r="CS288" s="273"/>
      <c r="CT288" s="273"/>
      <c r="CU288" s="273"/>
      <c r="CV288" s="273"/>
      <c r="CW288" s="273"/>
      <c r="CX288" s="273"/>
      <c r="CY288" s="273"/>
      <c r="CZ288" s="273"/>
      <c r="DA288" s="273"/>
      <c r="DB288" s="273"/>
      <c r="DC288" s="273"/>
      <c r="DD288" s="273"/>
      <c r="DE288" s="273"/>
      <c r="DF288" s="273"/>
      <c r="DG288" s="273"/>
      <c r="DH288" s="273"/>
      <c r="DI288" s="273"/>
      <c r="DJ288" s="273"/>
      <c r="DK288" s="273"/>
      <c r="DL288" s="273"/>
      <c r="DM288" s="273"/>
      <c r="DN288" s="273"/>
      <c r="DO288" s="273"/>
      <c r="DP288" s="273"/>
      <c r="DQ288" s="273"/>
      <c r="DR288" s="273"/>
      <c r="DS288" s="273"/>
      <c r="DT288" s="273"/>
      <c r="DU288" s="273"/>
      <c r="DV288" s="273"/>
      <c r="DW288" s="273"/>
      <c r="DX288" s="273"/>
      <c r="DY288" s="273"/>
      <c r="DZ288" s="273"/>
      <c r="EA288" s="273"/>
      <c r="EB288" s="273"/>
      <c r="EC288" s="273"/>
      <c r="ED288" s="273"/>
      <c r="EE288" s="273"/>
      <c r="EF288" s="273"/>
      <c r="EG288" s="273"/>
      <c r="EH288" s="273"/>
      <c r="EI288" s="273"/>
      <c r="EJ288" s="273"/>
      <c r="EK288" s="273"/>
      <c r="EL288" s="273"/>
      <c r="EM288" s="273"/>
      <c r="EN288" s="273"/>
      <c r="EO288" s="273"/>
      <c r="EP288" s="273"/>
      <c r="EQ288" s="273"/>
      <c r="ER288" s="273"/>
      <c r="ES288" s="273"/>
      <c r="ET288" s="273"/>
      <c r="EU288" s="273"/>
      <c r="EV288" s="273"/>
      <c r="EW288" s="273"/>
      <c r="EX288" s="273"/>
      <c r="EY288" s="273"/>
      <c r="EZ288" s="273"/>
      <c r="FA288" s="273"/>
      <c r="FB288" s="273"/>
      <c r="FC288" s="273"/>
      <c r="FD288" s="273"/>
      <c r="FE288" s="273"/>
      <c r="FF288" s="273"/>
      <c r="FG288" s="273"/>
      <c r="FH288" s="273"/>
      <c r="FI288" s="273"/>
      <c r="FJ288" s="273"/>
    </row>
    <row r="289" spans="36:166" ht="12.75" hidden="1" customHeight="1">
      <c r="AJ289" s="116"/>
      <c r="AK289" s="116"/>
      <c r="AL289" s="116"/>
      <c r="AM289" s="116"/>
      <c r="AN289" s="116"/>
      <c r="AO289" s="116"/>
      <c r="AP289" s="116"/>
      <c r="AQ289" s="273"/>
      <c r="AR289" s="273"/>
      <c r="AS289" s="273"/>
      <c r="AT289" s="273"/>
      <c r="AU289" s="273"/>
      <c r="AV289" s="273"/>
      <c r="AW289" s="273"/>
      <c r="AX289" s="273"/>
      <c r="AY289" s="273"/>
      <c r="AZ289" s="273"/>
      <c r="BA289" s="273"/>
      <c r="BB289" s="273"/>
      <c r="BC289" s="273"/>
      <c r="BD289" s="273"/>
      <c r="BE289" s="273"/>
      <c r="BF289" s="273"/>
      <c r="BG289" s="273"/>
      <c r="BH289" s="273"/>
      <c r="BI289" s="273"/>
      <c r="BJ289" s="273"/>
      <c r="BK289" s="273"/>
      <c r="BL289" s="273"/>
      <c r="BM289" s="273"/>
      <c r="BN289" s="273"/>
      <c r="BO289" s="273"/>
      <c r="BP289" s="273"/>
      <c r="BQ289" s="273"/>
      <c r="BR289" s="273"/>
      <c r="BS289" s="273"/>
      <c r="BT289" s="273"/>
      <c r="BU289" s="273"/>
      <c r="BV289" s="273"/>
      <c r="BW289" s="273"/>
      <c r="BX289" s="273"/>
      <c r="BY289" s="273"/>
      <c r="BZ289" s="273"/>
      <c r="CA289" s="273"/>
      <c r="CB289" s="273"/>
      <c r="CC289" s="273"/>
      <c r="CD289" s="273"/>
      <c r="CE289" s="273"/>
      <c r="CF289" s="273"/>
      <c r="CG289" s="273"/>
      <c r="CH289" s="273"/>
      <c r="CI289" s="273"/>
      <c r="CJ289" s="273"/>
      <c r="CK289" s="273"/>
      <c r="CL289" s="273"/>
      <c r="CM289" s="273"/>
      <c r="CN289" s="273"/>
      <c r="CO289" s="273"/>
      <c r="CP289" s="273"/>
      <c r="CQ289" s="273"/>
      <c r="CR289" s="273"/>
      <c r="CS289" s="273"/>
      <c r="CT289" s="273"/>
      <c r="CU289" s="273"/>
      <c r="CV289" s="273"/>
      <c r="CW289" s="273"/>
      <c r="CX289" s="273"/>
      <c r="CY289" s="273"/>
      <c r="CZ289" s="273"/>
      <c r="DA289" s="273"/>
      <c r="DB289" s="273"/>
      <c r="DC289" s="273"/>
      <c r="DD289" s="273"/>
      <c r="DE289" s="273"/>
      <c r="DF289" s="273"/>
      <c r="DG289" s="273"/>
      <c r="DH289" s="273"/>
      <c r="DI289" s="273"/>
      <c r="DJ289" s="273"/>
      <c r="DK289" s="273"/>
      <c r="DL289" s="273"/>
      <c r="DM289" s="273"/>
      <c r="DN289" s="273"/>
      <c r="DO289" s="273"/>
      <c r="DP289" s="273"/>
      <c r="DQ289" s="273"/>
      <c r="DR289" s="273"/>
      <c r="DS289" s="273"/>
      <c r="DT289" s="273"/>
      <c r="DU289" s="273"/>
      <c r="DV289" s="273"/>
      <c r="DW289" s="273"/>
      <c r="DX289" s="273"/>
      <c r="DY289" s="273"/>
      <c r="DZ289" s="273"/>
      <c r="EA289" s="273"/>
      <c r="EB289" s="273"/>
      <c r="EC289" s="273"/>
      <c r="ED289" s="273"/>
      <c r="EE289" s="273"/>
      <c r="EF289" s="273"/>
      <c r="EG289" s="273"/>
      <c r="EH289" s="273"/>
      <c r="EI289" s="273"/>
      <c r="EJ289" s="273"/>
      <c r="EK289" s="273"/>
      <c r="EL289" s="273"/>
      <c r="EM289" s="273"/>
      <c r="EN289" s="273"/>
      <c r="EO289" s="273"/>
      <c r="EP289" s="273"/>
      <c r="EQ289" s="273"/>
      <c r="ER289" s="273"/>
      <c r="ES289" s="273"/>
      <c r="ET289" s="273"/>
      <c r="EU289" s="273"/>
      <c r="EV289" s="273"/>
      <c r="EW289" s="273"/>
      <c r="EX289" s="273"/>
      <c r="EY289" s="273"/>
      <c r="EZ289" s="273"/>
      <c r="FA289" s="273"/>
      <c r="FB289" s="273"/>
      <c r="FC289" s="273"/>
      <c r="FD289" s="273"/>
      <c r="FE289" s="273"/>
      <c r="FF289" s="273"/>
      <c r="FG289" s="273"/>
      <c r="FH289" s="273"/>
      <c r="FI289" s="273"/>
      <c r="FJ289" s="273"/>
    </row>
    <row r="290" spans="36:166" ht="12.75" hidden="1" customHeight="1">
      <c r="AJ290" s="116"/>
      <c r="AK290" s="116"/>
      <c r="AL290" s="116"/>
      <c r="AM290" s="116"/>
      <c r="AN290" s="116"/>
      <c r="AO290" s="116"/>
      <c r="AP290" s="116"/>
      <c r="AQ290" s="273"/>
      <c r="AR290" s="273"/>
      <c r="AS290" s="273"/>
      <c r="AT290" s="273"/>
      <c r="AU290" s="273"/>
      <c r="AV290" s="273"/>
      <c r="AW290" s="273"/>
      <c r="AX290" s="273"/>
      <c r="AY290" s="273"/>
      <c r="AZ290" s="273"/>
      <c r="BA290" s="273"/>
      <c r="BB290" s="273"/>
      <c r="BC290" s="273"/>
      <c r="BD290" s="273"/>
      <c r="BE290" s="273"/>
      <c r="BF290" s="273"/>
      <c r="BG290" s="273"/>
      <c r="BH290" s="273"/>
      <c r="BI290" s="273"/>
      <c r="BJ290" s="273"/>
      <c r="BK290" s="273"/>
      <c r="BL290" s="273"/>
      <c r="BM290" s="273"/>
      <c r="BN290" s="273"/>
      <c r="BO290" s="273"/>
      <c r="BP290" s="273"/>
      <c r="BQ290" s="273"/>
      <c r="BR290" s="273"/>
      <c r="BS290" s="273"/>
      <c r="BT290" s="273"/>
      <c r="BU290" s="273"/>
      <c r="BV290" s="273"/>
      <c r="BW290" s="273"/>
      <c r="BX290" s="273"/>
      <c r="BY290" s="273"/>
      <c r="BZ290" s="273"/>
      <c r="CA290" s="273"/>
      <c r="CB290" s="273"/>
      <c r="CC290" s="273"/>
      <c r="CD290" s="273"/>
      <c r="CE290" s="273"/>
      <c r="CF290" s="273"/>
      <c r="CG290" s="273"/>
      <c r="CH290" s="273"/>
      <c r="CI290" s="273"/>
      <c r="CJ290" s="273"/>
      <c r="CK290" s="273"/>
      <c r="CL290" s="273"/>
      <c r="CM290" s="273"/>
      <c r="CN290" s="273"/>
      <c r="CO290" s="273"/>
      <c r="CP290" s="273"/>
      <c r="CQ290" s="273"/>
      <c r="CR290" s="273"/>
      <c r="CS290" s="273"/>
      <c r="CT290" s="273"/>
      <c r="CU290" s="273"/>
      <c r="CV290" s="273"/>
      <c r="CW290" s="273"/>
      <c r="CX290" s="273"/>
      <c r="CY290" s="273"/>
      <c r="CZ290" s="273"/>
      <c r="DA290" s="273"/>
      <c r="DB290" s="273"/>
      <c r="DC290" s="273"/>
      <c r="DD290" s="273"/>
      <c r="DE290" s="273"/>
      <c r="DF290" s="273"/>
      <c r="DG290" s="273"/>
      <c r="DH290" s="273"/>
      <c r="DI290" s="273"/>
      <c r="DJ290" s="273"/>
      <c r="DK290" s="273"/>
      <c r="DL290" s="273"/>
      <c r="DM290" s="273"/>
      <c r="DN290" s="273"/>
      <c r="DO290" s="273"/>
      <c r="DP290" s="273"/>
      <c r="DQ290" s="273"/>
      <c r="DR290" s="273"/>
      <c r="DS290" s="273"/>
      <c r="DT290" s="273"/>
      <c r="DU290" s="273"/>
      <c r="DV290" s="273"/>
      <c r="DW290" s="273"/>
      <c r="DX290" s="273"/>
      <c r="DY290" s="273"/>
      <c r="DZ290" s="273"/>
      <c r="EA290" s="273"/>
      <c r="EB290" s="273"/>
      <c r="EC290" s="273"/>
      <c r="ED290" s="273"/>
      <c r="EE290" s="273"/>
      <c r="EF290" s="273"/>
      <c r="EG290" s="273"/>
      <c r="EH290" s="273"/>
      <c r="EI290" s="273"/>
      <c r="EJ290" s="273"/>
      <c r="EK290" s="273"/>
      <c r="EL290" s="273"/>
      <c r="EM290" s="273"/>
      <c r="EN290" s="273"/>
      <c r="EO290" s="273"/>
      <c r="EP290" s="273"/>
      <c r="EQ290" s="273"/>
      <c r="ER290" s="273"/>
      <c r="ES290" s="273"/>
      <c r="ET290" s="273"/>
      <c r="EU290" s="273"/>
      <c r="EV290" s="273"/>
      <c r="EW290" s="273"/>
      <c r="EX290" s="273"/>
      <c r="EY290" s="273"/>
      <c r="EZ290" s="273"/>
      <c r="FA290" s="273"/>
      <c r="FB290" s="273"/>
      <c r="FC290" s="273"/>
      <c r="FD290" s="273"/>
      <c r="FE290" s="273"/>
      <c r="FF290" s="273"/>
      <c r="FG290" s="273"/>
      <c r="FH290" s="273"/>
      <c r="FI290" s="273"/>
      <c r="FJ290" s="273"/>
    </row>
    <row r="291" spans="36:166" ht="12.75" hidden="1" customHeight="1">
      <c r="AJ291" s="116"/>
      <c r="AK291" s="116"/>
      <c r="AL291" s="116"/>
      <c r="AM291" s="116"/>
      <c r="AN291" s="116"/>
      <c r="AO291" s="116"/>
      <c r="AP291" s="116"/>
      <c r="AQ291" s="273"/>
      <c r="AR291" s="273"/>
      <c r="AS291" s="273"/>
      <c r="AT291" s="273"/>
      <c r="AU291" s="273"/>
      <c r="AV291" s="273"/>
      <c r="AW291" s="273"/>
      <c r="AX291" s="273"/>
      <c r="AY291" s="273"/>
      <c r="AZ291" s="273"/>
      <c r="BA291" s="273"/>
      <c r="BB291" s="273"/>
      <c r="BC291" s="273"/>
      <c r="BD291" s="273"/>
      <c r="BE291" s="273"/>
      <c r="BF291" s="273"/>
      <c r="BG291" s="273"/>
      <c r="BH291" s="273"/>
      <c r="BI291" s="273"/>
      <c r="BJ291" s="273"/>
      <c r="BK291" s="273"/>
      <c r="BL291" s="273"/>
      <c r="BM291" s="273"/>
      <c r="BN291" s="273"/>
      <c r="BO291" s="273"/>
      <c r="BP291" s="273"/>
      <c r="BQ291" s="273"/>
      <c r="BR291" s="273"/>
      <c r="BS291" s="273"/>
      <c r="BT291" s="273"/>
      <c r="BU291" s="273"/>
      <c r="BV291" s="273"/>
      <c r="BW291" s="273"/>
      <c r="BX291" s="273"/>
      <c r="BY291" s="273"/>
      <c r="BZ291" s="273"/>
      <c r="CA291" s="273"/>
      <c r="CB291" s="273"/>
      <c r="CC291" s="273"/>
      <c r="CD291" s="273"/>
      <c r="CE291" s="273"/>
      <c r="CF291" s="273"/>
      <c r="CG291" s="273"/>
      <c r="CH291" s="273"/>
      <c r="CI291" s="273"/>
      <c r="CJ291" s="273"/>
      <c r="CK291" s="273"/>
      <c r="CL291" s="273"/>
      <c r="CM291" s="273"/>
      <c r="CN291" s="273"/>
      <c r="CO291" s="273"/>
      <c r="CP291" s="273"/>
      <c r="CQ291" s="273"/>
      <c r="CR291" s="273"/>
      <c r="CS291" s="273"/>
      <c r="CT291" s="273"/>
      <c r="CU291" s="273"/>
      <c r="CV291" s="273"/>
      <c r="CW291" s="273"/>
      <c r="CX291" s="273"/>
      <c r="CY291" s="273"/>
      <c r="CZ291" s="273"/>
      <c r="DA291" s="273"/>
      <c r="DB291" s="273"/>
      <c r="DC291" s="273"/>
      <c r="DD291" s="273"/>
      <c r="DE291" s="273"/>
      <c r="DF291" s="273"/>
      <c r="DG291" s="273"/>
      <c r="DH291" s="273"/>
      <c r="DI291" s="273"/>
      <c r="DJ291" s="273"/>
      <c r="DK291" s="273"/>
      <c r="DL291" s="273"/>
      <c r="DM291" s="273"/>
      <c r="DN291" s="273"/>
      <c r="DO291" s="273"/>
      <c r="DP291" s="273"/>
      <c r="DQ291" s="273"/>
      <c r="DR291" s="273"/>
      <c r="DS291" s="273"/>
      <c r="DT291" s="273"/>
      <c r="DU291" s="273"/>
      <c r="DV291" s="273"/>
      <c r="DW291" s="273"/>
      <c r="DX291" s="273"/>
      <c r="DY291" s="273"/>
      <c r="DZ291" s="273"/>
      <c r="EA291" s="273"/>
      <c r="EB291" s="273"/>
      <c r="EC291" s="273"/>
      <c r="ED291" s="273"/>
      <c r="EE291" s="273"/>
      <c r="EF291" s="273"/>
      <c r="EG291" s="273"/>
      <c r="EH291" s="273"/>
      <c r="EI291" s="273"/>
      <c r="EJ291" s="273"/>
      <c r="EK291" s="273"/>
      <c r="EL291" s="273"/>
      <c r="EM291" s="273"/>
      <c r="EN291" s="273"/>
      <c r="EO291" s="273"/>
      <c r="EP291" s="273"/>
      <c r="EQ291" s="273"/>
      <c r="ER291" s="273"/>
      <c r="ES291" s="273"/>
      <c r="ET291" s="273"/>
      <c r="EU291" s="273"/>
      <c r="EV291" s="273"/>
      <c r="EW291" s="273"/>
      <c r="EX291" s="273"/>
      <c r="EY291" s="273"/>
      <c r="EZ291" s="273"/>
      <c r="FA291" s="273"/>
      <c r="FB291" s="273"/>
      <c r="FC291" s="273"/>
      <c r="FD291" s="273"/>
      <c r="FE291" s="273"/>
      <c r="FF291" s="273"/>
      <c r="FG291" s="273"/>
      <c r="FH291" s="273"/>
      <c r="FI291" s="273"/>
      <c r="FJ291" s="273"/>
    </row>
    <row r="292" spans="36:166" ht="12.75" hidden="1" customHeight="1">
      <c r="AJ292" s="116"/>
      <c r="AK292" s="116"/>
      <c r="AL292" s="116"/>
      <c r="AM292" s="116"/>
      <c r="AN292" s="116"/>
      <c r="AO292" s="116"/>
      <c r="AP292" s="116"/>
      <c r="AQ292" s="273"/>
      <c r="AR292" s="273"/>
      <c r="AS292" s="273"/>
      <c r="AT292" s="273"/>
      <c r="AU292" s="273"/>
      <c r="AV292" s="273"/>
      <c r="AW292" s="273"/>
      <c r="AX292" s="273"/>
      <c r="AY292" s="273"/>
      <c r="AZ292" s="273"/>
      <c r="BA292" s="273"/>
      <c r="BB292" s="273"/>
      <c r="BC292" s="273"/>
      <c r="BD292" s="273"/>
      <c r="BE292" s="273"/>
      <c r="BF292" s="273"/>
      <c r="BG292" s="273"/>
      <c r="BH292" s="273"/>
      <c r="BI292" s="273"/>
      <c r="BJ292" s="273"/>
      <c r="BK292" s="273"/>
      <c r="BL292" s="273"/>
      <c r="BM292" s="273"/>
      <c r="BN292" s="273"/>
      <c r="BO292" s="273"/>
      <c r="BP292" s="273"/>
      <c r="BQ292" s="273"/>
      <c r="BR292" s="273"/>
      <c r="BS292" s="273"/>
      <c r="BT292" s="273"/>
      <c r="BU292" s="273"/>
      <c r="BV292" s="273"/>
      <c r="BW292" s="273"/>
      <c r="BX292" s="273"/>
      <c r="BY292" s="273"/>
      <c r="BZ292" s="273"/>
      <c r="CA292" s="273"/>
      <c r="CB292" s="273"/>
      <c r="CC292" s="273"/>
      <c r="CD292" s="273"/>
      <c r="CE292" s="273"/>
      <c r="CF292" s="273"/>
      <c r="CG292" s="273"/>
      <c r="CH292" s="273"/>
      <c r="CI292" s="273"/>
      <c r="CJ292" s="273"/>
      <c r="CK292" s="273"/>
      <c r="CL292" s="273"/>
      <c r="CM292" s="273"/>
      <c r="CN292" s="273"/>
      <c r="CO292" s="273"/>
      <c r="CP292" s="273"/>
      <c r="CQ292" s="273"/>
      <c r="CR292" s="273"/>
      <c r="CS292" s="273"/>
      <c r="CT292" s="273"/>
      <c r="CU292" s="273"/>
      <c r="CV292" s="273"/>
      <c r="CW292" s="273"/>
      <c r="CX292" s="273"/>
      <c r="CY292" s="273"/>
      <c r="CZ292" s="273"/>
      <c r="DA292" s="273"/>
      <c r="DB292" s="273"/>
      <c r="DC292" s="273"/>
      <c r="DD292" s="273"/>
      <c r="DE292" s="273"/>
      <c r="DF292" s="273"/>
      <c r="DG292" s="273"/>
      <c r="DH292" s="273"/>
      <c r="DI292" s="273"/>
      <c r="DJ292" s="273"/>
      <c r="DK292" s="273"/>
      <c r="DL292" s="273"/>
      <c r="DM292" s="273"/>
      <c r="DN292" s="273"/>
      <c r="DO292" s="273"/>
      <c r="DP292" s="273"/>
      <c r="DQ292" s="273"/>
      <c r="DR292" s="273"/>
      <c r="DS292" s="273"/>
      <c r="DT292" s="273"/>
      <c r="DU292" s="273"/>
      <c r="DV292" s="273"/>
      <c r="DW292" s="273"/>
      <c r="DX292" s="273"/>
      <c r="DY292" s="273"/>
      <c r="DZ292" s="273"/>
      <c r="EA292" s="273"/>
      <c r="EB292" s="273"/>
      <c r="EC292" s="273"/>
      <c r="ED292" s="273"/>
      <c r="EE292" s="273"/>
      <c r="EF292" s="273"/>
      <c r="EG292" s="273"/>
      <c r="EH292" s="273"/>
      <c r="EI292" s="273"/>
      <c r="EJ292" s="273"/>
      <c r="EK292" s="273"/>
      <c r="EL292" s="273"/>
      <c r="EM292" s="273"/>
      <c r="EN292" s="273"/>
      <c r="EO292" s="273"/>
      <c r="EP292" s="273"/>
      <c r="EQ292" s="273"/>
      <c r="ER292" s="273"/>
      <c r="ES292" s="273"/>
      <c r="ET292" s="273"/>
      <c r="EU292" s="273"/>
      <c r="EV292" s="273"/>
      <c r="EW292" s="273"/>
      <c r="EX292" s="273"/>
      <c r="EY292" s="273"/>
      <c r="EZ292" s="273"/>
      <c r="FA292" s="273"/>
      <c r="FB292" s="273"/>
      <c r="FC292" s="273"/>
      <c r="FD292" s="273"/>
      <c r="FE292" s="273"/>
      <c r="FF292" s="273"/>
      <c r="FG292" s="273"/>
      <c r="FH292" s="273"/>
      <c r="FI292" s="273"/>
      <c r="FJ292" s="273"/>
    </row>
    <row r="293" spans="36:166" ht="12.75" hidden="1" customHeight="1">
      <c r="AJ293" s="116"/>
      <c r="AK293" s="116"/>
      <c r="AL293" s="116"/>
      <c r="AM293" s="116"/>
      <c r="AN293" s="116"/>
      <c r="AO293" s="116"/>
      <c r="AP293" s="116"/>
      <c r="AQ293" s="273"/>
      <c r="AR293" s="273"/>
      <c r="AS293" s="273"/>
      <c r="AT293" s="273"/>
      <c r="AU293" s="273"/>
      <c r="AV293" s="273"/>
      <c r="AW293" s="273"/>
      <c r="AX293" s="273"/>
      <c r="AY293" s="273"/>
      <c r="AZ293" s="273"/>
      <c r="BA293" s="273"/>
      <c r="BB293" s="273"/>
      <c r="BC293" s="273"/>
      <c r="BD293" s="273"/>
      <c r="BE293" s="273"/>
      <c r="BF293" s="273"/>
      <c r="BG293" s="273"/>
      <c r="BH293" s="273"/>
      <c r="BI293" s="273"/>
      <c r="BJ293" s="273"/>
      <c r="BK293" s="273"/>
      <c r="BL293" s="273"/>
      <c r="BM293" s="273"/>
      <c r="BN293" s="273"/>
      <c r="BO293" s="273"/>
      <c r="BP293" s="273"/>
      <c r="BQ293" s="273"/>
      <c r="BR293" s="273"/>
      <c r="BS293" s="273"/>
      <c r="BT293" s="273"/>
      <c r="BU293" s="273"/>
      <c r="BV293" s="273"/>
      <c r="BW293" s="273"/>
      <c r="BX293" s="273"/>
      <c r="BY293" s="273"/>
      <c r="BZ293" s="273"/>
      <c r="CA293" s="273"/>
      <c r="CB293" s="273"/>
      <c r="CC293" s="273"/>
      <c r="CD293" s="273"/>
      <c r="CE293" s="273"/>
      <c r="CF293" s="273"/>
      <c r="CG293" s="273"/>
      <c r="CH293" s="273"/>
      <c r="CI293" s="273"/>
      <c r="CJ293" s="273"/>
      <c r="CK293" s="273"/>
      <c r="CL293" s="273"/>
      <c r="CM293" s="273"/>
      <c r="CN293" s="273"/>
      <c r="CO293" s="273"/>
      <c r="CP293" s="273"/>
      <c r="CQ293" s="273"/>
      <c r="CR293" s="273"/>
      <c r="CS293" s="273"/>
      <c r="CT293" s="273"/>
      <c r="CU293" s="273"/>
      <c r="CV293" s="273"/>
      <c r="CW293" s="273"/>
      <c r="CX293" s="273"/>
      <c r="CY293" s="273"/>
      <c r="CZ293" s="273"/>
      <c r="DA293" s="273"/>
      <c r="DB293" s="273"/>
      <c r="DC293" s="273"/>
      <c r="DD293" s="273"/>
      <c r="DE293" s="273"/>
      <c r="DF293" s="273"/>
      <c r="DG293" s="273"/>
      <c r="DH293" s="273"/>
      <c r="DI293" s="273"/>
      <c r="DJ293" s="273"/>
      <c r="DK293" s="273"/>
      <c r="DL293" s="273"/>
      <c r="DM293" s="273"/>
      <c r="DN293" s="273"/>
      <c r="DO293" s="273"/>
      <c r="DP293" s="273"/>
      <c r="DQ293" s="273"/>
      <c r="DR293" s="273"/>
      <c r="DS293" s="273"/>
      <c r="DT293" s="273"/>
      <c r="DU293" s="273"/>
      <c r="DV293" s="273"/>
      <c r="DW293" s="273"/>
      <c r="DX293" s="273"/>
      <c r="DY293" s="273"/>
      <c r="DZ293" s="273"/>
      <c r="EA293" s="273"/>
      <c r="EB293" s="273"/>
      <c r="EC293" s="273"/>
      <c r="ED293" s="273"/>
      <c r="EE293" s="273"/>
      <c r="EF293" s="273"/>
      <c r="EG293" s="273"/>
      <c r="EH293" s="273"/>
      <c r="EI293" s="273"/>
      <c r="EJ293" s="273"/>
      <c r="EK293" s="273"/>
      <c r="EL293" s="273"/>
      <c r="EM293" s="273"/>
      <c r="EN293" s="273"/>
      <c r="EO293" s="273"/>
      <c r="EP293" s="273"/>
      <c r="EQ293" s="273"/>
      <c r="ER293" s="273"/>
      <c r="ES293" s="273"/>
      <c r="ET293" s="273"/>
      <c r="EU293" s="273"/>
      <c r="EV293" s="273"/>
      <c r="EW293" s="273"/>
      <c r="EX293" s="273"/>
      <c r="EY293" s="273"/>
      <c r="EZ293" s="273"/>
      <c r="FA293" s="273"/>
      <c r="FB293" s="273"/>
      <c r="FC293" s="273"/>
      <c r="FD293" s="273"/>
      <c r="FE293" s="273"/>
      <c r="FF293" s="273"/>
      <c r="FG293" s="273"/>
      <c r="FH293" s="273"/>
      <c r="FI293" s="273"/>
      <c r="FJ293" s="273"/>
    </row>
    <row r="294" spans="36:166" ht="12.75" hidden="1" customHeight="1">
      <c r="AJ294" s="116"/>
      <c r="AK294" s="116"/>
      <c r="AL294" s="116"/>
      <c r="AM294" s="116"/>
      <c r="AN294" s="116"/>
      <c r="AO294" s="116"/>
      <c r="AP294" s="116"/>
      <c r="AQ294" s="273"/>
      <c r="AR294" s="273"/>
      <c r="AS294" s="273"/>
      <c r="AT294" s="273"/>
      <c r="AU294" s="273"/>
      <c r="AV294" s="273"/>
      <c r="AW294" s="273"/>
      <c r="AX294" s="273"/>
      <c r="AY294" s="273"/>
      <c r="AZ294" s="273"/>
      <c r="BA294" s="273"/>
      <c r="BB294" s="273"/>
      <c r="BC294" s="273"/>
      <c r="BD294" s="273"/>
      <c r="BE294" s="273"/>
      <c r="BF294" s="273"/>
      <c r="BG294" s="273"/>
      <c r="BH294" s="273"/>
      <c r="BI294" s="273"/>
      <c r="BJ294" s="273"/>
      <c r="BK294" s="273"/>
      <c r="BL294" s="273"/>
      <c r="BM294" s="273"/>
      <c r="BN294" s="273"/>
      <c r="BO294" s="273"/>
      <c r="BP294" s="273"/>
      <c r="BQ294" s="273"/>
      <c r="BR294" s="273"/>
      <c r="BS294" s="273"/>
      <c r="BT294" s="273"/>
      <c r="BU294" s="273"/>
      <c r="BV294" s="273"/>
      <c r="BW294" s="273"/>
      <c r="BX294" s="273"/>
      <c r="BY294" s="273"/>
      <c r="BZ294" s="273"/>
      <c r="CA294" s="273"/>
      <c r="CB294" s="273"/>
      <c r="CC294" s="273"/>
      <c r="CD294" s="273"/>
      <c r="CE294" s="273"/>
      <c r="CF294" s="273"/>
      <c r="CG294" s="273"/>
      <c r="CH294" s="273"/>
      <c r="CI294" s="273"/>
      <c r="CJ294" s="273"/>
      <c r="CK294" s="273"/>
      <c r="CL294" s="273"/>
      <c r="CM294" s="273"/>
      <c r="CN294" s="273"/>
      <c r="CO294" s="273"/>
      <c r="CP294" s="273"/>
      <c r="CQ294" s="273"/>
      <c r="CR294" s="273"/>
      <c r="CS294" s="273"/>
      <c r="CT294" s="273"/>
      <c r="CU294" s="273"/>
      <c r="CV294" s="273"/>
      <c r="CW294" s="273"/>
      <c r="CX294" s="273"/>
      <c r="CY294" s="273"/>
      <c r="CZ294" s="273"/>
      <c r="DA294" s="273"/>
      <c r="DB294" s="273"/>
      <c r="DC294" s="273"/>
      <c r="DD294" s="273"/>
      <c r="DE294" s="273"/>
      <c r="DF294" s="273"/>
      <c r="DG294" s="273"/>
      <c r="DH294" s="273"/>
      <c r="DI294" s="273"/>
      <c r="DJ294" s="273"/>
      <c r="DK294" s="273"/>
      <c r="DL294" s="273"/>
      <c r="DM294" s="273"/>
      <c r="DN294" s="273"/>
      <c r="DO294" s="273"/>
      <c r="DP294" s="273"/>
      <c r="DQ294" s="273"/>
      <c r="DR294" s="273"/>
      <c r="DS294" s="273"/>
      <c r="DT294" s="273"/>
      <c r="DU294" s="273"/>
      <c r="DV294" s="273"/>
      <c r="DW294" s="273"/>
      <c r="DX294" s="273"/>
      <c r="DY294" s="273"/>
      <c r="DZ294" s="273"/>
      <c r="EA294" s="273"/>
      <c r="EB294" s="273"/>
      <c r="EC294" s="273"/>
      <c r="ED294" s="273"/>
      <c r="EE294" s="273"/>
      <c r="EF294" s="273"/>
      <c r="EG294" s="273"/>
      <c r="EH294" s="273"/>
      <c r="EI294" s="273"/>
      <c r="EJ294" s="273"/>
      <c r="EK294" s="273"/>
      <c r="EL294" s="273"/>
      <c r="EM294" s="273"/>
      <c r="EN294" s="273"/>
      <c r="EO294" s="273"/>
      <c r="EP294" s="273"/>
      <c r="EQ294" s="273"/>
      <c r="ER294" s="273"/>
      <c r="ES294" s="273"/>
      <c r="ET294" s="273"/>
      <c r="EU294" s="273"/>
      <c r="EV294" s="273"/>
      <c r="EW294" s="273"/>
      <c r="EX294" s="273"/>
      <c r="EY294" s="273"/>
      <c r="EZ294" s="273"/>
      <c r="FA294" s="273"/>
      <c r="FB294" s="273"/>
      <c r="FC294" s="273"/>
      <c r="FD294" s="273"/>
      <c r="FE294" s="273"/>
      <c r="FF294" s="273"/>
      <c r="FG294" s="273"/>
      <c r="FH294" s="273"/>
      <c r="FI294" s="273"/>
      <c r="FJ294" s="273"/>
    </row>
    <row r="295" spans="36:166" ht="12.75" hidden="1" customHeight="1">
      <c r="AJ295" s="116"/>
      <c r="AK295" s="116"/>
      <c r="AL295" s="116"/>
      <c r="AM295" s="116"/>
      <c r="AN295" s="116"/>
      <c r="AO295" s="116"/>
      <c r="AP295" s="116"/>
      <c r="AQ295" s="273"/>
      <c r="AR295" s="273"/>
      <c r="AS295" s="273"/>
      <c r="AT295" s="273"/>
      <c r="AU295" s="273"/>
      <c r="AV295" s="273"/>
      <c r="AW295" s="273"/>
      <c r="AX295" s="273"/>
      <c r="AY295" s="273"/>
      <c r="AZ295" s="273"/>
      <c r="BA295" s="273"/>
      <c r="BB295" s="273"/>
      <c r="BC295" s="273"/>
      <c r="BD295" s="273"/>
      <c r="BE295" s="273"/>
      <c r="BF295" s="273"/>
      <c r="BG295" s="273"/>
      <c r="BH295" s="273"/>
      <c r="BI295" s="273"/>
      <c r="BJ295" s="273"/>
      <c r="BK295" s="273"/>
      <c r="BL295" s="273"/>
      <c r="BM295" s="273"/>
      <c r="BN295" s="273"/>
      <c r="BO295" s="273"/>
      <c r="BP295" s="273"/>
      <c r="BQ295" s="273"/>
      <c r="BR295" s="273"/>
      <c r="BS295" s="273"/>
      <c r="BT295" s="273"/>
      <c r="BU295" s="273"/>
      <c r="BV295" s="273"/>
      <c r="BW295" s="273"/>
      <c r="BX295" s="273"/>
      <c r="BY295" s="273"/>
      <c r="BZ295" s="273"/>
      <c r="CA295" s="273"/>
      <c r="CB295" s="273"/>
      <c r="CC295" s="273"/>
      <c r="CD295" s="273"/>
      <c r="CE295" s="273"/>
      <c r="CF295" s="273"/>
      <c r="CG295" s="273"/>
      <c r="CH295" s="273"/>
      <c r="CI295" s="273"/>
      <c r="CJ295" s="273"/>
      <c r="CK295" s="273"/>
      <c r="CL295" s="273"/>
      <c r="CM295" s="273"/>
      <c r="CN295" s="273"/>
      <c r="CO295" s="273"/>
      <c r="CP295" s="273"/>
      <c r="CQ295" s="273"/>
      <c r="CR295" s="273"/>
      <c r="CS295" s="273"/>
      <c r="CT295" s="273"/>
      <c r="CU295" s="273"/>
      <c r="CV295" s="273"/>
      <c r="CW295" s="273"/>
      <c r="CX295" s="273"/>
      <c r="CY295" s="273"/>
      <c r="CZ295" s="273"/>
      <c r="DA295" s="273"/>
      <c r="DB295" s="273"/>
      <c r="DC295" s="273"/>
      <c r="DD295" s="273"/>
      <c r="DE295" s="273"/>
      <c r="DF295" s="273"/>
      <c r="DG295" s="273"/>
      <c r="DH295" s="273"/>
      <c r="DI295" s="273"/>
      <c r="DJ295" s="273"/>
      <c r="DK295" s="273"/>
      <c r="DL295" s="273"/>
      <c r="DM295" s="273"/>
      <c r="DN295" s="273"/>
      <c r="DO295" s="273"/>
      <c r="DP295" s="273"/>
      <c r="DQ295" s="273"/>
      <c r="DR295" s="273"/>
      <c r="DS295" s="273"/>
      <c r="DT295" s="273"/>
      <c r="DU295" s="273"/>
      <c r="DV295" s="273"/>
      <c r="DW295" s="273"/>
      <c r="DX295" s="273"/>
      <c r="DY295" s="273"/>
      <c r="DZ295" s="273"/>
      <c r="EA295" s="273"/>
      <c r="EB295" s="273"/>
      <c r="EC295" s="273"/>
      <c r="ED295" s="273"/>
      <c r="EE295" s="273"/>
      <c r="EF295" s="273"/>
      <c r="EG295" s="273"/>
      <c r="EH295" s="273"/>
      <c r="EI295" s="273"/>
      <c r="EJ295" s="273"/>
      <c r="EK295" s="273"/>
      <c r="EL295" s="273"/>
      <c r="EM295" s="273"/>
      <c r="EN295" s="273"/>
      <c r="EO295" s="273"/>
      <c r="EP295" s="273"/>
      <c r="EQ295" s="273"/>
      <c r="ER295" s="273"/>
      <c r="ES295" s="273"/>
      <c r="ET295" s="273"/>
      <c r="EU295" s="273"/>
      <c r="EV295" s="273"/>
      <c r="EW295" s="273"/>
      <c r="EX295" s="273"/>
      <c r="EY295" s="273"/>
      <c r="EZ295" s="273"/>
      <c r="FA295" s="273"/>
      <c r="FB295" s="273"/>
      <c r="FC295" s="273"/>
      <c r="FD295" s="273"/>
      <c r="FE295" s="273"/>
      <c r="FF295" s="273"/>
      <c r="FG295" s="273"/>
      <c r="FH295" s="273"/>
      <c r="FI295" s="273"/>
      <c r="FJ295" s="273"/>
    </row>
    <row r="296" spans="36:166" ht="12.75" hidden="1" customHeight="1">
      <c r="AJ296" s="116"/>
      <c r="AK296" s="116"/>
      <c r="AL296" s="116"/>
      <c r="AM296" s="116"/>
      <c r="AN296" s="116"/>
      <c r="AO296" s="116"/>
      <c r="AP296" s="116"/>
      <c r="AS296" s="116"/>
      <c r="AT296" s="116"/>
      <c r="BQ296" s="116"/>
      <c r="BR296" s="116"/>
      <c r="BS296" s="116"/>
      <c r="BT296" s="116"/>
      <c r="BU296" s="116"/>
      <c r="BV296" s="116"/>
      <c r="BW296" s="116"/>
      <c r="BX296" s="116"/>
      <c r="BY296" s="116"/>
      <c r="BZ296" s="116"/>
      <c r="CA296" s="116"/>
      <c r="CB296" s="116"/>
      <c r="CC296" s="116"/>
      <c r="CD296" s="116"/>
      <c r="CE296" s="116"/>
      <c r="CF296" s="116"/>
      <c r="CG296" s="116"/>
      <c r="CH296" s="116"/>
      <c r="CI296" s="116"/>
      <c r="CJ296" s="116"/>
      <c r="CK296" s="116"/>
      <c r="CL296" s="116"/>
      <c r="CM296" s="116"/>
      <c r="CN296" s="116"/>
      <c r="CO296" s="116"/>
      <c r="CP296" s="116"/>
      <c r="CQ296" s="116"/>
      <c r="CR296" s="116"/>
      <c r="CS296" s="116"/>
      <c r="CT296" s="116"/>
      <c r="CU296" s="116"/>
      <c r="CV296" s="116"/>
      <c r="CW296" s="116"/>
      <c r="CX296" s="116"/>
      <c r="CY296" s="116"/>
      <c r="CZ296" s="116"/>
      <c r="DA296" s="116"/>
      <c r="DB296" s="116"/>
      <c r="DC296" s="116"/>
      <c r="DD296" s="116"/>
      <c r="DE296" s="116"/>
      <c r="DF296" s="116"/>
      <c r="DG296" s="116"/>
      <c r="DH296" s="116"/>
      <c r="DI296" s="116"/>
      <c r="DJ296" s="116"/>
      <c r="DK296" s="116"/>
      <c r="DL296" s="116"/>
      <c r="DM296" s="116"/>
      <c r="DN296" s="116"/>
      <c r="DO296" s="116"/>
      <c r="DP296" s="116"/>
      <c r="DQ296" s="116"/>
      <c r="DR296" s="116"/>
      <c r="DS296" s="116"/>
      <c r="DT296" s="116"/>
      <c r="DU296" s="116"/>
      <c r="DV296" s="116"/>
      <c r="DW296" s="116"/>
      <c r="DX296" s="116"/>
      <c r="DY296" s="116"/>
      <c r="DZ296" s="116"/>
      <c r="EA296" s="116"/>
      <c r="EB296" s="116"/>
    </row>
    <row r="297" spans="36:166" ht="12.75" hidden="1" customHeight="1">
      <c r="AJ297" s="116"/>
      <c r="AK297" s="116"/>
      <c r="AL297" s="116"/>
      <c r="AM297" s="116"/>
      <c r="AN297" s="116"/>
      <c r="AO297" s="116"/>
      <c r="AP297" s="116"/>
      <c r="AS297" s="116"/>
      <c r="AT297" s="116"/>
      <c r="BQ297" s="116"/>
      <c r="BR297" s="116"/>
      <c r="BS297" s="116"/>
      <c r="BT297" s="116"/>
      <c r="BU297" s="116"/>
      <c r="BV297" s="116"/>
      <c r="BW297" s="116"/>
      <c r="BX297" s="116"/>
      <c r="BY297" s="116"/>
      <c r="BZ297" s="116"/>
      <c r="CA297" s="116"/>
      <c r="CB297" s="116"/>
      <c r="CC297" s="116"/>
      <c r="CD297" s="116"/>
      <c r="CE297" s="116"/>
      <c r="CF297" s="116"/>
      <c r="CG297" s="116"/>
      <c r="CH297" s="116"/>
      <c r="CI297" s="116"/>
      <c r="CJ297" s="116"/>
      <c r="CK297" s="116"/>
      <c r="CL297" s="116"/>
      <c r="CM297" s="116"/>
      <c r="CN297" s="116"/>
      <c r="CO297" s="116"/>
      <c r="CP297" s="116"/>
      <c r="CQ297" s="116"/>
      <c r="CR297" s="116"/>
      <c r="CS297" s="116"/>
      <c r="CT297" s="116"/>
      <c r="CU297" s="116"/>
      <c r="CV297" s="116"/>
      <c r="CW297" s="116"/>
      <c r="CX297" s="116"/>
      <c r="CY297" s="116"/>
      <c r="CZ297" s="116"/>
      <c r="DA297" s="116"/>
      <c r="DB297" s="116"/>
      <c r="DC297" s="116"/>
      <c r="DD297" s="116"/>
      <c r="DE297" s="116"/>
      <c r="DF297" s="116"/>
      <c r="DG297" s="116"/>
      <c r="DH297" s="116"/>
      <c r="DI297" s="116"/>
      <c r="DJ297" s="116"/>
      <c r="DK297" s="116"/>
      <c r="DL297" s="116"/>
      <c r="DM297" s="116"/>
      <c r="DN297" s="116"/>
      <c r="DO297" s="116"/>
      <c r="DP297" s="116"/>
      <c r="DQ297" s="116"/>
      <c r="DR297" s="116"/>
      <c r="DS297" s="116"/>
      <c r="DT297" s="116"/>
      <c r="DU297" s="116"/>
      <c r="DV297" s="116"/>
      <c r="DW297" s="116"/>
      <c r="DX297" s="116"/>
      <c r="DY297" s="116"/>
      <c r="DZ297" s="116"/>
      <c r="EA297" s="116"/>
      <c r="EB297" s="116"/>
    </row>
    <row r="298" spans="36:166" ht="12.75" hidden="1" customHeight="1">
      <c r="AJ298" s="116"/>
      <c r="AK298" s="116"/>
      <c r="AL298" s="116"/>
      <c r="AM298" s="116"/>
      <c r="AN298" s="116"/>
      <c r="AO298" s="116"/>
      <c r="AP298" s="116"/>
      <c r="AS298" s="116"/>
      <c r="AT298" s="116"/>
      <c r="BQ298" s="116"/>
      <c r="BR298" s="116"/>
      <c r="BS298" s="116"/>
      <c r="BT298" s="116"/>
      <c r="BU298" s="116"/>
      <c r="BV298" s="116"/>
      <c r="BW298" s="116"/>
      <c r="BX298" s="116"/>
      <c r="BY298" s="116"/>
      <c r="BZ298" s="116"/>
      <c r="CA298" s="116"/>
      <c r="CB298" s="116"/>
      <c r="CC298" s="116"/>
      <c r="CD298" s="116"/>
      <c r="CE298" s="116"/>
      <c r="CF298" s="116"/>
      <c r="CG298" s="116"/>
      <c r="CH298" s="116"/>
      <c r="CI298" s="116"/>
      <c r="CJ298" s="116"/>
      <c r="CK298" s="116"/>
      <c r="CL298" s="116"/>
      <c r="CM298" s="116"/>
      <c r="CN298" s="116"/>
      <c r="CO298" s="116"/>
      <c r="CP298" s="116"/>
      <c r="CQ298" s="116"/>
      <c r="CR298" s="116"/>
      <c r="CS298" s="116"/>
      <c r="CT298" s="116"/>
      <c r="CU298" s="116"/>
      <c r="CV298" s="116"/>
      <c r="CW298" s="116"/>
      <c r="CX298" s="116"/>
      <c r="CY298" s="116"/>
      <c r="CZ298" s="116"/>
      <c r="DA298" s="116"/>
      <c r="DB298" s="116"/>
      <c r="DC298" s="116"/>
      <c r="DD298" s="116"/>
      <c r="DE298" s="116"/>
      <c r="DF298" s="116"/>
      <c r="DG298" s="116"/>
      <c r="DH298" s="116"/>
      <c r="DI298" s="116"/>
      <c r="DJ298" s="116"/>
      <c r="DK298" s="116"/>
      <c r="DL298" s="116"/>
      <c r="DM298" s="116"/>
      <c r="DN298" s="116"/>
      <c r="DO298" s="116"/>
      <c r="DP298" s="116"/>
      <c r="DQ298" s="116"/>
      <c r="DR298" s="116"/>
      <c r="DS298" s="116"/>
      <c r="DT298" s="116"/>
      <c r="DU298" s="116"/>
      <c r="DV298" s="116"/>
      <c r="DW298" s="116"/>
      <c r="DX298" s="116"/>
      <c r="DY298" s="116"/>
      <c r="DZ298" s="116"/>
      <c r="EA298" s="116"/>
      <c r="EB298" s="116"/>
    </row>
    <row r="299" spans="36:166" ht="12.75" hidden="1" customHeight="1">
      <c r="AJ299" s="116"/>
      <c r="AK299" s="116"/>
      <c r="AL299" s="116"/>
      <c r="AM299" s="116"/>
      <c r="AN299" s="116"/>
      <c r="AO299" s="116"/>
      <c r="AP299" s="116"/>
      <c r="AS299" s="116"/>
      <c r="AT299" s="116"/>
      <c r="BQ299" s="116"/>
      <c r="BR299" s="116"/>
      <c r="BS299" s="116"/>
      <c r="BT299" s="116"/>
      <c r="BU299" s="116"/>
      <c r="BV299" s="116"/>
      <c r="BW299" s="116"/>
      <c r="BX299" s="116"/>
      <c r="BY299" s="116"/>
      <c r="BZ299" s="116"/>
      <c r="CA299" s="116"/>
      <c r="CB299" s="116"/>
      <c r="CC299" s="116"/>
      <c r="CD299" s="116"/>
      <c r="CE299" s="116"/>
      <c r="CF299" s="116"/>
      <c r="CG299" s="116"/>
      <c r="CH299" s="116"/>
      <c r="CI299" s="116"/>
      <c r="CJ299" s="116"/>
      <c r="CK299" s="116"/>
      <c r="CL299" s="116"/>
      <c r="CM299" s="116"/>
      <c r="CN299" s="116"/>
      <c r="CO299" s="116"/>
      <c r="CP299" s="116"/>
      <c r="CQ299" s="116"/>
      <c r="CR299" s="116"/>
      <c r="CS299" s="116"/>
      <c r="CT299" s="116"/>
      <c r="CU299" s="116"/>
      <c r="CV299" s="116"/>
      <c r="CW299" s="116"/>
      <c r="CX299" s="116"/>
      <c r="CY299" s="116"/>
      <c r="CZ299" s="116"/>
      <c r="DA299" s="116"/>
      <c r="DB299" s="116"/>
      <c r="DC299" s="116"/>
      <c r="DD299" s="116"/>
      <c r="DE299" s="116"/>
      <c r="DF299" s="116"/>
      <c r="DG299" s="116"/>
      <c r="DH299" s="116"/>
      <c r="DI299" s="116"/>
      <c r="DJ299" s="116"/>
      <c r="DK299" s="116"/>
      <c r="DL299" s="116"/>
      <c r="DM299" s="116"/>
      <c r="DN299" s="116"/>
      <c r="DO299" s="116"/>
      <c r="DP299" s="116"/>
      <c r="DQ299" s="116"/>
      <c r="DR299" s="116"/>
      <c r="DS299" s="116"/>
      <c r="DT299" s="116"/>
      <c r="DU299" s="116"/>
      <c r="DV299" s="116"/>
      <c r="DW299" s="116"/>
      <c r="DX299" s="116"/>
      <c r="DY299" s="116"/>
      <c r="DZ299" s="116"/>
      <c r="EA299" s="116"/>
      <c r="EB299" s="116"/>
    </row>
    <row r="300" spans="36:166" ht="12.75" hidden="1" customHeight="1">
      <c r="AJ300" s="116"/>
      <c r="AK300" s="116"/>
      <c r="AL300" s="116"/>
      <c r="AM300" s="116"/>
      <c r="AN300" s="116"/>
      <c r="AO300" s="116"/>
      <c r="AP300" s="116"/>
      <c r="AS300" s="116"/>
      <c r="AT300" s="116"/>
      <c r="BQ300" s="116"/>
      <c r="BR300" s="116"/>
      <c r="BS300" s="116"/>
      <c r="BT300" s="116"/>
      <c r="BU300" s="116"/>
      <c r="BV300" s="116"/>
      <c r="BW300" s="116"/>
      <c r="BX300" s="116"/>
      <c r="BY300" s="116"/>
      <c r="BZ300" s="116"/>
      <c r="CA300" s="116"/>
      <c r="CB300" s="116"/>
      <c r="CC300" s="116"/>
      <c r="CD300" s="116"/>
      <c r="CE300" s="116"/>
      <c r="CF300" s="116"/>
      <c r="CG300" s="116"/>
      <c r="CH300" s="116"/>
      <c r="CI300" s="116"/>
      <c r="CJ300" s="116"/>
      <c r="CK300" s="116"/>
      <c r="CL300" s="116"/>
      <c r="CM300" s="116"/>
      <c r="CN300" s="116"/>
      <c r="CO300" s="116"/>
      <c r="CP300" s="116"/>
      <c r="CQ300" s="116"/>
      <c r="CR300" s="116"/>
      <c r="CS300" s="116"/>
      <c r="CT300" s="116"/>
      <c r="CU300" s="116"/>
      <c r="CV300" s="116"/>
      <c r="CW300" s="116"/>
      <c r="CX300" s="116"/>
      <c r="CY300" s="116"/>
      <c r="CZ300" s="116"/>
      <c r="DA300" s="116"/>
      <c r="DB300" s="116"/>
      <c r="DC300" s="116"/>
      <c r="DD300" s="116"/>
      <c r="DE300" s="116"/>
      <c r="DF300" s="116"/>
      <c r="DG300" s="116"/>
      <c r="DH300" s="116"/>
      <c r="DI300" s="116"/>
      <c r="DJ300" s="116"/>
      <c r="DK300" s="116"/>
      <c r="DL300" s="116"/>
      <c r="DM300" s="116"/>
      <c r="DN300" s="116"/>
      <c r="DO300" s="116"/>
      <c r="DP300" s="116"/>
      <c r="DQ300" s="116"/>
      <c r="DR300" s="116"/>
      <c r="DS300" s="116"/>
      <c r="DT300" s="116"/>
      <c r="DU300" s="116"/>
      <c r="DV300" s="116"/>
      <c r="DW300" s="116"/>
      <c r="DX300" s="116"/>
      <c r="DY300" s="116"/>
      <c r="DZ300" s="116"/>
      <c r="EA300" s="116"/>
      <c r="EB300" s="116"/>
    </row>
    <row r="301" spans="36:166" ht="12.75" hidden="1" customHeight="1">
      <c r="AJ301" s="116"/>
      <c r="AK301" s="116"/>
      <c r="AL301" s="116"/>
      <c r="AM301" s="116"/>
      <c r="AN301" s="116"/>
      <c r="AO301" s="116"/>
      <c r="AP301" s="116"/>
      <c r="AS301" s="116"/>
      <c r="AT301" s="116"/>
      <c r="BQ301" s="116"/>
      <c r="BR301" s="116"/>
      <c r="BS301" s="116"/>
      <c r="BT301" s="116"/>
      <c r="BU301" s="116"/>
      <c r="BV301" s="116"/>
      <c r="BW301" s="116"/>
      <c r="BX301" s="116"/>
      <c r="BY301" s="116"/>
      <c r="BZ301" s="116"/>
      <c r="CA301" s="116"/>
      <c r="CB301" s="116"/>
      <c r="CC301" s="116"/>
      <c r="CD301" s="116"/>
      <c r="CE301" s="116"/>
      <c r="CF301" s="116"/>
      <c r="CG301" s="116"/>
      <c r="CH301" s="116"/>
      <c r="CI301" s="116"/>
      <c r="CJ301" s="116"/>
      <c r="CK301" s="116"/>
      <c r="CL301" s="116"/>
      <c r="CM301" s="116"/>
      <c r="CN301" s="116"/>
      <c r="CO301" s="116"/>
      <c r="CP301" s="116"/>
      <c r="CQ301" s="116"/>
      <c r="CR301" s="116"/>
      <c r="CS301" s="116"/>
      <c r="CT301" s="116"/>
      <c r="CU301" s="116"/>
      <c r="CV301" s="116"/>
      <c r="CW301" s="116"/>
      <c r="CX301" s="116"/>
      <c r="CY301" s="116"/>
      <c r="CZ301" s="116"/>
      <c r="DA301" s="116"/>
      <c r="DB301" s="116"/>
      <c r="DC301" s="116"/>
      <c r="DD301" s="116"/>
      <c r="DE301" s="116"/>
      <c r="DF301" s="116"/>
      <c r="DG301" s="116"/>
      <c r="DH301" s="116"/>
      <c r="DI301" s="116"/>
      <c r="DJ301" s="116"/>
      <c r="DK301" s="116"/>
      <c r="DL301" s="116"/>
      <c r="DM301" s="116"/>
      <c r="DN301" s="116"/>
      <c r="DO301" s="116"/>
      <c r="DP301" s="116"/>
      <c r="DQ301" s="116"/>
      <c r="DR301" s="116"/>
      <c r="DS301" s="116"/>
      <c r="DT301" s="116"/>
      <c r="DU301" s="116"/>
      <c r="DV301" s="116"/>
      <c r="DW301" s="116"/>
      <c r="DX301" s="116"/>
      <c r="DY301" s="116"/>
      <c r="DZ301" s="116"/>
      <c r="EA301" s="116"/>
      <c r="EB301" s="116"/>
    </row>
    <row r="302" spans="36:166" ht="12.75" hidden="1" customHeight="1">
      <c r="AJ302" s="116"/>
      <c r="AK302" s="116"/>
      <c r="AL302" s="116"/>
      <c r="AM302" s="116"/>
      <c r="AN302" s="116"/>
      <c r="AO302" s="116"/>
      <c r="AP302" s="116"/>
      <c r="AS302" s="116"/>
      <c r="AT302" s="116"/>
      <c r="BQ302" s="116"/>
      <c r="BR302" s="116"/>
      <c r="BS302" s="116"/>
      <c r="BT302" s="116"/>
      <c r="BU302" s="116"/>
      <c r="BV302" s="116"/>
      <c r="BW302" s="116"/>
      <c r="BX302" s="116"/>
      <c r="BY302" s="116"/>
      <c r="BZ302" s="116"/>
      <c r="CA302" s="116"/>
      <c r="CB302" s="116"/>
      <c r="CC302" s="116"/>
      <c r="CD302" s="116"/>
      <c r="CE302" s="116"/>
      <c r="CF302" s="116"/>
      <c r="CG302" s="116"/>
      <c r="CH302" s="116"/>
      <c r="CI302" s="116"/>
      <c r="CJ302" s="116"/>
      <c r="CK302" s="116"/>
      <c r="CL302" s="116"/>
      <c r="CM302" s="116"/>
      <c r="CN302" s="116"/>
      <c r="CO302" s="116"/>
      <c r="CP302" s="116"/>
      <c r="CQ302" s="116"/>
      <c r="CR302" s="116"/>
      <c r="CS302" s="116"/>
      <c r="CT302" s="116"/>
      <c r="CU302" s="116"/>
      <c r="CV302" s="116"/>
      <c r="CW302" s="116"/>
      <c r="CX302" s="116"/>
      <c r="CY302" s="116"/>
      <c r="CZ302" s="116"/>
      <c r="DA302" s="116"/>
      <c r="DB302" s="116"/>
      <c r="DC302" s="116"/>
      <c r="DD302" s="116"/>
      <c r="DE302" s="116"/>
      <c r="DF302" s="116"/>
      <c r="DG302" s="116"/>
      <c r="DH302" s="116"/>
      <c r="DI302" s="116"/>
      <c r="DJ302" s="116"/>
      <c r="DK302" s="116"/>
      <c r="DL302" s="116"/>
      <c r="DM302" s="116"/>
      <c r="DN302" s="116"/>
      <c r="DO302" s="116"/>
      <c r="DP302" s="116"/>
      <c r="DQ302" s="116"/>
      <c r="DR302" s="116"/>
      <c r="DS302" s="116"/>
      <c r="DT302" s="116"/>
      <c r="DU302" s="116"/>
      <c r="DV302" s="116"/>
      <c r="DW302" s="116"/>
      <c r="DX302" s="116"/>
      <c r="DY302" s="116"/>
      <c r="DZ302" s="116"/>
      <c r="EA302" s="116"/>
      <c r="EB302" s="116"/>
    </row>
    <row r="303" spans="36:166" ht="12.75" hidden="1" customHeight="1">
      <c r="AJ303" s="116"/>
      <c r="AK303" s="116"/>
      <c r="AL303" s="116"/>
      <c r="AM303" s="116"/>
      <c r="AN303" s="116"/>
      <c r="AO303" s="116"/>
      <c r="AP303" s="116"/>
      <c r="AS303" s="116"/>
      <c r="AT303" s="116"/>
      <c r="BQ303" s="116"/>
      <c r="BR303" s="116"/>
      <c r="BS303" s="116"/>
      <c r="BT303" s="116"/>
      <c r="BU303" s="116"/>
      <c r="BV303" s="116"/>
      <c r="BW303" s="116"/>
      <c r="BX303" s="116"/>
      <c r="BY303" s="116"/>
      <c r="BZ303" s="116"/>
      <c r="CA303" s="116"/>
      <c r="CB303" s="116"/>
      <c r="CC303" s="116"/>
      <c r="CD303" s="116"/>
      <c r="CE303" s="116"/>
      <c r="CF303" s="116"/>
      <c r="CG303" s="116"/>
      <c r="CH303" s="116"/>
      <c r="CI303" s="116"/>
      <c r="CJ303" s="116"/>
      <c r="CK303" s="116"/>
      <c r="CL303" s="116"/>
      <c r="CM303" s="116"/>
      <c r="CN303" s="116"/>
      <c r="CO303" s="116"/>
      <c r="CP303" s="116"/>
      <c r="CQ303" s="116"/>
      <c r="CR303" s="116"/>
      <c r="CS303" s="116"/>
      <c r="CT303" s="116"/>
      <c r="CU303" s="116"/>
      <c r="CV303" s="116"/>
      <c r="CW303" s="116"/>
      <c r="CX303" s="116"/>
      <c r="CY303" s="116"/>
      <c r="CZ303" s="116"/>
      <c r="DA303" s="116"/>
      <c r="DB303" s="116"/>
      <c r="DC303" s="116"/>
      <c r="DD303" s="116"/>
      <c r="DE303" s="116"/>
      <c r="DF303" s="116"/>
      <c r="DG303" s="116"/>
      <c r="DH303" s="116"/>
      <c r="DI303" s="116"/>
      <c r="DJ303" s="116"/>
      <c r="DK303" s="116"/>
      <c r="DL303" s="116"/>
      <c r="DM303" s="116"/>
      <c r="DN303" s="116"/>
      <c r="DO303" s="116"/>
      <c r="DP303" s="116"/>
      <c r="DQ303" s="116"/>
      <c r="DR303" s="116"/>
      <c r="DS303" s="116"/>
      <c r="DT303" s="116"/>
      <c r="DU303" s="116"/>
      <c r="DV303" s="116"/>
      <c r="DW303" s="116"/>
      <c r="DX303" s="116"/>
      <c r="DY303" s="116"/>
      <c r="DZ303" s="116"/>
      <c r="EA303" s="116"/>
      <c r="EB303" s="116"/>
    </row>
    <row r="304" spans="36:166" ht="12.75" hidden="1" customHeight="1">
      <c r="AJ304" s="116"/>
      <c r="AK304" s="116"/>
      <c r="AL304" s="116"/>
      <c r="AM304" s="116"/>
      <c r="AN304" s="116"/>
      <c r="AO304" s="116"/>
      <c r="AP304" s="116"/>
      <c r="AS304" s="116"/>
      <c r="AT304" s="116"/>
      <c r="BQ304" s="116"/>
      <c r="BR304" s="116"/>
      <c r="BS304" s="116"/>
      <c r="BT304" s="116"/>
      <c r="BU304" s="116"/>
      <c r="BV304" s="116"/>
      <c r="BW304" s="116"/>
      <c r="BX304" s="116"/>
      <c r="BY304" s="116"/>
      <c r="BZ304" s="116"/>
      <c r="CA304" s="116"/>
      <c r="CB304" s="116"/>
      <c r="CC304" s="116"/>
      <c r="CD304" s="116"/>
      <c r="CE304" s="116"/>
      <c r="CF304" s="116"/>
      <c r="CG304" s="116"/>
      <c r="CH304" s="116"/>
      <c r="CI304" s="116"/>
      <c r="CJ304" s="116"/>
      <c r="CK304" s="116"/>
      <c r="CL304" s="116"/>
      <c r="CM304" s="116"/>
      <c r="CN304" s="116"/>
      <c r="CO304" s="116"/>
      <c r="CP304" s="116"/>
      <c r="CQ304" s="116"/>
      <c r="CR304" s="116"/>
      <c r="CS304" s="116"/>
      <c r="CT304" s="116"/>
      <c r="CU304" s="116"/>
      <c r="CV304" s="116"/>
      <c r="CW304" s="116"/>
      <c r="CX304" s="116"/>
      <c r="CY304" s="116"/>
      <c r="CZ304" s="116"/>
      <c r="DA304" s="116"/>
      <c r="DB304" s="116"/>
      <c r="DC304" s="116"/>
      <c r="DD304" s="116"/>
      <c r="DE304" s="116"/>
      <c r="DF304" s="116"/>
      <c r="DG304" s="116"/>
      <c r="DH304" s="116"/>
      <c r="DI304" s="116"/>
      <c r="DJ304" s="116"/>
      <c r="DK304" s="116"/>
      <c r="DL304" s="116"/>
      <c r="DM304" s="116"/>
      <c r="DN304" s="116"/>
      <c r="DO304" s="116"/>
      <c r="DP304" s="116"/>
      <c r="DQ304" s="116"/>
      <c r="DR304" s="116"/>
      <c r="DS304" s="116"/>
      <c r="DT304" s="116"/>
      <c r="DU304" s="116"/>
      <c r="DV304" s="116"/>
      <c r="DW304" s="116"/>
      <c r="DX304" s="116"/>
      <c r="DY304" s="116"/>
      <c r="DZ304" s="116"/>
      <c r="EA304" s="116"/>
      <c r="EB304" s="116"/>
    </row>
    <row r="305" spans="36:132" ht="12.75" hidden="1" customHeight="1">
      <c r="AJ305" s="116"/>
      <c r="AK305" s="116"/>
      <c r="AL305" s="116"/>
      <c r="AM305" s="116"/>
      <c r="AN305" s="116"/>
      <c r="AO305" s="116"/>
      <c r="AP305" s="116"/>
      <c r="AS305" s="116"/>
      <c r="AT305" s="116"/>
      <c r="BQ305" s="116"/>
      <c r="BR305" s="116"/>
      <c r="BS305" s="116"/>
      <c r="BT305" s="116"/>
      <c r="BU305" s="116"/>
      <c r="BV305" s="116"/>
      <c r="BW305" s="116"/>
      <c r="BX305" s="116"/>
      <c r="BY305" s="116"/>
      <c r="BZ305" s="116"/>
      <c r="CA305" s="116"/>
      <c r="CB305" s="116"/>
      <c r="CC305" s="116"/>
      <c r="CD305" s="116"/>
      <c r="CE305" s="116"/>
      <c r="CF305" s="116"/>
      <c r="CG305" s="116"/>
      <c r="CH305" s="116"/>
      <c r="CI305" s="116"/>
      <c r="CJ305" s="116"/>
      <c r="CK305" s="116"/>
      <c r="CL305" s="116"/>
      <c r="CM305" s="116"/>
      <c r="CN305" s="116"/>
      <c r="CO305" s="116"/>
      <c r="CP305" s="116"/>
      <c r="CQ305" s="116"/>
      <c r="CR305" s="116"/>
      <c r="CS305" s="116"/>
      <c r="CT305" s="116"/>
      <c r="CU305" s="116"/>
      <c r="CV305" s="116"/>
      <c r="CW305" s="116"/>
      <c r="CX305" s="116"/>
      <c r="CY305" s="116"/>
      <c r="CZ305" s="116"/>
      <c r="DA305" s="116"/>
      <c r="DB305" s="116"/>
      <c r="DC305" s="116"/>
      <c r="DD305" s="116"/>
      <c r="DE305" s="116"/>
      <c r="DF305" s="116"/>
      <c r="DG305" s="116"/>
      <c r="DH305" s="116"/>
      <c r="DI305" s="116"/>
      <c r="DJ305" s="116"/>
      <c r="DK305" s="116"/>
      <c r="DL305" s="116"/>
      <c r="DM305" s="116"/>
      <c r="DN305" s="116"/>
      <c r="DO305" s="116"/>
      <c r="DP305" s="116"/>
      <c r="DQ305" s="116"/>
      <c r="DR305" s="116"/>
      <c r="DS305" s="116"/>
      <c r="DT305" s="116"/>
      <c r="DU305" s="116"/>
      <c r="DV305" s="116"/>
      <c r="DW305" s="116"/>
      <c r="DX305" s="116"/>
      <c r="DY305" s="116"/>
      <c r="DZ305" s="116"/>
      <c r="EA305" s="116"/>
      <c r="EB305" s="116"/>
    </row>
    <row r="306" spans="36:132" ht="12.75" hidden="1" customHeight="1">
      <c r="AJ306" s="116"/>
      <c r="AK306" s="116"/>
      <c r="AL306" s="116"/>
      <c r="AM306" s="116"/>
      <c r="AN306" s="116"/>
      <c r="AO306" s="116"/>
      <c r="AP306" s="116"/>
      <c r="AS306" s="116"/>
      <c r="AT306" s="116"/>
      <c r="BQ306" s="116"/>
      <c r="BR306" s="116"/>
      <c r="BS306" s="116"/>
      <c r="BT306" s="116"/>
      <c r="BU306" s="116"/>
      <c r="BV306" s="116"/>
      <c r="BW306" s="116"/>
      <c r="BX306" s="116"/>
      <c r="BY306" s="116"/>
      <c r="BZ306" s="116"/>
      <c r="CA306" s="116"/>
      <c r="CB306" s="116"/>
      <c r="CC306" s="116"/>
      <c r="CD306" s="116"/>
      <c r="CE306" s="116"/>
      <c r="CF306" s="116"/>
      <c r="CG306" s="116"/>
      <c r="CH306" s="116"/>
      <c r="CI306" s="116"/>
      <c r="CJ306" s="116"/>
      <c r="CK306" s="116"/>
      <c r="CL306" s="116"/>
      <c r="CM306" s="116"/>
      <c r="CN306" s="116"/>
      <c r="CO306" s="116"/>
      <c r="CP306" s="116"/>
      <c r="CQ306" s="116"/>
      <c r="CR306" s="116"/>
      <c r="CS306" s="116"/>
      <c r="CT306" s="116"/>
      <c r="CU306" s="116"/>
      <c r="CV306" s="116"/>
      <c r="CW306" s="116"/>
      <c r="CX306" s="116"/>
      <c r="CY306" s="116"/>
      <c r="CZ306" s="116"/>
      <c r="DA306" s="116"/>
      <c r="DB306" s="116"/>
      <c r="DC306" s="116"/>
      <c r="DD306" s="116"/>
      <c r="DE306" s="116"/>
      <c r="DF306" s="116"/>
      <c r="DG306" s="116"/>
      <c r="DH306" s="116"/>
      <c r="DI306" s="116"/>
      <c r="DJ306" s="116"/>
      <c r="DK306" s="116"/>
      <c r="DL306" s="116"/>
      <c r="DM306" s="116"/>
      <c r="DN306" s="116"/>
      <c r="DO306" s="116"/>
      <c r="DP306" s="116"/>
      <c r="DQ306" s="116"/>
      <c r="DR306" s="116"/>
      <c r="DS306" s="116"/>
      <c r="DT306" s="116"/>
      <c r="DU306" s="116"/>
      <c r="DV306" s="116"/>
      <c r="DW306" s="116"/>
      <c r="DX306" s="116"/>
      <c r="DY306" s="116"/>
      <c r="DZ306" s="116"/>
      <c r="EA306" s="116"/>
      <c r="EB306" s="116"/>
    </row>
    <row r="307" spans="36:132" ht="12.75" hidden="1" customHeight="1">
      <c r="AJ307" s="116"/>
      <c r="AK307" s="116"/>
      <c r="AL307" s="116"/>
      <c r="AM307" s="116"/>
      <c r="AN307" s="116"/>
      <c r="AO307" s="116"/>
      <c r="AP307" s="116"/>
      <c r="AS307" s="116"/>
      <c r="AT307" s="116"/>
      <c r="BQ307" s="116"/>
      <c r="BR307" s="116"/>
      <c r="BS307" s="116"/>
      <c r="BT307" s="116"/>
      <c r="BU307" s="116"/>
      <c r="BV307" s="116"/>
      <c r="BW307" s="116"/>
      <c r="BX307" s="116"/>
      <c r="BY307" s="116"/>
      <c r="BZ307" s="116"/>
      <c r="CA307" s="116"/>
      <c r="CB307" s="116"/>
      <c r="CC307" s="116"/>
      <c r="CD307" s="116"/>
      <c r="CE307" s="116"/>
      <c r="CF307" s="116"/>
      <c r="CG307" s="116"/>
      <c r="CH307" s="116"/>
      <c r="CI307" s="116"/>
      <c r="CJ307" s="116"/>
      <c r="CK307" s="116"/>
      <c r="CL307" s="116"/>
      <c r="CM307" s="116"/>
      <c r="CN307" s="116"/>
      <c r="CO307" s="116"/>
      <c r="CP307" s="116"/>
      <c r="CQ307" s="116"/>
      <c r="CR307" s="116"/>
      <c r="CS307" s="116"/>
      <c r="CT307" s="116"/>
      <c r="CU307" s="116"/>
      <c r="CV307" s="116"/>
      <c r="CW307" s="116"/>
      <c r="CX307" s="116"/>
      <c r="CY307" s="116"/>
      <c r="CZ307" s="116"/>
      <c r="DA307" s="116"/>
      <c r="DB307" s="116"/>
      <c r="DC307" s="116"/>
      <c r="DD307" s="116"/>
      <c r="DE307" s="116"/>
      <c r="DF307" s="116"/>
      <c r="DG307" s="116"/>
      <c r="DH307" s="116"/>
      <c r="DI307" s="116"/>
      <c r="DJ307" s="116"/>
      <c r="DK307" s="116"/>
      <c r="DL307" s="116"/>
      <c r="DM307" s="116"/>
      <c r="DN307" s="116"/>
      <c r="DO307" s="116"/>
      <c r="DP307" s="116"/>
      <c r="DQ307" s="116"/>
      <c r="DR307" s="116"/>
      <c r="DS307" s="116"/>
      <c r="DT307" s="116"/>
      <c r="DU307" s="116"/>
      <c r="DV307" s="116"/>
      <c r="DW307" s="116"/>
      <c r="DX307" s="116"/>
      <c r="DY307" s="116"/>
      <c r="DZ307" s="116"/>
      <c r="EA307" s="116"/>
      <c r="EB307" s="116"/>
    </row>
    <row r="308" spans="36:132" ht="12.75" hidden="1" customHeight="1">
      <c r="AJ308" s="116"/>
      <c r="AK308" s="116"/>
      <c r="AL308" s="116"/>
      <c r="AM308" s="116"/>
      <c r="AN308" s="116"/>
      <c r="AO308" s="116"/>
      <c r="AP308" s="116"/>
      <c r="AS308" s="116"/>
      <c r="AT308" s="116"/>
      <c r="BQ308" s="116"/>
      <c r="BR308" s="116"/>
      <c r="BS308" s="116"/>
      <c r="BT308" s="116"/>
      <c r="BU308" s="116"/>
      <c r="BV308" s="116"/>
      <c r="BW308" s="116"/>
      <c r="BX308" s="116"/>
      <c r="BY308" s="116"/>
      <c r="BZ308" s="116"/>
      <c r="CA308" s="116"/>
      <c r="CB308" s="116"/>
      <c r="CC308" s="116"/>
      <c r="CD308" s="116"/>
      <c r="CE308" s="116"/>
      <c r="CF308" s="116"/>
      <c r="CG308" s="116"/>
      <c r="CH308" s="116"/>
      <c r="CI308" s="116"/>
      <c r="CJ308" s="116"/>
      <c r="CK308" s="116"/>
      <c r="CL308" s="116"/>
      <c r="CM308" s="116"/>
      <c r="CN308" s="116"/>
      <c r="CO308" s="116"/>
      <c r="CP308" s="116"/>
      <c r="CQ308" s="116"/>
      <c r="CR308" s="116"/>
      <c r="CS308" s="116"/>
      <c r="CT308" s="116"/>
      <c r="CU308" s="116"/>
      <c r="CV308" s="116"/>
      <c r="CW308" s="116"/>
      <c r="CX308" s="116"/>
      <c r="CY308" s="116"/>
      <c r="CZ308" s="116"/>
      <c r="DA308" s="116"/>
      <c r="DB308" s="116"/>
      <c r="DC308" s="116"/>
      <c r="DD308" s="116"/>
      <c r="DE308" s="116"/>
      <c r="DF308" s="116"/>
      <c r="DG308" s="116"/>
      <c r="DH308" s="116"/>
      <c r="DI308" s="116"/>
      <c r="DJ308" s="116"/>
      <c r="DK308" s="116"/>
      <c r="DL308" s="116"/>
      <c r="DM308" s="116"/>
      <c r="DN308" s="116"/>
      <c r="DO308" s="116"/>
      <c r="DP308" s="116"/>
      <c r="DQ308" s="116"/>
      <c r="DR308" s="116"/>
      <c r="DS308" s="116"/>
      <c r="DT308" s="116"/>
      <c r="DU308" s="116"/>
      <c r="DV308" s="116"/>
      <c r="DW308" s="116"/>
      <c r="DX308" s="116"/>
      <c r="DY308" s="116"/>
      <c r="DZ308" s="116"/>
      <c r="EA308" s="116"/>
      <c r="EB308" s="116"/>
    </row>
    <row r="309" spans="36:132" ht="12.75" hidden="1" customHeight="1">
      <c r="AJ309" s="116"/>
      <c r="AK309" s="116"/>
      <c r="AL309" s="116"/>
      <c r="AM309" s="116"/>
      <c r="AN309" s="116"/>
      <c r="AO309" s="116"/>
      <c r="AP309" s="116"/>
      <c r="AS309" s="116"/>
      <c r="AT309" s="116"/>
      <c r="BQ309" s="116"/>
      <c r="BR309" s="116"/>
      <c r="BS309" s="116"/>
      <c r="BT309" s="116"/>
      <c r="BU309" s="116"/>
      <c r="BV309" s="116"/>
      <c r="BW309" s="116"/>
      <c r="BX309" s="116"/>
      <c r="BY309" s="116"/>
      <c r="BZ309" s="116"/>
      <c r="CA309" s="116"/>
      <c r="CB309" s="116"/>
      <c r="CC309" s="116"/>
      <c r="CD309" s="116"/>
      <c r="CE309" s="116"/>
      <c r="CF309" s="116"/>
      <c r="CG309" s="116"/>
      <c r="CH309" s="116"/>
      <c r="CI309" s="116"/>
      <c r="CJ309" s="116"/>
      <c r="CK309" s="116"/>
      <c r="CL309" s="116"/>
      <c r="CM309" s="116"/>
      <c r="CN309" s="116"/>
      <c r="CO309" s="116"/>
      <c r="CP309" s="116"/>
      <c r="CQ309" s="116"/>
      <c r="CR309" s="116"/>
      <c r="CS309" s="116"/>
      <c r="CT309" s="116"/>
      <c r="CU309" s="116"/>
      <c r="CV309" s="116"/>
      <c r="CW309" s="116"/>
      <c r="CX309" s="116"/>
      <c r="CY309" s="116"/>
      <c r="CZ309" s="116"/>
      <c r="DA309" s="116"/>
      <c r="DB309" s="116"/>
      <c r="DC309" s="116"/>
      <c r="DD309" s="116"/>
      <c r="DE309" s="116"/>
      <c r="DF309" s="116"/>
      <c r="DG309" s="116"/>
      <c r="DH309" s="116"/>
      <c r="DI309" s="116"/>
      <c r="DJ309" s="116"/>
      <c r="DK309" s="116"/>
      <c r="DL309" s="116"/>
      <c r="DM309" s="116"/>
      <c r="DN309" s="116"/>
      <c r="DO309" s="116"/>
      <c r="DP309" s="116"/>
      <c r="DQ309" s="116"/>
      <c r="DR309" s="116"/>
      <c r="DS309" s="116"/>
      <c r="DT309" s="116"/>
      <c r="DU309" s="116"/>
      <c r="DV309" s="116"/>
      <c r="DW309" s="116"/>
      <c r="DX309" s="116"/>
      <c r="DY309" s="116"/>
      <c r="DZ309" s="116"/>
      <c r="EA309" s="116"/>
      <c r="EB309" s="116"/>
    </row>
    <row r="310" spans="36:132" ht="12.75" hidden="1" customHeight="1">
      <c r="AJ310" s="116"/>
      <c r="AK310" s="116"/>
      <c r="AL310" s="116"/>
      <c r="AM310" s="116"/>
      <c r="AN310" s="116"/>
      <c r="AO310" s="116"/>
      <c r="AP310" s="116"/>
      <c r="AS310" s="116"/>
      <c r="AT310" s="116"/>
      <c r="BQ310" s="116"/>
      <c r="BR310" s="116"/>
      <c r="BS310" s="116"/>
      <c r="BT310" s="116"/>
      <c r="BU310" s="116"/>
      <c r="BV310" s="116"/>
      <c r="BW310" s="116"/>
      <c r="BX310" s="116"/>
      <c r="BY310" s="116"/>
      <c r="BZ310" s="116"/>
      <c r="CA310" s="116"/>
      <c r="CB310" s="116"/>
      <c r="CC310" s="116"/>
      <c r="CD310" s="116"/>
      <c r="CE310" s="116"/>
      <c r="CF310" s="116"/>
      <c r="CG310" s="116"/>
      <c r="CH310" s="116"/>
      <c r="CI310" s="116"/>
      <c r="CJ310" s="116"/>
      <c r="CK310" s="116"/>
      <c r="CL310" s="116"/>
      <c r="CM310" s="116"/>
      <c r="CN310" s="116"/>
      <c r="CO310" s="116"/>
      <c r="CP310" s="116"/>
      <c r="CQ310" s="116"/>
      <c r="CR310" s="116"/>
      <c r="CS310" s="116"/>
      <c r="CT310" s="116"/>
      <c r="CU310" s="116"/>
      <c r="CV310" s="116"/>
      <c r="CW310" s="116"/>
      <c r="CX310" s="116"/>
      <c r="CY310" s="116"/>
      <c r="CZ310" s="116"/>
      <c r="DA310" s="116"/>
      <c r="DB310" s="116"/>
      <c r="DC310" s="116"/>
      <c r="DD310" s="116"/>
      <c r="DE310" s="116"/>
      <c r="DF310" s="116"/>
      <c r="DG310" s="116"/>
      <c r="DH310" s="116"/>
      <c r="DI310" s="116"/>
      <c r="DJ310" s="116"/>
      <c r="DK310" s="116"/>
      <c r="DL310" s="116"/>
      <c r="DM310" s="116"/>
      <c r="DN310" s="116"/>
      <c r="DO310" s="116"/>
      <c r="DP310" s="116"/>
      <c r="DQ310" s="116"/>
      <c r="DR310" s="116"/>
      <c r="DS310" s="116"/>
      <c r="DT310" s="116"/>
      <c r="DU310" s="116"/>
      <c r="DV310" s="116"/>
      <c r="DW310" s="116"/>
      <c r="DX310" s="116"/>
      <c r="DY310" s="116"/>
      <c r="DZ310" s="116"/>
      <c r="EA310" s="116"/>
      <c r="EB310" s="116"/>
    </row>
    <row r="311" spans="36:132" ht="12.75" hidden="1" customHeight="1">
      <c r="AJ311" s="116"/>
      <c r="AK311" s="116"/>
      <c r="AL311" s="116"/>
      <c r="AM311" s="116"/>
      <c r="AN311" s="116"/>
      <c r="AO311" s="116"/>
      <c r="AP311" s="116"/>
      <c r="AS311" s="116"/>
      <c r="AT311" s="116"/>
      <c r="BQ311" s="116"/>
      <c r="BR311" s="116"/>
      <c r="BS311" s="116"/>
      <c r="BT311" s="116"/>
      <c r="BU311" s="116"/>
      <c r="BV311" s="116"/>
      <c r="BW311" s="116"/>
      <c r="BX311" s="116"/>
      <c r="BY311" s="116"/>
      <c r="BZ311" s="116"/>
      <c r="CA311" s="116"/>
      <c r="CB311" s="116"/>
      <c r="CC311" s="116"/>
      <c r="CD311" s="116"/>
      <c r="CE311" s="116"/>
      <c r="CF311" s="116"/>
      <c r="CG311" s="116"/>
      <c r="CH311" s="116"/>
      <c r="CI311" s="116"/>
      <c r="CJ311" s="116"/>
      <c r="CK311" s="116"/>
      <c r="CL311" s="116"/>
      <c r="CM311" s="116"/>
      <c r="CN311" s="116"/>
      <c r="CO311" s="116"/>
      <c r="CP311" s="116"/>
      <c r="CQ311" s="116"/>
      <c r="CR311" s="116"/>
      <c r="CS311" s="116"/>
      <c r="CT311" s="116"/>
      <c r="CU311" s="116"/>
      <c r="CV311" s="116"/>
      <c r="CW311" s="116"/>
      <c r="CX311" s="116"/>
      <c r="CY311" s="116"/>
      <c r="CZ311" s="116"/>
      <c r="DA311" s="116"/>
      <c r="DB311" s="116"/>
      <c r="DC311" s="116"/>
      <c r="DD311" s="116"/>
      <c r="DE311" s="116"/>
      <c r="DF311" s="116"/>
      <c r="DG311" s="116"/>
      <c r="DH311" s="116"/>
      <c r="DI311" s="116"/>
      <c r="DJ311" s="116"/>
      <c r="DK311" s="116"/>
      <c r="DL311" s="116"/>
      <c r="DM311" s="116"/>
      <c r="DN311" s="116"/>
      <c r="DO311" s="116"/>
      <c r="DP311" s="116"/>
      <c r="DQ311" s="116"/>
      <c r="DR311" s="116"/>
      <c r="DS311" s="116"/>
      <c r="DT311" s="116"/>
      <c r="DU311" s="116"/>
      <c r="DV311" s="116"/>
      <c r="DW311" s="116"/>
      <c r="DX311" s="116"/>
      <c r="DY311" s="116"/>
      <c r="DZ311" s="116"/>
      <c r="EA311" s="116"/>
      <c r="EB311" s="116"/>
    </row>
    <row r="312" spans="36:132" ht="12.75" hidden="1" customHeight="1">
      <c r="AJ312" s="116"/>
      <c r="AK312" s="116"/>
      <c r="AL312" s="116"/>
      <c r="AM312" s="116"/>
      <c r="AN312" s="116"/>
      <c r="AO312" s="116"/>
      <c r="AP312" s="116"/>
      <c r="AS312" s="116"/>
      <c r="AT312" s="116"/>
      <c r="BQ312" s="116"/>
      <c r="BR312" s="116"/>
      <c r="BS312" s="116"/>
      <c r="BT312" s="116"/>
      <c r="BU312" s="116"/>
      <c r="BV312" s="116"/>
      <c r="BW312" s="116"/>
      <c r="BX312" s="116"/>
      <c r="BY312" s="116"/>
      <c r="BZ312" s="116"/>
      <c r="CA312" s="116"/>
      <c r="CB312" s="116"/>
      <c r="CC312" s="116"/>
      <c r="CD312" s="116"/>
      <c r="CE312" s="116"/>
      <c r="CF312" s="116"/>
      <c r="CG312" s="116"/>
      <c r="CH312" s="116"/>
      <c r="CI312" s="116"/>
      <c r="CJ312" s="116"/>
      <c r="CK312" s="116"/>
      <c r="CL312" s="116"/>
      <c r="CM312" s="116"/>
      <c r="CN312" s="116"/>
      <c r="CO312" s="116"/>
      <c r="CP312" s="116"/>
      <c r="CQ312" s="116"/>
      <c r="CR312" s="116"/>
      <c r="CS312" s="116"/>
      <c r="CT312" s="116"/>
      <c r="CU312" s="116"/>
      <c r="CV312" s="116"/>
      <c r="CW312" s="116"/>
      <c r="CX312" s="116"/>
      <c r="CY312" s="116"/>
      <c r="CZ312" s="116"/>
      <c r="DA312" s="116"/>
      <c r="DB312" s="116"/>
      <c r="DC312" s="116"/>
      <c r="DD312" s="116"/>
      <c r="DE312" s="116"/>
      <c r="DF312" s="116"/>
      <c r="DG312" s="116"/>
      <c r="DH312" s="116"/>
      <c r="DI312" s="116"/>
      <c r="DJ312" s="116"/>
      <c r="DK312" s="116"/>
      <c r="DL312" s="116"/>
      <c r="DM312" s="116"/>
      <c r="DN312" s="116"/>
      <c r="DO312" s="116"/>
      <c r="DP312" s="116"/>
      <c r="DQ312" s="116"/>
      <c r="DR312" s="116"/>
      <c r="DS312" s="116"/>
      <c r="DT312" s="116"/>
      <c r="DU312" s="116"/>
      <c r="DV312" s="116"/>
      <c r="DW312" s="116"/>
      <c r="DX312" s="116"/>
      <c r="DY312" s="116"/>
      <c r="DZ312" s="116"/>
      <c r="EA312" s="116"/>
      <c r="EB312" s="116"/>
    </row>
    <row r="313" spans="36:132" ht="12.75" hidden="1" customHeight="1">
      <c r="AJ313" s="116"/>
      <c r="AK313" s="116"/>
      <c r="AL313" s="116"/>
      <c r="AM313" s="116"/>
      <c r="AN313" s="116"/>
      <c r="AO313" s="116"/>
      <c r="AP313" s="116"/>
      <c r="AS313" s="116"/>
      <c r="AT313" s="116"/>
      <c r="BQ313" s="116"/>
      <c r="BR313" s="116"/>
      <c r="BS313" s="116"/>
      <c r="BT313" s="116"/>
      <c r="BU313" s="116"/>
      <c r="BV313" s="116"/>
      <c r="BW313" s="116"/>
      <c r="BX313" s="116"/>
      <c r="BY313" s="116"/>
      <c r="BZ313" s="116"/>
      <c r="CA313" s="116"/>
      <c r="CB313" s="116"/>
      <c r="CC313" s="116"/>
      <c r="CD313" s="116"/>
      <c r="CE313" s="116"/>
      <c r="CF313" s="116"/>
      <c r="CG313" s="116"/>
      <c r="CH313" s="116"/>
      <c r="CI313" s="116"/>
      <c r="CJ313" s="116"/>
      <c r="CK313" s="116"/>
      <c r="CL313" s="116"/>
      <c r="CM313" s="116"/>
      <c r="CN313" s="116"/>
      <c r="CO313" s="116"/>
      <c r="CP313" s="116"/>
      <c r="CQ313" s="116"/>
      <c r="CR313" s="116"/>
      <c r="CS313" s="116"/>
      <c r="CT313" s="116"/>
      <c r="CU313" s="116"/>
      <c r="CV313" s="116"/>
      <c r="CW313" s="116"/>
      <c r="CX313" s="116"/>
      <c r="CY313" s="116"/>
      <c r="CZ313" s="116"/>
      <c r="DA313" s="116"/>
      <c r="DB313" s="116"/>
      <c r="DC313" s="116"/>
      <c r="DD313" s="116"/>
      <c r="DE313" s="116"/>
      <c r="DF313" s="116"/>
      <c r="DG313" s="116"/>
      <c r="DH313" s="116"/>
      <c r="DI313" s="116"/>
      <c r="DJ313" s="116"/>
      <c r="DK313" s="116"/>
      <c r="DL313" s="116"/>
      <c r="DM313" s="116"/>
      <c r="DN313" s="116"/>
      <c r="DO313" s="116"/>
      <c r="DP313" s="116"/>
      <c r="DQ313" s="116"/>
      <c r="DR313" s="116"/>
      <c r="DS313" s="116"/>
      <c r="DT313" s="116"/>
      <c r="DU313" s="116"/>
      <c r="DV313" s="116"/>
      <c r="DW313" s="116"/>
      <c r="DX313" s="116"/>
      <c r="DY313" s="116"/>
      <c r="DZ313" s="116"/>
      <c r="EA313" s="116"/>
      <c r="EB313" s="116"/>
    </row>
    <row r="314" spans="36:132" ht="12.75" hidden="1" customHeight="1">
      <c r="AJ314" s="116"/>
      <c r="AK314" s="116"/>
      <c r="AL314" s="116"/>
      <c r="AM314" s="116"/>
      <c r="AN314" s="116"/>
      <c r="AO314" s="116"/>
      <c r="AP314" s="116"/>
      <c r="AS314" s="116"/>
      <c r="AT314" s="116"/>
      <c r="BQ314" s="116"/>
      <c r="BR314" s="116"/>
      <c r="BS314" s="116"/>
      <c r="BT314" s="116"/>
      <c r="BU314" s="116"/>
      <c r="BV314" s="116"/>
      <c r="BW314" s="116"/>
      <c r="BX314" s="116"/>
      <c r="BY314" s="116"/>
      <c r="BZ314" s="116"/>
      <c r="CA314" s="116"/>
      <c r="CB314" s="116"/>
      <c r="CC314" s="116"/>
      <c r="CD314" s="116"/>
      <c r="CE314" s="116"/>
      <c r="CF314" s="116"/>
      <c r="CG314" s="116"/>
      <c r="CH314" s="116"/>
      <c r="CI314" s="116"/>
      <c r="CJ314" s="116"/>
      <c r="CK314" s="116"/>
      <c r="CL314" s="116"/>
      <c r="CM314" s="116"/>
      <c r="CN314" s="116"/>
      <c r="CO314" s="116"/>
      <c r="CP314" s="116"/>
      <c r="CQ314" s="116"/>
      <c r="CR314" s="116"/>
      <c r="CS314" s="116"/>
      <c r="CT314" s="116"/>
      <c r="CU314" s="116"/>
      <c r="CV314" s="116"/>
      <c r="CW314" s="116"/>
      <c r="CX314" s="116"/>
      <c r="CY314" s="116"/>
      <c r="CZ314" s="116"/>
      <c r="DA314" s="116"/>
      <c r="DB314" s="116"/>
      <c r="DC314" s="116"/>
      <c r="DD314" s="116"/>
      <c r="DE314" s="116"/>
      <c r="DF314" s="116"/>
      <c r="DG314" s="116"/>
      <c r="DH314" s="116"/>
      <c r="DI314" s="116"/>
      <c r="DJ314" s="116"/>
      <c r="DK314" s="116"/>
      <c r="DL314" s="116"/>
      <c r="DM314" s="116"/>
      <c r="DN314" s="116"/>
      <c r="DO314" s="116"/>
      <c r="DP314" s="116"/>
      <c r="DQ314" s="116"/>
      <c r="DR314" s="116"/>
      <c r="DS314" s="116"/>
      <c r="DT314" s="116"/>
      <c r="DU314" s="116"/>
      <c r="DV314" s="116"/>
      <c r="DW314" s="116"/>
      <c r="DX314" s="116"/>
      <c r="DY314" s="116"/>
      <c r="DZ314" s="116"/>
      <c r="EA314" s="116"/>
      <c r="EB314" s="116"/>
    </row>
    <row r="315" spans="36:132" ht="12.75" hidden="1" customHeight="1">
      <c r="AJ315" s="116"/>
      <c r="AK315" s="116"/>
      <c r="AL315" s="116"/>
      <c r="AM315" s="116"/>
      <c r="AN315" s="116"/>
      <c r="AO315" s="116"/>
      <c r="AP315" s="116"/>
      <c r="AS315" s="116"/>
      <c r="AT315" s="116"/>
      <c r="BQ315" s="116"/>
      <c r="BR315" s="116"/>
      <c r="BS315" s="116"/>
      <c r="BT315" s="116"/>
      <c r="BU315" s="116"/>
      <c r="BV315" s="116"/>
      <c r="BW315" s="116"/>
      <c r="BX315" s="116"/>
      <c r="BY315" s="116"/>
      <c r="BZ315" s="116"/>
      <c r="CA315" s="116"/>
      <c r="CB315" s="116"/>
      <c r="CC315" s="116"/>
      <c r="CD315" s="116"/>
      <c r="CE315" s="116"/>
      <c r="CF315" s="116"/>
      <c r="CG315" s="116"/>
      <c r="CH315" s="116"/>
      <c r="CI315" s="116"/>
      <c r="CJ315" s="116"/>
      <c r="CK315" s="116"/>
      <c r="CL315" s="116"/>
      <c r="CM315" s="116"/>
      <c r="CN315" s="116"/>
      <c r="CO315" s="116"/>
      <c r="CP315" s="116"/>
      <c r="CQ315" s="116"/>
      <c r="CR315" s="116"/>
      <c r="CS315" s="116"/>
      <c r="CT315" s="116"/>
      <c r="CU315" s="116"/>
      <c r="CV315" s="116"/>
      <c r="CW315" s="116"/>
      <c r="CX315" s="116"/>
      <c r="CY315" s="116"/>
      <c r="CZ315" s="116"/>
      <c r="DA315" s="116"/>
      <c r="DB315" s="116"/>
      <c r="DC315" s="116"/>
      <c r="DD315" s="116"/>
      <c r="DE315" s="116"/>
      <c r="DF315" s="116"/>
      <c r="DG315" s="116"/>
      <c r="DH315" s="116"/>
      <c r="DI315" s="116"/>
      <c r="DJ315" s="116"/>
      <c r="DK315" s="116"/>
      <c r="DL315" s="116"/>
      <c r="DM315" s="116"/>
      <c r="DN315" s="116"/>
      <c r="DO315" s="116"/>
      <c r="DP315" s="116"/>
      <c r="DQ315" s="116"/>
      <c r="DR315" s="116"/>
      <c r="DS315" s="116"/>
      <c r="DT315" s="116"/>
      <c r="DU315" s="116"/>
      <c r="DV315" s="116"/>
      <c r="DW315" s="116"/>
      <c r="DX315" s="116"/>
      <c r="DY315" s="116"/>
      <c r="DZ315" s="116"/>
      <c r="EA315" s="116"/>
      <c r="EB315" s="116"/>
    </row>
    <row r="316" spans="36:132" ht="12.75" hidden="1" customHeight="1">
      <c r="AJ316" s="116"/>
      <c r="AK316" s="116"/>
      <c r="AL316" s="116"/>
      <c r="AM316" s="116"/>
      <c r="AN316" s="116"/>
      <c r="AO316" s="116"/>
      <c r="AP316" s="116"/>
      <c r="AS316" s="116"/>
      <c r="AT316" s="116"/>
      <c r="BQ316" s="116"/>
      <c r="BR316" s="116"/>
      <c r="BS316" s="116"/>
      <c r="BT316" s="116"/>
      <c r="BU316" s="116"/>
      <c r="BV316" s="116"/>
      <c r="BW316" s="116"/>
      <c r="BX316" s="116"/>
      <c r="BY316" s="116"/>
      <c r="BZ316" s="116"/>
      <c r="CA316" s="116"/>
      <c r="CB316" s="116"/>
      <c r="CC316" s="116"/>
      <c r="CD316" s="116"/>
      <c r="CE316" s="116"/>
      <c r="CF316" s="116"/>
      <c r="CG316" s="116"/>
      <c r="CH316" s="116"/>
      <c r="CI316" s="116"/>
      <c r="CJ316" s="116"/>
      <c r="CK316" s="116"/>
      <c r="CL316" s="116"/>
      <c r="CM316" s="116"/>
      <c r="CN316" s="116"/>
      <c r="CO316" s="116"/>
      <c r="CP316" s="116"/>
      <c r="CQ316" s="116"/>
      <c r="CR316" s="116"/>
      <c r="CS316" s="116"/>
      <c r="CT316" s="116"/>
      <c r="CU316" s="116"/>
      <c r="CV316" s="116"/>
      <c r="CW316" s="116"/>
      <c r="CX316" s="116"/>
      <c r="CY316" s="116"/>
      <c r="CZ316" s="116"/>
      <c r="DA316" s="116"/>
      <c r="DB316" s="116"/>
      <c r="DC316" s="116"/>
      <c r="DD316" s="116"/>
      <c r="DE316" s="116"/>
      <c r="DF316" s="116"/>
      <c r="DG316" s="116"/>
      <c r="DH316" s="116"/>
      <c r="DI316" s="116"/>
      <c r="DJ316" s="116"/>
      <c r="DK316" s="116"/>
      <c r="DL316" s="116"/>
      <c r="DM316" s="116"/>
      <c r="DN316" s="116"/>
      <c r="DO316" s="116"/>
      <c r="DP316" s="116"/>
      <c r="DQ316" s="116"/>
      <c r="DR316" s="116"/>
      <c r="DS316" s="116"/>
      <c r="DT316" s="116"/>
      <c r="DU316" s="116"/>
      <c r="DV316" s="116"/>
      <c r="DW316" s="116"/>
      <c r="DX316" s="116"/>
      <c r="DY316" s="116"/>
      <c r="DZ316" s="116"/>
      <c r="EA316" s="116"/>
      <c r="EB316" s="116"/>
    </row>
    <row r="317" spans="36:132" ht="12.75" hidden="1" customHeight="1">
      <c r="AJ317" s="116"/>
      <c r="AK317" s="116"/>
      <c r="AL317" s="116"/>
      <c r="AM317" s="116"/>
      <c r="AN317" s="116"/>
      <c r="AO317" s="116"/>
      <c r="AP317" s="116"/>
      <c r="AS317" s="116"/>
      <c r="AT317" s="116"/>
      <c r="BQ317" s="116"/>
      <c r="BR317" s="116"/>
      <c r="BS317" s="116"/>
      <c r="BT317" s="116"/>
      <c r="BU317" s="116"/>
      <c r="BV317" s="116"/>
      <c r="BW317" s="116"/>
      <c r="BX317" s="116"/>
      <c r="BY317" s="116"/>
      <c r="BZ317" s="116"/>
      <c r="CA317" s="116"/>
      <c r="CB317" s="116"/>
      <c r="CC317" s="116"/>
      <c r="CD317" s="116"/>
      <c r="CE317" s="116"/>
      <c r="CF317" s="116"/>
      <c r="CG317" s="116"/>
      <c r="CH317" s="116"/>
      <c r="CI317" s="116"/>
      <c r="CJ317" s="116"/>
      <c r="CK317" s="116"/>
      <c r="CL317" s="116"/>
      <c r="CM317" s="116"/>
      <c r="CN317" s="116"/>
      <c r="CO317" s="116"/>
      <c r="CP317" s="116"/>
      <c r="CQ317" s="116"/>
      <c r="CR317" s="116"/>
      <c r="CS317" s="116"/>
      <c r="CT317" s="116"/>
      <c r="CU317" s="116"/>
      <c r="CV317" s="116"/>
      <c r="CW317" s="116"/>
      <c r="CX317" s="116"/>
      <c r="CY317" s="116"/>
      <c r="CZ317" s="116"/>
      <c r="DA317" s="116"/>
      <c r="DB317" s="116"/>
      <c r="DC317" s="116"/>
      <c r="DD317" s="116"/>
      <c r="DE317" s="116"/>
      <c r="DF317" s="116"/>
      <c r="DG317" s="116"/>
      <c r="DH317" s="116"/>
      <c r="DI317" s="116"/>
      <c r="DJ317" s="116"/>
      <c r="DK317" s="116"/>
      <c r="DL317" s="116"/>
      <c r="DM317" s="116"/>
      <c r="DN317" s="116"/>
      <c r="DO317" s="116"/>
      <c r="DP317" s="116"/>
      <c r="DQ317" s="116"/>
      <c r="DR317" s="116"/>
      <c r="DS317" s="116"/>
      <c r="DT317" s="116"/>
      <c r="DU317" s="116"/>
      <c r="DV317" s="116"/>
      <c r="DW317" s="116"/>
      <c r="DX317" s="116"/>
      <c r="DY317" s="116"/>
      <c r="DZ317" s="116"/>
      <c r="EA317" s="116"/>
      <c r="EB317" s="116"/>
    </row>
    <row r="318" spans="36:132" ht="12.75" hidden="1" customHeight="1">
      <c r="AJ318" s="116"/>
      <c r="AK318" s="116"/>
      <c r="AL318" s="116"/>
      <c r="AM318" s="116"/>
      <c r="AN318" s="116"/>
      <c r="AO318" s="116"/>
      <c r="AP318" s="116"/>
      <c r="AS318" s="116"/>
      <c r="AT318" s="116"/>
      <c r="BQ318" s="116"/>
      <c r="BR318" s="116"/>
      <c r="BS318" s="116"/>
      <c r="BT318" s="116"/>
      <c r="BU318" s="116"/>
      <c r="BV318" s="116"/>
      <c r="BW318" s="116"/>
      <c r="BX318" s="116"/>
      <c r="BY318" s="116"/>
      <c r="BZ318" s="116"/>
      <c r="CA318" s="116"/>
      <c r="CB318" s="116"/>
      <c r="CC318" s="116"/>
      <c r="CD318" s="116"/>
      <c r="CE318" s="116"/>
      <c r="CF318" s="116"/>
      <c r="CG318" s="116"/>
      <c r="CH318" s="116"/>
      <c r="CI318" s="116"/>
      <c r="CJ318" s="116"/>
      <c r="CK318" s="116"/>
      <c r="CL318" s="116"/>
      <c r="CM318" s="116"/>
      <c r="CN318" s="116"/>
      <c r="CO318" s="116"/>
      <c r="CP318" s="116"/>
      <c r="CQ318" s="116"/>
      <c r="CR318" s="116"/>
      <c r="CS318" s="116"/>
      <c r="CT318" s="116"/>
      <c r="CU318" s="116"/>
      <c r="CV318" s="116"/>
      <c r="CW318" s="116"/>
      <c r="CX318" s="116"/>
      <c r="CY318" s="116"/>
      <c r="CZ318" s="116"/>
      <c r="DA318" s="116"/>
      <c r="DB318" s="116"/>
      <c r="DC318" s="116"/>
      <c r="DD318" s="116"/>
      <c r="DE318" s="116"/>
      <c r="DF318" s="116"/>
      <c r="DG318" s="116"/>
      <c r="DH318" s="116"/>
      <c r="DI318" s="116"/>
      <c r="DJ318" s="116"/>
      <c r="DK318" s="116"/>
      <c r="DL318" s="116"/>
      <c r="DM318" s="116"/>
      <c r="DN318" s="116"/>
      <c r="DO318" s="116"/>
      <c r="DP318" s="116"/>
      <c r="DQ318" s="116"/>
      <c r="DR318" s="116"/>
      <c r="DS318" s="116"/>
      <c r="DT318" s="116"/>
      <c r="DU318" s="116"/>
      <c r="DV318" s="116"/>
      <c r="DW318" s="116"/>
      <c r="DX318" s="116"/>
      <c r="DY318" s="116"/>
      <c r="DZ318" s="116"/>
      <c r="EA318" s="116"/>
      <c r="EB318" s="116"/>
    </row>
    <row r="319" spans="36:132" ht="12.75" hidden="1" customHeight="1">
      <c r="AJ319" s="116"/>
      <c r="AK319" s="116"/>
      <c r="AL319" s="116"/>
      <c r="AM319" s="116"/>
      <c r="AN319" s="116"/>
      <c r="AO319" s="116"/>
      <c r="AP319" s="116"/>
      <c r="AS319" s="116"/>
      <c r="AT319" s="116"/>
      <c r="BQ319" s="116"/>
      <c r="BR319" s="116"/>
      <c r="BS319" s="116"/>
      <c r="BT319" s="116"/>
      <c r="BU319" s="116"/>
      <c r="BV319" s="116"/>
      <c r="BW319" s="116"/>
      <c r="BX319" s="116"/>
      <c r="BY319" s="116"/>
      <c r="BZ319" s="116"/>
      <c r="CA319" s="116"/>
      <c r="CB319" s="116"/>
      <c r="CC319" s="116"/>
      <c r="CD319" s="116"/>
      <c r="CE319" s="116"/>
      <c r="CF319" s="116"/>
      <c r="CG319" s="116"/>
      <c r="CH319" s="116"/>
      <c r="CI319" s="116"/>
      <c r="CJ319" s="116"/>
      <c r="CK319" s="116"/>
      <c r="CL319" s="116"/>
      <c r="CM319" s="116"/>
      <c r="CN319" s="116"/>
      <c r="CO319" s="116"/>
      <c r="CP319" s="116"/>
      <c r="CQ319" s="116"/>
      <c r="CR319" s="116"/>
      <c r="CS319" s="116"/>
      <c r="CT319" s="116"/>
      <c r="CU319" s="116"/>
      <c r="CV319" s="116"/>
      <c r="CW319" s="116"/>
      <c r="CX319" s="116"/>
      <c r="CY319" s="116"/>
      <c r="CZ319" s="116"/>
      <c r="DA319" s="116"/>
      <c r="DB319" s="116"/>
      <c r="DC319" s="116"/>
      <c r="DD319" s="116"/>
      <c r="DE319" s="116"/>
      <c r="DF319" s="116"/>
      <c r="DG319" s="116"/>
      <c r="DH319" s="116"/>
      <c r="DI319" s="116"/>
      <c r="DJ319" s="116"/>
      <c r="DK319" s="116"/>
      <c r="DL319" s="116"/>
      <c r="DM319" s="116"/>
      <c r="DN319" s="116"/>
      <c r="DO319" s="116"/>
      <c r="DP319" s="116"/>
      <c r="DQ319" s="116"/>
      <c r="DR319" s="116"/>
      <c r="DS319" s="116"/>
      <c r="DT319" s="116"/>
      <c r="DU319" s="116"/>
      <c r="DV319" s="116"/>
      <c r="DW319" s="116"/>
      <c r="DX319" s="116"/>
      <c r="DY319" s="116"/>
      <c r="DZ319" s="116"/>
      <c r="EA319" s="116"/>
      <c r="EB319" s="116"/>
    </row>
    <row r="320" spans="36:132" ht="12.75" hidden="1" customHeight="1">
      <c r="AJ320" s="116"/>
      <c r="AK320" s="116"/>
      <c r="AL320" s="116"/>
      <c r="AM320" s="116"/>
      <c r="AN320" s="116"/>
      <c r="AO320" s="116"/>
      <c r="AP320" s="116"/>
      <c r="AS320" s="116"/>
      <c r="AT320" s="116"/>
      <c r="BQ320" s="116"/>
      <c r="BR320" s="116"/>
      <c r="BS320" s="116"/>
      <c r="BT320" s="116"/>
      <c r="BU320" s="116"/>
      <c r="BV320" s="116"/>
      <c r="BW320" s="116"/>
      <c r="BX320" s="116"/>
      <c r="BY320" s="116"/>
      <c r="BZ320" s="116"/>
      <c r="CA320" s="116"/>
      <c r="CB320" s="116"/>
      <c r="CC320" s="116"/>
      <c r="CD320" s="116"/>
      <c r="CE320" s="116"/>
      <c r="CF320" s="116"/>
      <c r="CG320" s="116"/>
      <c r="CH320" s="116"/>
      <c r="CI320" s="116"/>
      <c r="CJ320" s="116"/>
      <c r="CK320" s="116"/>
      <c r="CL320" s="116"/>
      <c r="CM320" s="116"/>
      <c r="CN320" s="116"/>
      <c r="CO320" s="116"/>
      <c r="CP320" s="116"/>
      <c r="CQ320" s="116"/>
      <c r="CR320" s="116"/>
      <c r="CS320" s="116"/>
      <c r="CT320" s="116"/>
      <c r="CU320" s="116"/>
      <c r="CV320" s="116"/>
      <c r="CW320" s="116"/>
      <c r="CX320" s="116"/>
      <c r="CY320" s="116"/>
      <c r="CZ320" s="116"/>
      <c r="DA320" s="116"/>
      <c r="DB320" s="116"/>
      <c r="DC320" s="116"/>
      <c r="DD320" s="116"/>
      <c r="DE320" s="116"/>
      <c r="DF320" s="116"/>
      <c r="DG320" s="116"/>
      <c r="DH320" s="116"/>
      <c r="DI320" s="116"/>
      <c r="DJ320" s="116"/>
      <c r="DK320" s="116"/>
      <c r="DL320" s="116"/>
      <c r="DM320" s="116"/>
      <c r="DN320" s="116"/>
      <c r="DO320" s="116"/>
      <c r="DP320" s="116"/>
      <c r="DQ320" s="116"/>
      <c r="DR320" s="116"/>
      <c r="DS320" s="116"/>
      <c r="DT320" s="116"/>
      <c r="DU320" s="116"/>
      <c r="DV320" s="116"/>
      <c r="DW320" s="116"/>
      <c r="DX320" s="116"/>
      <c r="DY320" s="116"/>
      <c r="DZ320" s="116"/>
      <c r="EA320" s="116"/>
      <c r="EB320" s="116"/>
    </row>
    <row r="321" spans="36:132" ht="12.75" hidden="1" customHeight="1">
      <c r="AJ321" s="116"/>
      <c r="AK321" s="116"/>
      <c r="AL321" s="116"/>
      <c r="AM321" s="116"/>
      <c r="AN321" s="116"/>
      <c r="AO321" s="116"/>
      <c r="AP321" s="116"/>
      <c r="AS321" s="116"/>
      <c r="AT321" s="116"/>
      <c r="BQ321" s="116"/>
      <c r="BR321" s="116"/>
      <c r="BS321" s="116"/>
      <c r="BT321" s="116"/>
      <c r="BU321" s="116"/>
      <c r="BV321" s="116"/>
      <c r="BW321" s="116"/>
      <c r="BX321" s="116"/>
      <c r="BY321" s="116"/>
      <c r="BZ321" s="116"/>
      <c r="CA321" s="116"/>
      <c r="CB321" s="116"/>
      <c r="CC321" s="116"/>
      <c r="CD321" s="116"/>
      <c r="CE321" s="116"/>
      <c r="CF321" s="116"/>
      <c r="CG321" s="116"/>
      <c r="CH321" s="116"/>
      <c r="CI321" s="116"/>
      <c r="CJ321" s="116"/>
      <c r="CK321" s="116"/>
      <c r="CL321" s="116"/>
      <c r="CM321" s="116"/>
      <c r="CN321" s="116"/>
      <c r="CO321" s="116"/>
      <c r="CP321" s="116"/>
      <c r="CQ321" s="116"/>
      <c r="CR321" s="116"/>
      <c r="CS321" s="116"/>
      <c r="CT321" s="116"/>
      <c r="CU321" s="116"/>
      <c r="CV321" s="116"/>
      <c r="CW321" s="116"/>
      <c r="CX321" s="116"/>
      <c r="CY321" s="116"/>
      <c r="CZ321" s="116"/>
      <c r="DA321" s="116"/>
      <c r="DB321" s="116"/>
      <c r="DC321" s="116"/>
      <c r="DD321" s="116"/>
      <c r="DE321" s="116"/>
      <c r="DF321" s="116"/>
      <c r="DG321" s="116"/>
      <c r="DH321" s="116"/>
      <c r="DI321" s="116"/>
      <c r="DJ321" s="116"/>
      <c r="DK321" s="116"/>
      <c r="DL321" s="116"/>
      <c r="DM321" s="116"/>
      <c r="DN321" s="116"/>
      <c r="DO321" s="116"/>
      <c r="DP321" s="116"/>
      <c r="DQ321" s="116"/>
      <c r="DR321" s="116"/>
      <c r="DS321" s="116"/>
      <c r="DT321" s="116"/>
      <c r="DU321" s="116"/>
      <c r="DV321" s="116"/>
      <c r="DW321" s="116"/>
      <c r="DX321" s="116"/>
      <c r="DY321" s="116"/>
      <c r="DZ321" s="116"/>
      <c r="EA321" s="116"/>
      <c r="EB321" s="116"/>
    </row>
    <row r="322" spans="36:132" ht="12.75" hidden="1" customHeight="1">
      <c r="AJ322" s="116"/>
      <c r="AK322" s="116"/>
      <c r="AL322" s="116"/>
      <c r="AM322" s="116"/>
      <c r="AN322" s="116"/>
      <c r="AO322" s="116"/>
      <c r="AP322" s="116"/>
      <c r="AS322" s="116"/>
      <c r="AT322" s="116"/>
      <c r="BQ322" s="116"/>
      <c r="BR322" s="116"/>
      <c r="BS322" s="116"/>
      <c r="BT322" s="116"/>
      <c r="BU322" s="116"/>
      <c r="BV322" s="116"/>
      <c r="BW322" s="116"/>
      <c r="BX322" s="116"/>
      <c r="BY322" s="116"/>
      <c r="BZ322" s="116"/>
      <c r="CA322" s="116"/>
      <c r="CB322" s="116"/>
      <c r="CC322" s="116"/>
      <c r="CD322" s="116"/>
      <c r="CE322" s="116"/>
      <c r="CF322" s="116"/>
      <c r="CG322" s="116"/>
      <c r="CH322" s="116"/>
      <c r="CI322" s="116"/>
      <c r="CJ322" s="116"/>
      <c r="CK322" s="116"/>
      <c r="CL322" s="116"/>
      <c r="CM322" s="116"/>
      <c r="CN322" s="116"/>
      <c r="CO322" s="116"/>
      <c r="CP322" s="116"/>
      <c r="CQ322" s="116"/>
      <c r="CR322" s="116"/>
      <c r="CS322" s="116"/>
      <c r="CT322" s="116"/>
      <c r="CU322" s="116"/>
      <c r="CV322" s="116"/>
      <c r="CW322" s="116"/>
      <c r="CX322" s="116"/>
      <c r="CY322" s="116"/>
      <c r="CZ322" s="116"/>
      <c r="DA322" s="116"/>
      <c r="DB322" s="116"/>
      <c r="DC322" s="116"/>
      <c r="DD322" s="116"/>
      <c r="DE322" s="116"/>
      <c r="DF322" s="116"/>
      <c r="DG322" s="116"/>
      <c r="DH322" s="116"/>
      <c r="DI322" s="116"/>
      <c r="DJ322" s="116"/>
      <c r="DK322" s="116"/>
      <c r="DL322" s="116"/>
      <c r="DM322" s="116"/>
      <c r="DN322" s="116"/>
      <c r="DO322" s="116"/>
      <c r="DP322" s="116"/>
      <c r="DQ322" s="116"/>
      <c r="DR322" s="116"/>
      <c r="DS322" s="116"/>
      <c r="DT322" s="116"/>
      <c r="DU322" s="116"/>
      <c r="DV322" s="116"/>
      <c r="DW322" s="116"/>
      <c r="DX322" s="116"/>
      <c r="DY322" s="116"/>
      <c r="DZ322" s="116"/>
      <c r="EA322" s="116"/>
      <c r="EB322" s="116"/>
    </row>
    <row r="323" spans="36:132" ht="12.75" hidden="1" customHeight="1">
      <c r="AJ323" s="116"/>
      <c r="AK323" s="116"/>
      <c r="AL323" s="116"/>
      <c r="AM323" s="116"/>
      <c r="AN323" s="116"/>
      <c r="AO323" s="116"/>
      <c r="AP323" s="116"/>
      <c r="AS323" s="116"/>
      <c r="AT323" s="116"/>
      <c r="BQ323" s="116"/>
      <c r="BR323" s="116"/>
      <c r="BS323" s="116"/>
      <c r="BT323" s="116"/>
      <c r="BU323" s="116"/>
      <c r="BV323" s="116"/>
      <c r="BW323" s="116"/>
      <c r="BX323" s="116"/>
      <c r="BY323" s="116"/>
      <c r="BZ323" s="116"/>
      <c r="CA323" s="116"/>
      <c r="CB323" s="116"/>
      <c r="CC323" s="116"/>
      <c r="CD323" s="116"/>
      <c r="CE323" s="116"/>
      <c r="CF323" s="116"/>
      <c r="CG323" s="116"/>
      <c r="CH323" s="116"/>
      <c r="CI323" s="116"/>
      <c r="CJ323" s="116"/>
      <c r="CK323" s="116"/>
      <c r="CL323" s="116"/>
      <c r="CM323" s="116"/>
      <c r="CN323" s="116"/>
      <c r="CO323" s="116"/>
      <c r="CP323" s="116"/>
      <c r="CQ323" s="116"/>
      <c r="CR323" s="116"/>
      <c r="CS323" s="116"/>
      <c r="CT323" s="116"/>
      <c r="CU323" s="116"/>
      <c r="CV323" s="116"/>
      <c r="CW323" s="116"/>
      <c r="CX323" s="116"/>
      <c r="CY323" s="116"/>
      <c r="CZ323" s="116"/>
      <c r="DA323" s="116"/>
      <c r="DB323" s="116"/>
      <c r="DC323" s="116"/>
      <c r="DD323" s="116"/>
      <c r="DE323" s="116"/>
      <c r="DF323" s="116"/>
      <c r="DG323" s="116"/>
      <c r="DH323" s="116"/>
      <c r="DI323" s="116"/>
      <c r="DJ323" s="116"/>
      <c r="DK323" s="116"/>
      <c r="DL323" s="116"/>
      <c r="DM323" s="116"/>
      <c r="DN323" s="116"/>
      <c r="DO323" s="116"/>
      <c r="DP323" s="116"/>
      <c r="DQ323" s="116"/>
      <c r="DR323" s="116"/>
      <c r="DS323" s="116"/>
      <c r="DT323" s="116"/>
      <c r="DU323" s="116"/>
      <c r="DV323" s="116"/>
      <c r="DW323" s="116"/>
      <c r="DX323" s="116"/>
      <c r="DY323" s="116"/>
      <c r="DZ323" s="116"/>
      <c r="EA323" s="116"/>
      <c r="EB323" s="116"/>
    </row>
    <row r="324" spans="36:132" ht="12.75" hidden="1" customHeight="1">
      <c r="AJ324" s="116"/>
      <c r="AK324" s="116"/>
      <c r="AL324" s="116"/>
      <c r="AM324" s="116"/>
      <c r="AN324" s="116"/>
      <c r="AO324" s="116"/>
      <c r="AP324" s="116"/>
      <c r="AS324" s="116"/>
      <c r="AT324" s="116"/>
      <c r="BQ324" s="116"/>
      <c r="BR324" s="116"/>
      <c r="BS324" s="116"/>
      <c r="BT324" s="116"/>
      <c r="BU324" s="116"/>
      <c r="BV324" s="116"/>
      <c r="BW324" s="116"/>
      <c r="BX324" s="116"/>
      <c r="BY324" s="116"/>
      <c r="BZ324" s="116"/>
      <c r="CA324" s="116"/>
      <c r="CB324" s="116"/>
      <c r="CC324" s="116"/>
      <c r="CD324" s="116"/>
      <c r="CE324" s="116"/>
      <c r="CF324" s="116"/>
      <c r="CG324" s="116"/>
      <c r="CH324" s="116"/>
      <c r="CI324" s="116"/>
      <c r="CJ324" s="116"/>
      <c r="CK324" s="116"/>
      <c r="CL324" s="116"/>
      <c r="CM324" s="116"/>
      <c r="CN324" s="116"/>
      <c r="CO324" s="116"/>
      <c r="CP324" s="116"/>
      <c r="CQ324" s="116"/>
      <c r="CR324" s="116"/>
      <c r="CS324" s="116"/>
      <c r="CT324" s="116"/>
      <c r="CU324" s="116"/>
      <c r="CV324" s="116"/>
      <c r="CW324" s="116"/>
      <c r="CX324" s="116"/>
      <c r="CY324" s="116"/>
      <c r="CZ324" s="116"/>
      <c r="DA324" s="116"/>
      <c r="DB324" s="116"/>
      <c r="DC324" s="116"/>
      <c r="DD324" s="116"/>
      <c r="DE324" s="116"/>
      <c r="DF324" s="116"/>
      <c r="DG324" s="116"/>
      <c r="DH324" s="116"/>
      <c r="DI324" s="116"/>
      <c r="DJ324" s="116"/>
      <c r="DK324" s="116"/>
      <c r="DL324" s="116"/>
      <c r="DM324" s="116"/>
      <c r="DN324" s="116"/>
      <c r="DO324" s="116"/>
      <c r="DP324" s="116"/>
      <c r="DQ324" s="116"/>
      <c r="DR324" s="116"/>
      <c r="DS324" s="116"/>
      <c r="DT324" s="116"/>
      <c r="DU324" s="116"/>
      <c r="DV324" s="116"/>
      <c r="DW324" s="116"/>
      <c r="DX324" s="116"/>
      <c r="DY324" s="116"/>
      <c r="DZ324" s="116"/>
      <c r="EA324" s="116"/>
      <c r="EB324" s="116"/>
    </row>
    <row r="325" spans="36:132" ht="12.75" hidden="1" customHeight="1">
      <c r="AJ325" s="116"/>
      <c r="AK325" s="116"/>
      <c r="AL325" s="116"/>
      <c r="AM325" s="116"/>
      <c r="AN325" s="116"/>
      <c r="AO325" s="116"/>
      <c r="AP325" s="116"/>
      <c r="AS325" s="116"/>
      <c r="AT325" s="116"/>
      <c r="BQ325" s="116"/>
      <c r="BR325" s="116"/>
      <c r="BS325" s="116"/>
      <c r="BT325" s="116"/>
      <c r="BU325" s="116"/>
      <c r="BV325" s="116"/>
      <c r="BW325" s="116"/>
      <c r="BX325" s="116"/>
      <c r="BY325" s="116"/>
      <c r="BZ325" s="116"/>
      <c r="CA325" s="116"/>
      <c r="CB325" s="116"/>
      <c r="CC325" s="116"/>
      <c r="CD325" s="116"/>
      <c r="CE325" s="116"/>
      <c r="CF325" s="116"/>
      <c r="CG325" s="116"/>
      <c r="CH325" s="116"/>
      <c r="CI325" s="116"/>
      <c r="CJ325" s="116"/>
      <c r="CK325" s="116"/>
      <c r="CL325" s="116"/>
      <c r="CM325" s="116"/>
      <c r="CN325" s="116"/>
      <c r="CO325" s="116"/>
      <c r="CP325" s="116"/>
      <c r="CQ325" s="116"/>
      <c r="CR325" s="116"/>
      <c r="CS325" s="116"/>
      <c r="CT325" s="116"/>
      <c r="CU325" s="116"/>
      <c r="CV325" s="116"/>
      <c r="CW325" s="116"/>
      <c r="CX325" s="116"/>
      <c r="CY325" s="116"/>
      <c r="CZ325" s="116"/>
      <c r="DA325" s="116"/>
      <c r="DB325" s="116"/>
      <c r="DC325" s="116"/>
      <c r="DD325" s="116"/>
      <c r="DE325" s="116"/>
      <c r="DF325" s="116"/>
      <c r="DG325" s="116"/>
      <c r="DH325" s="116"/>
      <c r="DI325" s="116"/>
      <c r="DJ325" s="116"/>
      <c r="DK325" s="116"/>
      <c r="DL325" s="116"/>
      <c r="DM325" s="116"/>
      <c r="DN325" s="116"/>
      <c r="DO325" s="116"/>
      <c r="DP325" s="116"/>
      <c r="DQ325" s="116"/>
      <c r="DR325" s="116"/>
      <c r="DS325" s="116"/>
      <c r="DT325" s="116"/>
      <c r="DU325" s="116"/>
      <c r="DV325" s="116"/>
      <c r="DW325" s="116"/>
      <c r="DX325" s="116"/>
      <c r="DY325" s="116"/>
      <c r="DZ325" s="116"/>
      <c r="EA325" s="116"/>
      <c r="EB325" s="116"/>
    </row>
    <row r="326" spans="36:132" ht="12.75" hidden="1" customHeight="1">
      <c r="AJ326" s="116"/>
      <c r="AK326" s="116"/>
      <c r="AL326" s="116"/>
      <c r="AM326" s="116"/>
      <c r="AN326" s="116"/>
      <c r="AO326" s="116"/>
      <c r="AP326" s="116"/>
      <c r="AS326" s="116"/>
      <c r="AT326" s="116"/>
      <c r="BQ326" s="116"/>
      <c r="BR326" s="116"/>
      <c r="BS326" s="116"/>
      <c r="BT326" s="116"/>
      <c r="BU326" s="116"/>
      <c r="BV326" s="116"/>
      <c r="BW326" s="116"/>
      <c r="BX326" s="116"/>
      <c r="BY326" s="116"/>
      <c r="BZ326" s="116"/>
      <c r="CA326" s="116"/>
      <c r="CB326" s="116"/>
      <c r="CC326" s="116"/>
      <c r="CD326" s="116"/>
      <c r="CE326" s="116"/>
      <c r="CF326" s="116"/>
      <c r="CG326" s="116"/>
      <c r="CH326" s="116"/>
      <c r="CI326" s="116"/>
      <c r="CJ326" s="116"/>
      <c r="CK326" s="116"/>
      <c r="CL326" s="116"/>
      <c r="CM326" s="116"/>
      <c r="CN326" s="116"/>
      <c r="CO326" s="116"/>
      <c r="CP326" s="116"/>
      <c r="CQ326" s="116"/>
      <c r="CR326" s="116"/>
      <c r="CS326" s="116"/>
      <c r="CT326" s="116"/>
      <c r="CU326" s="116"/>
      <c r="CV326" s="116"/>
      <c r="CW326" s="116"/>
      <c r="CX326" s="116"/>
      <c r="CY326" s="116"/>
      <c r="CZ326" s="116"/>
      <c r="DA326" s="116"/>
      <c r="DB326" s="116"/>
      <c r="DC326" s="116"/>
      <c r="DD326" s="116"/>
      <c r="DE326" s="116"/>
      <c r="DF326" s="116"/>
      <c r="DG326" s="116"/>
      <c r="DH326" s="116"/>
      <c r="DI326" s="116"/>
      <c r="DJ326" s="116"/>
      <c r="DK326" s="116"/>
      <c r="DL326" s="116"/>
      <c r="DM326" s="116"/>
      <c r="DN326" s="116"/>
      <c r="DO326" s="116"/>
      <c r="DP326" s="116"/>
      <c r="DQ326" s="116"/>
      <c r="DR326" s="116"/>
      <c r="DS326" s="116"/>
      <c r="DT326" s="116"/>
      <c r="DU326" s="116"/>
      <c r="DV326" s="116"/>
      <c r="DW326" s="116"/>
      <c r="DX326" s="116"/>
      <c r="DY326" s="116"/>
      <c r="DZ326" s="116"/>
      <c r="EA326" s="116"/>
      <c r="EB326" s="116"/>
    </row>
    <row r="327" spans="36:132" ht="12.75" hidden="1" customHeight="1">
      <c r="AJ327" s="116"/>
      <c r="AK327" s="116"/>
      <c r="AL327" s="116"/>
      <c r="AM327" s="116"/>
      <c r="AN327" s="116"/>
      <c r="AO327" s="116"/>
      <c r="AP327" s="116"/>
      <c r="AS327" s="116"/>
      <c r="AT327" s="116"/>
      <c r="BQ327" s="116"/>
      <c r="BR327" s="116"/>
      <c r="BS327" s="116"/>
      <c r="BT327" s="116"/>
      <c r="BU327" s="116"/>
      <c r="BV327" s="116"/>
      <c r="BW327" s="116"/>
      <c r="BX327" s="116"/>
      <c r="BY327" s="116"/>
      <c r="BZ327" s="116"/>
      <c r="CA327" s="116"/>
      <c r="CB327" s="116"/>
      <c r="CC327" s="116"/>
      <c r="CD327" s="116"/>
      <c r="CE327" s="116"/>
      <c r="CF327" s="116"/>
      <c r="CG327" s="116"/>
      <c r="CH327" s="116"/>
      <c r="CI327" s="116"/>
      <c r="CJ327" s="116"/>
      <c r="CK327" s="116"/>
      <c r="CL327" s="116"/>
      <c r="CM327" s="116"/>
      <c r="CN327" s="116"/>
      <c r="CO327" s="116"/>
      <c r="CP327" s="116"/>
      <c r="CQ327" s="116"/>
      <c r="CR327" s="116"/>
      <c r="CS327" s="116"/>
      <c r="CT327" s="116"/>
      <c r="CU327" s="116"/>
      <c r="CV327" s="116"/>
      <c r="CW327" s="116"/>
      <c r="CX327" s="116"/>
      <c r="CY327" s="116"/>
      <c r="CZ327" s="116"/>
      <c r="DA327" s="116"/>
      <c r="DB327" s="116"/>
      <c r="DC327" s="116"/>
      <c r="DD327" s="116"/>
      <c r="DE327" s="116"/>
      <c r="DF327" s="116"/>
      <c r="DG327" s="116"/>
      <c r="DH327" s="116"/>
      <c r="DI327" s="116"/>
      <c r="DJ327" s="116"/>
      <c r="DK327" s="116"/>
      <c r="DL327" s="116"/>
      <c r="DM327" s="116"/>
      <c r="DN327" s="116"/>
      <c r="DO327" s="116"/>
      <c r="DP327" s="116"/>
      <c r="DQ327" s="116"/>
      <c r="DR327" s="116"/>
      <c r="DS327" s="116"/>
      <c r="DT327" s="116"/>
      <c r="DU327" s="116"/>
      <c r="DV327" s="116"/>
      <c r="DW327" s="116"/>
      <c r="DX327" s="116"/>
      <c r="DY327" s="116"/>
      <c r="DZ327" s="116"/>
      <c r="EA327" s="116"/>
      <c r="EB327" s="116"/>
    </row>
    <row r="328" spans="36:132" ht="12.75" hidden="1" customHeight="1">
      <c r="AJ328" s="116"/>
      <c r="AK328" s="116"/>
      <c r="AL328" s="116"/>
      <c r="AM328" s="116"/>
      <c r="AN328" s="116"/>
      <c r="AO328" s="116"/>
      <c r="AP328" s="116"/>
      <c r="AS328" s="116"/>
      <c r="AT328" s="116"/>
      <c r="BQ328" s="116"/>
      <c r="BR328" s="116"/>
      <c r="BS328" s="116"/>
      <c r="BT328" s="116"/>
      <c r="BU328" s="116"/>
      <c r="BV328" s="116"/>
      <c r="BW328" s="116"/>
      <c r="BX328" s="116"/>
      <c r="BY328" s="116"/>
      <c r="BZ328" s="116"/>
      <c r="CA328" s="116"/>
      <c r="CB328" s="116"/>
      <c r="CC328" s="116"/>
      <c r="CD328" s="116"/>
      <c r="CE328" s="116"/>
      <c r="CF328" s="116"/>
      <c r="CG328" s="116"/>
      <c r="CH328" s="116"/>
      <c r="CI328" s="116"/>
      <c r="CJ328" s="116"/>
      <c r="CK328" s="116"/>
      <c r="CL328" s="116"/>
      <c r="CM328" s="116"/>
      <c r="CN328" s="116"/>
      <c r="CO328" s="116"/>
      <c r="CP328" s="116"/>
      <c r="CQ328" s="116"/>
      <c r="CR328" s="116"/>
      <c r="CS328" s="116"/>
      <c r="CT328" s="116"/>
      <c r="CU328" s="116"/>
      <c r="CV328" s="116"/>
      <c r="CW328" s="116"/>
      <c r="CX328" s="116"/>
      <c r="CY328" s="116"/>
      <c r="CZ328" s="116"/>
      <c r="DA328" s="116"/>
      <c r="DB328" s="116"/>
      <c r="DC328" s="116"/>
      <c r="DD328" s="116"/>
      <c r="DE328" s="116"/>
      <c r="DF328" s="116"/>
      <c r="DG328" s="116"/>
      <c r="DH328" s="116"/>
      <c r="DI328" s="116"/>
      <c r="DJ328" s="116"/>
      <c r="DK328" s="116"/>
      <c r="DL328" s="116"/>
      <c r="DM328" s="116"/>
      <c r="DN328" s="116"/>
      <c r="DO328" s="116"/>
      <c r="DP328" s="116"/>
      <c r="DQ328" s="116"/>
      <c r="DR328" s="116"/>
      <c r="DS328" s="116"/>
      <c r="DT328" s="116"/>
      <c r="DU328" s="116"/>
      <c r="DV328" s="116"/>
      <c r="DW328" s="116"/>
      <c r="DX328" s="116"/>
      <c r="DY328" s="116"/>
      <c r="DZ328" s="116"/>
      <c r="EA328" s="116"/>
      <c r="EB328" s="116"/>
    </row>
    <row r="329" spans="36:132" ht="12.75" hidden="1" customHeight="1">
      <c r="AJ329" s="116"/>
      <c r="AK329" s="116"/>
      <c r="AL329" s="116"/>
      <c r="AM329" s="116"/>
      <c r="AN329" s="116"/>
      <c r="AO329" s="116"/>
      <c r="AP329" s="116"/>
      <c r="AS329" s="116"/>
      <c r="AT329" s="116"/>
      <c r="BQ329" s="116"/>
      <c r="BR329" s="116"/>
      <c r="BS329" s="116"/>
      <c r="BT329" s="116"/>
      <c r="BU329" s="116"/>
      <c r="BV329" s="116"/>
      <c r="BW329" s="116"/>
      <c r="BX329" s="116"/>
      <c r="BY329" s="116"/>
      <c r="BZ329" s="116"/>
      <c r="CA329" s="116"/>
      <c r="CB329" s="116"/>
      <c r="CC329" s="116"/>
      <c r="CD329" s="116"/>
      <c r="CE329" s="116"/>
      <c r="CF329" s="116"/>
      <c r="CG329" s="116"/>
      <c r="CH329" s="116"/>
      <c r="CI329" s="116"/>
      <c r="CJ329" s="116"/>
      <c r="CK329" s="116"/>
      <c r="CL329" s="116"/>
      <c r="CM329" s="116"/>
      <c r="CN329" s="116"/>
      <c r="CO329" s="116"/>
      <c r="CP329" s="116"/>
      <c r="CQ329" s="116"/>
      <c r="CR329" s="116"/>
      <c r="CS329" s="116"/>
      <c r="CT329" s="116"/>
      <c r="CU329" s="116"/>
      <c r="CV329" s="116"/>
      <c r="CW329" s="116"/>
      <c r="CX329" s="116"/>
      <c r="CY329" s="116"/>
      <c r="CZ329" s="116"/>
      <c r="DA329" s="116"/>
      <c r="DB329" s="116"/>
      <c r="DC329" s="116"/>
      <c r="DD329" s="116"/>
      <c r="DE329" s="116"/>
      <c r="DF329" s="116"/>
      <c r="DG329" s="116"/>
      <c r="DH329" s="116"/>
      <c r="DI329" s="116"/>
      <c r="DJ329" s="116"/>
      <c r="DK329" s="116"/>
      <c r="DL329" s="116"/>
      <c r="DM329" s="116"/>
      <c r="DN329" s="116"/>
      <c r="DO329" s="116"/>
      <c r="DP329" s="116"/>
      <c r="DQ329" s="116"/>
      <c r="DR329" s="116"/>
      <c r="DS329" s="116"/>
      <c r="DT329" s="116"/>
      <c r="DU329" s="116"/>
      <c r="DV329" s="116"/>
      <c r="DW329" s="116"/>
      <c r="DX329" s="116"/>
      <c r="DY329" s="116"/>
      <c r="DZ329" s="116"/>
      <c r="EA329" s="116"/>
      <c r="EB329" s="116"/>
    </row>
    <row r="330" spans="36:132" ht="12.75" hidden="1" customHeight="1">
      <c r="AJ330" s="116"/>
      <c r="AK330" s="116"/>
      <c r="AL330" s="116"/>
      <c r="AM330" s="116"/>
      <c r="AN330" s="116"/>
      <c r="AO330" s="116"/>
      <c r="AP330" s="116"/>
      <c r="AS330" s="116"/>
      <c r="AT330" s="116"/>
      <c r="BQ330" s="116"/>
      <c r="BR330" s="116"/>
      <c r="BS330" s="116"/>
      <c r="BT330" s="116"/>
      <c r="BU330" s="116"/>
      <c r="BV330" s="116"/>
      <c r="BW330" s="116"/>
      <c r="BX330" s="116"/>
      <c r="BY330" s="116"/>
      <c r="BZ330" s="116"/>
      <c r="CA330" s="116"/>
      <c r="CB330" s="116"/>
      <c r="CC330" s="116"/>
      <c r="CD330" s="116"/>
      <c r="CE330" s="116"/>
      <c r="CF330" s="116"/>
      <c r="CG330" s="116"/>
      <c r="CH330" s="116"/>
      <c r="CI330" s="116"/>
      <c r="CJ330" s="116"/>
      <c r="CK330" s="116"/>
      <c r="CL330" s="116"/>
      <c r="CM330" s="116"/>
      <c r="CN330" s="116"/>
      <c r="CO330" s="116"/>
      <c r="CP330" s="116"/>
      <c r="CQ330" s="116"/>
      <c r="CR330" s="116"/>
      <c r="CS330" s="116"/>
      <c r="CT330" s="116"/>
      <c r="CU330" s="116"/>
      <c r="CV330" s="116"/>
      <c r="CW330" s="116"/>
      <c r="CX330" s="116"/>
      <c r="CY330" s="116"/>
      <c r="CZ330" s="116"/>
      <c r="DA330" s="116"/>
      <c r="DB330" s="116"/>
      <c r="DC330" s="116"/>
      <c r="DD330" s="116"/>
      <c r="DE330" s="116"/>
      <c r="DF330" s="116"/>
      <c r="DG330" s="116"/>
      <c r="DH330" s="116"/>
      <c r="DI330" s="116"/>
      <c r="DJ330" s="116"/>
      <c r="DK330" s="116"/>
      <c r="DL330" s="116"/>
      <c r="DM330" s="116"/>
      <c r="DN330" s="116"/>
      <c r="DO330" s="116"/>
      <c r="DP330" s="116"/>
      <c r="DQ330" s="116"/>
      <c r="DR330" s="116"/>
      <c r="DS330" s="116"/>
      <c r="DT330" s="116"/>
      <c r="DU330" s="116"/>
      <c r="DV330" s="116"/>
      <c r="DW330" s="116"/>
      <c r="DX330" s="116"/>
      <c r="DY330" s="116"/>
      <c r="DZ330" s="116"/>
      <c r="EA330" s="116"/>
      <c r="EB330" s="116"/>
    </row>
    <row r="331" spans="36:132" ht="12.75" hidden="1" customHeight="1">
      <c r="AJ331" s="116"/>
      <c r="AK331" s="116"/>
      <c r="AL331" s="116"/>
      <c r="AM331" s="116"/>
      <c r="AN331" s="116"/>
      <c r="AO331" s="116"/>
      <c r="AP331" s="116"/>
      <c r="AS331" s="116"/>
      <c r="AT331" s="116"/>
      <c r="BQ331" s="116"/>
      <c r="BR331" s="116"/>
      <c r="BS331" s="116"/>
      <c r="BT331" s="116"/>
      <c r="BU331" s="116"/>
      <c r="BV331" s="116"/>
      <c r="BW331" s="116"/>
      <c r="BX331" s="116"/>
      <c r="BY331" s="116"/>
      <c r="BZ331" s="116"/>
      <c r="CA331" s="116"/>
      <c r="CB331" s="116"/>
      <c r="CC331" s="116"/>
      <c r="CD331" s="116"/>
      <c r="CE331" s="116"/>
      <c r="CF331" s="116"/>
      <c r="CG331" s="116"/>
      <c r="CH331" s="116"/>
      <c r="CI331" s="116"/>
      <c r="CJ331" s="116"/>
      <c r="CK331" s="116"/>
      <c r="CL331" s="116"/>
      <c r="CM331" s="116"/>
      <c r="CN331" s="116"/>
      <c r="CO331" s="116"/>
      <c r="CP331" s="116"/>
      <c r="CQ331" s="116"/>
      <c r="CR331" s="116"/>
      <c r="CS331" s="116"/>
      <c r="CT331" s="116"/>
      <c r="CU331" s="116"/>
      <c r="CV331" s="116"/>
      <c r="CW331" s="116"/>
      <c r="CX331" s="116"/>
      <c r="CY331" s="116"/>
      <c r="CZ331" s="116"/>
      <c r="DA331" s="116"/>
      <c r="DB331" s="116"/>
      <c r="DC331" s="116"/>
      <c r="DD331" s="116"/>
      <c r="DE331" s="116"/>
      <c r="DF331" s="116"/>
      <c r="DG331" s="116"/>
      <c r="DH331" s="116"/>
      <c r="DI331" s="116"/>
      <c r="DJ331" s="116"/>
      <c r="DK331" s="116"/>
      <c r="DL331" s="116"/>
      <c r="DM331" s="116"/>
      <c r="DN331" s="116"/>
      <c r="DO331" s="116"/>
      <c r="DP331" s="116"/>
      <c r="DQ331" s="116"/>
      <c r="DR331" s="116"/>
      <c r="DS331" s="116"/>
      <c r="DT331" s="116"/>
      <c r="DU331" s="116"/>
      <c r="DV331" s="116"/>
      <c r="DW331" s="116"/>
      <c r="DX331" s="116"/>
      <c r="DY331" s="116"/>
      <c r="DZ331" s="116"/>
      <c r="EA331" s="116"/>
      <c r="EB331" s="116"/>
    </row>
    <row r="332" spans="36:132" ht="12.75" hidden="1" customHeight="1">
      <c r="AJ332" s="116"/>
      <c r="AK332" s="116"/>
      <c r="AL332" s="116"/>
      <c r="AM332" s="116"/>
      <c r="AN332" s="116"/>
      <c r="AO332" s="116"/>
      <c r="AP332" s="116"/>
      <c r="AS332" s="116"/>
      <c r="AT332" s="116"/>
      <c r="BQ332" s="116"/>
      <c r="BR332" s="116"/>
      <c r="BS332" s="116"/>
      <c r="BT332" s="116"/>
      <c r="BU332" s="116"/>
      <c r="BV332" s="116"/>
      <c r="BW332" s="116"/>
      <c r="BX332" s="116"/>
      <c r="BY332" s="116"/>
      <c r="BZ332" s="116"/>
      <c r="CA332" s="116"/>
      <c r="CB332" s="116"/>
      <c r="CC332" s="116"/>
      <c r="CD332" s="116"/>
      <c r="CE332" s="116"/>
      <c r="CF332" s="116"/>
      <c r="CG332" s="116"/>
      <c r="CH332" s="116"/>
      <c r="CI332" s="116"/>
      <c r="CJ332" s="116"/>
      <c r="CK332" s="116"/>
      <c r="CL332" s="116"/>
      <c r="CM332" s="116"/>
      <c r="CN332" s="116"/>
      <c r="CO332" s="116"/>
      <c r="CP332" s="116"/>
      <c r="CQ332" s="116"/>
      <c r="CR332" s="116"/>
      <c r="CS332" s="116"/>
      <c r="CT332" s="116"/>
      <c r="CU332" s="116"/>
      <c r="CV332" s="116"/>
      <c r="CW332" s="116"/>
      <c r="CX332" s="116"/>
      <c r="CY332" s="116"/>
      <c r="CZ332" s="116"/>
      <c r="DA332" s="116"/>
      <c r="DB332" s="116"/>
      <c r="DC332" s="116"/>
      <c r="DD332" s="116"/>
      <c r="DE332" s="116"/>
      <c r="DF332" s="116"/>
      <c r="DG332" s="116"/>
      <c r="DH332" s="116"/>
      <c r="DI332" s="116"/>
      <c r="DJ332" s="116"/>
      <c r="DK332" s="116"/>
      <c r="DL332" s="116"/>
      <c r="DM332" s="116"/>
      <c r="DN332" s="116"/>
      <c r="DO332" s="116"/>
      <c r="DP332" s="116"/>
      <c r="DQ332" s="116"/>
      <c r="DR332" s="116"/>
      <c r="DS332" s="116"/>
      <c r="DT332" s="116"/>
      <c r="DU332" s="116"/>
      <c r="DV332" s="116"/>
      <c r="DW332" s="116"/>
      <c r="DX332" s="116"/>
      <c r="DY332" s="116"/>
      <c r="DZ332" s="116"/>
      <c r="EA332" s="116"/>
      <c r="EB332" s="116"/>
    </row>
    <row r="333" spans="36:132" ht="12.75" hidden="1" customHeight="1">
      <c r="AJ333" s="116"/>
      <c r="AK333" s="116"/>
      <c r="AL333" s="116"/>
      <c r="AM333" s="116"/>
      <c r="AN333" s="116"/>
      <c r="AO333" s="116"/>
      <c r="AP333" s="116"/>
      <c r="AS333" s="116"/>
      <c r="AT333" s="116"/>
      <c r="BQ333" s="116"/>
      <c r="BR333" s="116"/>
      <c r="BS333" s="116"/>
      <c r="BT333" s="116"/>
      <c r="BU333" s="116"/>
      <c r="BV333" s="116"/>
      <c r="BW333" s="116"/>
      <c r="BX333" s="116"/>
      <c r="BY333" s="116"/>
      <c r="BZ333" s="116"/>
      <c r="CA333" s="116"/>
      <c r="CB333" s="116"/>
      <c r="CC333" s="116"/>
      <c r="CD333" s="116"/>
      <c r="CE333" s="116"/>
      <c r="CF333" s="116"/>
      <c r="CG333" s="116"/>
      <c r="CH333" s="116"/>
      <c r="CI333" s="116"/>
      <c r="CJ333" s="116"/>
      <c r="CK333" s="116"/>
      <c r="CL333" s="116"/>
      <c r="CM333" s="116"/>
      <c r="CN333" s="116"/>
      <c r="CO333" s="116"/>
      <c r="CP333" s="116"/>
      <c r="CQ333" s="116"/>
      <c r="CR333" s="116"/>
      <c r="CS333" s="116"/>
      <c r="CT333" s="116"/>
      <c r="CU333" s="116"/>
      <c r="CV333" s="116"/>
      <c r="CW333" s="116"/>
      <c r="CX333" s="116"/>
      <c r="CY333" s="116"/>
      <c r="CZ333" s="116"/>
      <c r="DA333" s="116"/>
      <c r="DB333" s="116"/>
      <c r="DC333" s="116"/>
      <c r="DD333" s="116"/>
      <c r="DE333" s="116"/>
      <c r="DF333" s="116"/>
      <c r="DG333" s="116"/>
      <c r="DH333" s="116"/>
      <c r="DI333" s="116"/>
      <c r="DJ333" s="116"/>
      <c r="DK333" s="116"/>
      <c r="DL333" s="116"/>
      <c r="DM333" s="116"/>
      <c r="DN333" s="116"/>
      <c r="DO333" s="116"/>
      <c r="DP333" s="116"/>
      <c r="DQ333" s="116"/>
      <c r="DR333" s="116"/>
      <c r="DS333" s="116"/>
      <c r="DT333" s="116"/>
      <c r="DU333" s="116"/>
      <c r="DV333" s="116"/>
      <c r="DW333" s="116"/>
      <c r="DX333" s="116"/>
      <c r="DY333" s="116"/>
      <c r="DZ333" s="116"/>
      <c r="EA333" s="116"/>
      <c r="EB333" s="116"/>
    </row>
    <row r="334" spans="36:132" ht="12.75" hidden="1" customHeight="1">
      <c r="AJ334" s="116"/>
      <c r="AK334" s="116"/>
      <c r="AL334" s="116"/>
      <c r="AM334" s="116"/>
      <c r="AN334" s="116"/>
      <c r="AO334" s="116"/>
      <c r="AP334" s="116"/>
      <c r="AS334" s="116"/>
      <c r="AT334" s="116"/>
      <c r="BQ334" s="116"/>
      <c r="BR334" s="116"/>
      <c r="BS334" s="116"/>
      <c r="BT334" s="116"/>
      <c r="BU334" s="116"/>
      <c r="BV334" s="116"/>
      <c r="BW334" s="116"/>
      <c r="BX334" s="116"/>
      <c r="BY334" s="116"/>
      <c r="BZ334" s="116"/>
      <c r="CA334" s="116"/>
      <c r="CB334" s="116"/>
      <c r="CC334" s="116"/>
      <c r="CD334" s="116"/>
      <c r="CE334" s="116"/>
      <c r="CF334" s="116"/>
      <c r="CG334" s="116"/>
      <c r="CH334" s="116"/>
      <c r="CI334" s="116"/>
      <c r="CJ334" s="116"/>
      <c r="CK334" s="116"/>
      <c r="CL334" s="116"/>
      <c r="CM334" s="116"/>
      <c r="CN334" s="116"/>
      <c r="CO334" s="116"/>
      <c r="CP334" s="116"/>
      <c r="CQ334" s="116"/>
      <c r="CR334" s="116"/>
      <c r="CS334" s="116"/>
      <c r="CT334" s="116"/>
      <c r="CU334" s="116"/>
      <c r="CV334" s="116"/>
      <c r="CW334" s="116"/>
      <c r="CX334" s="116"/>
      <c r="CY334" s="116"/>
      <c r="CZ334" s="116"/>
      <c r="DA334" s="116"/>
      <c r="DB334" s="116"/>
      <c r="DC334" s="116"/>
      <c r="DD334" s="116"/>
      <c r="DE334" s="116"/>
      <c r="DF334" s="116"/>
      <c r="DG334" s="116"/>
      <c r="DH334" s="116"/>
      <c r="DI334" s="116"/>
      <c r="DJ334" s="116"/>
      <c r="DK334" s="116"/>
      <c r="DL334" s="116"/>
      <c r="DM334" s="116"/>
      <c r="DN334" s="116"/>
      <c r="DO334" s="116"/>
      <c r="DP334" s="116"/>
      <c r="DQ334" s="116"/>
      <c r="DR334" s="116"/>
      <c r="DS334" s="116"/>
      <c r="DT334" s="116"/>
      <c r="DU334" s="116"/>
      <c r="DV334" s="116"/>
      <c r="DW334" s="116"/>
      <c r="DX334" s="116"/>
      <c r="DY334" s="116"/>
      <c r="DZ334" s="116"/>
      <c r="EA334" s="116"/>
      <c r="EB334" s="116"/>
    </row>
    <row r="335" spans="36:132" ht="12.75" hidden="1" customHeight="1">
      <c r="AJ335" s="116"/>
      <c r="AK335" s="116"/>
      <c r="AL335" s="116"/>
      <c r="AM335" s="116"/>
      <c r="AN335" s="116"/>
      <c r="AO335" s="116"/>
      <c r="AP335" s="116"/>
      <c r="AS335" s="116"/>
      <c r="AT335" s="116"/>
      <c r="BQ335" s="116"/>
      <c r="BR335" s="116"/>
      <c r="BS335" s="116"/>
      <c r="BT335" s="116"/>
      <c r="BU335" s="116"/>
      <c r="BV335" s="116"/>
      <c r="BW335" s="116"/>
      <c r="BX335" s="116"/>
      <c r="BY335" s="116"/>
      <c r="BZ335" s="116"/>
      <c r="CA335" s="116"/>
      <c r="CB335" s="116"/>
      <c r="CC335" s="116"/>
      <c r="CD335" s="116"/>
      <c r="CE335" s="116"/>
      <c r="CF335" s="116"/>
      <c r="CG335" s="116"/>
      <c r="CH335" s="116"/>
      <c r="CI335" s="116"/>
      <c r="CJ335" s="116"/>
      <c r="CK335" s="116"/>
      <c r="CL335" s="116"/>
      <c r="CM335" s="116"/>
      <c r="CN335" s="116"/>
      <c r="CO335" s="116"/>
      <c r="CP335" s="116"/>
      <c r="CQ335" s="116"/>
      <c r="CR335" s="116"/>
      <c r="CS335" s="116"/>
      <c r="CT335" s="116"/>
      <c r="CU335" s="116"/>
      <c r="CV335" s="116"/>
      <c r="CW335" s="116"/>
      <c r="CX335" s="116"/>
      <c r="CY335" s="116"/>
      <c r="CZ335" s="116"/>
      <c r="DA335" s="116"/>
      <c r="DB335" s="116"/>
      <c r="DC335" s="116"/>
      <c r="DD335" s="116"/>
      <c r="DE335" s="116"/>
      <c r="DF335" s="116"/>
      <c r="DG335" s="116"/>
      <c r="DH335" s="116"/>
      <c r="DI335" s="116"/>
      <c r="DJ335" s="116"/>
      <c r="DK335" s="116"/>
      <c r="DL335" s="116"/>
      <c r="DM335" s="116"/>
      <c r="DN335" s="116"/>
      <c r="DO335" s="116"/>
      <c r="DP335" s="116"/>
      <c r="DQ335" s="116"/>
      <c r="DR335" s="116"/>
      <c r="DS335" s="116"/>
      <c r="DT335" s="116"/>
      <c r="DU335" s="116"/>
      <c r="DV335" s="116"/>
      <c r="DW335" s="116"/>
      <c r="DX335" s="116"/>
      <c r="DY335" s="116"/>
      <c r="DZ335" s="116"/>
      <c r="EA335" s="116"/>
      <c r="EB335" s="116"/>
    </row>
    <row r="336" spans="36:132" ht="12.75" hidden="1" customHeight="1">
      <c r="AJ336" s="116"/>
      <c r="AK336" s="116"/>
      <c r="AL336" s="116"/>
      <c r="AM336" s="116"/>
      <c r="AN336" s="116"/>
      <c r="AO336" s="116"/>
      <c r="AP336" s="116"/>
      <c r="AS336" s="116"/>
      <c r="AT336" s="116"/>
      <c r="BQ336" s="116"/>
      <c r="BR336" s="116"/>
      <c r="BS336" s="116"/>
      <c r="BT336" s="116"/>
      <c r="BU336" s="116"/>
      <c r="BV336" s="116"/>
      <c r="BW336" s="116"/>
      <c r="BX336" s="116"/>
      <c r="BY336" s="116"/>
      <c r="BZ336" s="116"/>
      <c r="CA336" s="116"/>
      <c r="CB336" s="116"/>
      <c r="CC336" s="116"/>
      <c r="CD336" s="116"/>
      <c r="CE336" s="116"/>
      <c r="CF336" s="116"/>
      <c r="CG336" s="116"/>
      <c r="CH336" s="116"/>
      <c r="CI336" s="116"/>
      <c r="CJ336" s="116"/>
      <c r="CK336" s="116"/>
      <c r="CL336" s="116"/>
      <c r="CM336" s="116"/>
      <c r="CN336" s="116"/>
      <c r="CO336" s="116"/>
      <c r="CP336" s="116"/>
      <c r="CQ336" s="116"/>
      <c r="CR336" s="116"/>
      <c r="CS336" s="116"/>
      <c r="CT336" s="116"/>
      <c r="CU336" s="116"/>
      <c r="CV336" s="116"/>
      <c r="CW336" s="116"/>
      <c r="CX336" s="116"/>
      <c r="CY336" s="116"/>
      <c r="CZ336" s="116"/>
      <c r="DA336" s="116"/>
      <c r="DB336" s="116"/>
      <c r="DC336" s="116"/>
      <c r="DD336" s="116"/>
      <c r="DE336" s="116"/>
      <c r="DF336" s="116"/>
      <c r="DG336" s="116"/>
      <c r="DH336" s="116"/>
      <c r="DI336" s="116"/>
      <c r="DJ336" s="116"/>
      <c r="DK336" s="116"/>
      <c r="DL336" s="116"/>
      <c r="DM336" s="116"/>
      <c r="DN336" s="116"/>
      <c r="DO336" s="116"/>
      <c r="DP336" s="116"/>
      <c r="DQ336" s="116"/>
      <c r="DR336" s="116"/>
      <c r="DS336" s="116"/>
      <c r="DT336" s="116"/>
      <c r="DU336" s="116"/>
      <c r="DV336" s="116"/>
      <c r="DW336" s="116"/>
      <c r="DX336" s="116"/>
      <c r="DY336" s="116"/>
      <c r="DZ336" s="116"/>
      <c r="EA336" s="116"/>
      <c r="EB336" s="116"/>
    </row>
    <row r="337" spans="36:132" ht="12.75" hidden="1" customHeight="1">
      <c r="AJ337" s="116"/>
      <c r="AK337" s="116"/>
      <c r="AL337" s="116"/>
      <c r="AM337" s="116"/>
      <c r="AN337" s="116"/>
      <c r="AO337" s="116"/>
      <c r="AP337" s="116"/>
      <c r="AS337" s="116"/>
      <c r="AT337" s="116"/>
      <c r="BQ337" s="116"/>
      <c r="BR337" s="116"/>
      <c r="BS337" s="116"/>
      <c r="BT337" s="116"/>
      <c r="BU337" s="116"/>
      <c r="BV337" s="116"/>
      <c r="BW337" s="116"/>
      <c r="BX337" s="116"/>
      <c r="BY337" s="116"/>
      <c r="BZ337" s="116"/>
      <c r="CA337" s="116"/>
      <c r="CB337" s="116"/>
      <c r="CC337" s="116"/>
      <c r="CD337" s="116"/>
      <c r="CE337" s="116"/>
      <c r="CF337" s="116"/>
      <c r="CG337" s="116"/>
      <c r="CH337" s="116"/>
      <c r="CI337" s="116"/>
      <c r="CJ337" s="116"/>
      <c r="CK337" s="116"/>
      <c r="CL337" s="116"/>
      <c r="CM337" s="116"/>
      <c r="CN337" s="116"/>
      <c r="CO337" s="116"/>
      <c r="CP337" s="116"/>
      <c r="CQ337" s="116"/>
      <c r="CR337" s="116"/>
      <c r="CS337" s="116"/>
      <c r="CT337" s="116"/>
      <c r="CU337" s="116"/>
      <c r="CV337" s="116"/>
      <c r="CW337" s="116"/>
      <c r="CX337" s="116"/>
      <c r="CY337" s="116"/>
      <c r="CZ337" s="116"/>
      <c r="DA337" s="116"/>
      <c r="DB337" s="116"/>
      <c r="DC337" s="116"/>
      <c r="DD337" s="116"/>
      <c r="DE337" s="116"/>
      <c r="DF337" s="116"/>
      <c r="DG337" s="116"/>
      <c r="DH337" s="116"/>
      <c r="DI337" s="116"/>
      <c r="DJ337" s="116"/>
      <c r="DK337" s="116"/>
      <c r="DL337" s="116"/>
      <c r="DM337" s="116"/>
      <c r="DN337" s="116"/>
      <c r="DO337" s="116"/>
      <c r="DP337" s="116"/>
      <c r="DQ337" s="116"/>
      <c r="DR337" s="116"/>
      <c r="DS337" s="116"/>
      <c r="DT337" s="116"/>
      <c r="DU337" s="116"/>
      <c r="DV337" s="116"/>
      <c r="DW337" s="116"/>
      <c r="DX337" s="116"/>
      <c r="DY337" s="116"/>
      <c r="DZ337" s="116"/>
      <c r="EA337" s="116"/>
      <c r="EB337" s="116"/>
    </row>
    <row r="338" spans="36:132" ht="12.75" hidden="1" customHeight="1">
      <c r="AJ338" s="116"/>
      <c r="AK338" s="116"/>
      <c r="AL338" s="116"/>
      <c r="AM338" s="116"/>
      <c r="AN338" s="116"/>
      <c r="AO338" s="116"/>
      <c r="AP338" s="116"/>
      <c r="AS338" s="116"/>
      <c r="AT338" s="116"/>
      <c r="BQ338" s="116"/>
      <c r="BR338" s="116"/>
      <c r="BS338" s="116"/>
      <c r="BT338" s="116"/>
      <c r="BU338" s="116"/>
      <c r="BV338" s="116"/>
      <c r="BW338" s="116"/>
      <c r="BX338" s="116"/>
      <c r="BY338" s="116"/>
      <c r="BZ338" s="116"/>
      <c r="CA338" s="116"/>
      <c r="CB338" s="116"/>
      <c r="CC338" s="116"/>
      <c r="CD338" s="116"/>
      <c r="CE338" s="116"/>
      <c r="CF338" s="116"/>
      <c r="CG338" s="116"/>
      <c r="CH338" s="116"/>
      <c r="CI338" s="116"/>
      <c r="CJ338" s="116"/>
      <c r="CK338" s="116"/>
      <c r="CL338" s="116"/>
      <c r="CM338" s="116"/>
      <c r="CN338" s="116"/>
      <c r="CO338" s="116"/>
      <c r="CP338" s="116"/>
      <c r="CQ338" s="116"/>
      <c r="CR338" s="116"/>
      <c r="CS338" s="116"/>
      <c r="CT338" s="116"/>
      <c r="CU338" s="116"/>
      <c r="CV338" s="116"/>
      <c r="CW338" s="116"/>
      <c r="CX338" s="116"/>
      <c r="CY338" s="116"/>
      <c r="CZ338" s="116"/>
      <c r="DA338" s="116"/>
      <c r="DB338" s="116"/>
      <c r="DC338" s="116"/>
      <c r="DD338" s="116"/>
      <c r="DE338" s="116"/>
      <c r="DF338" s="116"/>
      <c r="DG338" s="116"/>
      <c r="DH338" s="116"/>
      <c r="DI338" s="116"/>
      <c r="DJ338" s="116"/>
      <c r="DK338" s="116"/>
      <c r="DL338" s="116"/>
      <c r="DM338" s="116"/>
      <c r="DN338" s="116"/>
      <c r="DO338" s="116"/>
      <c r="DP338" s="116"/>
      <c r="DQ338" s="116"/>
      <c r="DR338" s="116"/>
      <c r="DS338" s="116"/>
      <c r="DT338" s="116"/>
      <c r="DU338" s="116"/>
      <c r="DV338" s="116"/>
      <c r="DW338" s="116"/>
      <c r="DX338" s="116"/>
      <c r="DY338" s="116"/>
      <c r="DZ338" s="116"/>
      <c r="EA338" s="116"/>
      <c r="EB338" s="116"/>
    </row>
    <row r="339" spans="36:132" ht="12.75" hidden="1" customHeight="1">
      <c r="AJ339" s="116"/>
      <c r="AK339" s="116"/>
      <c r="AL339" s="116"/>
      <c r="AM339" s="116"/>
      <c r="AN339" s="116"/>
      <c r="AO339" s="116"/>
      <c r="AP339" s="116"/>
      <c r="AS339" s="116"/>
      <c r="AT339" s="116"/>
      <c r="BQ339" s="116"/>
      <c r="BR339" s="116"/>
      <c r="BS339" s="116"/>
      <c r="BT339" s="116"/>
      <c r="BU339" s="116"/>
      <c r="BV339" s="116"/>
      <c r="BW339" s="116"/>
      <c r="BX339" s="116"/>
      <c r="BY339" s="116"/>
      <c r="BZ339" s="116"/>
      <c r="CA339" s="116"/>
      <c r="CB339" s="116"/>
      <c r="CC339" s="116"/>
      <c r="CD339" s="116"/>
      <c r="CE339" s="116"/>
      <c r="CF339" s="116"/>
      <c r="CG339" s="116"/>
      <c r="CH339" s="116"/>
      <c r="CI339" s="116"/>
      <c r="CJ339" s="116"/>
      <c r="CK339" s="116"/>
      <c r="CL339" s="116"/>
      <c r="CM339" s="116"/>
      <c r="CN339" s="116"/>
      <c r="CO339" s="116"/>
      <c r="CP339" s="116"/>
      <c r="CQ339" s="116"/>
      <c r="CR339" s="116"/>
      <c r="CS339" s="116"/>
      <c r="CT339" s="116"/>
      <c r="CU339" s="116"/>
      <c r="CV339" s="116"/>
      <c r="CW339" s="116"/>
      <c r="CX339" s="116"/>
      <c r="CY339" s="116"/>
      <c r="CZ339" s="116"/>
      <c r="DA339" s="116"/>
      <c r="DB339" s="116"/>
      <c r="DC339" s="116"/>
      <c r="DD339" s="116"/>
      <c r="DE339" s="116"/>
      <c r="DF339" s="116"/>
      <c r="DG339" s="116"/>
      <c r="DH339" s="116"/>
      <c r="DI339" s="116"/>
      <c r="DJ339" s="116"/>
      <c r="DK339" s="116"/>
      <c r="DL339" s="116"/>
      <c r="DM339" s="116"/>
      <c r="DN339" s="116"/>
      <c r="DO339" s="116"/>
      <c r="DP339" s="116"/>
      <c r="DQ339" s="116"/>
      <c r="DR339" s="116"/>
      <c r="DS339" s="116"/>
      <c r="DT339" s="116"/>
      <c r="DU339" s="116"/>
      <c r="DV339" s="116"/>
      <c r="DW339" s="116"/>
      <c r="DX339" s="116"/>
      <c r="DY339" s="116"/>
      <c r="DZ339" s="116"/>
      <c r="EA339" s="116"/>
      <c r="EB339" s="116"/>
    </row>
    <row r="340" spans="36:132" ht="12.75" hidden="1" customHeight="1">
      <c r="AJ340" s="116"/>
      <c r="AK340" s="116"/>
      <c r="AL340" s="116"/>
      <c r="AM340" s="116"/>
      <c r="AN340" s="116"/>
      <c r="AO340" s="116"/>
      <c r="AP340" s="116"/>
      <c r="AS340" s="116"/>
      <c r="AT340" s="116"/>
      <c r="BQ340" s="116"/>
      <c r="BR340" s="116"/>
      <c r="BS340" s="116"/>
      <c r="BT340" s="116"/>
      <c r="BU340" s="116"/>
      <c r="BV340" s="116"/>
      <c r="BW340" s="116"/>
      <c r="BX340" s="116"/>
      <c r="BY340" s="116"/>
      <c r="BZ340" s="116"/>
      <c r="CA340" s="116"/>
      <c r="CB340" s="116"/>
      <c r="CC340" s="116"/>
      <c r="CD340" s="116"/>
      <c r="CE340" s="116"/>
      <c r="CF340" s="116"/>
      <c r="CG340" s="116"/>
      <c r="CH340" s="116"/>
      <c r="CI340" s="116"/>
      <c r="CJ340" s="116"/>
      <c r="CK340" s="116"/>
      <c r="CL340" s="116"/>
      <c r="CM340" s="116"/>
      <c r="CN340" s="116"/>
      <c r="CO340" s="116"/>
      <c r="CP340" s="116"/>
      <c r="CQ340" s="116"/>
      <c r="CR340" s="116"/>
      <c r="CS340" s="116"/>
      <c r="CT340" s="116"/>
      <c r="CU340" s="116"/>
      <c r="CV340" s="116"/>
      <c r="CW340" s="116"/>
      <c r="CX340" s="116"/>
      <c r="CY340" s="116"/>
      <c r="CZ340" s="116"/>
      <c r="DA340" s="116"/>
      <c r="DB340" s="116"/>
      <c r="DC340" s="116"/>
      <c r="DD340" s="116"/>
      <c r="DE340" s="116"/>
      <c r="DF340" s="116"/>
      <c r="DG340" s="116"/>
      <c r="DH340" s="116"/>
      <c r="DI340" s="116"/>
      <c r="DJ340" s="116"/>
      <c r="DK340" s="116"/>
      <c r="DL340" s="116"/>
      <c r="DM340" s="116"/>
      <c r="DN340" s="116"/>
      <c r="DO340" s="116"/>
      <c r="DP340" s="116"/>
      <c r="DQ340" s="116"/>
      <c r="DR340" s="116"/>
      <c r="DS340" s="116"/>
      <c r="DT340" s="116"/>
      <c r="DU340" s="116"/>
      <c r="DV340" s="116"/>
      <c r="DW340" s="116"/>
      <c r="DX340" s="116"/>
      <c r="DY340" s="116"/>
      <c r="DZ340" s="116"/>
      <c r="EA340" s="116"/>
      <c r="EB340" s="116"/>
    </row>
    <row r="341" spans="36:132" ht="12.75" hidden="1" customHeight="1">
      <c r="AJ341" s="116"/>
      <c r="AK341" s="116"/>
      <c r="AL341" s="116"/>
      <c r="AM341" s="116"/>
      <c r="AN341" s="116"/>
      <c r="AO341" s="116"/>
      <c r="AP341" s="116"/>
      <c r="AS341" s="116"/>
      <c r="AT341" s="116"/>
      <c r="BQ341" s="116"/>
      <c r="BR341" s="116"/>
      <c r="BS341" s="116"/>
      <c r="BT341" s="116"/>
      <c r="BU341" s="116"/>
      <c r="BV341" s="116"/>
      <c r="BW341" s="116"/>
      <c r="BX341" s="116"/>
      <c r="BY341" s="116"/>
      <c r="BZ341" s="116"/>
      <c r="CA341" s="116"/>
      <c r="CB341" s="116"/>
      <c r="CC341" s="116"/>
      <c r="CD341" s="116"/>
      <c r="CE341" s="116"/>
      <c r="CF341" s="116"/>
      <c r="CG341" s="116"/>
      <c r="CH341" s="116"/>
      <c r="CI341" s="116"/>
      <c r="CJ341" s="116"/>
      <c r="CK341" s="116"/>
      <c r="CL341" s="116"/>
      <c r="CM341" s="116"/>
      <c r="CN341" s="116"/>
      <c r="CO341" s="116"/>
      <c r="CP341" s="116"/>
      <c r="CQ341" s="116"/>
      <c r="CR341" s="116"/>
      <c r="CS341" s="116"/>
      <c r="CT341" s="116"/>
      <c r="CU341" s="116"/>
      <c r="CV341" s="116"/>
      <c r="CW341" s="116"/>
      <c r="CX341" s="116"/>
      <c r="CY341" s="116"/>
      <c r="CZ341" s="116"/>
      <c r="DA341" s="116"/>
      <c r="DB341" s="116"/>
      <c r="DC341" s="116"/>
      <c r="DD341" s="116"/>
      <c r="DE341" s="116"/>
      <c r="DF341" s="116"/>
      <c r="DG341" s="116"/>
      <c r="DH341" s="116"/>
      <c r="DI341" s="116"/>
      <c r="DJ341" s="116"/>
      <c r="DK341" s="116"/>
      <c r="DL341" s="116"/>
      <c r="DM341" s="116"/>
      <c r="DN341" s="116"/>
      <c r="DO341" s="116"/>
      <c r="DP341" s="116"/>
      <c r="DQ341" s="116"/>
      <c r="DR341" s="116"/>
      <c r="DS341" s="116"/>
      <c r="DT341" s="116"/>
      <c r="DU341" s="116"/>
      <c r="DV341" s="116"/>
      <c r="DW341" s="116"/>
      <c r="DX341" s="116"/>
      <c r="DY341" s="116"/>
      <c r="DZ341" s="116"/>
      <c r="EA341" s="116"/>
      <c r="EB341" s="116"/>
    </row>
    <row r="342" spans="36:132" ht="12.75" hidden="1" customHeight="1">
      <c r="AJ342" s="116"/>
      <c r="AK342" s="116"/>
      <c r="AL342" s="116"/>
      <c r="AM342" s="116"/>
      <c r="AN342" s="116"/>
      <c r="AO342" s="116"/>
      <c r="AP342" s="116"/>
      <c r="AS342" s="116"/>
      <c r="AT342" s="116"/>
      <c r="BQ342" s="116"/>
      <c r="BR342" s="116"/>
      <c r="BS342" s="116"/>
      <c r="BT342" s="116"/>
      <c r="BU342" s="116"/>
      <c r="BV342" s="116"/>
      <c r="BW342" s="116"/>
      <c r="BX342" s="116"/>
      <c r="BY342" s="116"/>
      <c r="BZ342" s="116"/>
      <c r="CA342" s="116"/>
      <c r="CB342" s="116"/>
      <c r="CC342" s="116"/>
      <c r="CD342" s="116"/>
      <c r="CE342" s="116"/>
      <c r="CF342" s="116"/>
      <c r="CG342" s="116"/>
      <c r="CH342" s="116"/>
      <c r="CI342" s="116"/>
      <c r="CJ342" s="116"/>
      <c r="CK342" s="116"/>
      <c r="CL342" s="116"/>
      <c r="CM342" s="116"/>
      <c r="CN342" s="116"/>
      <c r="CO342" s="116"/>
      <c r="CP342" s="116"/>
      <c r="CQ342" s="116"/>
      <c r="CR342" s="116"/>
      <c r="CS342" s="116"/>
      <c r="CT342" s="116"/>
      <c r="CU342" s="116"/>
      <c r="CV342" s="116"/>
      <c r="CW342" s="116"/>
      <c r="CX342" s="116"/>
      <c r="CY342" s="116"/>
      <c r="CZ342" s="116"/>
      <c r="DA342" s="116"/>
      <c r="DB342" s="116"/>
      <c r="DC342" s="116"/>
      <c r="DD342" s="116"/>
      <c r="DE342" s="116"/>
      <c r="DF342" s="116"/>
      <c r="DG342" s="116"/>
      <c r="DH342" s="116"/>
      <c r="DI342" s="116"/>
      <c r="DJ342" s="116"/>
      <c r="DK342" s="116"/>
      <c r="DL342" s="116"/>
      <c r="DM342" s="116"/>
      <c r="DN342" s="116"/>
      <c r="DO342" s="116"/>
      <c r="DP342" s="116"/>
      <c r="DQ342" s="116"/>
      <c r="DR342" s="116"/>
      <c r="DS342" s="116"/>
      <c r="DT342" s="116"/>
      <c r="DU342" s="116"/>
      <c r="DV342" s="116"/>
      <c r="DW342" s="116"/>
      <c r="DX342" s="116"/>
      <c r="DY342" s="116"/>
      <c r="DZ342" s="116"/>
      <c r="EA342" s="116"/>
      <c r="EB342" s="116"/>
    </row>
    <row r="343" spans="36:132" ht="12.75" hidden="1" customHeight="1">
      <c r="AJ343" s="116"/>
      <c r="AK343" s="116"/>
      <c r="AL343" s="116"/>
      <c r="AM343" s="116"/>
      <c r="AN343" s="116"/>
      <c r="AO343" s="116"/>
      <c r="AP343" s="116"/>
      <c r="AS343" s="116"/>
      <c r="AT343" s="116"/>
      <c r="BQ343" s="116"/>
      <c r="BR343" s="116"/>
      <c r="BS343" s="116"/>
      <c r="BT343" s="116"/>
      <c r="BU343" s="116"/>
      <c r="BV343" s="116"/>
      <c r="BW343" s="116"/>
      <c r="BX343" s="116"/>
      <c r="BY343" s="116"/>
      <c r="BZ343" s="116"/>
      <c r="CA343" s="116"/>
      <c r="CB343" s="116"/>
      <c r="CC343" s="116"/>
      <c r="CD343" s="116"/>
      <c r="CE343" s="116"/>
      <c r="CF343" s="116"/>
      <c r="CG343" s="116"/>
      <c r="CH343" s="116"/>
      <c r="CI343" s="116"/>
      <c r="CJ343" s="116"/>
      <c r="CK343" s="116"/>
      <c r="CL343" s="116"/>
      <c r="CM343" s="116"/>
      <c r="CN343" s="116"/>
      <c r="CO343" s="116"/>
      <c r="CP343" s="116"/>
      <c r="CQ343" s="116"/>
      <c r="CR343" s="116"/>
      <c r="CS343" s="116"/>
      <c r="CT343" s="116"/>
      <c r="CU343" s="116"/>
      <c r="CV343" s="116"/>
      <c r="CW343" s="116"/>
      <c r="CX343" s="116"/>
      <c r="CY343" s="116"/>
      <c r="CZ343" s="116"/>
      <c r="DA343" s="116"/>
      <c r="DB343" s="116"/>
      <c r="DC343" s="116"/>
      <c r="DD343" s="116"/>
      <c r="DE343" s="116"/>
      <c r="DF343" s="116"/>
      <c r="DG343" s="116"/>
      <c r="DH343" s="116"/>
      <c r="DI343" s="116"/>
      <c r="DJ343" s="116"/>
      <c r="DK343" s="116"/>
      <c r="DL343" s="116"/>
      <c r="DM343" s="116"/>
      <c r="DN343" s="116"/>
      <c r="DO343" s="116"/>
      <c r="DP343" s="116"/>
      <c r="DQ343" s="116"/>
      <c r="DR343" s="116"/>
      <c r="DS343" s="116"/>
      <c r="DT343" s="116"/>
      <c r="DU343" s="116"/>
      <c r="DV343" s="116"/>
      <c r="DW343" s="116"/>
      <c r="DX343" s="116"/>
      <c r="DY343" s="116"/>
      <c r="DZ343" s="116"/>
      <c r="EA343" s="116"/>
      <c r="EB343" s="116"/>
    </row>
    <row r="344" spans="36:132" ht="12.75" hidden="1" customHeight="1">
      <c r="AJ344" s="116"/>
      <c r="AK344" s="116"/>
      <c r="AL344" s="116"/>
      <c r="AM344" s="116"/>
      <c r="AN344" s="116"/>
      <c r="AO344" s="116"/>
      <c r="AP344" s="116"/>
      <c r="AS344" s="116"/>
      <c r="AT344" s="116"/>
      <c r="BQ344" s="116"/>
      <c r="BR344" s="116"/>
      <c r="BS344" s="116"/>
      <c r="BT344" s="116"/>
      <c r="BU344" s="116"/>
      <c r="BV344" s="116"/>
      <c r="BW344" s="116"/>
      <c r="BX344" s="116"/>
      <c r="BY344" s="116"/>
      <c r="BZ344" s="116"/>
      <c r="CA344" s="116"/>
      <c r="CB344" s="116"/>
      <c r="CC344" s="116"/>
      <c r="CD344" s="116"/>
      <c r="CE344" s="116"/>
      <c r="CF344" s="116"/>
      <c r="CG344" s="116"/>
      <c r="CH344" s="116"/>
      <c r="CI344" s="116"/>
      <c r="CJ344" s="116"/>
      <c r="CK344" s="116"/>
      <c r="CL344" s="116"/>
      <c r="CM344" s="116"/>
      <c r="CN344" s="116"/>
      <c r="CO344" s="116"/>
      <c r="CP344" s="116"/>
      <c r="CQ344" s="116"/>
      <c r="CR344" s="116"/>
      <c r="CS344" s="116"/>
      <c r="CT344" s="116"/>
      <c r="CU344" s="116"/>
      <c r="CV344" s="116"/>
      <c r="CW344" s="116"/>
      <c r="CX344" s="116"/>
      <c r="CY344" s="116"/>
      <c r="CZ344" s="116"/>
      <c r="DA344" s="116"/>
      <c r="DB344" s="116"/>
      <c r="DC344" s="116"/>
      <c r="DD344" s="116"/>
      <c r="DE344" s="116"/>
      <c r="DF344" s="116"/>
      <c r="DG344" s="116"/>
      <c r="DH344" s="116"/>
      <c r="DI344" s="116"/>
      <c r="DJ344" s="116"/>
      <c r="DK344" s="116"/>
      <c r="DL344" s="116"/>
      <c r="DM344" s="116"/>
      <c r="DN344" s="116"/>
      <c r="DO344" s="116"/>
      <c r="DP344" s="116"/>
      <c r="DQ344" s="116"/>
      <c r="DR344" s="116"/>
      <c r="DS344" s="116"/>
      <c r="DT344" s="116"/>
      <c r="DU344" s="116"/>
      <c r="DV344" s="116"/>
      <c r="DW344" s="116"/>
      <c r="DX344" s="116"/>
      <c r="DY344" s="116"/>
      <c r="DZ344" s="116"/>
      <c r="EA344" s="116"/>
      <c r="EB344" s="116"/>
    </row>
    <row r="345" spans="36:132" ht="12.75" hidden="1" customHeight="1">
      <c r="AJ345" s="116"/>
      <c r="AK345" s="116"/>
      <c r="AL345" s="116"/>
      <c r="AM345" s="116"/>
      <c r="AN345" s="116"/>
      <c r="AO345" s="116"/>
      <c r="AP345" s="116"/>
      <c r="AS345" s="116"/>
      <c r="AT345" s="116"/>
      <c r="BQ345" s="116"/>
      <c r="BR345" s="116"/>
      <c r="BS345" s="116"/>
      <c r="BT345" s="116"/>
      <c r="BU345" s="116"/>
      <c r="BV345" s="116"/>
      <c r="BW345" s="116"/>
      <c r="BX345" s="116"/>
      <c r="BY345" s="116"/>
      <c r="BZ345" s="116"/>
      <c r="CA345" s="116"/>
      <c r="CB345" s="116"/>
      <c r="CC345" s="116"/>
      <c r="CD345" s="116"/>
      <c r="CE345" s="116"/>
      <c r="CF345" s="116"/>
      <c r="CG345" s="116"/>
      <c r="CH345" s="116"/>
      <c r="CI345" s="116"/>
      <c r="CJ345" s="116"/>
      <c r="CK345" s="116"/>
      <c r="CL345" s="116"/>
      <c r="CM345" s="116"/>
      <c r="CN345" s="116"/>
      <c r="CO345" s="116"/>
      <c r="CP345" s="116"/>
      <c r="CQ345" s="116"/>
      <c r="CR345" s="116"/>
      <c r="CS345" s="116"/>
      <c r="CT345" s="116"/>
      <c r="CU345" s="116"/>
      <c r="CV345" s="116"/>
      <c r="CW345" s="116"/>
      <c r="CX345" s="116"/>
      <c r="CY345" s="116"/>
      <c r="CZ345" s="116"/>
      <c r="DA345" s="116"/>
      <c r="DB345" s="116"/>
      <c r="DC345" s="116"/>
      <c r="DD345" s="116"/>
      <c r="DE345" s="116"/>
      <c r="DF345" s="116"/>
      <c r="DG345" s="116"/>
      <c r="DH345" s="116"/>
      <c r="DI345" s="116"/>
      <c r="DJ345" s="116"/>
      <c r="DK345" s="116"/>
      <c r="DL345" s="116"/>
      <c r="DM345" s="116"/>
      <c r="DN345" s="116"/>
      <c r="DO345" s="116"/>
      <c r="DP345" s="116"/>
      <c r="DQ345" s="116"/>
      <c r="DR345" s="116"/>
      <c r="DS345" s="116"/>
      <c r="DT345" s="116"/>
      <c r="DU345" s="116"/>
      <c r="DV345" s="116"/>
      <c r="DW345" s="116"/>
      <c r="DX345" s="116"/>
      <c r="DY345" s="116"/>
      <c r="DZ345" s="116"/>
      <c r="EA345" s="116"/>
      <c r="EB345" s="116"/>
    </row>
    <row r="346" spans="36:132" ht="12.75" hidden="1" customHeight="1">
      <c r="AJ346" s="116"/>
      <c r="AK346" s="116"/>
      <c r="AL346" s="116"/>
      <c r="AM346" s="116"/>
      <c r="AN346" s="116"/>
      <c r="AO346" s="116"/>
      <c r="AP346" s="116"/>
      <c r="AS346" s="116"/>
      <c r="AT346" s="116"/>
      <c r="BQ346" s="116"/>
      <c r="BR346" s="116"/>
      <c r="BS346" s="116"/>
      <c r="BT346" s="116"/>
      <c r="BU346" s="116"/>
      <c r="BV346" s="116"/>
      <c r="BW346" s="116"/>
      <c r="BX346" s="116"/>
      <c r="BY346" s="116"/>
      <c r="BZ346" s="116"/>
      <c r="CA346" s="116"/>
      <c r="CB346" s="116"/>
      <c r="CC346" s="116"/>
      <c r="CD346" s="116"/>
      <c r="CE346" s="116"/>
      <c r="CF346" s="116"/>
      <c r="CG346" s="116"/>
      <c r="CH346" s="116"/>
      <c r="CI346" s="116"/>
      <c r="CJ346" s="116"/>
      <c r="CK346" s="116"/>
      <c r="CL346" s="116"/>
      <c r="CM346" s="116"/>
      <c r="CN346" s="116"/>
      <c r="CO346" s="116"/>
      <c r="CP346" s="116"/>
      <c r="CQ346" s="116"/>
      <c r="CR346" s="116"/>
      <c r="CS346" s="116"/>
      <c r="CT346" s="116"/>
      <c r="CU346" s="116"/>
      <c r="CV346" s="116"/>
      <c r="CW346" s="116"/>
      <c r="CX346" s="116"/>
      <c r="CY346" s="116"/>
      <c r="CZ346" s="116"/>
      <c r="DA346" s="116"/>
      <c r="DB346" s="116"/>
      <c r="DC346" s="116"/>
      <c r="DD346" s="116"/>
      <c r="DE346" s="116"/>
      <c r="DF346" s="116"/>
      <c r="DG346" s="116"/>
      <c r="DH346" s="116"/>
      <c r="DI346" s="116"/>
      <c r="DJ346" s="116"/>
      <c r="DK346" s="116"/>
      <c r="DL346" s="116"/>
      <c r="DM346" s="116"/>
      <c r="DN346" s="116"/>
      <c r="DO346" s="116"/>
      <c r="DP346" s="116"/>
      <c r="DQ346" s="116"/>
      <c r="DR346" s="116"/>
      <c r="DS346" s="116"/>
      <c r="DT346" s="116"/>
      <c r="DU346" s="116"/>
      <c r="DV346" s="116"/>
      <c r="DW346" s="116"/>
      <c r="DX346" s="116"/>
      <c r="DY346" s="116"/>
      <c r="DZ346" s="116"/>
      <c r="EA346" s="116"/>
      <c r="EB346" s="116"/>
    </row>
    <row r="347" spans="36:132" ht="12.75" hidden="1" customHeight="1">
      <c r="AJ347" s="116"/>
      <c r="AK347" s="116"/>
      <c r="AL347" s="116"/>
      <c r="AM347" s="116"/>
      <c r="AN347" s="116"/>
      <c r="AO347" s="116"/>
      <c r="AP347" s="116"/>
      <c r="AS347" s="116"/>
      <c r="AT347" s="116"/>
      <c r="BQ347" s="116"/>
      <c r="BR347" s="116"/>
      <c r="BS347" s="116"/>
      <c r="BT347" s="116"/>
      <c r="BU347" s="116"/>
      <c r="BV347" s="116"/>
      <c r="BW347" s="116"/>
      <c r="BX347" s="116"/>
      <c r="BY347" s="116"/>
      <c r="BZ347" s="116"/>
      <c r="CA347" s="116"/>
      <c r="CB347" s="116"/>
      <c r="CC347" s="116"/>
      <c r="CD347" s="116"/>
      <c r="CE347" s="116"/>
      <c r="CF347" s="116"/>
      <c r="CG347" s="116"/>
      <c r="CH347" s="116"/>
      <c r="CI347" s="116"/>
      <c r="CJ347" s="116"/>
      <c r="CK347" s="116"/>
      <c r="CL347" s="116"/>
      <c r="CM347" s="116"/>
      <c r="CN347" s="116"/>
      <c r="CO347" s="116"/>
      <c r="CP347" s="116"/>
      <c r="CQ347" s="116"/>
      <c r="CR347" s="116"/>
      <c r="CS347" s="116"/>
      <c r="CT347" s="116"/>
      <c r="CU347" s="116"/>
      <c r="CV347" s="116"/>
      <c r="CW347" s="116"/>
      <c r="CX347" s="116"/>
      <c r="CY347" s="116"/>
      <c r="CZ347" s="116"/>
      <c r="DA347" s="116"/>
      <c r="DB347" s="116"/>
      <c r="DC347" s="116"/>
      <c r="DD347" s="116"/>
      <c r="DE347" s="116"/>
      <c r="DF347" s="116"/>
      <c r="DG347" s="116"/>
      <c r="DH347" s="116"/>
      <c r="DI347" s="116"/>
      <c r="DJ347" s="116"/>
      <c r="DK347" s="116"/>
      <c r="DL347" s="116"/>
      <c r="DM347" s="116"/>
      <c r="DN347" s="116"/>
      <c r="DO347" s="116"/>
      <c r="DP347" s="116"/>
      <c r="DQ347" s="116"/>
      <c r="DR347" s="116"/>
      <c r="DS347" s="116"/>
      <c r="DT347" s="116"/>
      <c r="DU347" s="116"/>
      <c r="DV347" s="116"/>
      <c r="DW347" s="116"/>
      <c r="DX347" s="116"/>
      <c r="DY347" s="116"/>
      <c r="DZ347" s="116"/>
      <c r="EA347" s="116"/>
      <c r="EB347" s="116"/>
    </row>
    <row r="348" spans="36:132" ht="12.75" hidden="1" customHeight="1">
      <c r="AJ348" s="116"/>
      <c r="AK348" s="116"/>
      <c r="AL348" s="116"/>
      <c r="AM348" s="116"/>
      <c r="AN348" s="116"/>
      <c r="AO348" s="116"/>
      <c r="AP348" s="116"/>
      <c r="AS348" s="116"/>
      <c r="AT348" s="116"/>
      <c r="BQ348" s="116"/>
      <c r="BR348" s="116"/>
      <c r="BS348" s="116"/>
      <c r="BT348" s="116"/>
      <c r="BU348" s="116"/>
      <c r="BV348" s="116"/>
      <c r="BW348" s="116"/>
      <c r="BX348" s="116"/>
      <c r="BY348" s="116"/>
      <c r="BZ348" s="116"/>
      <c r="CA348" s="116"/>
      <c r="CB348" s="116"/>
      <c r="CC348" s="116"/>
      <c r="CD348" s="116"/>
      <c r="CE348" s="116"/>
      <c r="CF348" s="116"/>
      <c r="CG348" s="116"/>
      <c r="CH348" s="116"/>
      <c r="CI348" s="116"/>
      <c r="CJ348" s="116"/>
      <c r="CK348" s="116"/>
      <c r="CL348" s="116"/>
      <c r="CM348" s="116"/>
      <c r="CN348" s="116"/>
      <c r="CO348" s="116"/>
      <c r="CP348" s="116"/>
      <c r="CQ348" s="116"/>
      <c r="CR348" s="116"/>
      <c r="CS348" s="116"/>
      <c r="CT348" s="116"/>
      <c r="CU348" s="116"/>
      <c r="CV348" s="116"/>
      <c r="CW348" s="116"/>
      <c r="CX348" s="116"/>
      <c r="CY348" s="116"/>
      <c r="CZ348" s="116"/>
      <c r="DA348" s="116"/>
      <c r="DB348" s="116"/>
      <c r="DC348" s="116"/>
      <c r="DD348" s="116"/>
      <c r="DE348" s="116"/>
      <c r="DF348" s="116"/>
      <c r="DG348" s="116"/>
      <c r="DH348" s="116"/>
      <c r="DI348" s="116"/>
      <c r="DJ348" s="116"/>
      <c r="DK348" s="116"/>
      <c r="DL348" s="116"/>
      <c r="DM348" s="116"/>
      <c r="DN348" s="116"/>
      <c r="DO348" s="116"/>
      <c r="DP348" s="116"/>
      <c r="DQ348" s="116"/>
      <c r="DR348" s="116"/>
      <c r="DS348" s="116"/>
      <c r="DT348" s="116"/>
      <c r="DU348" s="116"/>
      <c r="DV348" s="116"/>
      <c r="DW348" s="116"/>
      <c r="DX348" s="116"/>
      <c r="DY348" s="116"/>
      <c r="DZ348" s="116"/>
      <c r="EA348" s="116"/>
      <c r="EB348" s="116"/>
    </row>
    <row r="349" spans="36:132" ht="12.75" hidden="1" customHeight="1">
      <c r="AJ349" s="116"/>
      <c r="AK349" s="116"/>
      <c r="AL349" s="116"/>
      <c r="AM349" s="116"/>
      <c r="AN349" s="116"/>
      <c r="AO349" s="116"/>
      <c r="AP349" s="116"/>
      <c r="AS349" s="116"/>
      <c r="AT349" s="116"/>
      <c r="BQ349" s="116"/>
      <c r="BR349" s="116"/>
      <c r="BS349" s="116"/>
      <c r="BT349" s="116"/>
      <c r="BU349" s="116"/>
      <c r="BV349" s="116"/>
      <c r="BW349" s="116"/>
      <c r="BX349" s="116"/>
      <c r="BY349" s="116"/>
      <c r="BZ349" s="116"/>
      <c r="CA349" s="116"/>
      <c r="CB349" s="116"/>
      <c r="CC349" s="116"/>
      <c r="CD349" s="116"/>
      <c r="CE349" s="116"/>
      <c r="CF349" s="116"/>
      <c r="CG349" s="116"/>
      <c r="CH349" s="116"/>
      <c r="CI349" s="116"/>
      <c r="CJ349" s="116"/>
      <c r="CK349" s="116"/>
      <c r="CL349" s="116"/>
      <c r="CM349" s="116"/>
      <c r="CN349" s="116"/>
      <c r="CO349" s="116"/>
      <c r="CP349" s="116"/>
      <c r="CQ349" s="116"/>
      <c r="CR349" s="116"/>
      <c r="CS349" s="116"/>
      <c r="CT349" s="116"/>
      <c r="CU349" s="116"/>
      <c r="CV349" s="116"/>
      <c r="CW349" s="116"/>
      <c r="CX349" s="116"/>
      <c r="CY349" s="116"/>
      <c r="CZ349" s="116"/>
      <c r="DA349" s="116"/>
      <c r="DB349" s="116"/>
      <c r="DC349" s="116"/>
      <c r="DD349" s="116"/>
      <c r="DE349" s="116"/>
      <c r="DF349" s="116"/>
      <c r="DG349" s="116"/>
      <c r="DH349" s="116"/>
      <c r="DI349" s="116"/>
      <c r="DJ349" s="116"/>
      <c r="DK349" s="116"/>
      <c r="DL349" s="116"/>
      <c r="DM349" s="116"/>
      <c r="DN349" s="116"/>
      <c r="DO349" s="116"/>
      <c r="DP349" s="116"/>
      <c r="DQ349" s="116"/>
      <c r="DR349" s="116"/>
      <c r="DS349" s="116"/>
      <c r="DT349" s="116"/>
      <c r="DU349" s="116"/>
      <c r="DV349" s="116"/>
      <c r="DW349" s="116"/>
      <c r="DX349" s="116"/>
      <c r="DY349" s="116"/>
      <c r="DZ349" s="116"/>
      <c r="EA349" s="116"/>
      <c r="EB349" s="116"/>
    </row>
    <row r="350" spans="36:132" ht="12.75" hidden="1" customHeight="1">
      <c r="AJ350" s="116"/>
      <c r="AK350" s="116"/>
      <c r="AL350" s="116"/>
      <c r="AM350" s="116"/>
      <c r="AN350" s="116"/>
      <c r="AO350" s="116"/>
      <c r="AP350" s="116"/>
      <c r="AS350" s="116"/>
      <c r="AT350" s="116"/>
      <c r="BQ350" s="116"/>
      <c r="BR350" s="116"/>
      <c r="BS350" s="116"/>
      <c r="BT350" s="116"/>
      <c r="BU350" s="116"/>
      <c r="BV350" s="116"/>
      <c r="BW350" s="116"/>
      <c r="BX350" s="116"/>
      <c r="BY350" s="116"/>
      <c r="BZ350" s="116"/>
      <c r="CA350" s="116"/>
      <c r="CB350" s="116"/>
      <c r="CC350" s="116"/>
      <c r="CD350" s="116"/>
      <c r="CE350" s="116"/>
      <c r="CF350" s="116"/>
      <c r="CG350" s="116"/>
      <c r="CH350" s="116"/>
      <c r="CI350" s="116"/>
      <c r="CJ350" s="116"/>
      <c r="CK350" s="116"/>
      <c r="CL350" s="116"/>
      <c r="CM350" s="116"/>
      <c r="CN350" s="116"/>
      <c r="CO350" s="116"/>
      <c r="CP350" s="116"/>
      <c r="CQ350" s="116"/>
      <c r="CR350" s="116"/>
      <c r="CS350" s="116"/>
      <c r="CT350" s="116"/>
      <c r="CU350" s="116"/>
      <c r="CV350" s="116"/>
      <c r="CW350" s="116"/>
      <c r="CX350" s="116"/>
      <c r="CY350" s="116"/>
      <c r="CZ350" s="116"/>
      <c r="DA350" s="116"/>
      <c r="DB350" s="116"/>
      <c r="DC350" s="116"/>
      <c r="DD350" s="116"/>
      <c r="DE350" s="116"/>
      <c r="DF350" s="116"/>
      <c r="DG350" s="116"/>
      <c r="DH350" s="116"/>
      <c r="DI350" s="116"/>
      <c r="DJ350" s="116"/>
      <c r="DK350" s="116"/>
      <c r="DL350" s="116"/>
      <c r="DM350" s="116"/>
      <c r="DN350" s="116"/>
      <c r="DO350" s="116"/>
      <c r="DP350" s="116"/>
      <c r="DQ350" s="116"/>
      <c r="DR350" s="116"/>
      <c r="DS350" s="116"/>
      <c r="DT350" s="116"/>
      <c r="DU350" s="116"/>
      <c r="DV350" s="116"/>
      <c r="DW350" s="116"/>
      <c r="DX350" s="116"/>
      <c r="DY350" s="116"/>
      <c r="DZ350" s="116"/>
      <c r="EA350" s="116"/>
      <c r="EB350" s="116"/>
    </row>
    <row r="351" spans="36:132" ht="12.75" hidden="1" customHeight="1">
      <c r="AJ351" s="116"/>
      <c r="AK351" s="116"/>
      <c r="AL351" s="116"/>
      <c r="AM351" s="116"/>
      <c r="AN351" s="116"/>
      <c r="AO351" s="116"/>
      <c r="AP351" s="116"/>
      <c r="AS351" s="116"/>
      <c r="AT351" s="116"/>
      <c r="BQ351" s="116"/>
      <c r="BR351" s="116"/>
      <c r="BS351" s="116"/>
      <c r="BT351" s="116"/>
      <c r="BU351" s="116"/>
      <c r="BV351" s="116"/>
      <c r="BW351" s="116"/>
      <c r="BX351" s="116"/>
      <c r="BY351" s="116"/>
      <c r="BZ351" s="116"/>
      <c r="CA351" s="116"/>
      <c r="CB351" s="116"/>
      <c r="CC351" s="116"/>
      <c r="CD351" s="116"/>
      <c r="CE351" s="116"/>
      <c r="CF351" s="116"/>
      <c r="CG351" s="116"/>
      <c r="CH351" s="116"/>
      <c r="CI351" s="116"/>
      <c r="CJ351" s="116"/>
      <c r="CK351" s="116"/>
      <c r="CL351" s="116"/>
      <c r="CM351" s="116"/>
      <c r="CN351" s="116"/>
      <c r="CO351" s="116"/>
      <c r="CP351" s="116"/>
      <c r="CQ351" s="116"/>
      <c r="CR351" s="116"/>
      <c r="CS351" s="116"/>
      <c r="CT351" s="116"/>
      <c r="CU351" s="116"/>
      <c r="CV351" s="116"/>
      <c r="CW351" s="116"/>
      <c r="CX351" s="116"/>
      <c r="CY351" s="116"/>
      <c r="CZ351" s="116"/>
      <c r="DA351" s="116"/>
      <c r="DB351" s="116"/>
      <c r="DC351" s="116"/>
      <c r="DD351" s="116"/>
      <c r="DE351" s="116"/>
      <c r="DF351" s="116"/>
      <c r="DG351" s="116"/>
      <c r="DH351" s="116"/>
      <c r="DI351" s="116"/>
      <c r="DJ351" s="116"/>
      <c r="DK351" s="116"/>
      <c r="DL351" s="116"/>
      <c r="DM351" s="116"/>
      <c r="DN351" s="116"/>
      <c r="DO351" s="116"/>
      <c r="DP351" s="116"/>
      <c r="DQ351" s="116"/>
      <c r="DR351" s="116"/>
      <c r="DS351" s="116"/>
      <c r="DT351" s="116"/>
      <c r="DU351" s="116"/>
      <c r="DV351" s="116"/>
      <c r="DW351" s="116"/>
      <c r="DX351" s="116"/>
      <c r="DY351" s="116"/>
      <c r="DZ351" s="116"/>
      <c r="EA351" s="116"/>
      <c r="EB351" s="116"/>
    </row>
    <row r="352" spans="36:132" ht="12.75" hidden="1" customHeight="1">
      <c r="AJ352" s="116"/>
      <c r="AK352" s="116"/>
      <c r="AL352" s="116"/>
      <c r="AM352" s="116"/>
      <c r="AN352" s="116"/>
      <c r="AO352" s="116"/>
      <c r="AP352" s="116"/>
      <c r="AS352" s="116"/>
      <c r="AT352" s="116"/>
      <c r="BQ352" s="116"/>
      <c r="BR352" s="116"/>
      <c r="BS352" s="116"/>
      <c r="BT352" s="116"/>
      <c r="BU352" s="116"/>
      <c r="BV352" s="116"/>
      <c r="BW352" s="116"/>
      <c r="BX352" s="116"/>
      <c r="BY352" s="116"/>
      <c r="BZ352" s="116"/>
      <c r="CA352" s="116"/>
      <c r="CB352" s="116"/>
      <c r="CC352" s="116"/>
      <c r="CD352" s="116"/>
      <c r="CE352" s="116"/>
      <c r="CF352" s="116"/>
      <c r="CG352" s="116"/>
      <c r="CH352" s="116"/>
      <c r="CI352" s="116"/>
      <c r="CJ352" s="116"/>
      <c r="CK352" s="116"/>
      <c r="CL352" s="116"/>
      <c r="CM352" s="116"/>
      <c r="CN352" s="116"/>
      <c r="CO352" s="116"/>
      <c r="CP352" s="116"/>
      <c r="CQ352" s="116"/>
      <c r="CR352" s="116"/>
      <c r="CS352" s="116"/>
      <c r="CT352" s="116"/>
      <c r="CU352" s="116"/>
      <c r="CV352" s="116"/>
      <c r="CW352" s="116"/>
      <c r="CX352" s="116"/>
      <c r="CY352" s="116"/>
      <c r="CZ352" s="116"/>
      <c r="DA352" s="116"/>
      <c r="DB352" s="116"/>
      <c r="DC352" s="116"/>
      <c r="DD352" s="116"/>
      <c r="DE352" s="116"/>
      <c r="DF352" s="116"/>
      <c r="DG352" s="116"/>
      <c r="DH352" s="116"/>
      <c r="DI352" s="116"/>
      <c r="DJ352" s="116"/>
      <c r="DK352" s="116"/>
      <c r="DL352" s="116"/>
      <c r="DM352" s="116"/>
      <c r="DN352" s="116"/>
      <c r="DO352" s="116"/>
      <c r="DP352" s="116"/>
      <c r="DQ352" s="116"/>
      <c r="DR352" s="116"/>
      <c r="DS352" s="116"/>
      <c r="DT352" s="116"/>
      <c r="DU352" s="116"/>
      <c r="DV352" s="116"/>
      <c r="DW352" s="116"/>
      <c r="DX352" s="116"/>
      <c r="DY352" s="116"/>
      <c r="DZ352" s="116"/>
      <c r="EA352" s="116"/>
      <c r="EB352" s="116"/>
    </row>
    <row r="353" spans="36:132" ht="12.75" hidden="1" customHeight="1">
      <c r="AJ353" s="116"/>
      <c r="AK353" s="116"/>
      <c r="AL353" s="116"/>
      <c r="AM353" s="116"/>
      <c r="AN353" s="116"/>
      <c r="AO353" s="116"/>
      <c r="AP353" s="116"/>
      <c r="AS353" s="116"/>
      <c r="AT353" s="116"/>
      <c r="BQ353" s="116"/>
      <c r="BR353" s="116"/>
      <c r="BS353" s="116"/>
      <c r="BT353" s="116"/>
      <c r="BU353" s="116"/>
      <c r="BV353" s="116"/>
      <c r="BW353" s="116"/>
      <c r="BX353" s="116"/>
      <c r="BY353" s="116"/>
      <c r="BZ353" s="116"/>
      <c r="CA353" s="116"/>
      <c r="CB353" s="116"/>
      <c r="CC353" s="116"/>
      <c r="CD353" s="116"/>
      <c r="CE353" s="116"/>
      <c r="CF353" s="116"/>
      <c r="CG353" s="116"/>
      <c r="CH353" s="116"/>
      <c r="CI353" s="116"/>
      <c r="CJ353" s="116"/>
      <c r="CK353" s="116"/>
      <c r="CL353" s="116"/>
      <c r="CM353" s="116"/>
      <c r="CN353" s="116"/>
      <c r="CO353" s="116"/>
      <c r="CP353" s="116"/>
      <c r="CQ353" s="116"/>
      <c r="CR353" s="116"/>
      <c r="CS353" s="116"/>
      <c r="CT353" s="116"/>
      <c r="CU353" s="116"/>
      <c r="CV353" s="116"/>
      <c r="CW353" s="116"/>
      <c r="CX353" s="116"/>
      <c r="CY353" s="116"/>
      <c r="CZ353" s="116"/>
      <c r="DA353" s="116"/>
      <c r="DB353" s="116"/>
      <c r="DC353" s="116"/>
      <c r="DD353" s="116"/>
      <c r="DE353" s="116"/>
      <c r="DF353" s="116"/>
      <c r="DG353" s="116"/>
      <c r="DH353" s="116"/>
      <c r="DI353" s="116"/>
      <c r="DJ353" s="116"/>
      <c r="DK353" s="116"/>
      <c r="DL353" s="116"/>
      <c r="DM353" s="116"/>
      <c r="DN353" s="116"/>
      <c r="DO353" s="116"/>
      <c r="DP353" s="116"/>
      <c r="DQ353" s="116"/>
      <c r="DR353" s="116"/>
      <c r="DS353" s="116"/>
      <c r="DT353" s="116"/>
      <c r="DU353" s="116"/>
      <c r="DV353" s="116"/>
      <c r="DW353" s="116"/>
      <c r="DX353" s="116"/>
      <c r="DY353" s="116"/>
      <c r="DZ353" s="116"/>
      <c r="EA353" s="116"/>
      <c r="EB353" s="116"/>
    </row>
    <row r="354" spans="36:132" ht="12.75" hidden="1" customHeight="1">
      <c r="AJ354" s="116"/>
      <c r="AK354" s="116"/>
      <c r="AL354" s="116"/>
      <c r="AM354" s="116"/>
      <c r="AN354" s="116"/>
      <c r="AO354" s="116"/>
      <c r="AP354" s="116"/>
      <c r="AS354" s="116"/>
      <c r="AT354" s="116"/>
      <c r="BQ354" s="116"/>
      <c r="BR354" s="116"/>
      <c r="BS354" s="116"/>
      <c r="BT354" s="116"/>
      <c r="BU354" s="116"/>
      <c r="BV354" s="116"/>
      <c r="BW354" s="116"/>
      <c r="BX354" s="116"/>
      <c r="BY354" s="116"/>
      <c r="BZ354" s="116"/>
      <c r="CA354" s="116"/>
      <c r="CB354" s="116"/>
      <c r="CC354" s="116"/>
      <c r="CD354" s="116"/>
      <c r="CE354" s="116"/>
      <c r="CF354" s="116"/>
      <c r="CG354" s="116"/>
      <c r="CH354" s="116"/>
      <c r="CI354" s="116"/>
      <c r="CJ354" s="116"/>
      <c r="CK354" s="116"/>
      <c r="CL354" s="116"/>
      <c r="CM354" s="116"/>
      <c r="CN354" s="116"/>
      <c r="CO354" s="116"/>
      <c r="CP354" s="116"/>
      <c r="CQ354" s="116"/>
      <c r="CR354" s="116"/>
      <c r="CS354" s="116"/>
      <c r="CT354" s="116"/>
      <c r="CU354" s="116"/>
      <c r="CV354" s="116"/>
      <c r="CW354" s="116"/>
      <c r="CX354" s="116"/>
      <c r="CY354" s="116"/>
      <c r="CZ354" s="116"/>
      <c r="DA354" s="116"/>
      <c r="DB354" s="116"/>
      <c r="DC354" s="116"/>
      <c r="DD354" s="116"/>
      <c r="DE354" s="116"/>
      <c r="DF354" s="116"/>
      <c r="DG354" s="116"/>
      <c r="DH354" s="116"/>
      <c r="DI354" s="116"/>
      <c r="DJ354" s="116"/>
      <c r="DK354" s="116"/>
      <c r="DL354" s="116"/>
      <c r="DM354" s="116"/>
      <c r="DN354" s="116"/>
      <c r="DO354" s="116"/>
      <c r="DP354" s="116"/>
      <c r="DQ354" s="116"/>
      <c r="DR354" s="116"/>
      <c r="DS354" s="116"/>
      <c r="DT354" s="116"/>
      <c r="DU354" s="116"/>
      <c r="DV354" s="116"/>
      <c r="DW354" s="116"/>
      <c r="DX354" s="116"/>
      <c r="DY354" s="116"/>
      <c r="DZ354" s="116"/>
      <c r="EA354" s="116"/>
      <c r="EB354" s="116"/>
    </row>
    <row r="355" spans="36:132" ht="12.75" hidden="1" customHeight="1">
      <c r="AJ355" s="116"/>
      <c r="AK355" s="116"/>
      <c r="AL355" s="116"/>
      <c r="AM355" s="116"/>
      <c r="AN355" s="116"/>
      <c r="AO355" s="116"/>
      <c r="AP355" s="116"/>
      <c r="AS355" s="116"/>
      <c r="AT355" s="116"/>
      <c r="BQ355" s="116"/>
      <c r="BR355" s="116"/>
      <c r="BS355" s="116"/>
      <c r="BT355" s="116"/>
      <c r="BU355" s="116"/>
      <c r="BV355" s="116"/>
      <c r="BW355" s="116"/>
      <c r="BX355" s="116"/>
      <c r="BY355" s="116"/>
      <c r="BZ355" s="116"/>
      <c r="CA355" s="116"/>
      <c r="CB355" s="116"/>
      <c r="CC355" s="116"/>
      <c r="CD355" s="116"/>
      <c r="CE355" s="116"/>
      <c r="CF355" s="116"/>
      <c r="CG355" s="116"/>
      <c r="CH355" s="116"/>
      <c r="CI355" s="116"/>
      <c r="CJ355" s="116"/>
      <c r="CK355" s="116"/>
      <c r="CL355" s="116"/>
      <c r="CM355" s="116"/>
      <c r="CN355" s="116"/>
      <c r="CO355" s="116"/>
      <c r="CP355" s="116"/>
      <c r="CQ355" s="116"/>
      <c r="CR355" s="116"/>
      <c r="CS355" s="116"/>
      <c r="CT355" s="116"/>
      <c r="CU355" s="116"/>
      <c r="CV355" s="116"/>
      <c r="CW355" s="116"/>
      <c r="CX355" s="116"/>
      <c r="CY355" s="116"/>
      <c r="CZ355" s="116"/>
      <c r="DA355" s="116"/>
      <c r="DB355" s="116"/>
      <c r="DC355" s="116"/>
      <c r="DD355" s="116"/>
      <c r="DE355" s="116"/>
      <c r="DF355" s="116"/>
      <c r="DG355" s="116"/>
      <c r="DH355" s="116"/>
      <c r="DI355" s="116"/>
      <c r="DJ355" s="116"/>
      <c r="DK355" s="116"/>
      <c r="DL355" s="116"/>
      <c r="DM355" s="116"/>
      <c r="DN355" s="116"/>
      <c r="DO355" s="116"/>
      <c r="DP355" s="116"/>
      <c r="DQ355" s="116"/>
      <c r="DR355" s="116"/>
      <c r="DS355" s="116"/>
      <c r="DT355" s="116"/>
      <c r="DU355" s="116"/>
      <c r="DV355" s="116"/>
      <c r="DW355" s="116"/>
      <c r="DX355" s="116"/>
      <c r="DY355" s="116"/>
      <c r="DZ355" s="116"/>
      <c r="EA355" s="116"/>
      <c r="EB355" s="116"/>
    </row>
    <row r="356" spans="36:132" ht="12.75" hidden="1" customHeight="1">
      <c r="AJ356" s="116"/>
      <c r="AK356" s="116"/>
      <c r="AL356" s="116"/>
      <c r="AM356" s="116"/>
      <c r="AN356" s="116"/>
      <c r="AO356" s="116"/>
      <c r="AP356" s="116"/>
      <c r="AS356" s="116"/>
      <c r="AT356" s="116"/>
      <c r="BQ356" s="116"/>
      <c r="BR356" s="116"/>
      <c r="BS356" s="116"/>
      <c r="BT356" s="116"/>
      <c r="BU356" s="116"/>
      <c r="BV356" s="116"/>
      <c r="BW356" s="116"/>
      <c r="BX356" s="116"/>
      <c r="BY356" s="116"/>
      <c r="BZ356" s="116"/>
      <c r="CA356" s="116"/>
      <c r="CB356" s="116"/>
      <c r="CC356" s="116"/>
      <c r="CD356" s="116"/>
      <c r="CE356" s="116"/>
      <c r="CF356" s="116"/>
      <c r="CG356" s="116"/>
      <c r="CH356" s="116"/>
      <c r="CI356" s="116"/>
      <c r="CJ356" s="116"/>
      <c r="CK356" s="116"/>
      <c r="CL356" s="116"/>
      <c r="CM356" s="116"/>
      <c r="CN356" s="116"/>
      <c r="CO356" s="116"/>
      <c r="CP356" s="116"/>
      <c r="CQ356" s="116"/>
      <c r="CR356" s="116"/>
      <c r="CS356" s="116"/>
      <c r="CT356" s="116"/>
      <c r="CU356" s="116"/>
      <c r="CV356" s="116"/>
      <c r="CW356" s="116"/>
      <c r="CX356" s="116"/>
      <c r="CY356" s="116"/>
      <c r="CZ356" s="116"/>
      <c r="DA356" s="116"/>
      <c r="DB356" s="116"/>
      <c r="DC356" s="116"/>
      <c r="DD356" s="116"/>
      <c r="DE356" s="116"/>
      <c r="DF356" s="116"/>
      <c r="DG356" s="116"/>
      <c r="DH356" s="116"/>
      <c r="DI356" s="116"/>
      <c r="DJ356" s="116"/>
      <c r="DK356" s="116"/>
      <c r="DL356" s="116"/>
      <c r="DM356" s="116"/>
      <c r="DN356" s="116"/>
      <c r="DO356" s="116"/>
      <c r="DP356" s="116"/>
      <c r="DQ356" s="116"/>
      <c r="DR356" s="116"/>
      <c r="DS356" s="116"/>
      <c r="DT356" s="116"/>
      <c r="DU356" s="116"/>
      <c r="DV356" s="116"/>
      <c r="DW356" s="116"/>
      <c r="DX356" s="116"/>
      <c r="DY356" s="116"/>
      <c r="DZ356" s="116"/>
      <c r="EA356" s="116"/>
      <c r="EB356" s="116"/>
    </row>
    <row r="357" spans="36:132" ht="12.75" hidden="1" customHeight="1">
      <c r="AJ357" s="116"/>
      <c r="AK357" s="116"/>
      <c r="AL357" s="116"/>
      <c r="AM357" s="116"/>
      <c r="AN357" s="116"/>
      <c r="AO357" s="116"/>
      <c r="AP357" s="116"/>
      <c r="AS357" s="116"/>
      <c r="AT357" s="116"/>
      <c r="BQ357" s="116"/>
      <c r="BR357" s="116"/>
      <c r="BS357" s="116"/>
      <c r="BT357" s="116"/>
      <c r="BU357" s="116"/>
      <c r="BV357" s="116"/>
      <c r="BW357" s="116"/>
      <c r="BX357" s="116"/>
      <c r="BY357" s="116"/>
      <c r="BZ357" s="116"/>
      <c r="CA357" s="116"/>
      <c r="CB357" s="116"/>
      <c r="CC357" s="116"/>
      <c r="CD357" s="116"/>
      <c r="CE357" s="116"/>
      <c r="CF357" s="116"/>
      <c r="CG357" s="116"/>
      <c r="CH357" s="116"/>
      <c r="CI357" s="116"/>
      <c r="CJ357" s="116"/>
      <c r="CK357" s="116"/>
      <c r="CL357" s="116"/>
      <c r="CM357" s="116"/>
      <c r="CN357" s="116"/>
      <c r="CO357" s="116"/>
      <c r="CP357" s="116"/>
      <c r="CQ357" s="116"/>
      <c r="CR357" s="116"/>
      <c r="CS357" s="116"/>
      <c r="CT357" s="116"/>
      <c r="CU357" s="116"/>
      <c r="CV357" s="116"/>
      <c r="CW357" s="116"/>
      <c r="CX357" s="116"/>
      <c r="CY357" s="116"/>
      <c r="CZ357" s="116"/>
      <c r="DA357" s="116"/>
      <c r="DB357" s="116"/>
      <c r="DC357" s="116"/>
      <c r="DD357" s="116"/>
      <c r="DE357" s="116"/>
      <c r="DF357" s="116"/>
      <c r="DG357" s="116"/>
      <c r="DH357" s="116"/>
      <c r="DI357" s="116"/>
      <c r="DJ357" s="116"/>
      <c r="DK357" s="116"/>
      <c r="DL357" s="116"/>
      <c r="DM357" s="116"/>
      <c r="DN357" s="116"/>
      <c r="DO357" s="116"/>
      <c r="DP357" s="116"/>
      <c r="DQ357" s="116"/>
      <c r="DR357" s="116"/>
      <c r="DS357" s="116"/>
      <c r="DT357" s="116"/>
      <c r="DU357" s="116"/>
      <c r="DV357" s="116"/>
      <c r="DW357" s="116"/>
      <c r="DX357" s="116"/>
      <c r="DY357" s="116"/>
      <c r="DZ357" s="116"/>
      <c r="EA357" s="116"/>
      <c r="EB357" s="116"/>
    </row>
    <row r="358" spans="36:132" ht="12.75" hidden="1" customHeight="1">
      <c r="AJ358" s="116"/>
      <c r="AK358" s="116"/>
      <c r="AL358" s="116"/>
      <c r="AM358" s="116"/>
      <c r="AN358" s="116"/>
      <c r="AO358" s="116"/>
      <c r="AP358" s="116"/>
      <c r="AS358" s="116"/>
      <c r="AT358" s="116"/>
      <c r="BQ358" s="116"/>
      <c r="BR358" s="116"/>
      <c r="BS358" s="116"/>
      <c r="BT358" s="116"/>
      <c r="BU358" s="116"/>
      <c r="BV358" s="116"/>
      <c r="BW358" s="116"/>
      <c r="BX358" s="116"/>
      <c r="BY358" s="116"/>
      <c r="BZ358" s="116"/>
      <c r="CA358" s="116"/>
      <c r="CB358" s="116"/>
      <c r="CC358" s="116"/>
      <c r="CD358" s="116"/>
      <c r="CE358" s="116"/>
      <c r="CF358" s="116"/>
      <c r="CG358" s="116"/>
      <c r="CH358" s="116"/>
      <c r="CI358" s="116"/>
      <c r="CJ358" s="116"/>
      <c r="CK358" s="116"/>
      <c r="CL358" s="116"/>
      <c r="CM358" s="116"/>
      <c r="CN358" s="116"/>
      <c r="CO358" s="116"/>
      <c r="CP358" s="116"/>
      <c r="CQ358" s="116"/>
      <c r="CR358" s="116"/>
      <c r="CS358" s="116"/>
      <c r="CT358" s="116"/>
      <c r="CU358" s="116"/>
      <c r="CV358" s="116"/>
      <c r="CW358" s="116"/>
      <c r="CX358" s="116"/>
      <c r="CY358" s="116"/>
      <c r="CZ358" s="116"/>
      <c r="DA358" s="116"/>
      <c r="DB358" s="116"/>
      <c r="DC358" s="116"/>
      <c r="DD358" s="116"/>
      <c r="DE358" s="116"/>
      <c r="DF358" s="116"/>
      <c r="DG358" s="116"/>
      <c r="DH358" s="116"/>
      <c r="DI358" s="116"/>
      <c r="DJ358" s="116"/>
      <c r="DK358" s="116"/>
      <c r="DL358" s="116"/>
      <c r="DM358" s="116"/>
      <c r="DN358" s="116"/>
      <c r="DO358" s="116"/>
      <c r="DP358" s="116"/>
      <c r="DQ358" s="116"/>
      <c r="DR358" s="116"/>
      <c r="DS358" s="116"/>
      <c r="DT358" s="116"/>
      <c r="DU358" s="116"/>
      <c r="DV358" s="116"/>
      <c r="DW358" s="116"/>
      <c r="DX358" s="116"/>
      <c r="DY358" s="116"/>
      <c r="DZ358" s="116"/>
      <c r="EA358" s="116"/>
      <c r="EB358" s="116"/>
    </row>
    <row r="359" spans="36:132" ht="12.75" hidden="1" customHeight="1">
      <c r="AJ359" s="116"/>
      <c r="AK359" s="116"/>
      <c r="AL359" s="116"/>
      <c r="AM359" s="116"/>
      <c r="AN359" s="116"/>
      <c r="AO359" s="116"/>
      <c r="AP359" s="116"/>
      <c r="AS359" s="116"/>
      <c r="AT359" s="116"/>
      <c r="BQ359" s="116"/>
      <c r="BR359" s="116"/>
      <c r="BS359" s="116"/>
      <c r="BT359" s="116"/>
      <c r="BU359" s="116"/>
      <c r="BV359" s="116"/>
      <c r="BW359" s="116"/>
      <c r="BX359" s="116"/>
      <c r="BY359" s="116"/>
      <c r="BZ359" s="116"/>
      <c r="CA359" s="116"/>
      <c r="CB359" s="116"/>
      <c r="CC359" s="116"/>
      <c r="CD359" s="116"/>
      <c r="CE359" s="116"/>
      <c r="CF359" s="116"/>
      <c r="CG359" s="116"/>
      <c r="CH359" s="116"/>
      <c r="CI359" s="116"/>
      <c r="CJ359" s="116"/>
      <c r="CK359" s="116"/>
      <c r="CL359" s="116"/>
      <c r="CM359" s="116"/>
      <c r="CN359" s="116"/>
      <c r="CO359" s="116"/>
      <c r="CP359" s="116"/>
      <c r="CQ359" s="116"/>
      <c r="CR359" s="116"/>
      <c r="CS359" s="116"/>
      <c r="CT359" s="116"/>
      <c r="CU359" s="116"/>
      <c r="CV359" s="116"/>
      <c r="CW359" s="116"/>
      <c r="CX359" s="116"/>
      <c r="CY359" s="116"/>
      <c r="CZ359" s="116"/>
      <c r="DA359" s="116"/>
      <c r="DB359" s="116"/>
      <c r="DC359" s="116"/>
      <c r="DD359" s="116"/>
      <c r="DE359" s="116"/>
      <c r="DF359" s="116"/>
      <c r="DG359" s="116"/>
      <c r="DH359" s="116"/>
      <c r="DI359" s="116"/>
      <c r="DJ359" s="116"/>
      <c r="DK359" s="116"/>
      <c r="DL359" s="116"/>
      <c r="DM359" s="116"/>
      <c r="DN359" s="116"/>
      <c r="DO359" s="116"/>
      <c r="DP359" s="116"/>
      <c r="DQ359" s="116"/>
      <c r="DR359" s="116"/>
      <c r="DS359" s="116"/>
      <c r="DT359" s="116"/>
      <c r="DU359" s="116"/>
      <c r="DV359" s="116"/>
      <c r="DW359" s="116"/>
      <c r="DX359" s="116"/>
      <c r="DY359" s="116"/>
      <c r="DZ359" s="116"/>
      <c r="EA359" s="116"/>
      <c r="EB359" s="116"/>
    </row>
    <row r="360" spans="36:132" ht="12.75" hidden="1" customHeight="1">
      <c r="AJ360" s="116"/>
      <c r="AK360" s="116"/>
      <c r="AL360" s="116"/>
      <c r="AM360" s="116"/>
      <c r="AN360" s="116"/>
      <c r="AO360" s="116"/>
      <c r="AP360" s="116"/>
      <c r="AS360" s="116"/>
      <c r="AT360" s="116"/>
      <c r="BQ360" s="116"/>
      <c r="BR360" s="116"/>
      <c r="BS360" s="116"/>
      <c r="BT360" s="116"/>
      <c r="BU360" s="116"/>
      <c r="BV360" s="116"/>
      <c r="BW360" s="116"/>
      <c r="BX360" s="116"/>
      <c r="BY360" s="116"/>
      <c r="BZ360" s="116"/>
      <c r="CA360" s="116"/>
      <c r="CB360" s="116"/>
      <c r="CC360" s="116"/>
      <c r="CD360" s="116"/>
      <c r="CE360" s="116"/>
      <c r="CF360" s="116"/>
      <c r="CG360" s="116"/>
      <c r="CH360" s="116"/>
      <c r="CI360" s="116"/>
      <c r="CJ360" s="116"/>
      <c r="CK360" s="116"/>
      <c r="CL360" s="116"/>
      <c r="CM360" s="116"/>
      <c r="CN360" s="116"/>
      <c r="CO360" s="116"/>
      <c r="CP360" s="116"/>
      <c r="CQ360" s="116"/>
      <c r="CR360" s="116"/>
      <c r="CS360" s="116"/>
      <c r="CT360" s="116"/>
      <c r="CU360" s="116"/>
      <c r="CV360" s="116"/>
      <c r="CW360" s="116"/>
      <c r="CX360" s="116"/>
      <c r="CY360" s="116"/>
      <c r="CZ360" s="116"/>
      <c r="DA360" s="116"/>
      <c r="DB360" s="116"/>
      <c r="DC360" s="116"/>
      <c r="DD360" s="116"/>
      <c r="DE360" s="116"/>
      <c r="DF360" s="116"/>
      <c r="DG360" s="116"/>
      <c r="DH360" s="116"/>
      <c r="DI360" s="116"/>
      <c r="DJ360" s="116"/>
      <c r="DK360" s="116"/>
      <c r="DL360" s="116"/>
      <c r="DM360" s="116"/>
      <c r="DN360" s="116"/>
      <c r="DO360" s="116"/>
      <c r="DP360" s="116"/>
      <c r="DQ360" s="116"/>
      <c r="DR360" s="116"/>
      <c r="DS360" s="116"/>
      <c r="DT360" s="116"/>
      <c r="DU360" s="116"/>
      <c r="DV360" s="116"/>
      <c r="DW360" s="116"/>
      <c r="DX360" s="116"/>
      <c r="DY360" s="116"/>
      <c r="DZ360" s="116"/>
      <c r="EA360" s="116"/>
      <c r="EB360" s="116"/>
    </row>
    <row r="361" spans="36:132" ht="12.75" hidden="1" customHeight="1">
      <c r="AJ361" s="116"/>
      <c r="AK361" s="116"/>
      <c r="AL361" s="116"/>
      <c r="AM361" s="116"/>
      <c r="AN361" s="116"/>
      <c r="AO361" s="116"/>
      <c r="AP361" s="116"/>
      <c r="AS361" s="116"/>
      <c r="AT361" s="116"/>
      <c r="BQ361" s="116"/>
      <c r="BR361" s="116"/>
      <c r="BS361" s="116"/>
      <c r="BT361" s="116"/>
      <c r="BU361" s="116"/>
      <c r="BV361" s="116"/>
      <c r="BW361" s="116"/>
      <c r="BX361" s="116"/>
      <c r="BY361" s="116"/>
      <c r="BZ361" s="116"/>
      <c r="CA361" s="116"/>
      <c r="CB361" s="116"/>
      <c r="CC361" s="116"/>
      <c r="CD361" s="116"/>
      <c r="CE361" s="116"/>
      <c r="CF361" s="116"/>
      <c r="CG361" s="116"/>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row>
    <row r="362" spans="36:132" ht="12.75" hidden="1" customHeight="1">
      <c r="AJ362" s="116"/>
      <c r="AK362" s="116"/>
      <c r="AL362" s="116"/>
      <c r="AM362" s="116"/>
      <c r="AN362" s="116"/>
      <c r="AO362" s="116"/>
      <c r="AP362" s="116"/>
      <c r="AS362" s="116"/>
      <c r="AT362" s="116"/>
      <c r="BQ362" s="116"/>
      <c r="BR362" s="116"/>
      <c r="BS362" s="116"/>
      <c r="BT362" s="116"/>
      <c r="BU362" s="116"/>
      <c r="BV362" s="116"/>
      <c r="BW362" s="116"/>
      <c r="BX362" s="116"/>
      <c r="BY362" s="116"/>
      <c r="BZ362" s="116"/>
      <c r="CA362" s="116"/>
      <c r="CB362" s="116"/>
      <c r="CC362" s="116"/>
      <c r="CD362" s="116"/>
      <c r="CE362" s="116"/>
      <c r="CF362" s="116"/>
      <c r="CG362" s="116"/>
      <c r="CH362" s="116"/>
      <c r="CI362" s="116"/>
      <c r="CJ362" s="116"/>
      <c r="CK362" s="116"/>
      <c r="CL362" s="116"/>
      <c r="CM362" s="116"/>
      <c r="CN362" s="116"/>
      <c r="CO362" s="116"/>
      <c r="CP362" s="116"/>
      <c r="CQ362" s="116"/>
      <c r="CR362" s="116"/>
      <c r="CS362" s="116"/>
      <c r="CT362" s="116"/>
      <c r="CU362" s="116"/>
      <c r="CV362" s="116"/>
      <c r="CW362" s="116"/>
      <c r="CX362" s="116"/>
      <c r="CY362" s="116"/>
      <c r="CZ362" s="116"/>
      <c r="DA362" s="116"/>
      <c r="DB362" s="116"/>
      <c r="DC362" s="116"/>
      <c r="DD362" s="116"/>
      <c r="DE362" s="116"/>
      <c r="DF362" s="116"/>
      <c r="DG362" s="116"/>
      <c r="DH362" s="116"/>
      <c r="DI362" s="116"/>
      <c r="DJ362" s="116"/>
      <c r="DK362" s="116"/>
      <c r="DL362" s="116"/>
      <c r="DM362" s="116"/>
      <c r="DN362" s="116"/>
      <c r="DO362" s="116"/>
      <c r="DP362" s="116"/>
      <c r="DQ362" s="116"/>
      <c r="DR362" s="116"/>
      <c r="DS362" s="116"/>
      <c r="DT362" s="116"/>
      <c r="DU362" s="116"/>
      <c r="DV362" s="116"/>
      <c r="DW362" s="116"/>
      <c r="DX362" s="116"/>
      <c r="DY362" s="116"/>
      <c r="DZ362" s="116"/>
      <c r="EA362" s="116"/>
      <c r="EB362" s="116"/>
    </row>
    <row r="363" spans="36:132" ht="12.75" hidden="1" customHeight="1">
      <c r="AJ363" s="116"/>
      <c r="AK363" s="116"/>
      <c r="AL363" s="116"/>
      <c r="AM363" s="116"/>
      <c r="AN363" s="116"/>
      <c r="AO363" s="116"/>
      <c r="AP363" s="116"/>
      <c r="AS363" s="116"/>
      <c r="AT363" s="116"/>
      <c r="BQ363" s="116"/>
      <c r="BR363" s="116"/>
      <c r="BS363" s="116"/>
      <c r="BT363" s="116"/>
      <c r="BU363" s="116"/>
      <c r="BV363" s="116"/>
      <c r="BW363" s="116"/>
      <c r="BX363" s="116"/>
      <c r="BY363" s="116"/>
      <c r="BZ363" s="116"/>
      <c r="CA363" s="116"/>
      <c r="CB363" s="116"/>
      <c r="CC363" s="116"/>
      <c r="CD363" s="116"/>
      <c r="CE363" s="116"/>
      <c r="CF363" s="116"/>
      <c r="CG363" s="116"/>
      <c r="CH363" s="116"/>
      <c r="CI363" s="116"/>
      <c r="CJ363" s="116"/>
      <c r="CK363" s="116"/>
      <c r="CL363" s="116"/>
      <c r="CM363" s="116"/>
      <c r="CN363" s="116"/>
      <c r="CO363" s="116"/>
      <c r="CP363" s="116"/>
      <c r="CQ363" s="116"/>
      <c r="CR363" s="116"/>
      <c r="CS363" s="116"/>
      <c r="CT363" s="116"/>
      <c r="CU363" s="116"/>
      <c r="CV363" s="116"/>
      <c r="CW363" s="116"/>
      <c r="CX363" s="116"/>
      <c r="CY363" s="116"/>
      <c r="CZ363" s="116"/>
      <c r="DA363" s="116"/>
      <c r="DB363" s="116"/>
      <c r="DC363" s="116"/>
      <c r="DD363" s="116"/>
      <c r="DE363" s="116"/>
      <c r="DF363" s="116"/>
      <c r="DG363" s="116"/>
      <c r="DH363" s="116"/>
      <c r="DI363" s="116"/>
      <c r="DJ363" s="116"/>
      <c r="DK363" s="116"/>
      <c r="DL363" s="116"/>
      <c r="DM363" s="116"/>
      <c r="DN363" s="116"/>
      <c r="DO363" s="116"/>
      <c r="DP363" s="116"/>
      <c r="DQ363" s="116"/>
      <c r="DR363" s="116"/>
      <c r="DS363" s="116"/>
      <c r="DT363" s="116"/>
      <c r="DU363" s="116"/>
      <c r="DV363" s="116"/>
      <c r="DW363" s="116"/>
      <c r="DX363" s="116"/>
      <c r="DY363" s="116"/>
      <c r="DZ363" s="116"/>
      <c r="EA363" s="116"/>
      <c r="EB363" s="116"/>
    </row>
    <row r="364" spans="36:132" ht="12.75" hidden="1" customHeight="1">
      <c r="AJ364" s="116"/>
      <c r="AK364" s="116"/>
      <c r="AL364" s="116"/>
      <c r="AM364" s="116"/>
      <c r="AN364" s="116"/>
      <c r="AO364" s="116"/>
      <c r="AP364" s="116"/>
      <c r="AS364" s="116"/>
      <c r="AT364" s="116"/>
      <c r="BQ364" s="116"/>
      <c r="BR364" s="116"/>
      <c r="BS364" s="116"/>
      <c r="BT364" s="116"/>
      <c r="BU364" s="116"/>
      <c r="BV364" s="116"/>
      <c r="BW364" s="116"/>
      <c r="BX364" s="116"/>
      <c r="BY364" s="116"/>
      <c r="BZ364" s="116"/>
      <c r="CA364" s="116"/>
      <c r="CB364" s="116"/>
      <c r="CC364" s="116"/>
      <c r="CD364" s="116"/>
      <c r="CE364" s="116"/>
      <c r="CF364" s="116"/>
      <c r="CG364" s="116"/>
      <c r="CH364" s="116"/>
      <c r="CI364" s="116"/>
      <c r="CJ364" s="116"/>
      <c r="CK364" s="116"/>
      <c r="CL364" s="116"/>
      <c r="CM364" s="116"/>
      <c r="CN364" s="116"/>
      <c r="CO364" s="116"/>
      <c r="CP364" s="116"/>
      <c r="CQ364" s="116"/>
      <c r="CR364" s="116"/>
      <c r="CS364" s="116"/>
      <c r="CT364" s="116"/>
      <c r="CU364" s="116"/>
      <c r="CV364" s="116"/>
      <c r="CW364" s="116"/>
      <c r="CX364" s="116"/>
      <c r="CY364" s="116"/>
      <c r="CZ364" s="116"/>
      <c r="DA364" s="116"/>
      <c r="DB364" s="116"/>
      <c r="DC364" s="116"/>
      <c r="DD364" s="116"/>
      <c r="DE364" s="116"/>
      <c r="DF364" s="116"/>
      <c r="DG364" s="116"/>
      <c r="DH364" s="116"/>
      <c r="DI364" s="116"/>
      <c r="DJ364" s="116"/>
      <c r="DK364" s="116"/>
      <c r="DL364" s="116"/>
      <c r="DM364" s="116"/>
      <c r="DN364" s="116"/>
      <c r="DO364" s="116"/>
      <c r="DP364" s="116"/>
      <c r="DQ364" s="116"/>
      <c r="DR364" s="116"/>
      <c r="DS364" s="116"/>
      <c r="DT364" s="116"/>
      <c r="DU364" s="116"/>
      <c r="DV364" s="116"/>
      <c r="DW364" s="116"/>
      <c r="DX364" s="116"/>
      <c r="DY364" s="116"/>
      <c r="DZ364" s="116"/>
      <c r="EA364" s="116"/>
      <c r="EB364" s="116"/>
    </row>
    <row r="365" spans="36:132" ht="12.75" hidden="1" customHeight="1">
      <c r="AJ365" s="116"/>
      <c r="AK365" s="116"/>
      <c r="AL365" s="116"/>
      <c r="AM365" s="116"/>
      <c r="AN365" s="116"/>
      <c r="AO365" s="116"/>
      <c r="AP365" s="116"/>
      <c r="AS365" s="116"/>
      <c r="AT365" s="116"/>
      <c r="BQ365" s="116"/>
      <c r="BR365" s="116"/>
      <c r="BS365" s="116"/>
      <c r="BT365" s="116"/>
      <c r="BU365" s="116"/>
      <c r="BV365" s="116"/>
      <c r="BW365" s="116"/>
      <c r="BX365" s="116"/>
      <c r="BY365" s="116"/>
      <c r="BZ365" s="116"/>
      <c r="CA365" s="116"/>
      <c r="CB365" s="116"/>
      <c r="CC365" s="116"/>
      <c r="CD365" s="116"/>
      <c r="CE365" s="116"/>
      <c r="CF365" s="116"/>
      <c r="CG365" s="116"/>
      <c r="CH365" s="116"/>
      <c r="CI365" s="116"/>
      <c r="CJ365" s="116"/>
      <c r="CK365" s="116"/>
      <c r="CL365" s="116"/>
      <c r="CM365" s="116"/>
      <c r="CN365" s="116"/>
      <c r="CO365" s="116"/>
      <c r="CP365" s="116"/>
      <c r="CQ365" s="116"/>
      <c r="CR365" s="116"/>
      <c r="CS365" s="116"/>
      <c r="CT365" s="116"/>
      <c r="CU365" s="116"/>
      <c r="CV365" s="116"/>
      <c r="CW365" s="116"/>
      <c r="CX365" s="116"/>
      <c r="CY365" s="116"/>
      <c r="CZ365" s="116"/>
      <c r="DA365" s="116"/>
      <c r="DB365" s="116"/>
      <c r="DC365" s="116"/>
      <c r="DD365" s="116"/>
      <c r="DE365" s="116"/>
      <c r="DF365" s="116"/>
      <c r="DG365" s="116"/>
      <c r="DH365" s="116"/>
      <c r="DI365" s="116"/>
      <c r="DJ365" s="116"/>
      <c r="DK365" s="116"/>
      <c r="DL365" s="116"/>
      <c r="DM365" s="116"/>
      <c r="DN365" s="116"/>
      <c r="DO365" s="116"/>
      <c r="DP365" s="116"/>
      <c r="DQ365" s="116"/>
      <c r="DR365" s="116"/>
      <c r="DS365" s="116"/>
      <c r="DT365" s="116"/>
      <c r="DU365" s="116"/>
      <c r="DV365" s="116"/>
      <c r="DW365" s="116"/>
      <c r="DX365" s="116"/>
      <c r="DY365" s="116"/>
      <c r="DZ365" s="116"/>
      <c r="EA365" s="116"/>
      <c r="EB365" s="116"/>
    </row>
    <row r="366" spans="36:132" ht="12.75" hidden="1" customHeight="1">
      <c r="AJ366" s="116"/>
      <c r="AK366" s="116"/>
      <c r="AL366" s="116"/>
      <c r="AM366" s="116"/>
      <c r="AN366" s="116"/>
      <c r="AO366" s="116"/>
      <c r="AP366" s="116"/>
      <c r="AS366" s="116"/>
      <c r="AT366" s="116"/>
      <c r="BQ366" s="116"/>
      <c r="BR366" s="116"/>
      <c r="BS366" s="116"/>
      <c r="BT366" s="116"/>
      <c r="BU366" s="116"/>
      <c r="BV366" s="116"/>
      <c r="BW366" s="116"/>
      <c r="BX366" s="116"/>
      <c r="BY366" s="116"/>
      <c r="BZ366" s="116"/>
      <c r="CA366" s="116"/>
      <c r="CB366" s="116"/>
      <c r="CC366" s="116"/>
      <c r="CD366" s="116"/>
      <c r="CE366" s="116"/>
      <c r="CF366" s="116"/>
      <c r="CG366" s="116"/>
      <c r="CH366" s="116"/>
      <c r="CI366" s="116"/>
      <c r="CJ366" s="116"/>
      <c r="CK366" s="116"/>
      <c r="CL366" s="116"/>
      <c r="CM366" s="116"/>
      <c r="CN366" s="116"/>
      <c r="CO366" s="116"/>
      <c r="CP366" s="116"/>
      <c r="CQ366" s="116"/>
      <c r="CR366" s="116"/>
      <c r="CS366" s="116"/>
      <c r="CT366" s="116"/>
      <c r="CU366" s="116"/>
      <c r="CV366" s="116"/>
      <c r="CW366" s="116"/>
      <c r="CX366" s="116"/>
      <c r="CY366" s="116"/>
      <c r="CZ366" s="116"/>
      <c r="DA366" s="116"/>
      <c r="DB366" s="116"/>
      <c r="DC366" s="116"/>
      <c r="DD366" s="116"/>
      <c r="DE366" s="116"/>
      <c r="DF366" s="116"/>
      <c r="DG366" s="116"/>
      <c r="DH366" s="116"/>
      <c r="DI366" s="116"/>
      <c r="DJ366" s="116"/>
      <c r="DK366" s="116"/>
      <c r="DL366" s="116"/>
      <c r="DM366" s="116"/>
      <c r="DN366" s="116"/>
      <c r="DO366" s="116"/>
      <c r="DP366" s="116"/>
      <c r="DQ366" s="116"/>
      <c r="DR366" s="116"/>
      <c r="DS366" s="116"/>
      <c r="DT366" s="116"/>
      <c r="DU366" s="116"/>
      <c r="DV366" s="116"/>
      <c r="DW366" s="116"/>
      <c r="DX366" s="116"/>
      <c r="DY366" s="116"/>
      <c r="DZ366" s="116"/>
      <c r="EA366" s="116"/>
      <c r="EB366" s="116"/>
    </row>
    <row r="367" spans="36:132" ht="12.75" hidden="1" customHeight="1">
      <c r="AJ367" s="116"/>
      <c r="AK367" s="116"/>
      <c r="AL367" s="116"/>
      <c r="AM367" s="116"/>
      <c r="AN367" s="116"/>
      <c r="AO367" s="116"/>
      <c r="AP367" s="116"/>
      <c r="AS367" s="116"/>
      <c r="AT367" s="116"/>
      <c r="BQ367" s="116"/>
      <c r="BR367" s="116"/>
      <c r="BS367" s="116"/>
      <c r="BT367" s="116"/>
      <c r="BU367" s="116"/>
      <c r="BV367" s="116"/>
      <c r="BW367" s="116"/>
      <c r="BX367" s="116"/>
      <c r="BY367" s="116"/>
      <c r="BZ367" s="116"/>
      <c r="CA367" s="116"/>
      <c r="CB367" s="116"/>
      <c r="CC367" s="116"/>
      <c r="CD367" s="116"/>
      <c r="CE367" s="116"/>
      <c r="CF367" s="116"/>
      <c r="CG367" s="116"/>
      <c r="CH367" s="116"/>
      <c r="CI367" s="116"/>
      <c r="CJ367" s="116"/>
      <c r="CK367" s="116"/>
      <c r="CL367" s="116"/>
      <c r="CM367" s="116"/>
      <c r="CN367" s="116"/>
      <c r="CO367" s="116"/>
      <c r="CP367" s="116"/>
      <c r="CQ367" s="116"/>
      <c r="CR367" s="116"/>
      <c r="CS367" s="116"/>
      <c r="CT367" s="116"/>
      <c r="CU367" s="116"/>
      <c r="CV367" s="116"/>
      <c r="CW367" s="116"/>
      <c r="CX367" s="116"/>
      <c r="CY367" s="116"/>
      <c r="CZ367" s="116"/>
      <c r="DA367" s="116"/>
      <c r="DB367" s="116"/>
      <c r="DC367" s="116"/>
      <c r="DD367" s="116"/>
      <c r="DE367" s="116"/>
      <c r="DF367" s="116"/>
      <c r="DG367" s="116"/>
      <c r="DH367" s="116"/>
      <c r="DI367" s="116"/>
      <c r="DJ367" s="116"/>
      <c r="DK367" s="116"/>
      <c r="DL367" s="116"/>
      <c r="DM367" s="116"/>
      <c r="DN367" s="116"/>
      <c r="DO367" s="116"/>
      <c r="DP367" s="116"/>
      <c r="DQ367" s="116"/>
      <c r="DR367" s="116"/>
      <c r="DS367" s="116"/>
      <c r="DT367" s="116"/>
      <c r="DU367" s="116"/>
      <c r="DV367" s="116"/>
      <c r="DW367" s="116"/>
      <c r="DX367" s="116"/>
      <c r="DY367" s="116"/>
      <c r="DZ367" s="116"/>
      <c r="EA367" s="116"/>
      <c r="EB367" s="116"/>
    </row>
    <row r="368" spans="36:132" ht="12.75" hidden="1" customHeight="1">
      <c r="AJ368" s="116"/>
      <c r="AK368" s="116"/>
      <c r="AL368" s="116"/>
      <c r="AM368" s="116"/>
      <c r="AN368" s="116"/>
      <c r="AO368" s="116"/>
      <c r="AP368" s="116"/>
      <c r="AS368" s="116"/>
      <c r="AT368" s="116"/>
      <c r="BQ368" s="116"/>
      <c r="BR368" s="116"/>
      <c r="BS368" s="116"/>
      <c r="BT368" s="116"/>
      <c r="BU368" s="116"/>
      <c r="BV368" s="116"/>
      <c r="BW368" s="116"/>
      <c r="BX368" s="116"/>
      <c r="BY368" s="116"/>
      <c r="BZ368" s="116"/>
      <c r="CA368" s="116"/>
      <c r="CB368" s="116"/>
      <c r="CC368" s="116"/>
      <c r="CD368" s="116"/>
      <c r="CE368" s="116"/>
      <c r="CF368" s="116"/>
      <c r="CG368" s="116"/>
      <c r="CH368" s="116"/>
      <c r="CI368" s="116"/>
      <c r="CJ368" s="116"/>
      <c r="CK368" s="116"/>
      <c r="CL368" s="116"/>
      <c r="CM368" s="116"/>
      <c r="CN368" s="116"/>
      <c r="CO368" s="116"/>
      <c r="CP368" s="116"/>
      <c r="CQ368" s="116"/>
      <c r="CR368" s="116"/>
      <c r="CS368" s="116"/>
      <c r="CT368" s="116"/>
      <c r="CU368" s="116"/>
      <c r="CV368" s="116"/>
      <c r="CW368" s="116"/>
      <c r="CX368" s="116"/>
      <c r="CY368" s="116"/>
      <c r="CZ368" s="116"/>
      <c r="DA368" s="116"/>
      <c r="DB368" s="116"/>
      <c r="DC368" s="116"/>
      <c r="DD368" s="116"/>
      <c r="DE368" s="116"/>
      <c r="DF368" s="116"/>
      <c r="DG368" s="116"/>
      <c r="DH368" s="116"/>
      <c r="DI368" s="116"/>
      <c r="DJ368" s="116"/>
      <c r="DK368" s="116"/>
      <c r="DL368" s="116"/>
      <c r="DM368" s="116"/>
      <c r="DN368" s="116"/>
      <c r="DO368" s="116"/>
      <c r="DP368" s="116"/>
      <c r="DQ368" s="116"/>
      <c r="DR368" s="116"/>
      <c r="DS368" s="116"/>
      <c r="DT368" s="116"/>
      <c r="DU368" s="116"/>
      <c r="DV368" s="116"/>
      <c r="DW368" s="116"/>
      <c r="DX368" s="116"/>
      <c r="DY368" s="116"/>
      <c r="DZ368" s="116"/>
      <c r="EA368" s="116"/>
      <c r="EB368" s="116"/>
    </row>
    <row r="369" spans="36:132" ht="12.75" hidden="1" customHeight="1">
      <c r="AJ369" s="116"/>
      <c r="AK369" s="116"/>
      <c r="AL369" s="116"/>
      <c r="AM369" s="116"/>
      <c r="AN369" s="116"/>
      <c r="AO369" s="116"/>
      <c r="AP369" s="116"/>
      <c r="AS369" s="116"/>
      <c r="AT369" s="116"/>
      <c r="BQ369" s="116"/>
      <c r="BR369" s="116"/>
      <c r="BS369" s="116"/>
      <c r="BT369" s="116"/>
      <c r="BU369" s="116"/>
      <c r="BV369" s="116"/>
      <c r="BW369" s="116"/>
      <c r="BX369" s="116"/>
      <c r="BY369" s="116"/>
      <c r="BZ369" s="116"/>
      <c r="CA369" s="116"/>
      <c r="CB369" s="116"/>
      <c r="CC369" s="116"/>
      <c r="CD369" s="116"/>
      <c r="CE369" s="116"/>
      <c r="CF369" s="116"/>
      <c r="CG369" s="116"/>
      <c r="CH369" s="116"/>
      <c r="CI369" s="116"/>
      <c r="CJ369" s="116"/>
      <c r="CK369" s="116"/>
      <c r="CL369" s="116"/>
      <c r="CM369" s="116"/>
      <c r="CN369" s="116"/>
      <c r="CO369" s="116"/>
      <c r="CP369" s="116"/>
      <c r="CQ369" s="116"/>
      <c r="CR369" s="116"/>
      <c r="CS369" s="116"/>
      <c r="CT369" s="116"/>
      <c r="CU369" s="116"/>
      <c r="CV369" s="116"/>
      <c r="CW369" s="116"/>
      <c r="CX369" s="116"/>
      <c r="CY369" s="116"/>
      <c r="CZ369" s="116"/>
      <c r="DA369" s="116"/>
      <c r="DB369" s="116"/>
      <c r="DC369" s="116"/>
      <c r="DD369" s="116"/>
      <c r="DE369" s="116"/>
      <c r="DF369" s="116"/>
      <c r="DG369" s="116"/>
      <c r="DH369" s="116"/>
      <c r="DI369" s="116"/>
      <c r="DJ369" s="116"/>
      <c r="DK369" s="116"/>
      <c r="DL369" s="116"/>
      <c r="DM369" s="116"/>
      <c r="DN369" s="116"/>
      <c r="DO369" s="116"/>
      <c r="DP369" s="116"/>
      <c r="DQ369" s="116"/>
      <c r="DR369" s="116"/>
      <c r="DS369" s="116"/>
      <c r="DT369" s="116"/>
      <c r="DU369" s="116"/>
      <c r="DV369" s="116"/>
      <c r="DW369" s="116"/>
      <c r="DX369" s="116"/>
      <c r="DY369" s="116"/>
      <c r="DZ369" s="116"/>
      <c r="EA369" s="116"/>
      <c r="EB369" s="116"/>
    </row>
    <row r="370" spans="36:132" ht="12.75" hidden="1" customHeight="1">
      <c r="AJ370" s="116"/>
      <c r="AK370" s="116"/>
      <c r="AL370" s="116"/>
      <c r="AM370" s="116"/>
      <c r="AN370" s="116"/>
      <c r="AO370" s="116"/>
      <c r="AP370" s="116"/>
      <c r="AS370" s="116"/>
      <c r="AT370" s="116"/>
      <c r="BQ370" s="116"/>
      <c r="BR370" s="116"/>
      <c r="BS370" s="116"/>
      <c r="BT370" s="116"/>
      <c r="BU370" s="116"/>
      <c r="BV370" s="116"/>
      <c r="BW370" s="116"/>
      <c r="BX370" s="116"/>
      <c r="BY370" s="116"/>
      <c r="BZ370" s="116"/>
      <c r="CA370" s="116"/>
      <c r="CB370" s="116"/>
      <c r="CC370" s="116"/>
      <c r="CD370" s="116"/>
      <c r="CE370" s="116"/>
      <c r="CF370" s="116"/>
      <c r="CG370" s="116"/>
      <c r="CH370" s="116"/>
      <c r="CI370" s="116"/>
      <c r="CJ370" s="116"/>
      <c r="CK370" s="116"/>
      <c r="CL370" s="116"/>
      <c r="CM370" s="116"/>
      <c r="CN370" s="116"/>
      <c r="CO370" s="116"/>
      <c r="CP370" s="116"/>
      <c r="CQ370" s="116"/>
      <c r="CR370" s="116"/>
      <c r="CS370" s="116"/>
      <c r="CT370" s="116"/>
      <c r="CU370" s="116"/>
      <c r="CV370" s="116"/>
      <c r="CW370" s="116"/>
      <c r="CX370" s="116"/>
      <c r="CY370" s="116"/>
      <c r="CZ370" s="116"/>
      <c r="DA370" s="116"/>
      <c r="DB370" s="116"/>
      <c r="DC370" s="116"/>
      <c r="DD370" s="116"/>
      <c r="DE370" s="116"/>
      <c r="DF370" s="116"/>
      <c r="DG370" s="116"/>
      <c r="DH370" s="116"/>
      <c r="DI370" s="116"/>
      <c r="DJ370" s="116"/>
      <c r="DK370" s="116"/>
      <c r="DL370" s="116"/>
      <c r="DM370" s="116"/>
      <c r="DN370" s="116"/>
      <c r="DO370" s="116"/>
      <c r="DP370" s="116"/>
      <c r="DQ370" s="116"/>
      <c r="DR370" s="116"/>
      <c r="DS370" s="116"/>
      <c r="DT370" s="116"/>
      <c r="DU370" s="116"/>
      <c r="DV370" s="116"/>
      <c r="DW370" s="116"/>
      <c r="DX370" s="116"/>
      <c r="DY370" s="116"/>
      <c r="DZ370" s="116"/>
      <c r="EA370" s="116"/>
      <c r="EB370" s="116"/>
    </row>
    <row r="371" spans="36:132" ht="12.75" hidden="1" customHeight="1">
      <c r="AJ371" s="116"/>
      <c r="AK371" s="116"/>
      <c r="AL371" s="116"/>
      <c r="AM371" s="116"/>
      <c r="AN371" s="116"/>
      <c r="AO371" s="116"/>
      <c r="AP371" s="116"/>
      <c r="AS371" s="116"/>
      <c r="AT371" s="116"/>
      <c r="BQ371" s="116"/>
      <c r="BR371" s="116"/>
      <c r="BS371" s="116"/>
      <c r="BT371" s="116"/>
      <c r="BU371" s="116"/>
      <c r="BV371" s="116"/>
      <c r="BW371" s="116"/>
      <c r="BX371" s="116"/>
      <c r="BY371" s="116"/>
      <c r="BZ371" s="116"/>
      <c r="CA371" s="116"/>
      <c r="CB371" s="116"/>
      <c r="CC371" s="116"/>
      <c r="CD371" s="116"/>
      <c r="CE371" s="116"/>
      <c r="CF371" s="116"/>
      <c r="CG371" s="116"/>
      <c r="CH371" s="116"/>
      <c r="CI371" s="116"/>
      <c r="CJ371" s="116"/>
      <c r="CK371" s="116"/>
      <c r="CL371" s="116"/>
      <c r="CM371" s="116"/>
      <c r="CN371" s="116"/>
      <c r="CO371" s="116"/>
      <c r="CP371" s="116"/>
      <c r="CQ371" s="116"/>
      <c r="CR371" s="116"/>
      <c r="CS371" s="116"/>
      <c r="CT371" s="116"/>
      <c r="CU371" s="116"/>
      <c r="CV371" s="116"/>
      <c r="CW371" s="116"/>
      <c r="CX371" s="116"/>
      <c r="CY371" s="116"/>
      <c r="CZ371" s="116"/>
      <c r="DA371" s="116"/>
      <c r="DB371" s="116"/>
      <c r="DC371" s="116"/>
      <c r="DD371" s="116"/>
      <c r="DE371" s="116"/>
      <c r="DF371" s="116"/>
      <c r="DG371" s="116"/>
      <c r="DH371" s="116"/>
      <c r="DI371" s="116"/>
      <c r="DJ371" s="116"/>
      <c r="DK371" s="116"/>
      <c r="DL371" s="116"/>
      <c r="DM371" s="116"/>
      <c r="DN371" s="116"/>
      <c r="DO371" s="116"/>
      <c r="DP371" s="116"/>
      <c r="DQ371" s="116"/>
      <c r="DR371" s="116"/>
      <c r="DS371" s="116"/>
      <c r="DT371" s="116"/>
      <c r="DU371" s="116"/>
      <c r="DV371" s="116"/>
      <c r="DW371" s="116"/>
      <c r="DX371" s="116"/>
      <c r="DY371" s="116"/>
      <c r="DZ371" s="116"/>
      <c r="EA371" s="116"/>
      <c r="EB371" s="116"/>
    </row>
    <row r="372" spans="36:132" ht="12.75" hidden="1" customHeight="1">
      <c r="AJ372" s="116"/>
      <c r="AK372" s="116"/>
      <c r="AL372" s="116"/>
      <c r="AM372" s="116"/>
      <c r="AN372" s="116"/>
      <c r="AO372" s="116"/>
      <c r="AP372" s="116"/>
      <c r="AS372" s="116"/>
      <c r="AT372" s="116"/>
      <c r="BQ372" s="116"/>
      <c r="BR372" s="116"/>
      <c r="BS372" s="116"/>
      <c r="BT372" s="116"/>
      <c r="BU372" s="116"/>
      <c r="BV372" s="116"/>
      <c r="BW372" s="116"/>
      <c r="BX372" s="116"/>
      <c r="BY372" s="116"/>
      <c r="BZ372" s="116"/>
      <c r="CA372" s="116"/>
      <c r="CB372" s="116"/>
      <c r="CC372" s="116"/>
      <c r="CD372" s="116"/>
      <c r="CE372" s="116"/>
      <c r="CF372" s="116"/>
      <c r="CG372" s="116"/>
      <c r="CH372" s="116"/>
      <c r="CI372" s="116"/>
      <c r="CJ372" s="116"/>
      <c r="CK372" s="116"/>
      <c r="CL372" s="116"/>
      <c r="CM372" s="116"/>
      <c r="CN372" s="116"/>
      <c r="CO372" s="116"/>
      <c r="CP372" s="116"/>
      <c r="CQ372" s="116"/>
      <c r="CR372" s="116"/>
      <c r="CS372" s="116"/>
      <c r="CT372" s="116"/>
      <c r="CU372" s="116"/>
      <c r="CV372" s="116"/>
      <c r="CW372" s="116"/>
      <c r="CX372" s="116"/>
      <c r="CY372" s="116"/>
      <c r="CZ372" s="116"/>
      <c r="DA372" s="116"/>
      <c r="DB372" s="116"/>
      <c r="DC372" s="116"/>
      <c r="DD372" s="116"/>
      <c r="DE372" s="116"/>
      <c r="DF372" s="116"/>
      <c r="DG372" s="116"/>
      <c r="DH372" s="116"/>
      <c r="DI372" s="116"/>
      <c r="DJ372" s="116"/>
      <c r="DK372" s="116"/>
      <c r="DL372" s="116"/>
      <c r="DM372" s="116"/>
      <c r="DN372" s="116"/>
      <c r="DO372" s="116"/>
      <c r="DP372" s="116"/>
      <c r="DQ372" s="116"/>
      <c r="DR372" s="116"/>
      <c r="DS372" s="116"/>
      <c r="DT372" s="116"/>
      <c r="DU372" s="116"/>
      <c r="DV372" s="116"/>
      <c r="DW372" s="116"/>
      <c r="DX372" s="116"/>
      <c r="DY372" s="116"/>
      <c r="DZ372" s="116"/>
      <c r="EA372" s="116"/>
      <c r="EB372" s="116"/>
    </row>
    <row r="373" spans="36:132" ht="12.75" hidden="1" customHeight="1">
      <c r="AJ373" s="116"/>
      <c r="AK373" s="116"/>
      <c r="AL373" s="116"/>
      <c r="AM373" s="116"/>
      <c r="AN373" s="116"/>
      <c r="AO373" s="116"/>
      <c r="AP373" s="116"/>
      <c r="AS373" s="116"/>
      <c r="AT373" s="116"/>
      <c r="BQ373" s="116"/>
      <c r="BR373" s="116"/>
      <c r="BS373" s="116"/>
      <c r="BT373" s="116"/>
      <c r="BU373" s="116"/>
      <c r="BV373" s="116"/>
      <c r="BW373" s="116"/>
      <c r="BX373" s="116"/>
      <c r="BY373" s="116"/>
      <c r="BZ373" s="116"/>
      <c r="CA373" s="116"/>
      <c r="CB373" s="116"/>
      <c r="CC373" s="116"/>
      <c r="CD373" s="116"/>
      <c r="CE373" s="116"/>
      <c r="CF373" s="116"/>
      <c r="CG373" s="116"/>
      <c r="CH373" s="116"/>
      <c r="CI373" s="116"/>
      <c r="CJ373" s="116"/>
      <c r="CK373" s="116"/>
      <c r="CL373" s="116"/>
      <c r="CM373" s="116"/>
      <c r="CN373" s="116"/>
      <c r="CO373" s="116"/>
      <c r="CP373" s="116"/>
      <c r="CQ373" s="116"/>
      <c r="CR373" s="116"/>
      <c r="CS373" s="116"/>
      <c r="CT373" s="116"/>
      <c r="CU373" s="116"/>
      <c r="CV373" s="116"/>
      <c r="CW373" s="116"/>
      <c r="CX373" s="116"/>
      <c r="CY373" s="116"/>
      <c r="CZ373" s="116"/>
      <c r="DA373" s="116"/>
      <c r="DB373" s="116"/>
      <c r="DC373" s="116"/>
      <c r="DD373" s="116"/>
      <c r="DE373" s="116"/>
      <c r="DF373" s="116"/>
      <c r="DG373" s="116"/>
      <c r="DH373" s="116"/>
      <c r="DI373" s="116"/>
      <c r="DJ373" s="116"/>
      <c r="DK373" s="116"/>
      <c r="DL373" s="116"/>
      <c r="DM373" s="116"/>
      <c r="DN373" s="116"/>
      <c r="DO373" s="116"/>
      <c r="DP373" s="116"/>
      <c r="DQ373" s="116"/>
      <c r="DR373" s="116"/>
      <c r="DS373" s="116"/>
      <c r="DT373" s="116"/>
      <c r="DU373" s="116"/>
      <c r="DV373" s="116"/>
      <c r="DW373" s="116"/>
      <c r="DX373" s="116"/>
      <c r="DY373" s="116"/>
      <c r="DZ373" s="116"/>
      <c r="EA373" s="116"/>
      <c r="EB373" s="116"/>
    </row>
    <row r="374" spans="36:132" ht="12.75" hidden="1" customHeight="1">
      <c r="AJ374" s="116"/>
      <c r="AK374" s="116"/>
      <c r="AL374" s="116"/>
      <c r="AM374" s="116"/>
      <c r="AN374" s="116"/>
      <c r="AO374" s="116"/>
      <c r="AP374" s="116"/>
      <c r="AS374" s="116"/>
      <c r="AT374" s="116"/>
      <c r="BQ374" s="116"/>
      <c r="BR374" s="116"/>
      <c r="BS374" s="116"/>
      <c r="BT374" s="116"/>
      <c r="BU374" s="116"/>
      <c r="BV374" s="116"/>
      <c r="BW374" s="116"/>
      <c r="BX374" s="116"/>
      <c r="BY374" s="116"/>
      <c r="BZ374" s="116"/>
      <c r="CA374" s="116"/>
      <c r="CB374" s="116"/>
      <c r="CC374" s="116"/>
      <c r="CD374" s="116"/>
      <c r="CE374" s="116"/>
      <c r="CF374" s="116"/>
      <c r="CG374" s="116"/>
      <c r="CH374" s="116"/>
      <c r="CI374" s="116"/>
      <c r="CJ374" s="116"/>
      <c r="CK374" s="116"/>
      <c r="CL374" s="116"/>
      <c r="CM374" s="116"/>
      <c r="CN374" s="116"/>
      <c r="CO374" s="116"/>
      <c r="CP374" s="116"/>
      <c r="CQ374" s="116"/>
      <c r="CR374" s="116"/>
      <c r="CS374" s="116"/>
      <c r="CT374" s="116"/>
      <c r="CU374" s="116"/>
      <c r="CV374" s="116"/>
      <c r="CW374" s="116"/>
      <c r="CX374" s="116"/>
      <c r="CY374" s="116"/>
      <c r="CZ374" s="116"/>
      <c r="DA374" s="116"/>
      <c r="DB374" s="116"/>
      <c r="DC374" s="116"/>
      <c r="DD374" s="116"/>
      <c r="DE374" s="116"/>
      <c r="DF374" s="116"/>
      <c r="DG374" s="116"/>
      <c r="DH374" s="116"/>
      <c r="DI374" s="116"/>
      <c r="DJ374" s="116"/>
      <c r="DK374" s="116"/>
      <c r="DL374" s="116"/>
      <c r="DM374" s="116"/>
      <c r="DN374" s="116"/>
      <c r="DO374" s="116"/>
      <c r="DP374" s="116"/>
      <c r="DQ374" s="116"/>
      <c r="DR374" s="116"/>
      <c r="DS374" s="116"/>
      <c r="DT374" s="116"/>
      <c r="DU374" s="116"/>
      <c r="DV374" s="116"/>
      <c r="DW374" s="116"/>
      <c r="DX374" s="116"/>
      <c r="DY374" s="116"/>
      <c r="DZ374" s="116"/>
      <c r="EA374" s="116"/>
      <c r="EB374" s="116"/>
    </row>
    <row r="375" spans="36:132" ht="12.75" hidden="1" customHeight="1">
      <c r="AJ375" s="116"/>
      <c r="AK375" s="116"/>
      <c r="AL375" s="116"/>
      <c r="AM375" s="116"/>
      <c r="AN375" s="116"/>
      <c r="AO375" s="116"/>
      <c r="AP375" s="116"/>
      <c r="AS375" s="116"/>
      <c r="AT375" s="116"/>
      <c r="BQ375" s="116"/>
      <c r="BR375" s="116"/>
      <c r="BS375" s="116"/>
      <c r="BT375" s="116"/>
      <c r="BU375" s="116"/>
      <c r="BV375" s="116"/>
      <c r="BW375" s="116"/>
      <c r="BX375" s="116"/>
      <c r="BY375" s="116"/>
      <c r="BZ375" s="116"/>
      <c r="CA375" s="116"/>
      <c r="CB375" s="116"/>
      <c r="CC375" s="116"/>
      <c r="CD375" s="116"/>
      <c r="CE375" s="116"/>
      <c r="CF375" s="116"/>
      <c r="CG375" s="116"/>
      <c r="CH375" s="116"/>
      <c r="CI375" s="116"/>
      <c r="CJ375" s="116"/>
      <c r="CK375" s="116"/>
      <c r="CL375" s="116"/>
      <c r="CM375" s="116"/>
      <c r="CN375" s="116"/>
      <c r="CO375" s="116"/>
      <c r="CP375" s="116"/>
      <c r="CQ375" s="116"/>
      <c r="CR375" s="116"/>
      <c r="CS375" s="116"/>
      <c r="CT375" s="116"/>
      <c r="CU375" s="116"/>
      <c r="CV375" s="116"/>
      <c r="CW375" s="116"/>
      <c r="CX375" s="116"/>
      <c r="CY375" s="116"/>
      <c r="CZ375" s="116"/>
      <c r="DA375" s="116"/>
      <c r="DB375" s="116"/>
      <c r="DC375" s="116"/>
      <c r="DD375" s="116"/>
      <c r="DE375" s="116"/>
      <c r="DF375" s="116"/>
      <c r="DG375" s="116"/>
      <c r="DH375" s="116"/>
      <c r="DI375" s="116"/>
      <c r="DJ375" s="116"/>
      <c r="DK375" s="116"/>
      <c r="DL375" s="116"/>
      <c r="DM375" s="116"/>
      <c r="DN375" s="116"/>
      <c r="DO375" s="116"/>
      <c r="DP375" s="116"/>
      <c r="DQ375" s="116"/>
      <c r="DR375" s="116"/>
      <c r="DS375" s="116"/>
      <c r="DT375" s="116"/>
      <c r="DU375" s="116"/>
      <c r="DV375" s="116"/>
      <c r="DW375" s="116"/>
      <c r="DX375" s="116"/>
      <c r="DY375" s="116"/>
      <c r="DZ375" s="116"/>
      <c r="EA375" s="116"/>
      <c r="EB375" s="116"/>
    </row>
    <row r="376" spans="36:132" ht="12.75" hidden="1" customHeight="1">
      <c r="AJ376" s="116"/>
      <c r="AK376" s="116"/>
      <c r="AL376" s="116"/>
      <c r="AM376" s="116"/>
      <c r="AN376" s="116"/>
      <c r="AO376" s="116"/>
      <c r="AP376" s="116"/>
      <c r="AS376" s="116"/>
      <c r="AT376" s="116"/>
      <c r="BQ376" s="116"/>
      <c r="BR376" s="116"/>
      <c r="BS376" s="116"/>
      <c r="BT376" s="116"/>
      <c r="BU376" s="116"/>
      <c r="BV376" s="116"/>
      <c r="BW376" s="116"/>
      <c r="BX376" s="116"/>
      <c r="BY376" s="116"/>
      <c r="BZ376" s="116"/>
      <c r="CA376" s="116"/>
      <c r="CB376" s="116"/>
      <c r="CC376" s="116"/>
      <c r="CD376" s="116"/>
      <c r="CE376" s="116"/>
      <c r="CF376" s="116"/>
      <c r="CG376" s="116"/>
      <c r="CH376" s="116"/>
      <c r="CI376" s="116"/>
      <c r="CJ376" s="116"/>
      <c r="CK376" s="116"/>
      <c r="CL376" s="116"/>
      <c r="CM376" s="116"/>
      <c r="CN376" s="116"/>
      <c r="CO376" s="116"/>
      <c r="CP376" s="116"/>
      <c r="CQ376" s="116"/>
      <c r="CR376" s="116"/>
      <c r="CS376" s="116"/>
      <c r="CT376" s="116"/>
      <c r="CU376" s="116"/>
      <c r="CV376" s="116"/>
      <c r="CW376" s="116"/>
      <c r="CX376" s="116"/>
      <c r="CY376" s="116"/>
      <c r="CZ376" s="116"/>
      <c r="DA376" s="116"/>
      <c r="DB376" s="116"/>
      <c r="DC376" s="116"/>
      <c r="DD376" s="116"/>
      <c r="DE376" s="116"/>
      <c r="DF376" s="116"/>
      <c r="DG376" s="116"/>
      <c r="DH376" s="116"/>
      <c r="DI376" s="116"/>
      <c r="DJ376" s="116"/>
      <c r="DK376" s="116"/>
      <c r="DL376" s="116"/>
      <c r="DM376" s="116"/>
      <c r="DN376" s="116"/>
      <c r="DO376" s="116"/>
      <c r="DP376" s="116"/>
      <c r="DQ376" s="116"/>
      <c r="DR376" s="116"/>
      <c r="DS376" s="116"/>
      <c r="DT376" s="116"/>
      <c r="DU376" s="116"/>
      <c r="DV376" s="116"/>
      <c r="DW376" s="116"/>
      <c r="DX376" s="116"/>
      <c r="DY376" s="116"/>
      <c r="DZ376" s="116"/>
      <c r="EA376" s="116"/>
      <c r="EB376" s="116"/>
    </row>
    <row r="377" spans="36:132" ht="12.75" hidden="1" customHeight="1">
      <c r="AJ377" s="116"/>
      <c r="AK377" s="116"/>
      <c r="AL377" s="116"/>
      <c r="AM377" s="116"/>
      <c r="AN377" s="116"/>
      <c r="AO377" s="116"/>
      <c r="AP377" s="116"/>
      <c r="AS377" s="116"/>
      <c r="AT377" s="116"/>
      <c r="BQ377" s="116"/>
      <c r="BR377" s="116"/>
      <c r="BS377" s="116"/>
      <c r="BT377" s="116"/>
      <c r="BU377" s="116"/>
      <c r="BV377" s="116"/>
      <c r="BW377" s="116"/>
      <c r="BX377" s="116"/>
      <c r="BY377" s="116"/>
      <c r="BZ377" s="116"/>
      <c r="CA377" s="116"/>
      <c r="CB377" s="116"/>
      <c r="CC377" s="116"/>
      <c r="CD377" s="116"/>
      <c r="CE377" s="116"/>
      <c r="CF377" s="116"/>
      <c r="CG377" s="116"/>
      <c r="CH377" s="116"/>
      <c r="CI377" s="116"/>
      <c r="CJ377" s="116"/>
      <c r="CK377" s="116"/>
      <c r="CL377" s="116"/>
      <c r="CM377" s="116"/>
      <c r="CN377" s="116"/>
      <c r="CO377" s="116"/>
      <c r="CP377" s="116"/>
      <c r="CQ377" s="116"/>
      <c r="CR377" s="116"/>
      <c r="CS377" s="116"/>
      <c r="CT377" s="116"/>
      <c r="CU377" s="116"/>
      <c r="CV377" s="116"/>
      <c r="CW377" s="116"/>
      <c r="CX377" s="116"/>
      <c r="CY377" s="116"/>
      <c r="CZ377" s="116"/>
      <c r="DA377" s="116"/>
      <c r="DB377" s="116"/>
      <c r="DC377" s="116"/>
      <c r="DD377" s="116"/>
      <c r="DE377" s="116"/>
      <c r="DF377" s="116"/>
      <c r="DG377" s="116"/>
      <c r="DH377" s="116"/>
      <c r="DI377" s="116"/>
      <c r="DJ377" s="116"/>
      <c r="DK377" s="116"/>
      <c r="DL377" s="116"/>
      <c r="DM377" s="116"/>
      <c r="DN377" s="116"/>
      <c r="DO377" s="116"/>
      <c r="DP377" s="116"/>
      <c r="DQ377" s="116"/>
      <c r="DR377" s="116"/>
      <c r="DS377" s="116"/>
      <c r="DT377" s="116"/>
      <c r="DU377" s="116"/>
      <c r="DV377" s="116"/>
      <c r="DW377" s="116"/>
      <c r="DX377" s="116"/>
      <c r="DY377" s="116"/>
      <c r="DZ377" s="116"/>
      <c r="EA377" s="116"/>
      <c r="EB377" s="116"/>
    </row>
    <row r="378" spans="36:132" ht="12.75" hidden="1" customHeight="1">
      <c r="AJ378" s="116"/>
      <c r="AK378" s="116"/>
      <c r="AL378" s="116"/>
      <c r="AM378" s="116"/>
      <c r="AN378" s="116"/>
      <c r="AO378" s="116"/>
      <c r="AP378" s="116"/>
      <c r="AS378" s="116"/>
      <c r="AT378" s="116"/>
      <c r="BQ378" s="116"/>
      <c r="BR378" s="116"/>
      <c r="BS378" s="116"/>
      <c r="BT378" s="116"/>
      <c r="BU378" s="116"/>
      <c r="BV378" s="116"/>
      <c r="BW378" s="116"/>
      <c r="BX378" s="116"/>
      <c r="BY378" s="116"/>
      <c r="BZ378" s="116"/>
      <c r="CA378" s="116"/>
      <c r="CB378" s="116"/>
      <c r="CC378" s="116"/>
      <c r="CD378" s="116"/>
      <c r="CE378" s="116"/>
      <c r="CF378" s="116"/>
      <c r="CG378" s="116"/>
      <c r="CH378" s="116"/>
      <c r="CI378" s="116"/>
      <c r="CJ378" s="116"/>
      <c r="CK378" s="116"/>
      <c r="CL378" s="116"/>
      <c r="CM378" s="116"/>
      <c r="CN378" s="116"/>
      <c r="CO378" s="116"/>
      <c r="CP378" s="116"/>
      <c r="CQ378" s="116"/>
      <c r="CR378" s="116"/>
      <c r="CS378" s="116"/>
      <c r="CT378" s="116"/>
      <c r="CU378" s="116"/>
      <c r="CV378" s="116"/>
      <c r="CW378" s="116"/>
      <c r="CX378" s="116"/>
      <c r="CY378" s="116"/>
      <c r="CZ378" s="116"/>
      <c r="DA378" s="116"/>
      <c r="DB378" s="116"/>
      <c r="DC378" s="116"/>
      <c r="DD378" s="116"/>
      <c r="DE378" s="116"/>
      <c r="DF378" s="116"/>
      <c r="DG378" s="116"/>
      <c r="DH378" s="116"/>
      <c r="DI378" s="116"/>
      <c r="DJ378" s="116"/>
      <c r="DK378" s="116"/>
      <c r="DL378" s="116"/>
      <c r="DM378" s="116"/>
      <c r="DN378" s="116"/>
      <c r="DO378" s="116"/>
      <c r="DP378" s="116"/>
      <c r="DQ378" s="116"/>
      <c r="DR378" s="116"/>
      <c r="DS378" s="116"/>
      <c r="DT378" s="116"/>
      <c r="DU378" s="116"/>
      <c r="DV378" s="116"/>
      <c r="DW378" s="116"/>
      <c r="DX378" s="116"/>
      <c r="DY378" s="116"/>
      <c r="DZ378" s="116"/>
      <c r="EA378" s="116"/>
      <c r="EB378" s="116"/>
    </row>
    <row r="379" spans="36:132" ht="12.75" hidden="1" customHeight="1">
      <c r="AJ379" s="116"/>
      <c r="AK379" s="116"/>
      <c r="AL379" s="116"/>
      <c r="AM379" s="116"/>
      <c r="AN379" s="116"/>
      <c r="AO379" s="116"/>
      <c r="AP379" s="116"/>
      <c r="AS379" s="116"/>
      <c r="AT379" s="116"/>
      <c r="BQ379" s="116"/>
      <c r="BR379" s="116"/>
      <c r="BS379" s="116"/>
      <c r="BT379" s="116"/>
      <c r="BU379" s="116"/>
      <c r="BV379" s="116"/>
      <c r="BW379" s="116"/>
      <c r="BX379" s="116"/>
      <c r="BY379" s="116"/>
      <c r="BZ379" s="116"/>
      <c r="CA379" s="116"/>
      <c r="CB379" s="116"/>
      <c r="CC379" s="116"/>
      <c r="CD379" s="116"/>
      <c r="CE379" s="116"/>
      <c r="CF379" s="116"/>
      <c r="CG379" s="116"/>
      <c r="CH379" s="116"/>
      <c r="CI379" s="116"/>
      <c r="CJ379" s="116"/>
      <c r="CK379" s="116"/>
      <c r="CL379" s="116"/>
      <c r="CM379" s="116"/>
      <c r="CN379" s="116"/>
      <c r="CO379" s="116"/>
      <c r="CP379" s="116"/>
      <c r="CQ379" s="116"/>
      <c r="CR379" s="116"/>
      <c r="CS379" s="116"/>
      <c r="CT379" s="116"/>
      <c r="CU379" s="116"/>
      <c r="CV379" s="116"/>
      <c r="CW379" s="116"/>
      <c r="CX379" s="116"/>
      <c r="CY379" s="116"/>
      <c r="CZ379" s="116"/>
      <c r="DA379" s="116"/>
      <c r="DB379" s="116"/>
      <c r="DC379" s="116"/>
      <c r="DD379" s="116"/>
      <c r="DE379" s="116"/>
      <c r="DF379" s="116"/>
      <c r="DG379" s="116"/>
      <c r="DH379" s="116"/>
      <c r="DI379" s="116"/>
      <c r="DJ379" s="116"/>
      <c r="DK379" s="116"/>
      <c r="DL379" s="116"/>
      <c r="DM379" s="116"/>
      <c r="DN379" s="116"/>
      <c r="DO379" s="116"/>
      <c r="DP379" s="116"/>
      <c r="DQ379" s="116"/>
      <c r="DR379" s="116"/>
      <c r="DS379" s="116"/>
      <c r="DT379" s="116"/>
      <c r="DU379" s="116"/>
      <c r="DV379" s="116"/>
      <c r="DW379" s="116"/>
      <c r="DX379" s="116"/>
      <c r="DY379" s="116"/>
      <c r="DZ379" s="116"/>
      <c r="EA379" s="116"/>
      <c r="EB379" s="116"/>
    </row>
    <row r="380" spans="36:132" ht="12.75" hidden="1" customHeight="1">
      <c r="AJ380" s="116"/>
      <c r="AK380" s="116"/>
      <c r="AL380" s="116"/>
      <c r="AM380" s="116"/>
      <c r="AN380" s="116"/>
      <c r="AO380" s="116"/>
      <c r="AP380" s="116"/>
      <c r="AS380" s="116"/>
      <c r="AT380" s="116"/>
      <c r="BQ380" s="116"/>
      <c r="BR380" s="116"/>
      <c r="BS380" s="116"/>
      <c r="BT380" s="116"/>
      <c r="BU380" s="116"/>
      <c r="BV380" s="116"/>
      <c r="BW380" s="116"/>
      <c r="BX380" s="116"/>
      <c r="BY380" s="116"/>
      <c r="BZ380" s="116"/>
      <c r="CA380" s="116"/>
      <c r="CB380" s="116"/>
      <c r="CC380" s="116"/>
      <c r="CD380" s="116"/>
      <c r="CE380" s="116"/>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row>
    <row r="381" spans="36:132" ht="12.75" hidden="1" customHeight="1">
      <c r="AJ381" s="116"/>
      <c r="AK381" s="116"/>
      <c r="AL381" s="116"/>
      <c r="AM381" s="116"/>
      <c r="AN381" s="116"/>
      <c r="AO381" s="116"/>
      <c r="AP381" s="116"/>
      <c r="AS381" s="116"/>
      <c r="AT381" s="116"/>
      <c r="BQ381" s="116"/>
      <c r="BR381" s="116"/>
      <c r="BS381" s="116"/>
      <c r="BT381" s="116"/>
      <c r="BU381" s="116"/>
      <c r="BV381" s="116"/>
      <c r="BW381" s="116"/>
      <c r="BX381" s="116"/>
      <c r="BY381" s="116"/>
      <c r="BZ381" s="116"/>
      <c r="CA381" s="116"/>
      <c r="CB381" s="116"/>
      <c r="CC381" s="116"/>
      <c r="CD381" s="116"/>
      <c r="CE381" s="116"/>
      <c r="CF381" s="116"/>
      <c r="CG381" s="116"/>
      <c r="CH381" s="116"/>
      <c r="CI381" s="116"/>
      <c r="CJ381" s="116"/>
      <c r="CK381" s="116"/>
      <c r="CL381" s="116"/>
      <c r="CM381" s="116"/>
      <c r="CN381" s="116"/>
      <c r="CO381" s="116"/>
      <c r="CP381" s="116"/>
      <c r="CQ381" s="116"/>
      <c r="CR381" s="116"/>
      <c r="CS381" s="116"/>
      <c r="CT381" s="116"/>
      <c r="CU381" s="116"/>
      <c r="CV381" s="116"/>
      <c r="CW381" s="116"/>
      <c r="CX381" s="116"/>
      <c r="CY381" s="116"/>
      <c r="CZ381" s="116"/>
      <c r="DA381" s="116"/>
      <c r="DB381" s="116"/>
      <c r="DC381" s="116"/>
      <c r="DD381" s="116"/>
      <c r="DE381" s="116"/>
      <c r="DF381" s="116"/>
      <c r="DG381" s="116"/>
      <c r="DH381" s="116"/>
      <c r="DI381" s="116"/>
      <c r="DJ381" s="116"/>
      <c r="DK381" s="116"/>
      <c r="DL381" s="116"/>
      <c r="DM381" s="116"/>
      <c r="DN381" s="116"/>
      <c r="DO381" s="116"/>
      <c r="DP381" s="116"/>
      <c r="DQ381" s="116"/>
      <c r="DR381" s="116"/>
      <c r="DS381" s="116"/>
      <c r="DT381" s="116"/>
      <c r="DU381" s="116"/>
      <c r="DV381" s="116"/>
      <c r="DW381" s="116"/>
      <c r="DX381" s="116"/>
      <c r="DY381" s="116"/>
      <c r="DZ381" s="116"/>
      <c r="EA381" s="116"/>
      <c r="EB381" s="116"/>
    </row>
    <row r="382" spans="36:132" ht="12.75" hidden="1" customHeight="1">
      <c r="AJ382" s="116"/>
      <c r="AK382" s="116"/>
      <c r="AL382" s="116"/>
      <c r="AM382" s="116"/>
      <c r="AN382" s="116"/>
      <c r="AO382" s="116"/>
      <c r="AP382" s="116"/>
      <c r="AS382" s="116"/>
      <c r="AT382" s="116"/>
      <c r="BQ382" s="116"/>
      <c r="BR382" s="116"/>
      <c r="BS382" s="116"/>
      <c r="BT382" s="116"/>
      <c r="BU382" s="116"/>
      <c r="BV382" s="116"/>
      <c r="BW382" s="116"/>
      <c r="BX382" s="116"/>
      <c r="BY382" s="116"/>
      <c r="BZ382" s="116"/>
      <c r="CA382" s="116"/>
      <c r="CB382" s="116"/>
      <c r="CC382" s="116"/>
      <c r="CD382" s="116"/>
      <c r="CE382" s="116"/>
      <c r="CF382" s="116"/>
      <c r="CG382" s="116"/>
      <c r="CH382" s="116"/>
      <c r="CI382" s="116"/>
      <c r="CJ382" s="116"/>
      <c r="CK382" s="116"/>
      <c r="CL382" s="116"/>
      <c r="CM382" s="116"/>
      <c r="CN382" s="116"/>
      <c r="CO382" s="116"/>
      <c r="CP382" s="116"/>
      <c r="CQ382" s="116"/>
      <c r="CR382" s="116"/>
      <c r="CS382" s="116"/>
      <c r="CT382" s="116"/>
      <c r="CU382" s="116"/>
      <c r="CV382" s="116"/>
      <c r="CW382" s="116"/>
      <c r="CX382" s="116"/>
      <c r="CY382" s="116"/>
      <c r="CZ382" s="116"/>
      <c r="DA382" s="116"/>
      <c r="DB382" s="116"/>
      <c r="DC382" s="116"/>
      <c r="DD382" s="116"/>
      <c r="DE382" s="116"/>
      <c r="DF382" s="116"/>
      <c r="DG382" s="116"/>
      <c r="DH382" s="116"/>
      <c r="DI382" s="116"/>
      <c r="DJ382" s="116"/>
      <c r="DK382" s="116"/>
      <c r="DL382" s="116"/>
      <c r="DM382" s="116"/>
      <c r="DN382" s="116"/>
      <c r="DO382" s="116"/>
      <c r="DP382" s="116"/>
      <c r="DQ382" s="116"/>
      <c r="DR382" s="116"/>
      <c r="DS382" s="116"/>
      <c r="DT382" s="116"/>
      <c r="DU382" s="116"/>
      <c r="DV382" s="116"/>
      <c r="DW382" s="116"/>
      <c r="DX382" s="116"/>
      <c r="DY382" s="116"/>
      <c r="DZ382" s="116"/>
      <c r="EA382" s="116"/>
      <c r="EB382" s="116"/>
    </row>
    <row r="383" spans="36:132" ht="12.75" hidden="1" customHeight="1">
      <c r="AJ383" s="116"/>
      <c r="AK383" s="116"/>
      <c r="AL383" s="116"/>
      <c r="AM383" s="116"/>
      <c r="AN383" s="116"/>
      <c r="AO383" s="116"/>
      <c r="AP383" s="116"/>
      <c r="AS383" s="116"/>
      <c r="AT383" s="116"/>
      <c r="BQ383" s="116"/>
      <c r="BR383" s="116"/>
      <c r="BS383" s="116"/>
      <c r="BT383" s="116"/>
      <c r="BU383" s="116"/>
      <c r="BV383" s="116"/>
      <c r="BW383" s="116"/>
      <c r="BX383" s="116"/>
      <c r="BY383" s="116"/>
      <c r="BZ383" s="116"/>
      <c r="CA383" s="116"/>
      <c r="CB383" s="116"/>
      <c r="CC383" s="116"/>
      <c r="CD383" s="116"/>
      <c r="CE383" s="116"/>
      <c r="CF383" s="116"/>
      <c r="CG383" s="116"/>
      <c r="CH383" s="116"/>
      <c r="CI383" s="116"/>
      <c r="CJ383" s="116"/>
      <c r="CK383" s="116"/>
      <c r="CL383" s="116"/>
      <c r="CM383" s="116"/>
      <c r="CN383" s="116"/>
      <c r="CO383" s="116"/>
      <c r="CP383" s="116"/>
      <c r="CQ383" s="116"/>
      <c r="CR383" s="116"/>
      <c r="CS383" s="116"/>
      <c r="CT383" s="116"/>
      <c r="CU383" s="116"/>
      <c r="CV383" s="116"/>
      <c r="CW383" s="116"/>
      <c r="CX383" s="116"/>
      <c r="CY383" s="116"/>
      <c r="CZ383" s="116"/>
      <c r="DA383" s="116"/>
      <c r="DB383" s="116"/>
      <c r="DC383" s="116"/>
      <c r="DD383" s="116"/>
      <c r="DE383" s="116"/>
      <c r="DF383" s="116"/>
      <c r="DG383" s="116"/>
      <c r="DH383" s="116"/>
      <c r="DI383" s="116"/>
      <c r="DJ383" s="116"/>
      <c r="DK383" s="116"/>
      <c r="DL383" s="116"/>
      <c r="DM383" s="116"/>
      <c r="DN383" s="116"/>
      <c r="DO383" s="116"/>
      <c r="DP383" s="116"/>
      <c r="DQ383" s="116"/>
      <c r="DR383" s="116"/>
      <c r="DS383" s="116"/>
      <c r="DT383" s="116"/>
      <c r="DU383" s="116"/>
      <c r="DV383" s="116"/>
      <c r="DW383" s="116"/>
      <c r="DX383" s="116"/>
      <c r="DY383" s="116"/>
      <c r="DZ383" s="116"/>
      <c r="EA383" s="116"/>
      <c r="EB383" s="116"/>
    </row>
    <row r="384" spans="36:132" ht="12.75" hidden="1" customHeight="1">
      <c r="AJ384" s="116"/>
      <c r="AK384" s="116"/>
      <c r="AL384" s="116"/>
      <c r="AM384" s="116"/>
      <c r="AN384" s="116"/>
      <c r="AO384" s="116"/>
      <c r="AP384" s="116"/>
      <c r="AS384" s="116"/>
      <c r="AT384" s="116"/>
      <c r="BQ384" s="116"/>
      <c r="BR384" s="116"/>
      <c r="BS384" s="116"/>
      <c r="BT384" s="116"/>
      <c r="BU384" s="116"/>
      <c r="BV384" s="116"/>
      <c r="BW384" s="116"/>
      <c r="BX384" s="116"/>
      <c r="BY384" s="116"/>
      <c r="BZ384" s="116"/>
      <c r="CA384" s="116"/>
      <c r="CB384" s="116"/>
      <c r="CC384" s="116"/>
      <c r="CD384" s="116"/>
      <c r="CE384" s="116"/>
      <c r="CF384" s="116"/>
      <c r="CG384" s="116"/>
      <c r="CH384" s="116"/>
      <c r="CI384" s="116"/>
      <c r="CJ384" s="116"/>
      <c r="CK384" s="116"/>
      <c r="CL384" s="116"/>
      <c r="CM384" s="116"/>
      <c r="CN384" s="116"/>
      <c r="CO384" s="116"/>
      <c r="CP384" s="116"/>
      <c r="CQ384" s="116"/>
      <c r="CR384" s="116"/>
      <c r="CS384" s="116"/>
      <c r="CT384" s="116"/>
      <c r="CU384" s="116"/>
      <c r="CV384" s="116"/>
      <c r="CW384" s="116"/>
      <c r="CX384" s="116"/>
      <c r="CY384" s="116"/>
      <c r="CZ384" s="116"/>
      <c r="DA384" s="116"/>
      <c r="DB384" s="116"/>
      <c r="DC384" s="116"/>
      <c r="DD384" s="116"/>
      <c r="DE384" s="116"/>
      <c r="DF384" s="116"/>
      <c r="DG384" s="116"/>
      <c r="DH384" s="116"/>
      <c r="DI384" s="116"/>
      <c r="DJ384" s="116"/>
      <c r="DK384" s="116"/>
      <c r="DL384" s="116"/>
      <c r="DM384" s="116"/>
      <c r="DN384" s="116"/>
      <c r="DO384" s="116"/>
      <c r="DP384" s="116"/>
      <c r="DQ384" s="116"/>
      <c r="DR384" s="116"/>
      <c r="DS384" s="116"/>
      <c r="DT384" s="116"/>
      <c r="DU384" s="116"/>
      <c r="DV384" s="116"/>
      <c r="DW384" s="116"/>
      <c r="DX384" s="116"/>
      <c r="DY384" s="116"/>
      <c r="DZ384" s="116"/>
      <c r="EA384" s="116"/>
      <c r="EB384" s="116"/>
    </row>
    <row r="385" spans="36:132" ht="12.75" hidden="1" customHeight="1">
      <c r="AJ385" s="116"/>
      <c r="AK385" s="116"/>
      <c r="AL385" s="116"/>
      <c r="AM385" s="116"/>
      <c r="AN385" s="116"/>
      <c r="AO385" s="116"/>
      <c r="AP385" s="116"/>
      <c r="AS385" s="116"/>
      <c r="AT385" s="116"/>
      <c r="BQ385" s="116"/>
      <c r="BR385" s="116"/>
      <c r="BS385" s="116"/>
      <c r="BT385" s="116"/>
      <c r="BU385" s="116"/>
      <c r="BV385" s="116"/>
      <c r="BW385" s="116"/>
      <c r="BX385" s="116"/>
      <c r="BY385" s="116"/>
      <c r="BZ385" s="116"/>
      <c r="CA385" s="116"/>
      <c r="CB385" s="116"/>
      <c r="CC385" s="116"/>
      <c r="CD385" s="116"/>
      <c r="CE385" s="116"/>
      <c r="CF385" s="116"/>
      <c r="CG385" s="116"/>
      <c r="CH385" s="116"/>
      <c r="CI385" s="116"/>
      <c r="CJ385" s="116"/>
      <c r="CK385" s="116"/>
      <c r="CL385" s="116"/>
      <c r="CM385" s="116"/>
      <c r="CN385" s="116"/>
      <c r="CO385" s="116"/>
      <c r="CP385" s="116"/>
      <c r="CQ385" s="116"/>
      <c r="CR385" s="116"/>
      <c r="CS385" s="116"/>
      <c r="CT385" s="116"/>
      <c r="CU385" s="116"/>
      <c r="CV385" s="116"/>
      <c r="CW385" s="116"/>
      <c r="CX385" s="116"/>
      <c r="CY385" s="116"/>
      <c r="CZ385" s="116"/>
      <c r="DA385" s="116"/>
      <c r="DB385" s="116"/>
      <c r="DC385" s="116"/>
      <c r="DD385" s="116"/>
      <c r="DE385" s="116"/>
      <c r="DF385" s="116"/>
      <c r="DG385" s="116"/>
      <c r="DH385" s="116"/>
      <c r="DI385" s="116"/>
      <c r="DJ385" s="116"/>
      <c r="DK385" s="116"/>
      <c r="DL385" s="116"/>
      <c r="DM385" s="116"/>
      <c r="DN385" s="116"/>
      <c r="DO385" s="116"/>
      <c r="DP385" s="116"/>
      <c r="DQ385" s="116"/>
      <c r="DR385" s="116"/>
      <c r="DS385" s="116"/>
      <c r="DT385" s="116"/>
      <c r="DU385" s="116"/>
      <c r="DV385" s="116"/>
      <c r="DW385" s="116"/>
      <c r="DX385" s="116"/>
      <c r="DY385" s="116"/>
      <c r="DZ385" s="116"/>
      <c r="EA385" s="116"/>
      <c r="EB385" s="116"/>
    </row>
    <row r="386" spans="36:132" ht="12.75" hidden="1" customHeight="1">
      <c r="AJ386" s="116"/>
      <c r="AK386" s="116"/>
      <c r="AL386" s="116"/>
      <c r="AM386" s="116"/>
      <c r="AN386" s="116"/>
      <c r="AO386" s="116"/>
      <c r="AP386" s="116"/>
      <c r="AS386" s="116"/>
      <c r="AT386" s="116"/>
      <c r="BQ386" s="116"/>
      <c r="BR386" s="116"/>
      <c r="BS386" s="116"/>
      <c r="BT386" s="116"/>
      <c r="BU386" s="116"/>
      <c r="BV386" s="116"/>
      <c r="BW386" s="116"/>
      <c r="BX386" s="116"/>
      <c r="BY386" s="116"/>
      <c r="BZ386" s="116"/>
      <c r="CA386" s="116"/>
      <c r="CB386" s="116"/>
      <c r="CC386" s="116"/>
      <c r="CD386" s="116"/>
      <c r="CE386" s="116"/>
      <c r="CF386" s="116"/>
      <c r="CG386" s="116"/>
      <c r="CH386" s="116"/>
      <c r="CI386" s="116"/>
      <c r="CJ386" s="116"/>
      <c r="CK386" s="116"/>
      <c r="CL386" s="116"/>
      <c r="CM386" s="116"/>
      <c r="CN386" s="116"/>
      <c r="CO386" s="116"/>
      <c r="CP386" s="116"/>
      <c r="CQ386" s="116"/>
      <c r="CR386" s="116"/>
      <c r="CS386" s="116"/>
      <c r="CT386" s="116"/>
      <c r="CU386" s="116"/>
      <c r="CV386" s="116"/>
      <c r="CW386" s="116"/>
      <c r="CX386" s="116"/>
      <c r="CY386" s="116"/>
      <c r="CZ386" s="116"/>
      <c r="DA386" s="116"/>
      <c r="DB386" s="116"/>
      <c r="DC386" s="116"/>
      <c r="DD386" s="116"/>
      <c r="DE386" s="116"/>
      <c r="DF386" s="116"/>
      <c r="DG386" s="116"/>
      <c r="DH386" s="116"/>
      <c r="DI386" s="116"/>
      <c r="DJ386" s="116"/>
      <c r="DK386" s="116"/>
      <c r="DL386" s="116"/>
      <c r="DM386" s="116"/>
      <c r="DN386" s="116"/>
      <c r="DO386" s="116"/>
      <c r="DP386" s="116"/>
      <c r="DQ386" s="116"/>
      <c r="DR386" s="116"/>
      <c r="DS386" s="116"/>
      <c r="DT386" s="116"/>
      <c r="DU386" s="116"/>
      <c r="DV386" s="116"/>
      <c r="DW386" s="116"/>
      <c r="DX386" s="116"/>
      <c r="DY386" s="116"/>
      <c r="DZ386" s="116"/>
      <c r="EA386" s="116"/>
      <c r="EB386" s="116"/>
    </row>
    <row r="387" spans="36:132" ht="12.75" hidden="1" customHeight="1">
      <c r="AJ387" s="116"/>
      <c r="AK387" s="116"/>
      <c r="AL387" s="116"/>
      <c r="AM387" s="116"/>
      <c r="AN387" s="116"/>
      <c r="AO387" s="116"/>
      <c r="AP387" s="116"/>
      <c r="AS387" s="116"/>
      <c r="AT387" s="116"/>
      <c r="BQ387" s="116"/>
      <c r="BR387" s="116"/>
      <c r="BS387" s="116"/>
      <c r="BT387" s="116"/>
      <c r="BU387" s="116"/>
      <c r="BV387" s="116"/>
      <c r="BW387" s="116"/>
      <c r="BX387" s="116"/>
      <c r="BY387" s="116"/>
      <c r="BZ387" s="116"/>
      <c r="CA387" s="116"/>
      <c r="CB387" s="116"/>
      <c r="CC387" s="116"/>
      <c r="CD387" s="116"/>
      <c r="CE387" s="116"/>
      <c r="CF387" s="116"/>
      <c r="CG387" s="116"/>
      <c r="CH387" s="116"/>
      <c r="CI387" s="116"/>
      <c r="CJ387" s="116"/>
      <c r="CK387" s="116"/>
      <c r="CL387" s="116"/>
      <c r="CM387" s="116"/>
      <c r="CN387" s="116"/>
      <c r="CO387" s="116"/>
      <c r="CP387" s="116"/>
      <c r="CQ387" s="116"/>
      <c r="CR387" s="116"/>
      <c r="CS387" s="116"/>
      <c r="CT387" s="116"/>
      <c r="CU387" s="116"/>
      <c r="CV387" s="116"/>
      <c r="CW387" s="116"/>
      <c r="CX387" s="116"/>
      <c r="CY387" s="116"/>
      <c r="CZ387" s="116"/>
      <c r="DA387" s="116"/>
      <c r="DB387" s="116"/>
      <c r="DC387" s="116"/>
      <c r="DD387" s="116"/>
      <c r="DE387" s="116"/>
      <c r="DF387" s="116"/>
      <c r="DG387" s="116"/>
      <c r="DH387" s="116"/>
      <c r="DI387" s="116"/>
      <c r="DJ387" s="116"/>
      <c r="DK387" s="116"/>
      <c r="DL387" s="116"/>
      <c r="DM387" s="116"/>
      <c r="DN387" s="116"/>
      <c r="DO387" s="116"/>
      <c r="DP387" s="116"/>
      <c r="DQ387" s="116"/>
      <c r="DR387" s="116"/>
      <c r="DS387" s="116"/>
      <c r="DT387" s="116"/>
      <c r="DU387" s="116"/>
      <c r="DV387" s="116"/>
      <c r="DW387" s="116"/>
      <c r="DX387" s="116"/>
      <c r="DY387" s="116"/>
      <c r="DZ387" s="116"/>
      <c r="EA387" s="116"/>
      <c r="EB387" s="116"/>
    </row>
    <row r="388" spans="36:132" ht="12.75" hidden="1" customHeight="1">
      <c r="AJ388" s="116"/>
      <c r="AK388" s="116"/>
      <c r="AL388" s="116"/>
      <c r="AM388" s="116"/>
      <c r="AN388" s="116"/>
      <c r="AO388" s="116"/>
      <c r="AP388" s="116"/>
      <c r="AS388" s="116"/>
      <c r="AT388" s="116"/>
      <c r="BQ388" s="116"/>
      <c r="BR388" s="116"/>
      <c r="BS388" s="116"/>
      <c r="BT388" s="116"/>
      <c r="BU388" s="116"/>
      <c r="BV388" s="116"/>
      <c r="BW388" s="116"/>
      <c r="BX388" s="116"/>
      <c r="BY388" s="116"/>
      <c r="BZ388" s="116"/>
      <c r="CA388" s="116"/>
      <c r="CB388" s="116"/>
      <c r="CC388" s="116"/>
      <c r="CD388" s="116"/>
      <c r="CE388" s="116"/>
      <c r="CF388" s="116"/>
      <c r="CG388" s="116"/>
      <c r="CH388" s="116"/>
      <c r="CI388" s="116"/>
      <c r="CJ388" s="116"/>
      <c r="CK388" s="116"/>
      <c r="CL388" s="116"/>
      <c r="CM388" s="116"/>
      <c r="CN388" s="116"/>
      <c r="CO388" s="116"/>
      <c r="CP388" s="116"/>
      <c r="CQ388" s="116"/>
      <c r="CR388" s="116"/>
      <c r="CS388" s="116"/>
      <c r="CT388" s="116"/>
      <c r="CU388" s="116"/>
      <c r="CV388" s="116"/>
      <c r="CW388" s="116"/>
      <c r="CX388" s="116"/>
      <c r="CY388" s="116"/>
      <c r="CZ388" s="116"/>
      <c r="DA388" s="116"/>
      <c r="DB388" s="116"/>
      <c r="DC388" s="116"/>
      <c r="DD388" s="116"/>
      <c r="DE388" s="116"/>
      <c r="DF388" s="116"/>
      <c r="DG388" s="116"/>
      <c r="DH388" s="116"/>
      <c r="DI388" s="116"/>
      <c r="DJ388" s="116"/>
      <c r="DK388" s="116"/>
      <c r="DL388" s="116"/>
      <c r="DM388" s="116"/>
      <c r="DN388" s="116"/>
      <c r="DO388" s="116"/>
      <c r="DP388" s="116"/>
      <c r="DQ388" s="116"/>
      <c r="DR388" s="116"/>
      <c r="DS388" s="116"/>
      <c r="DT388" s="116"/>
      <c r="DU388" s="116"/>
      <c r="DV388" s="116"/>
      <c r="DW388" s="116"/>
      <c r="DX388" s="116"/>
      <c r="DY388" s="116"/>
      <c r="DZ388" s="116"/>
      <c r="EA388" s="116"/>
      <c r="EB388" s="116"/>
    </row>
    <row r="389" spans="36:132" ht="12.75" hidden="1" customHeight="1">
      <c r="AJ389" s="116"/>
      <c r="AK389" s="116"/>
      <c r="AL389" s="116"/>
      <c r="AM389" s="116"/>
      <c r="AN389" s="116"/>
      <c r="AO389" s="116"/>
      <c r="AP389" s="116"/>
      <c r="AS389" s="116"/>
      <c r="AT389" s="116"/>
      <c r="BQ389" s="116"/>
      <c r="BR389" s="116"/>
      <c r="BS389" s="116"/>
      <c r="BT389" s="116"/>
      <c r="BU389" s="116"/>
      <c r="BV389" s="116"/>
      <c r="BW389" s="116"/>
      <c r="BX389" s="116"/>
      <c r="BY389" s="116"/>
      <c r="BZ389" s="116"/>
      <c r="CA389" s="116"/>
      <c r="CB389" s="116"/>
      <c r="CC389" s="116"/>
      <c r="CD389" s="116"/>
      <c r="CE389" s="116"/>
      <c r="CF389" s="116"/>
      <c r="CG389" s="116"/>
      <c r="CH389" s="116"/>
      <c r="CI389" s="116"/>
      <c r="CJ389" s="116"/>
      <c r="CK389" s="116"/>
      <c r="CL389" s="116"/>
      <c r="CM389" s="116"/>
      <c r="CN389" s="116"/>
      <c r="CO389" s="116"/>
      <c r="CP389" s="116"/>
      <c r="CQ389" s="116"/>
      <c r="CR389" s="116"/>
      <c r="CS389" s="116"/>
      <c r="CT389" s="116"/>
      <c r="CU389" s="116"/>
      <c r="CV389" s="116"/>
      <c r="CW389" s="116"/>
      <c r="CX389" s="116"/>
      <c r="CY389" s="116"/>
      <c r="CZ389" s="116"/>
      <c r="DA389" s="116"/>
      <c r="DB389" s="116"/>
      <c r="DC389" s="116"/>
      <c r="DD389" s="116"/>
      <c r="DE389" s="116"/>
      <c r="DF389" s="116"/>
      <c r="DG389" s="116"/>
      <c r="DH389" s="116"/>
      <c r="DI389" s="116"/>
      <c r="DJ389" s="116"/>
      <c r="DK389" s="116"/>
      <c r="DL389" s="116"/>
      <c r="DM389" s="116"/>
      <c r="DN389" s="116"/>
      <c r="DO389" s="116"/>
      <c r="DP389" s="116"/>
      <c r="DQ389" s="116"/>
      <c r="DR389" s="116"/>
      <c r="DS389" s="116"/>
      <c r="DT389" s="116"/>
      <c r="DU389" s="116"/>
      <c r="DV389" s="116"/>
      <c r="DW389" s="116"/>
      <c r="DX389" s="116"/>
      <c r="DY389" s="116"/>
      <c r="DZ389" s="116"/>
      <c r="EA389" s="116"/>
      <c r="EB389" s="116"/>
    </row>
    <row r="390" spans="36:132" ht="12.75" hidden="1" customHeight="1">
      <c r="AJ390" s="116"/>
      <c r="AK390" s="116"/>
      <c r="AL390" s="116"/>
      <c r="AM390" s="116"/>
      <c r="AN390" s="116"/>
      <c r="AO390" s="116"/>
      <c r="AP390" s="116"/>
      <c r="AS390" s="116"/>
      <c r="AT390" s="116"/>
      <c r="BQ390" s="116"/>
      <c r="BR390" s="116"/>
      <c r="BS390" s="116"/>
      <c r="BT390" s="116"/>
      <c r="BU390" s="116"/>
      <c r="BV390" s="116"/>
      <c r="BW390" s="116"/>
      <c r="BX390" s="116"/>
      <c r="BY390" s="116"/>
      <c r="BZ390" s="116"/>
      <c r="CA390" s="116"/>
      <c r="CB390" s="116"/>
      <c r="CC390" s="116"/>
      <c r="CD390" s="116"/>
      <c r="CE390" s="116"/>
      <c r="CF390" s="116"/>
      <c r="CG390" s="116"/>
      <c r="CH390" s="116"/>
      <c r="CI390" s="116"/>
      <c r="CJ390" s="116"/>
      <c r="CK390" s="116"/>
      <c r="CL390" s="116"/>
      <c r="CM390" s="116"/>
      <c r="CN390" s="116"/>
      <c r="CO390" s="116"/>
      <c r="CP390" s="116"/>
      <c r="CQ390" s="116"/>
      <c r="CR390" s="116"/>
      <c r="CS390" s="116"/>
      <c r="CT390" s="116"/>
      <c r="CU390" s="116"/>
      <c r="CV390" s="116"/>
      <c r="CW390" s="116"/>
      <c r="CX390" s="116"/>
      <c r="CY390" s="116"/>
      <c r="CZ390" s="116"/>
      <c r="DA390" s="116"/>
      <c r="DB390" s="116"/>
      <c r="DC390" s="116"/>
      <c r="DD390" s="116"/>
      <c r="DE390" s="116"/>
      <c r="DF390" s="116"/>
      <c r="DG390" s="116"/>
      <c r="DH390" s="116"/>
      <c r="DI390" s="116"/>
      <c r="DJ390" s="116"/>
      <c r="DK390" s="116"/>
      <c r="DL390" s="116"/>
      <c r="DM390" s="116"/>
      <c r="DN390" s="116"/>
      <c r="DO390" s="116"/>
      <c r="DP390" s="116"/>
      <c r="DQ390" s="116"/>
      <c r="DR390" s="116"/>
      <c r="DS390" s="116"/>
      <c r="DT390" s="116"/>
      <c r="DU390" s="116"/>
      <c r="DV390" s="116"/>
      <c r="DW390" s="116"/>
      <c r="DX390" s="116"/>
      <c r="DY390" s="116"/>
      <c r="DZ390" s="116"/>
      <c r="EA390" s="116"/>
      <c r="EB390" s="116"/>
    </row>
    <row r="391" spans="36:132" ht="12.75" hidden="1" customHeight="1">
      <c r="AJ391" s="116"/>
      <c r="AK391" s="116"/>
      <c r="AL391" s="116"/>
      <c r="AM391" s="116"/>
      <c r="AN391" s="116"/>
      <c r="AO391" s="116"/>
      <c r="AP391" s="116"/>
      <c r="AS391" s="116"/>
      <c r="AT391" s="116"/>
      <c r="BQ391" s="116"/>
      <c r="BR391" s="116"/>
      <c r="BS391" s="116"/>
      <c r="BT391" s="116"/>
      <c r="BU391" s="116"/>
      <c r="BV391" s="116"/>
      <c r="BW391" s="116"/>
      <c r="BX391" s="116"/>
      <c r="BY391" s="116"/>
      <c r="BZ391" s="116"/>
      <c r="CA391" s="116"/>
      <c r="CB391" s="116"/>
      <c r="CC391" s="116"/>
      <c r="CD391" s="116"/>
      <c r="CE391" s="116"/>
      <c r="CF391" s="116"/>
      <c r="CG391" s="116"/>
      <c r="CH391" s="116"/>
      <c r="CI391" s="116"/>
      <c r="CJ391" s="116"/>
      <c r="CK391" s="116"/>
      <c r="CL391" s="116"/>
      <c r="CM391" s="116"/>
      <c r="CN391" s="116"/>
      <c r="CO391" s="116"/>
      <c r="CP391" s="116"/>
      <c r="CQ391" s="116"/>
      <c r="CR391" s="116"/>
      <c r="CS391" s="116"/>
      <c r="CT391" s="116"/>
      <c r="CU391" s="116"/>
      <c r="CV391" s="116"/>
      <c r="CW391" s="116"/>
      <c r="CX391" s="116"/>
      <c r="CY391" s="116"/>
      <c r="CZ391" s="116"/>
      <c r="DA391" s="116"/>
      <c r="DB391" s="116"/>
      <c r="DC391" s="116"/>
      <c r="DD391" s="116"/>
      <c r="DE391" s="116"/>
      <c r="DF391" s="116"/>
      <c r="DG391" s="116"/>
      <c r="DH391" s="116"/>
      <c r="DI391" s="116"/>
      <c r="DJ391" s="116"/>
      <c r="DK391" s="116"/>
      <c r="DL391" s="116"/>
      <c r="DM391" s="116"/>
      <c r="DN391" s="116"/>
      <c r="DO391" s="116"/>
      <c r="DP391" s="116"/>
      <c r="DQ391" s="116"/>
      <c r="DR391" s="116"/>
      <c r="DS391" s="116"/>
      <c r="DT391" s="116"/>
      <c r="DU391" s="116"/>
      <c r="DV391" s="116"/>
      <c r="DW391" s="116"/>
      <c r="DX391" s="116"/>
      <c r="DY391" s="116"/>
      <c r="DZ391" s="116"/>
      <c r="EA391" s="116"/>
      <c r="EB391" s="116"/>
    </row>
    <row r="392" spans="36:132" ht="12.75" hidden="1" customHeight="1">
      <c r="AJ392" s="116"/>
      <c r="AK392" s="116"/>
      <c r="AL392" s="116"/>
      <c r="AM392" s="116"/>
      <c r="AN392" s="116"/>
      <c r="AO392" s="116"/>
      <c r="AP392" s="116"/>
      <c r="AS392" s="116"/>
      <c r="AT392" s="116"/>
      <c r="BQ392" s="116"/>
      <c r="BR392" s="116"/>
      <c r="BS392" s="116"/>
      <c r="BT392" s="116"/>
      <c r="BU392" s="116"/>
      <c r="BV392" s="116"/>
      <c r="BW392" s="116"/>
      <c r="BX392" s="116"/>
      <c r="BY392" s="116"/>
      <c r="BZ392" s="116"/>
      <c r="CA392" s="116"/>
      <c r="CB392" s="116"/>
      <c r="CC392" s="116"/>
      <c r="CD392" s="116"/>
      <c r="CE392" s="116"/>
      <c r="CF392" s="116"/>
      <c r="CG392" s="116"/>
      <c r="CH392" s="116"/>
      <c r="CI392" s="116"/>
      <c r="CJ392" s="116"/>
      <c r="CK392" s="116"/>
      <c r="CL392" s="116"/>
      <c r="CM392" s="116"/>
      <c r="CN392" s="116"/>
      <c r="CO392" s="116"/>
      <c r="CP392" s="116"/>
      <c r="CQ392" s="116"/>
      <c r="CR392" s="116"/>
      <c r="CS392" s="116"/>
      <c r="CT392" s="116"/>
      <c r="CU392" s="116"/>
      <c r="CV392" s="116"/>
      <c r="CW392" s="116"/>
      <c r="CX392" s="116"/>
      <c r="CY392" s="116"/>
      <c r="CZ392" s="116"/>
      <c r="DA392" s="116"/>
      <c r="DB392" s="116"/>
      <c r="DC392" s="116"/>
      <c r="DD392" s="116"/>
      <c r="DE392" s="116"/>
      <c r="DF392" s="116"/>
      <c r="DG392" s="116"/>
      <c r="DH392" s="116"/>
      <c r="DI392" s="116"/>
      <c r="DJ392" s="116"/>
      <c r="DK392" s="116"/>
      <c r="DL392" s="116"/>
      <c r="DM392" s="116"/>
      <c r="DN392" s="116"/>
      <c r="DO392" s="116"/>
      <c r="DP392" s="116"/>
      <c r="DQ392" s="116"/>
      <c r="DR392" s="116"/>
      <c r="DS392" s="116"/>
      <c r="DT392" s="116"/>
      <c r="DU392" s="116"/>
      <c r="DV392" s="116"/>
      <c r="DW392" s="116"/>
      <c r="DX392" s="116"/>
      <c r="DY392" s="116"/>
      <c r="DZ392" s="116"/>
      <c r="EA392" s="116"/>
      <c r="EB392" s="116"/>
    </row>
    <row r="393" spans="36:132" ht="12.75" hidden="1" customHeight="1">
      <c r="AJ393" s="116"/>
      <c r="AK393" s="116"/>
      <c r="AL393" s="116"/>
      <c r="AM393" s="116"/>
      <c r="AN393" s="116"/>
      <c r="AO393" s="116"/>
      <c r="AP393" s="116"/>
      <c r="AS393" s="116"/>
      <c r="AT393" s="116"/>
      <c r="BQ393" s="116"/>
      <c r="BR393" s="116"/>
      <c r="BS393" s="116"/>
      <c r="BT393" s="116"/>
      <c r="BU393" s="116"/>
      <c r="BV393" s="116"/>
      <c r="BW393" s="116"/>
      <c r="BX393" s="116"/>
      <c r="BY393" s="116"/>
      <c r="BZ393" s="116"/>
      <c r="CA393" s="116"/>
      <c r="CB393" s="116"/>
      <c r="CC393" s="116"/>
      <c r="CD393" s="116"/>
      <c r="CE393" s="116"/>
      <c r="CF393" s="116"/>
      <c r="CG393" s="116"/>
      <c r="CH393" s="116"/>
      <c r="CI393" s="116"/>
      <c r="CJ393" s="116"/>
      <c r="CK393" s="116"/>
      <c r="CL393" s="116"/>
      <c r="CM393" s="116"/>
      <c r="CN393" s="116"/>
      <c r="CO393" s="116"/>
      <c r="CP393" s="116"/>
      <c r="CQ393" s="116"/>
      <c r="CR393" s="116"/>
      <c r="CS393" s="116"/>
      <c r="CT393" s="116"/>
      <c r="CU393" s="116"/>
      <c r="CV393" s="116"/>
      <c r="CW393" s="116"/>
      <c r="CX393" s="116"/>
      <c r="CY393" s="116"/>
      <c r="CZ393" s="116"/>
      <c r="DA393" s="116"/>
      <c r="DB393" s="116"/>
      <c r="DC393" s="116"/>
      <c r="DD393" s="116"/>
      <c r="DE393" s="116"/>
      <c r="DF393" s="116"/>
      <c r="DG393" s="116"/>
      <c r="DH393" s="116"/>
      <c r="DI393" s="116"/>
      <c r="DJ393" s="116"/>
      <c r="DK393" s="116"/>
      <c r="DL393" s="116"/>
      <c r="DM393" s="116"/>
      <c r="DN393" s="116"/>
      <c r="DO393" s="116"/>
      <c r="DP393" s="116"/>
      <c r="DQ393" s="116"/>
      <c r="DR393" s="116"/>
      <c r="DS393" s="116"/>
      <c r="DT393" s="116"/>
      <c r="DU393" s="116"/>
      <c r="DV393" s="116"/>
      <c r="DW393" s="116"/>
      <c r="DX393" s="116"/>
      <c r="DY393" s="116"/>
      <c r="DZ393" s="116"/>
      <c r="EA393" s="116"/>
      <c r="EB393" s="116"/>
    </row>
    <row r="394" spans="36:132" ht="12.75" hidden="1" customHeight="1">
      <c r="AJ394" s="116"/>
      <c r="AK394" s="116"/>
      <c r="AL394" s="116"/>
      <c r="AM394" s="116"/>
      <c r="AN394" s="116"/>
      <c r="AO394" s="116"/>
      <c r="AP394" s="116"/>
      <c r="AS394" s="116"/>
      <c r="AT394" s="116"/>
      <c r="BQ394" s="116"/>
      <c r="BR394" s="116"/>
      <c r="BS394" s="116"/>
      <c r="BT394" s="116"/>
      <c r="BU394" s="116"/>
      <c r="BV394" s="116"/>
      <c r="BW394" s="116"/>
      <c r="BX394" s="116"/>
      <c r="BY394" s="116"/>
      <c r="BZ394" s="116"/>
      <c r="CA394" s="116"/>
      <c r="CB394" s="116"/>
      <c r="CC394" s="116"/>
      <c r="CD394" s="116"/>
      <c r="CE394" s="116"/>
      <c r="CF394" s="116"/>
      <c r="CG394" s="116"/>
      <c r="CH394" s="116"/>
      <c r="CI394" s="116"/>
      <c r="CJ394" s="116"/>
      <c r="CK394" s="116"/>
      <c r="CL394" s="116"/>
      <c r="CM394" s="116"/>
      <c r="CN394" s="116"/>
      <c r="CO394" s="116"/>
      <c r="CP394" s="116"/>
      <c r="CQ394" s="116"/>
      <c r="CR394" s="116"/>
      <c r="CS394" s="116"/>
      <c r="CT394" s="116"/>
      <c r="CU394" s="116"/>
      <c r="CV394" s="116"/>
      <c r="CW394" s="116"/>
      <c r="CX394" s="116"/>
      <c r="CY394" s="116"/>
      <c r="CZ394" s="116"/>
      <c r="DA394" s="116"/>
      <c r="DB394" s="116"/>
      <c r="DC394" s="116"/>
      <c r="DD394" s="116"/>
      <c r="DE394" s="116"/>
      <c r="DF394" s="116"/>
      <c r="DG394" s="116"/>
      <c r="DH394" s="116"/>
      <c r="DI394" s="116"/>
      <c r="DJ394" s="116"/>
      <c r="DK394" s="116"/>
      <c r="DL394" s="116"/>
      <c r="DM394" s="116"/>
      <c r="DN394" s="116"/>
      <c r="DO394" s="116"/>
      <c r="DP394" s="116"/>
      <c r="DQ394" s="116"/>
      <c r="DR394" s="116"/>
      <c r="DS394" s="116"/>
      <c r="DT394" s="116"/>
      <c r="DU394" s="116"/>
      <c r="DV394" s="116"/>
      <c r="DW394" s="116"/>
      <c r="DX394" s="116"/>
      <c r="DY394" s="116"/>
      <c r="DZ394" s="116"/>
      <c r="EA394" s="116"/>
      <c r="EB394" s="116"/>
    </row>
    <row r="395" spans="36:132" ht="12.75" hidden="1" customHeight="1">
      <c r="AJ395" s="116"/>
      <c r="AK395" s="116"/>
      <c r="AL395" s="116"/>
      <c r="AM395" s="116"/>
      <c r="AN395" s="116"/>
      <c r="AO395" s="116"/>
      <c r="AP395" s="116"/>
      <c r="AS395" s="116"/>
      <c r="AT395" s="116"/>
      <c r="BQ395" s="116"/>
      <c r="BR395" s="116"/>
      <c r="BS395" s="116"/>
      <c r="BT395" s="116"/>
      <c r="BU395" s="116"/>
      <c r="BV395" s="116"/>
      <c r="BW395" s="116"/>
      <c r="BX395" s="116"/>
      <c r="BY395" s="116"/>
      <c r="BZ395" s="116"/>
      <c r="CA395" s="116"/>
      <c r="CB395" s="116"/>
      <c r="CC395" s="116"/>
      <c r="CD395" s="116"/>
      <c r="CE395" s="116"/>
      <c r="CF395" s="116"/>
      <c r="CG395" s="116"/>
      <c r="CH395" s="116"/>
      <c r="CI395" s="116"/>
      <c r="CJ395" s="116"/>
      <c r="CK395" s="116"/>
      <c r="CL395" s="116"/>
      <c r="CM395" s="116"/>
      <c r="CN395" s="116"/>
      <c r="CO395" s="116"/>
      <c r="CP395" s="116"/>
      <c r="CQ395" s="116"/>
      <c r="CR395" s="116"/>
      <c r="CS395" s="116"/>
      <c r="CT395" s="116"/>
      <c r="CU395" s="116"/>
      <c r="CV395" s="116"/>
      <c r="CW395" s="116"/>
      <c r="CX395" s="116"/>
      <c r="CY395" s="116"/>
      <c r="CZ395" s="116"/>
      <c r="DA395" s="116"/>
      <c r="DB395" s="116"/>
      <c r="DC395" s="116"/>
      <c r="DD395" s="116"/>
      <c r="DE395" s="116"/>
      <c r="DF395" s="116"/>
      <c r="DG395" s="116"/>
      <c r="DH395" s="116"/>
      <c r="DI395" s="116"/>
      <c r="DJ395" s="116"/>
      <c r="DK395" s="116"/>
      <c r="DL395" s="116"/>
      <c r="DM395" s="116"/>
      <c r="DN395" s="116"/>
      <c r="DO395" s="116"/>
      <c r="DP395" s="116"/>
      <c r="DQ395" s="116"/>
      <c r="DR395" s="116"/>
      <c r="DS395" s="116"/>
      <c r="DT395" s="116"/>
      <c r="DU395" s="116"/>
      <c r="DV395" s="116"/>
      <c r="DW395" s="116"/>
      <c r="DX395" s="116"/>
      <c r="DY395" s="116"/>
      <c r="DZ395" s="116"/>
      <c r="EA395" s="116"/>
      <c r="EB395" s="116"/>
    </row>
    <row r="396" spans="36:132" ht="12.75" hidden="1" customHeight="1">
      <c r="AJ396" s="116"/>
      <c r="AK396" s="116"/>
      <c r="AL396" s="116"/>
      <c r="AM396" s="116"/>
      <c r="AN396" s="116"/>
      <c r="AO396" s="116"/>
      <c r="AP396" s="116"/>
      <c r="AS396" s="116"/>
      <c r="AT396" s="116"/>
      <c r="BQ396" s="116"/>
      <c r="BR396" s="116"/>
      <c r="BS396" s="116"/>
      <c r="BT396" s="116"/>
      <c r="BU396" s="116"/>
      <c r="BV396" s="116"/>
      <c r="BW396" s="116"/>
      <c r="BX396" s="116"/>
      <c r="BY396" s="116"/>
      <c r="BZ396" s="116"/>
      <c r="CA396" s="116"/>
      <c r="CB396" s="116"/>
      <c r="CC396" s="116"/>
      <c r="CD396" s="116"/>
      <c r="CE396" s="116"/>
      <c r="CF396" s="116"/>
      <c r="CG396" s="116"/>
      <c r="CH396" s="116"/>
      <c r="CI396" s="116"/>
      <c r="CJ396" s="116"/>
      <c r="CK396" s="116"/>
      <c r="CL396" s="116"/>
      <c r="CM396" s="116"/>
      <c r="CN396" s="116"/>
      <c r="CO396" s="116"/>
      <c r="CP396" s="116"/>
      <c r="CQ396" s="116"/>
      <c r="CR396" s="116"/>
      <c r="CS396" s="116"/>
      <c r="CT396" s="116"/>
      <c r="CU396" s="116"/>
      <c r="CV396" s="116"/>
      <c r="CW396" s="116"/>
      <c r="CX396" s="116"/>
      <c r="CY396" s="116"/>
      <c r="CZ396" s="116"/>
      <c r="DA396" s="116"/>
      <c r="DB396" s="116"/>
      <c r="DC396" s="116"/>
      <c r="DD396" s="116"/>
      <c r="DE396" s="116"/>
      <c r="DF396" s="116"/>
      <c r="DG396" s="116"/>
      <c r="DH396" s="116"/>
      <c r="DI396" s="116"/>
      <c r="DJ396" s="116"/>
      <c r="DK396" s="116"/>
      <c r="DL396" s="116"/>
      <c r="DM396" s="116"/>
      <c r="DN396" s="116"/>
      <c r="DO396" s="116"/>
      <c r="DP396" s="116"/>
      <c r="DQ396" s="116"/>
      <c r="DR396" s="116"/>
      <c r="DS396" s="116"/>
      <c r="DT396" s="116"/>
      <c r="DU396" s="116"/>
      <c r="DV396" s="116"/>
      <c r="DW396" s="116"/>
      <c r="DX396" s="116"/>
      <c r="DY396" s="116"/>
      <c r="DZ396" s="116"/>
      <c r="EA396" s="116"/>
      <c r="EB396" s="116"/>
    </row>
    <row r="397" spans="36:132" ht="12.75" hidden="1" customHeight="1">
      <c r="AJ397" s="116"/>
      <c r="AK397" s="116"/>
      <c r="AL397" s="116"/>
      <c r="AM397" s="116"/>
      <c r="AN397" s="116"/>
      <c r="AO397" s="116"/>
      <c r="AP397" s="116"/>
      <c r="AS397" s="116"/>
      <c r="AT397" s="116"/>
      <c r="BQ397" s="116"/>
      <c r="BR397" s="116"/>
      <c r="BS397" s="116"/>
      <c r="BT397" s="116"/>
      <c r="BU397" s="116"/>
      <c r="BV397" s="116"/>
      <c r="BW397" s="116"/>
      <c r="BX397" s="116"/>
      <c r="BY397" s="116"/>
      <c r="BZ397" s="116"/>
      <c r="CA397" s="116"/>
      <c r="CB397" s="116"/>
      <c r="CC397" s="116"/>
      <c r="CD397" s="116"/>
      <c r="CE397" s="116"/>
      <c r="CF397" s="116"/>
      <c r="CG397" s="116"/>
      <c r="CH397" s="116"/>
      <c r="CI397" s="116"/>
      <c r="CJ397" s="116"/>
      <c r="CK397" s="116"/>
      <c r="CL397" s="116"/>
      <c r="CM397" s="116"/>
      <c r="CN397" s="116"/>
      <c r="CO397" s="116"/>
      <c r="CP397" s="116"/>
      <c r="CQ397" s="116"/>
      <c r="CR397" s="116"/>
      <c r="CS397" s="116"/>
      <c r="CT397" s="116"/>
      <c r="CU397" s="116"/>
      <c r="CV397" s="116"/>
      <c r="CW397" s="116"/>
      <c r="CX397" s="116"/>
      <c r="CY397" s="116"/>
      <c r="CZ397" s="116"/>
      <c r="DA397" s="116"/>
      <c r="DB397" s="116"/>
      <c r="DC397" s="116"/>
      <c r="DD397" s="116"/>
      <c r="DE397" s="116"/>
      <c r="DF397" s="116"/>
      <c r="DG397" s="116"/>
      <c r="DH397" s="116"/>
      <c r="DI397" s="116"/>
      <c r="DJ397" s="116"/>
      <c r="DK397" s="116"/>
      <c r="DL397" s="116"/>
      <c r="DM397" s="116"/>
      <c r="DN397" s="116"/>
      <c r="DO397" s="116"/>
      <c r="DP397" s="116"/>
      <c r="DQ397" s="116"/>
      <c r="DR397" s="116"/>
      <c r="DS397" s="116"/>
      <c r="DT397" s="116"/>
      <c r="DU397" s="116"/>
      <c r="DV397" s="116"/>
      <c r="DW397" s="116"/>
      <c r="DX397" s="116"/>
      <c r="DY397" s="116"/>
      <c r="DZ397" s="116"/>
      <c r="EA397" s="116"/>
      <c r="EB397" s="116"/>
    </row>
    <row r="398" spans="36:132" ht="12.75" hidden="1" customHeight="1">
      <c r="AJ398" s="116"/>
      <c r="AK398" s="116"/>
      <c r="AL398" s="116"/>
      <c r="AM398" s="116"/>
      <c r="AN398" s="116"/>
      <c r="AO398" s="116"/>
      <c r="AP398" s="116"/>
      <c r="AS398" s="116"/>
      <c r="AT398" s="116"/>
      <c r="BQ398" s="116"/>
      <c r="BR398" s="116"/>
      <c r="BS398" s="116"/>
      <c r="BT398" s="116"/>
      <c r="BU398" s="116"/>
      <c r="BV398" s="116"/>
      <c r="BW398" s="116"/>
      <c r="BX398" s="116"/>
      <c r="BY398" s="116"/>
      <c r="BZ398" s="116"/>
      <c r="CA398" s="116"/>
      <c r="CB398" s="116"/>
      <c r="CC398" s="116"/>
      <c r="CD398" s="116"/>
      <c r="CE398" s="116"/>
      <c r="CF398" s="116"/>
      <c r="CG398" s="116"/>
      <c r="CH398" s="116"/>
      <c r="CI398" s="116"/>
      <c r="CJ398" s="116"/>
      <c r="CK398" s="116"/>
      <c r="CL398" s="116"/>
      <c r="CM398" s="116"/>
      <c r="CN398" s="116"/>
      <c r="CO398" s="116"/>
      <c r="CP398" s="116"/>
      <c r="CQ398" s="116"/>
      <c r="CR398" s="116"/>
      <c r="CS398" s="116"/>
      <c r="CT398" s="116"/>
      <c r="CU398" s="116"/>
      <c r="CV398" s="116"/>
      <c r="CW398" s="116"/>
      <c r="CX398" s="116"/>
      <c r="CY398" s="116"/>
      <c r="CZ398" s="116"/>
      <c r="DA398" s="116"/>
      <c r="DB398" s="116"/>
      <c r="DC398" s="116"/>
      <c r="DD398" s="116"/>
      <c r="DE398" s="116"/>
      <c r="DF398" s="116"/>
      <c r="DG398" s="116"/>
      <c r="DH398" s="116"/>
      <c r="DI398" s="116"/>
      <c r="DJ398" s="116"/>
      <c r="DK398" s="116"/>
      <c r="DL398" s="116"/>
      <c r="DM398" s="116"/>
      <c r="DN398" s="116"/>
      <c r="DO398" s="116"/>
      <c r="DP398" s="116"/>
      <c r="DQ398" s="116"/>
      <c r="DR398" s="116"/>
      <c r="DS398" s="116"/>
      <c r="DT398" s="116"/>
      <c r="DU398" s="116"/>
      <c r="DV398" s="116"/>
      <c r="DW398" s="116"/>
      <c r="DX398" s="116"/>
      <c r="DY398" s="116"/>
      <c r="DZ398" s="116"/>
      <c r="EA398" s="116"/>
      <c r="EB398" s="116"/>
    </row>
    <row r="399" spans="36:132" ht="12.75" hidden="1" customHeight="1">
      <c r="AJ399" s="116"/>
      <c r="AK399" s="116"/>
      <c r="AL399" s="116"/>
      <c r="AM399" s="116"/>
      <c r="AN399" s="116"/>
      <c r="AO399" s="116"/>
      <c r="AP399" s="116"/>
      <c r="AS399" s="116"/>
      <c r="AT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row>
    <row r="400" spans="36:132" ht="12.75" hidden="1" customHeight="1">
      <c r="AJ400" s="116"/>
      <c r="AK400" s="116"/>
      <c r="AL400" s="116"/>
      <c r="AM400" s="116"/>
      <c r="AN400" s="116"/>
      <c r="AO400" s="116"/>
      <c r="AP400" s="116"/>
      <c r="AS400" s="116"/>
      <c r="AT400" s="116"/>
      <c r="BQ400" s="116"/>
      <c r="BR400" s="116"/>
      <c r="BS400" s="116"/>
      <c r="BT400" s="116"/>
      <c r="BU400" s="116"/>
      <c r="BV400" s="116"/>
      <c r="BW400" s="116"/>
      <c r="BX400" s="116"/>
      <c r="BY400" s="116"/>
      <c r="BZ400" s="116"/>
      <c r="CA400" s="116"/>
      <c r="CB400" s="116"/>
      <c r="CC400" s="116"/>
      <c r="CD400" s="116"/>
      <c r="CE400" s="116"/>
      <c r="CF400" s="116"/>
      <c r="CG400" s="116"/>
      <c r="CH400" s="116"/>
      <c r="CI400" s="116"/>
      <c r="CJ400" s="116"/>
      <c r="CK400" s="116"/>
      <c r="CL400" s="116"/>
      <c r="CM400" s="116"/>
      <c r="CN400" s="116"/>
      <c r="CO400" s="116"/>
      <c r="CP400" s="116"/>
      <c r="CQ400" s="116"/>
      <c r="CR400" s="116"/>
      <c r="CS400" s="116"/>
      <c r="CT400" s="116"/>
      <c r="CU400" s="116"/>
      <c r="CV400" s="116"/>
      <c r="CW400" s="116"/>
      <c r="CX400" s="116"/>
      <c r="CY400" s="116"/>
      <c r="CZ400" s="116"/>
      <c r="DA400" s="116"/>
      <c r="DB400" s="116"/>
      <c r="DC400" s="116"/>
      <c r="DD400" s="116"/>
      <c r="DE400" s="116"/>
      <c r="DF400" s="116"/>
      <c r="DG400" s="116"/>
      <c r="DH400" s="116"/>
      <c r="DI400" s="116"/>
      <c r="DJ400" s="116"/>
      <c r="DK400" s="116"/>
      <c r="DL400" s="116"/>
      <c r="DM400" s="116"/>
      <c r="DN400" s="116"/>
      <c r="DO400" s="116"/>
      <c r="DP400" s="116"/>
      <c r="DQ400" s="116"/>
      <c r="DR400" s="116"/>
      <c r="DS400" s="116"/>
      <c r="DT400" s="116"/>
      <c r="DU400" s="116"/>
      <c r="DV400" s="116"/>
      <c r="DW400" s="116"/>
      <c r="DX400" s="116"/>
      <c r="DY400" s="116"/>
      <c r="DZ400" s="116"/>
      <c r="EA400" s="116"/>
      <c r="EB400" s="116"/>
    </row>
    <row r="401" spans="36:132" ht="12.75" hidden="1" customHeight="1">
      <c r="AJ401" s="116"/>
      <c r="AK401" s="116"/>
      <c r="AL401" s="116"/>
      <c r="AM401" s="116"/>
      <c r="AN401" s="116"/>
      <c r="AO401" s="116"/>
      <c r="AP401" s="116"/>
      <c r="AS401" s="116"/>
      <c r="AT401" s="116"/>
      <c r="BQ401" s="116"/>
      <c r="BR401" s="116"/>
      <c r="BS401" s="116"/>
      <c r="BT401" s="116"/>
      <c r="BU401" s="116"/>
      <c r="BV401" s="116"/>
      <c r="BW401" s="116"/>
      <c r="BX401" s="116"/>
      <c r="BY401" s="116"/>
      <c r="BZ401" s="116"/>
      <c r="CA401" s="116"/>
      <c r="CB401" s="116"/>
      <c r="CC401" s="116"/>
      <c r="CD401" s="116"/>
      <c r="CE401" s="116"/>
      <c r="CF401" s="116"/>
      <c r="CG401" s="116"/>
      <c r="CH401" s="116"/>
      <c r="CI401" s="116"/>
      <c r="CJ401" s="116"/>
      <c r="CK401" s="116"/>
      <c r="CL401" s="116"/>
      <c r="CM401" s="116"/>
      <c r="CN401" s="116"/>
      <c r="CO401" s="116"/>
      <c r="CP401" s="116"/>
      <c r="CQ401" s="116"/>
      <c r="CR401" s="116"/>
      <c r="CS401" s="116"/>
      <c r="CT401" s="116"/>
      <c r="CU401" s="116"/>
      <c r="CV401" s="116"/>
      <c r="CW401" s="116"/>
      <c r="CX401" s="116"/>
      <c r="CY401" s="116"/>
      <c r="CZ401" s="116"/>
      <c r="DA401" s="116"/>
      <c r="DB401" s="116"/>
      <c r="DC401" s="116"/>
      <c r="DD401" s="116"/>
      <c r="DE401" s="116"/>
      <c r="DF401" s="116"/>
      <c r="DG401" s="116"/>
      <c r="DH401" s="116"/>
      <c r="DI401" s="116"/>
      <c r="DJ401" s="116"/>
      <c r="DK401" s="116"/>
      <c r="DL401" s="116"/>
      <c r="DM401" s="116"/>
      <c r="DN401" s="116"/>
      <c r="DO401" s="116"/>
      <c r="DP401" s="116"/>
      <c r="DQ401" s="116"/>
      <c r="DR401" s="116"/>
      <c r="DS401" s="116"/>
      <c r="DT401" s="116"/>
      <c r="DU401" s="116"/>
      <c r="DV401" s="116"/>
      <c r="DW401" s="116"/>
      <c r="DX401" s="116"/>
      <c r="DY401" s="116"/>
      <c r="DZ401" s="116"/>
      <c r="EA401" s="116"/>
      <c r="EB401" s="116"/>
    </row>
    <row r="402" spans="36:132" ht="12.75" hidden="1" customHeight="1">
      <c r="AJ402" s="116"/>
      <c r="AK402" s="116"/>
      <c r="AL402" s="116"/>
      <c r="AM402" s="116"/>
      <c r="AN402" s="116"/>
      <c r="AO402" s="116"/>
      <c r="AP402" s="116"/>
      <c r="AS402" s="116"/>
      <c r="AT402" s="116"/>
      <c r="BQ402" s="116"/>
      <c r="BR402" s="116"/>
      <c r="BS402" s="116"/>
      <c r="BT402" s="116"/>
      <c r="BU402" s="116"/>
      <c r="BV402" s="116"/>
      <c r="BW402" s="116"/>
      <c r="BX402" s="116"/>
      <c r="BY402" s="116"/>
      <c r="BZ402" s="116"/>
      <c r="CA402" s="116"/>
      <c r="CB402" s="116"/>
      <c r="CC402" s="116"/>
      <c r="CD402" s="116"/>
      <c r="CE402" s="116"/>
      <c r="CF402" s="116"/>
      <c r="CG402" s="116"/>
      <c r="CH402" s="116"/>
      <c r="CI402" s="116"/>
      <c r="CJ402" s="116"/>
      <c r="CK402" s="116"/>
      <c r="CL402" s="116"/>
      <c r="CM402" s="116"/>
      <c r="CN402" s="116"/>
      <c r="CO402" s="116"/>
      <c r="CP402" s="116"/>
      <c r="CQ402" s="116"/>
      <c r="CR402" s="116"/>
      <c r="CS402" s="116"/>
      <c r="CT402" s="116"/>
      <c r="CU402" s="116"/>
      <c r="CV402" s="116"/>
      <c r="CW402" s="116"/>
      <c r="CX402" s="116"/>
      <c r="CY402" s="116"/>
      <c r="CZ402" s="116"/>
      <c r="DA402" s="116"/>
      <c r="DB402" s="116"/>
      <c r="DC402" s="116"/>
      <c r="DD402" s="116"/>
      <c r="DE402" s="116"/>
      <c r="DF402" s="116"/>
      <c r="DG402" s="116"/>
      <c r="DH402" s="116"/>
      <c r="DI402" s="116"/>
      <c r="DJ402" s="116"/>
      <c r="DK402" s="116"/>
      <c r="DL402" s="116"/>
      <c r="DM402" s="116"/>
      <c r="DN402" s="116"/>
      <c r="DO402" s="116"/>
      <c r="DP402" s="116"/>
      <c r="DQ402" s="116"/>
      <c r="DR402" s="116"/>
      <c r="DS402" s="116"/>
      <c r="DT402" s="116"/>
      <c r="DU402" s="116"/>
      <c r="DV402" s="116"/>
      <c r="DW402" s="116"/>
      <c r="DX402" s="116"/>
      <c r="DY402" s="116"/>
      <c r="DZ402" s="116"/>
      <c r="EA402" s="116"/>
      <c r="EB402" s="116"/>
    </row>
    <row r="403" spans="36:132" ht="12.75" hidden="1" customHeight="1">
      <c r="AJ403" s="116"/>
      <c r="AK403" s="116"/>
      <c r="AL403" s="116"/>
      <c r="AM403" s="116"/>
      <c r="AN403" s="116"/>
      <c r="AO403" s="116"/>
      <c r="AP403" s="116"/>
      <c r="AS403" s="116"/>
      <c r="AT403" s="116"/>
      <c r="BQ403" s="116"/>
      <c r="BR403" s="116"/>
      <c r="BS403" s="116"/>
      <c r="BT403" s="116"/>
      <c r="BU403" s="116"/>
      <c r="BV403" s="116"/>
      <c r="BW403" s="116"/>
      <c r="BX403" s="116"/>
      <c r="BY403" s="116"/>
      <c r="BZ403" s="116"/>
      <c r="CA403" s="116"/>
      <c r="CB403" s="116"/>
      <c r="CC403" s="116"/>
      <c r="CD403" s="116"/>
      <c r="CE403" s="116"/>
      <c r="CF403" s="116"/>
      <c r="CG403" s="116"/>
      <c r="CH403" s="116"/>
      <c r="CI403" s="116"/>
      <c r="CJ403" s="116"/>
      <c r="CK403" s="116"/>
      <c r="CL403" s="116"/>
      <c r="CM403" s="116"/>
      <c r="CN403" s="116"/>
      <c r="CO403" s="116"/>
      <c r="CP403" s="116"/>
      <c r="CQ403" s="116"/>
      <c r="CR403" s="116"/>
      <c r="CS403" s="116"/>
      <c r="CT403" s="116"/>
      <c r="CU403" s="116"/>
      <c r="CV403" s="116"/>
      <c r="CW403" s="116"/>
      <c r="CX403" s="116"/>
      <c r="CY403" s="116"/>
      <c r="CZ403" s="116"/>
      <c r="DA403" s="116"/>
      <c r="DB403" s="116"/>
      <c r="DC403" s="116"/>
      <c r="DD403" s="116"/>
      <c r="DE403" s="116"/>
      <c r="DF403" s="116"/>
      <c r="DG403" s="116"/>
      <c r="DH403" s="116"/>
      <c r="DI403" s="116"/>
      <c r="DJ403" s="116"/>
      <c r="DK403" s="116"/>
      <c r="DL403" s="116"/>
      <c r="DM403" s="116"/>
      <c r="DN403" s="116"/>
      <c r="DO403" s="116"/>
      <c r="DP403" s="116"/>
      <c r="DQ403" s="116"/>
      <c r="DR403" s="116"/>
      <c r="DS403" s="116"/>
      <c r="DT403" s="116"/>
      <c r="DU403" s="116"/>
      <c r="DV403" s="116"/>
      <c r="DW403" s="116"/>
      <c r="DX403" s="116"/>
      <c r="DY403" s="116"/>
      <c r="DZ403" s="116"/>
      <c r="EA403" s="116"/>
      <c r="EB403" s="116"/>
    </row>
    <row r="404" spans="36:132" ht="12.75" hidden="1" customHeight="1">
      <c r="AJ404" s="116"/>
      <c r="AK404" s="116"/>
      <c r="AL404" s="116"/>
      <c r="AM404" s="116"/>
      <c r="AN404" s="116"/>
      <c r="AO404" s="116"/>
      <c r="AP404" s="116"/>
      <c r="AS404" s="116"/>
      <c r="AT404" s="116"/>
      <c r="BQ404" s="116"/>
      <c r="BR404" s="116"/>
      <c r="BS404" s="116"/>
      <c r="BT404" s="116"/>
      <c r="BU404" s="116"/>
      <c r="BV404" s="116"/>
      <c r="BW404" s="116"/>
      <c r="BX404" s="116"/>
      <c r="BY404" s="116"/>
      <c r="BZ404" s="116"/>
      <c r="CA404" s="116"/>
      <c r="CB404" s="116"/>
      <c r="CC404" s="116"/>
      <c r="CD404" s="116"/>
      <c r="CE404" s="116"/>
      <c r="CF404" s="116"/>
      <c r="CG404" s="116"/>
      <c r="CH404" s="116"/>
      <c r="CI404" s="116"/>
      <c r="CJ404" s="116"/>
      <c r="CK404" s="116"/>
      <c r="CL404" s="116"/>
      <c r="CM404" s="116"/>
      <c r="CN404" s="116"/>
      <c r="CO404" s="116"/>
      <c r="CP404" s="116"/>
      <c r="CQ404" s="116"/>
      <c r="CR404" s="116"/>
      <c r="CS404" s="116"/>
      <c r="CT404" s="116"/>
      <c r="CU404" s="116"/>
      <c r="CV404" s="116"/>
      <c r="CW404" s="116"/>
      <c r="CX404" s="116"/>
      <c r="CY404" s="116"/>
      <c r="CZ404" s="116"/>
      <c r="DA404" s="116"/>
      <c r="DB404" s="116"/>
      <c r="DC404" s="116"/>
      <c r="DD404" s="116"/>
      <c r="DE404" s="116"/>
      <c r="DF404" s="116"/>
      <c r="DG404" s="116"/>
      <c r="DH404" s="116"/>
      <c r="DI404" s="116"/>
      <c r="DJ404" s="116"/>
      <c r="DK404" s="116"/>
      <c r="DL404" s="116"/>
      <c r="DM404" s="116"/>
      <c r="DN404" s="116"/>
      <c r="DO404" s="116"/>
      <c r="DP404" s="116"/>
      <c r="DQ404" s="116"/>
      <c r="DR404" s="116"/>
      <c r="DS404" s="116"/>
      <c r="DT404" s="116"/>
      <c r="DU404" s="116"/>
      <c r="DV404" s="116"/>
      <c r="DW404" s="116"/>
      <c r="DX404" s="116"/>
      <c r="DY404" s="116"/>
      <c r="DZ404" s="116"/>
      <c r="EA404" s="116"/>
      <c r="EB404" s="116"/>
    </row>
    <row r="405" spans="36:132" ht="12.75" hidden="1" customHeight="1">
      <c r="AJ405" s="116"/>
      <c r="AK405" s="116"/>
      <c r="AL405" s="116"/>
      <c r="AM405" s="116"/>
      <c r="AN405" s="116"/>
      <c r="AO405" s="116"/>
      <c r="AP405" s="116"/>
      <c r="AS405" s="116"/>
      <c r="AT405" s="116"/>
      <c r="BQ405" s="116"/>
      <c r="BR405" s="116"/>
      <c r="BS405" s="116"/>
      <c r="BT405" s="116"/>
      <c r="BU405" s="116"/>
      <c r="BV405" s="116"/>
      <c r="BW405" s="116"/>
      <c r="BX405" s="116"/>
      <c r="BY405" s="116"/>
      <c r="BZ405" s="116"/>
      <c r="CA405" s="116"/>
      <c r="CB405" s="116"/>
      <c r="CC405" s="116"/>
      <c r="CD405" s="116"/>
      <c r="CE405" s="116"/>
      <c r="CF405" s="116"/>
      <c r="CG405" s="116"/>
      <c r="CH405" s="116"/>
      <c r="CI405" s="116"/>
      <c r="CJ405" s="116"/>
      <c r="CK405" s="116"/>
      <c r="CL405" s="116"/>
      <c r="CM405" s="116"/>
      <c r="CN405" s="116"/>
      <c r="CO405" s="116"/>
      <c r="CP405" s="116"/>
      <c r="CQ405" s="116"/>
      <c r="CR405" s="116"/>
      <c r="CS405" s="116"/>
      <c r="CT405" s="116"/>
      <c r="CU405" s="116"/>
      <c r="CV405" s="116"/>
      <c r="CW405" s="116"/>
      <c r="CX405" s="116"/>
      <c r="CY405" s="116"/>
      <c r="CZ405" s="116"/>
      <c r="DA405" s="116"/>
      <c r="DB405" s="116"/>
      <c r="DC405" s="116"/>
      <c r="DD405" s="116"/>
      <c r="DE405" s="116"/>
      <c r="DF405" s="116"/>
      <c r="DG405" s="116"/>
      <c r="DH405" s="116"/>
      <c r="DI405" s="116"/>
      <c r="DJ405" s="116"/>
      <c r="DK405" s="116"/>
      <c r="DL405" s="116"/>
      <c r="DM405" s="116"/>
      <c r="DN405" s="116"/>
      <c r="DO405" s="116"/>
      <c r="DP405" s="116"/>
      <c r="DQ405" s="116"/>
      <c r="DR405" s="116"/>
      <c r="DS405" s="116"/>
      <c r="DT405" s="116"/>
      <c r="DU405" s="116"/>
      <c r="DV405" s="116"/>
      <c r="DW405" s="116"/>
      <c r="DX405" s="116"/>
      <c r="DY405" s="116"/>
      <c r="DZ405" s="116"/>
      <c r="EA405" s="116"/>
      <c r="EB405" s="116"/>
    </row>
    <row r="406" spans="36:132" ht="12.75" hidden="1" customHeight="1">
      <c r="AJ406" s="116"/>
      <c r="AK406" s="116"/>
      <c r="AL406" s="116"/>
      <c r="AM406" s="116"/>
      <c r="AN406" s="116"/>
      <c r="AO406" s="116"/>
      <c r="AP406" s="116"/>
      <c r="AS406" s="116"/>
      <c r="AT406" s="116"/>
      <c r="BQ406" s="116"/>
      <c r="BR406" s="116"/>
      <c r="BS406" s="116"/>
      <c r="BT406" s="116"/>
      <c r="BU406" s="116"/>
      <c r="BV406" s="116"/>
      <c r="BW406" s="116"/>
      <c r="BX406" s="116"/>
      <c r="BY406" s="116"/>
      <c r="BZ406" s="116"/>
      <c r="CA406" s="116"/>
      <c r="CB406" s="116"/>
      <c r="CC406" s="116"/>
      <c r="CD406" s="116"/>
      <c r="CE406" s="116"/>
      <c r="CF406" s="116"/>
      <c r="CG406" s="116"/>
      <c r="CH406" s="116"/>
      <c r="CI406" s="116"/>
      <c r="CJ406" s="116"/>
      <c r="CK406" s="116"/>
      <c r="CL406" s="116"/>
      <c r="CM406" s="116"/>
      <c r="CN406" s="116"/>
      <c r="CO406" s="116"/>
      <c r="CP406" s="116"/>
      <c r="CQ406" s="116"/>
      <c r="CR406" s="116"/>
      <c r="CS406" s="116"/>
      <c r="CT406" s="116"/>
      <c r="CU406" s="116"/>
      <c r="CV406" s="116"/>
      <c r="CW406" s="116"/>
      <c r="CX406" s="116"/>
      <c r="CY406" s="116"/>
      <c r="CZ406" s="116"/>
      <c r="DA406" s="116"/>
      <c r="DB406" s="116"/>
      <c r="DC406" s="116"/>
      <c r="DD406" s="116"/>
      <c r="DE406" s="116"/>
      <c r="DF406" s="116"/>
      <c r="DG406" s="116"/>
      <c r="DH406" s="116"/>
      <c r="DI406" s="116"/>
      <c r="DJ406" s="116"/>
      <c r="DK406" s="116"/>
      <c r="DL406" s="116"/>
      <c r="DM406" s="116"/>
      <c r="DN406" s="116"/>
      <c r="DO406" s="116"/>
      <c r="DP406" s="116"/>
      <c r="DQ406" s="116"/>
      <c r="DR406" s="116"/>
      <c r="DS406" s="116"/>
      <c r="DT406" s="116"/>
      <c r="DU406" s="116"/>
      <c r="DV406" s="116"/>
      <c r="DW406" s="116"/>
      <c r="DX406" s="116"/>
      <c r="DY406" s="116"/>
      <c r="DZ406" s="116"/>
      <c r="EA406" s="116"/>
      <c r="EB406" s="116"/>
    </row>
    <row r="407" spans="36:132" ht="12.75" hidden="1" customHeight="1">
      <c r="AJ407" s="116"/>
      <c r="AK407" s="116"/>
      <c r="AL407" s="116"/>
      <c r="AM407" s="116"/>
      <c r="AN407" s="116"/>
      <c r="AO407" s="116"/>
      <c r="AP407" s="116"/>
      <c r="AS407" s="116"/>
      <c r="AT407" s="116"/>
      <c r="BQ407" s="116"/>
      <c r="BR407" s="116"/>
      <c r="BS407" s="116"/>
      <c r="BT407" s="116"/>
      <c r="BU407" s="116"/>
      <c r="BV407" s="116"/>
      <c r="BW407" s="116"/>
      <c r="BX407" s="116"/>
      <c r="BY407" s="116"/>
      <c r="BZ407" s="116"/>
      <c r="CA407" s="116"/>
      <c r="CB407" s="116"/>
      <c r="CC407" s="116"/>
      <c r="CD407" s="116"/>
      <c r="CE407" s="116"/>
      <c r="CF407" s="116"/>
      <c r="CG407" s="116"/>
      <c r="CH407" s="116"/>
      <c r="CI407" s="116"/>
      <c r="CJ407" s="116"/>
      <c r="CK407" s="116"/>
      <c r="CL407" s="116"/>
      <c r="CM407" s="116"/>
      <c r="CN407" s="116"/>
      <c r="CO407" s="116"/>
      <c r="CP407" s="116"/>
      <c r="CQ407" s="116"/>
      <c r="CR407" s="116"/>
      <c r="CS407" s="116"/>
      <c r="CT407" s="116"/>
      <c r="CU407" s="116"/>
      <c r="CV407" s="116"/>
      <c r="CW407" s="116"/>
      <c r="CX407" s="116"/>
      <c r="CY407" s="116"/>
      <c r="CZ407" s="116"/>
      <c r="DA407" s="116"/>
      <c r="DB407" s="116"/>
      <c r="DC407" s="116"/>
      <c r="DD407" s="116"/>
      <c r="DE407" s="116"/>
      <c r="DF407" s="116"/>
      <c r="DG407" s="116"/>
      <c r="DH407" s="116"/>
      <c r="DI407" s="116"/>
      <c r="DJ407" s="116"/>
      <c r="DK407" s="116"/>
      <c r="DL407" s="116"/>
      <c r="DM407" s="116"/>
      <c r="DN407" s="116"/>
      <c r="DO407" s="116"/>
      <c r="DP407" s="116"/>
      <c r="DQ407" s="116"/>
      <c r="DR407" s="116"/>
      <c r="DS407" s="116"/>
      <c r="DT407" s="116"/>
      <c r="DU407" s="116"/>
      <c r="DV407" s="116"/>
      <c r="DW407" s="116"/>
      <c r="DX407" s="116"/>
      <c r="DY407" s="116"/>
      <c r="DZ407" s="116"/>
      <c r="EA407" s="116"/>
      <c r="EB407" s="116"/>
    </row>
    <row r="408" spans="36:132" ht="12.75" hidden="1" customHeight="1">
      <c r="AJ408" s="116"/>
      <c r="AK408" s="116"/>
      <c r="AL408" s="116"/>
      <c r="AM408" s="116"/>
      <c r="AN408" s="116"/>
      <c r="AO408" s="116"/>
      <c r="AP408" s="116"/>
      <c r="AS408" s="116"/>
      <c r="AT408" s="116"/>
      <c r="BQ408" s="116"/>
      <c r="BR408" s="116"/>
      <c r="BS408" s="116"/>
      <c r="BT408" s="116"/>
      <c r="BU408" s="116"/>
      <c r="BV408" s="116"/>
      <c r="BW408" s="116"/>
      <c r="BX408" s="116"/>
      <c r="BY408" s="116"/>
      <c r="BZ408" s="116"/>
      <c r="CA408" s="116"/>
      <c r="CB408" s="116"/>
      <c r="CC408" s="116"/>
      <c r="CD408" s="116"/>
      <c r="CE408" s="116"/>
      <c r="CF408" s="116"/>
      <c r="CG408" s="116"/>
      <c r="CH408" s="116"/>
      <c r="CI408" s="116"/>
      <c r="CJ408" s="116"/>
      <c r="CK408" s="116"/>
      <c r="CL408" s="116"/>
      <c r="CM408" s="116"/>
      <c r="CN408" s="116"/>
      <c r="CO408" s="116"/>
      <c r="CP408" s="116"/>
      <c r="CQ408" s="116"/>
      <c r="CR408" s="116"/>
      <c r="CS408" s="116"/>
      <c r="CT408" s="116"/>
      <c r="CU408" s="116"/>
      <c r="CV408" s="116"/>
      <c r="CW408" s="116"/>
      <c r="CX408" s="116"/>
      <c r="CY408" s="116"/>
      <c r="CZ408" s="116"/>
      <c r="DA408" s="116"/>
      <c r="DB408" s="116"/>
      <c r="DC408" s="116"/>
      <c r="DD408" s="116"/>
      <c r="DE408" s="116"/>
      <c r="DF408" s="116"/>
      <c r="DG408" s="116"/>
      <c r="DH408" s="116"/>
      <c r="DI408" s="116"/>
      <c r="DJ408" s="116"/>
      <c r="DK408" s="116"/>
      <c r="DL408" s="116"/>
      <c r="DM408" s="116"/>
      <c r="DN408" s="116"/>
      <c r="DO408" s="116"/>
      <c r="DP408" s="116"/>
      <c r="DQ408" s="116"/>
      <c r="DR408" s="116"/>
      <c r="DS408" s="116"/>
      <c r="DT408" s="116"/>
      <c r="DU408" s="116"/>
      <c r="DV408" s="116"/>
      <c r="DW408" s="116"/>
      <c r="DX408" s="116"/>
      <c r="DY408" s="116"/>
      <c r="DZ408" s="116"/>
      <c r="EA408" s="116"/>
      <c r="EB408" s="116"/>
    </row>
    <row r="409" spans="36:132" ht="12.75" hidden="1" customHeight="1">
      <c r="AJ409" s="116"/>
      <c r="AK409" s="116"/>
      <c r="AL409" s="116"/>
      <c r="AM409" s="116"/>
      <c r="AN409" s="116"/>
      <c r="AO409" s="116"/>
      <c r="AP409" s="116"/>
      <c r="AS409" s="116"/>
      <c r="AT409" s="116"/>
      <c r="BQ409" s="116"/>
      <c r="BR409" s="116"/>
      <c r="BS409" s="116"/>
      <c r="BT409" s="116"/>
      <c r="BU409" s="116"/>
      <c r="BV409" s="116"/>
      <c r="BW409" s="116"/>
      <c r="BX409" s="116"/>
      <c r="BY409" s="116"/>
      <c r="BZ409" s="116"/>
      <c r="CA409" s="116"/>
      <c r="CB409" s="116"/>
      <c r="CC409" s="116"/>
      <c r="CD409" s="116"/>
      <c r="CE409" s="116"/>
      <c r="CF409" s="116"/>
      <c r="CG409" s="116"/>
      <c r="CH409" s="116"/>
      <c r="CI409" s="116"/>
      <c r="CJ409" s="116"/>
      <c r="CK409" s="116"/>
      <c r="CL409" s="116"/>
      <c r="CM409" s="116"/>
      <c r="CN409" s="116"/>
      <c r="CO409" s="116"/>
      <c r="CP409" s="116"/>
      <c r="CQ409" s="116"/>
      <c r="CR409" s="116"/>
      <c r="CS409" s="116"/>
      <c r="CT409" s="116"/>
      <c r="CU409" s="116"/>
      <c r="CV409" s="116"/>
      <c r="CW409" s="116"/>
      <c r="CX409" s="116"/>
      <c r="CY409" s="116"/>
      <c r="CZ409" s="116"/>
      <c r="DA409" s="116"/>
      <c r="DB409" s="116"/>
      <c r="DC409" s="116"/>
      <c r="DD409" s="116"/>
      <c r="DE409" s="116"/>
      <c r="DF409" s="116"/>
      <c r="DG409" s="116"/>
      <c r="DH409" s="116"/>
      <c r="DI409" s="116"/>
      <c r="DJ409" s="116"/>
      <c r="DK409" s="116"/>
      <c r="DL409" s="116"/>
      <c r="DM409" s="116"/>
      <c r="DN409" s="116"/>
      <c r="DO409" s="116"/>
      <c r="DP409" s="116"/>
      <c r="DQ409" s="116"/>
      <c r="DR409" s="116"/>
      <c r="DS409" s="116"/>
      <c r="DT409" s="116"/>
      <c r="DU409" s="116"/>
      <c r="DV409" s="116"/>
      <c r="DW409" s="116"/>
      <c r="DX409" s="116"/>
      <c r="DY409" s="116"/>
      <c r="DZ409" s="116"/>
      <c r="EA409" s="116"/>
      <c r="EB409" s="116"/>
    </row>
    <row r="410" spans="36:132" ht="12.75" hidden="1" customHeight="1">
      <c r="AJ410" s="116"/>
      <c r="AK410" s="116"/>
      <c r="AL410" s="116"/>
      <c r="AM410" s="116"/>
      <c r="AN410" s="116"/>
      <c r="AO410" s="116"/>
      <c r="AP410" s="116"/>
      <c r="AS410" s="116"/>
      <c r="AT410" s="116"/>
      <c r="BQ410" s="116"/>
      <c r="BR410" s="116"/>
      <c r="BS410" s="116"/>
      <c r="BT410" s="116"/>
      <c r="BU410" s="116"/>
      <c r="BV410" s="116"/>
      <c r="BW410" s="116"/>
      <c r="BX410" s="116"/>
      <c r="BY410" s="116"/>
      <c r="BZ410" s="116"/>
      <c r="CA410" s="116"/>
      <c r="CB410" s="116"/>
      <c r="CC410" s="116"/>
      <c r="CD410" s="116"/>
      <c r="CE410" s="116"/>
      <c r="CF410" s="116"/>
      <c r="CG410" s="116"/>
      <c r="CH410" s="116"/>
      <c r="CI410" s="116"/>
      <c r="CJ410" s="116"/>
      <c r="CK410" s="116"/>
      <c r="CL410" s="116"/>
      <c r="CM410" s="116"/>
      <c r="CN410" s="116"/>
      <c r="CO410" s="116"/>
      <c r="CP410" s="116"/>
      <c r="CQ410" s="116"/>
      <c r="CR410" s="116"/>
      <c r="CS410" s="116"/>
      <c r="CT410" s="116"/>
      <c r="CU410" s="116"/>
      <c r="CV410" s="116"/>
      <c r="CW410" s="116"/>
      <c r="CX410" s="116"/>
      <c r="CY410" s="116"/>
      <c r="CZ410" s="116"/>
      <c r="DA410" s="116"/>
      <c r="DB410" s="116"/>
      <c r="DC410" s="116"/>
      <c r="DD410" s="116"/>
      <c r="DE410" s="116"/>
      <c r="DF410" s="116"/>
      <c r="DG410" s="116"/>
      <c r="DH410" s="116"/>
      <c r="DI410" s="116"/>
      <c r="DJ410" s="116"/>
      <c r="DK410" s="116"/>
      <c r="DL410" s="116"/>
      <c r="DM410" s="116"/>
      <c r="DN410" s="116"/>
      <c r="DO410" s="116"/>
      <c r="DP410" s="116"/>
      <c r="DQ410" s="116"/>
      <c r="DR410" s="116"/>
      <c r="DS410" s="116"/>
      <c r="DT410" s="116"/>
      <c r="DU410" s="116"/>
      <c r="DV410" s="116"/>
      <c r="DW410" s="116"/>
      <c r="DX410" s="116"/>
      <c r="DY410" s="116"/>
      <c r="DZ410" s="116"/>
      <c r="EA410" s="116"/>
      <c r="EB410" s="116"/>
    </row>
    <row r="411" spans="36:132" ht="12.75" hidden="1" customHeight="1">
      <c r="AJ411" s="116"/>
      <c r="AK411" s="116"/>
      <c r="AL411" s="116"/>
      <c r="AM411" s="116"/>
      <c r="AN411" s="116"/>
      <c r="AO411" s="116"/>
      <c r="AP411" s="116"/>
      <c r="AS411" s="116"/>
      <c r="AT411" s="116"/>
      <c r="BQ411" s="116"/>
      <c r="BR411" s="116"/>
      <c r="BS411" s="116"/>
      <c r="BT411" s="116"/>
      <c r="BU411" s="116"/>
      <c r="BV411" s="116"/>
      <c r="BW411" s="116"/>
      <c r="BX411" s="116"/>
      <c r="BY411" s="116"/>
      <c r="BZ411" s="116"/>
      <c r="CA411" s="116"/>
      <c r="CB411" s="116"/>
      <c r="CC411" s="116"/>
      <c r="CD411" s="116"/>
      <c r="CE411" s="116"/>
      <c r="CF411" s="116"/>
      <c r="CG411" s="116"/>
      <c r="CH411" s="116"/>
      <c r="CI411" s="116"/>
      <c r="CJ411" s="116"/>
      <c r="CK411" s="116"/>
      <c r="CL411" s="116"/>
      <c r="CM411" s="116"/>
      <c r="CN411" s="116"/>
      <c r="CO411" s="116"/>
      <c r="CP411" s="116"/>
      <c r="CQ411" s="116"/>
      <c r="CR411" s="116"/>
      <c r="CS411" s="116"/>
      <c r="CT411" s="116"/>
      <c r="CU411" s="116"/>
      <c r="CV411" s="116"/>
      <c r="CW411" s="116"/>
      <c r="CX411" s="116"/>
      <c r="CY411" s="116"/>
      <c r="CZ411" s="116"/>
      <c r="DA411" s="116"/>
      <c r="DB411" s="116"/>
      <c r="DC411" s="116"/>
      <c r="DD411" s="116"/>
      <c r="DE411" s="116"/>
      <c r="DF411" s="116"/>
      <c r="DG411" s="116"/>
      <c r="DH411" s="116"/>
      <c r="DI411" s="116"/>
      <c r="DJ411" s="116"/>
      <c r="DK411" s="116"/>
      <c r="DL411" s="116"/>
      <c r="DM411" s="116"/>
      <c r="DN411" s="116"/>
      <c r="DO411" s="116"/>
      <c r="DP411" s="116"/>
      <c r="DQ411" s="116"/>
      <c r="DR411" s="116"/>
      <c r="DS411" s="116"/>
      <c r="DT411" s="116"/>
      <c r="DU411" s="116"/>
      <c r="DV411" s="116"/>
      <c r="DW411" s="116"/>
      <c r="DX411" s="116"/>
      <c r="DY411" s="116"/>
      <c r="DZ411" s="116"/>
      <c r="EA411" s="116"/>
      <c r="EB411" s="116"/>
    </row>
    <row r="412" spans="36:132" ht="12.75" hidden="1" customHeight="1">
      <c r="AJ412" s="116"/>
      <c r="AK412" s="116"/>
      <c r="AL412" s="116"/>
      <c r="AM412" s="116"/>
      <c r="AN412" s="116"/>
      <c r="AO412" s="116"/>
      <c r="AP412" s="116"/>
      <c r="AS412" s="116"/>
      <c r="AT412" s="116"/>
      <c r="BQ412" s="116"/>
      <c r="BR412" s="116"/>
      <c r="BS412" s="116"/>
      <c r="BT412" s="116"/>
      <c r="BU412" s="116"/>
      <c r="BV412" s="116"/>
      <c r="BW412" s="116"/>
      <c r="BX412" s="116"/>
      <c r="BY412" s="116"/>
      <c r="BZ412" s="116"/>
      <c r="CA412" s="116"/>
      <c r="CB412" s="116"/>
      <c r="CC412" s="116"/>
      <c r="CD412" s="116"/>
      <c r="CE412" s="116"/>
      <c r="CF412" s="116"/>
      <c r="CG412" s="116"/>
      <c r="CH412" s="116"/>
      <c r="CI412" s="116"/>
      <c r="CJ412" s="116"/>
      <c r="CK412" s="116"/>
      <c r="CL412" s="116"/>
      <c r="CM412" s="116"/>
      <c r="CN412" s="116"/>
      <c r="CO412" s="116"/>
      <c r="CP412" s="116"/>
      <c r="CQ412" s="116"/>
      <c r="CR412" s="116"/>
      <c r="CS412" s="116"/>
      <c r="CT412" s="116"/>
      <c r="CU412" s="116"/>
      <c r="CV412" s="116"/>
      <c r="CW412" s="116"/>
      <c r="CX412" s="116"/>
      <c r="CY412" s="116"/>
      <c r="CZ412" s="116"/>
      <c r="DA412" s="116"/>
      <c r="DB412" s="116"/>
      <c r="DC412" s="116"/>
      <c r="DD412" s="116"/>
      <c r="DE412" s="116"/>
      <c r="DF412" s="116"/>
      <c r="DG412" s="116"/>
      <c r="DH412" s="116"/>
      <c r="DI412" s="116"/>
      <c r="DJ412" s="116"/>
      <c r="DK412" s="116"/>
      <c r="DL412" s="116"/>
      <c r="DM412" s="116"/>
      <c r="DN412" s="116"/>
      <c r="DO412" s="116"/>
      <c r="DP412" s="116"/>
      <c r="DQ412" s="116"/>
      <c r="DR412" s="116"/>
      <c r="DS412" s="116"/>
      <c r="DT412" s="116"/>
      <c r="DU412" s="116"/>
      <c r="DV412" s="116"/>
      <c r="DW412" s="116"/>
      <c r="DX412" s="116"/>
      <c r="DY412" s="116"/>
      <c r="DZ412" s="116"/>
      <c r="EA412" s="116"/>
      <c r="EB412" s="116"/>
    </row>
    <row r="413" spans="36:132" ht="12.75" hidden="1" customHeight="1">
      <c r="AJ413" s="116"/>
      <c r="AK413" s="116"/>
      <c r="AL413" s="116"/>
      <c r="AM413" s="116"/>
      <c r="AN413" s="116"/>
      <c r="AO413" s="116"/>
      <c r="AP413" s="116"/>
      <c r="AS413" s="116"/>
      <c r="AT413" s="116"/>
      <c r="BQ413" s="116"/>
      <c r="BR413" s="116"/>
      <c r="BS413" s="116"/>
      <c r="BT413" s="116"/>
      <c r="BU413" s="116"/>
      <c r="BV413" s="116"/>
      <c r="BW413" s="116"/>
      <c r="BX413" s="116"/>
      <c r="BY413" s="116"/>
      <c r="BZ413" s="116"/>
      <c r="CA413" s="116"/>
      <c r="CB413" s="116"/>
      <c r="CC413" s="116"/>
      <c r="CD413" s="116"/>
      <c r="CE413" s="116"/>
      <c r="CF413" s="116"/>
      <c r="CG413" s="116"/>
      <c r="CH413" s="116"/>
      <c r="CI413" s="116"/>
      <c r="CJ413" s="116"/>
      <c r="CK413" s="116"/>
      <c r="CL413" s="116"/>
      <c r="CM413" s="116"/>
      <c r="CN413" s="116"/>
      <c r="CO413" s="116"/>
      <c r="CP413" s="116"/>
      <c r="CQ413" s="116"/>
      <c r="CR413" s="116"/>
      <c r="CS413" s="116"/>
      <c r="CT413" s="116"/>
      <c r="CU413" s="116"/>
      <c r="CV413" s="116"/>
      <c r="CW413" s="116"/>
      <c r="CX413" s="116"/>
      <c r="CY413" s="116"/>
      <c r="CZ413" s="116"/>
      <c r="DA413" s="116"/>
      <c r="DB413" s="116"/>
      <c r="DC413" s="116"/>
      <c r="DD413" s="116"/>
      <c r="DE413" s="116"/>
      <c r="DF413" s="116"/>
      <c r="DG413" s="116"/>
      <c r="DH413" s="116"/>
      <c r="DI413" s="116"/>
      <c r="DJ413" s="116"/>
      <c r="DK413" s="116"/>
      <c r="DL413" s="116"/>
      <c r="DM413" s="116"/>
      <c r="DN413" s="116"/>
      <c r="DO413" s="116"/>
      <c r="DP413" s="116"/>
      <c r="DQ413" s="116"/>
      <c r="DR413" s="116"/>
      <c r="DS413" s="116"/>
      <c r="DT413" s="116"/>
      <c r="DU413" s="116"/>
      <c r="DV413" s="116"/>
      <c r="DW413" s="116"/>
      <c r="DX413" s="116"/>
      <c r="DY413" s="116"/>
      <c r="DZ413" s="116"/>
      <c r="EA413" s="116"/>
      <c r="EB413" s="116"/>
    </row>
    <row r="414" spans="36:132" ht="12.75" hidden="1" customHeight="1">
      <c r="AJ414" s="116"/>
      <c r="AK414" s="116"/>
      <c r="AL414" s="116"/>
      <c r="AM414" s="116"/>
      <c r="AN414" s="116"/>
      <c r="AO414" s="116"/>
      <c r="AP414" s="116"/>
      <c r="AS414" s="116"/>
      <c r="AT414" s="116"/>
      <c r="BQ414" s="116"/>
      <c r="BR414" s="116"/>
      <c r="BS414" s="116"/>
      <c r="BT414" s="116"/>
      <c r="BU414" s="116"/>
      <c r="BV414" s="116"/>
      <c r="BW414" s="116"/>
      <c r="BX414" s="116"/>
      <c r="BY414" s="116"/>
      <c r="BZ414" s="116"/>
      <c r="CA414" s="116"/>
      <c r="CB414" s="116"/>
      <c r="CC414" s="116"/>
      <c r="CD414" s="116"/>
      <c r="CE414" s="116"/>
      <c r="CF414" s="116"/>
      <c r="CG414" s="116"/>
      <c r="CH414" s="116"/>
      <c r="CI414" s="116"/>
      <c r="CJ414" s="116"/>
      <c r="CK414" s="116"/>
      <c r="CL414" s="116"/>
      <c r="CM414" s="116"/>
      <c r="CN414" s="116"/>
      <c r="CO414" s="116"/>
      <c r="CP414" s="116"/>
      <c r="CQ414" s="116"/>
      <c r="CR414" s="116"/>
      <c r="CS414" s="116"/>
      <c r="CT414" s="116"/>
      <c r="CU414" s="116"/>
      <c r="CV414" s="116"/>
      <c r="CW414" s="116"/>
      <c r="CX414" s="116"/>
      <c r="CY414" s="116"/>
      <c r="CZ414" s="116"/>
      <c r="DA414" s="116"/>
      <c r="DB414" s="116"/>
      <c r="DC414" s="116"/>
      <c r="DD414" s="116"/>
      <c r="DE414" s="116"/>
      <c r="DF414" s="116"/>
      <c r="DG414" s="116"/>
      <c r="DH414" s="116"/>
      <c r="DI414" s="116"/>
      <c r="DJ414" s="116"/>
      <c r="DK414" s="116"/>
      <c r="DL414" s="116"/>
      <c r="DM414" s="116"/>
      <c r="DN414" s="116"/>
      <c r="DO414" s="116"/>
      <c r="DP414" s="116"/>
      <c r="DQ414" s="116"/>
      <c r="DR414" s="116"/>
      <c r="DS414" s="116"/>
      <c r="DT414" s="116"/>
      <c r="DU414" s="116"/>
      <c r="DV414" s="116"/>
      <c r="DW414" s="116"/>
      <c r="DX414" s="116"/>
      <c r="DY414" s="116"/>
      <c r="DZ414" s="116"/>
      <c r="EA414" s="116"/>
      <c r="EB414" s="116"/>
    </row>
    <row r="415" spans="36:132" ht="12.75" hidden="1" customHeight="1">
      <c r="AJ415" s="116"/>
      <c r="AK415" s="116"/>
      <c r="AL415" s="116"/>
      <c r="AM415" s="116"/>
      <c r="AN415" s="116"/>
      <c r="AO415" s="116"/>
      <c r="AP415" s="116"/>
      <c r="AS415" s="116"/>
      <c r="AT415" s="116"/>
      <c r="BQ415" s="116"/>
      <c r="BR415" s="116"/>
      <c r="BS415" s="116"/>
      <c r="BT415" s="116"/>
      <c r="BU415" s="116"/>
      <c r="BV415" s="116"/>
      <c r="BW415" s="116"/>
      <c r="BX415" s="116"/>
      <c r="BY415" s="116"/>
      <c r="BZ415" s="116"/>
      <c r="CA415" s="116"/>
      <c r="CB415" s="116"/>
      <c r="CC415" s="116"/>
      <c r="CD415" s="116"/>
      <c r="CE415" s="116"/>
      <c r="CF415" s="116"/>
      <c r="CG415" s="116"/>
      <c r="CH415" s="116"/>
      <c r="CI415" s="116"/>
      <c r="CJ415" s="116"/>
      <c r="CK415" s="116"/>
      <c r="CL415" s="116"/>
      <c r="CM415" s="116"/>
      <c r="CN415" s="116"/>
      <c r="CO415" s="116"/>
      <c r="CP415" s="116"/>
      <c r="CQ415" s="116"/>
      <c r="CR415" s="116"/>
      <c r="CS415" s="116"/>
      <c r="CT415" s="116"/>
      <c r="CU415" s="116"/>
      <c r="CV415" s="116"/>
      <c r="CW415" s="116"/>
      <c r="CX415" s="116"/>
      <c r="CY415" s="116"/>
      <c r="CZ415" s="116"/>
      <c r="DA415" s="116"/>
      <c r="DB415" s="116"/>
      <c r="DC415" s="116"/>
      <c r="DD415" s="116"/>
      <c r="DE415" s="116"/>
      <c r="DF415" s="116"/>
      <c r="DG415" s="116"/>
      <c r="DH415" s="116"/>
      <c r="DI415" s="116"/>
      <c r="DJ415" s="116"/>
      <c r="DK415" s="116"/>
      <c r="DL415" s="116"/>
      <c r="DM415" s="116"/>
      <c r="DN415" s="116"/>
      <c r="DO415" s="116"/>
      <c r="DP415" s="116"/>
      <c r="DQ415" s="116"/>
      <c r="DR415" s="116"/>
      <c r="DS415" s="116"/>
      <c r="DT415" s="116"/>
      <c r="DU415" s="116"/>
      <c r="DV415" s="116"/>
      <c r="DW415" s="116"/>
      <c r="DX415" s="116"/>
      <c r="DY415" s="116"/>
      <c r="DZ415" s="116"/>
      <c r="EA415" s="116"/>
      <c r="EB415" s="116"/>
    </row>
    <row r="416" spans="36:132" ht="12.75" hidden="1" customHeight="1">
      <c r="AJ416" s="116"/>
      <c r="AK416" s="116"/>
      <c r="AL416" s="116"/>
      <c r="AM416" s="116"/>
      <c r="AN416" s="116"/>
      <c r="AO416" s="116"/>
      <c r="AP416" s="116"/>
      <c r="AS416" s="116"/>
      <c r="AT416" s="116"/>
      <c r="BQ416" s="116"/>
      <c r="BR416" s="116"/>
      <c r="BS416" s="116"/>
      <c r="BT416" s="116"/>
      <c r="BU416" s="116"/>
      <c r="BV416" s="116"/>
      <c r="BW416" s="116"/>
      <c r="BX416" s="116"/>
      <c r="BY416" s="116"/>
      <c r="BZ416" s="116"/>
      <c r="CA416" s="116"/>
      <c r="CB416" s="116"/>
      <c r="CC416" s="116"/>
      <c r="CD416" s="116"/>
      <c r="CE416" s="116"/>
      <c r="CF416" s="116"/>
      <c r="CG416" s="116"/>
      <c r="CH416" s="116"/>
      <c r="CI416" s="116"/>
      <c r="CJ416" s="116"/>
      <c r="CK416" s="116"/>
      <c r="CL416" s="116"/>
      <c r="CM416" s="116"/>
      <c r="CN416" s="116"/>
      <c r="CO416" s="116"/>
      <c r="CP416" s="116"/>
      <c r="CQ416" s="116"/>
      <c r="CR416" s="116"/>
      <c r="CS416" s="116"/>
      <c r="CT416" s="116"/>
      <c r="CU416" s="116"/>
      <c r="CV416" s="116"/>
      <c r="CW416" s="116"/>
      <c r="CX416" s="116"/>
      <c r="CY416" s="116"/>
      <c r="CZ416" s="116"/>
      <c r="DA416" s="116"/>
      <c r="DB416" s="116"/>
      <c r="DC416" s="116"/>
      <c r="DD416" s="116"/>
      <c r="DE416" s="116"/>
      <c r="DF416" s="116"/>
      <c r="DG416" s="116"/>
      <c r="DH416" s="116"/>
      <c r="DI416" s="116"/>
      <c r="DJ416" s="116"/>
      <c r="DK416" s="116"/>
      <c r="DL416" s="116"/>
      <c r="DM416" s="116"/>
      <c r="DN416" s="116"/>
      <c r="DO416" s="116"/>
      <c r="DP416" s="116"/>
      <c r="DQ416" s="116"/>
      <c r="DR416" s="116"/>
      <c r="DS416" s="116"/>
      <c r="DT416" s="116"/>
      <c r="DU416" s="116"/>
      <c r="DV416" s="116"/>
      <c r="DW416" s="116"/>
      <c r="DX416" s="116"/>
      <c r="DY416" s="116"/>
      <c r="DZ416" s="116"/>
      <c r="EA416" s="116"/>
      <c r="EB416" s="116"/>
    </row>
    <row r="417" spans="36:132" ht="12.75" hidden="1" customHeight="1">
      <c r="AJ417" s="116"/>
      <c r="AK417" s="116"/>
      <c r="AL417" s="116"/>
      <c r="AM417" s="116"/>
      <c r="AN417" s="116"/>
      <c r="AO417" s="116"/>
      <c r="AP417" s="116"/>
      <c r="AS417" s="116"/>
      <c r="AT417" s="116"/>
      <c r="BQ417" s="116"/>
      <c r="BR417" s="116"/>
      <c r="BS417" s="116"/>
      <c r="BT417" s="116"/>
      <c r="BU417" s="116"/>
      <c r="BV417" s="116"/>
      <c r="BW417" s="116"/>
      <c r="BX417" s="116"/>
      <c r="BY417" s="116"/>
      <c r="BZ417" s="116"/>
      <c r="CA417" s="116"/>
      <c r="CB417" s="116"/>
      <c r="CC417" s="116"/>
      <c r="CD417" s="116"/>
      <c r="CE417" s="116"/>
      <c r="CF417" s="116"/>
      <c r="CG417" s="116"/>
      <c r="CH417" s="116"/>
      <c r="CI417" s="116"/>
      <c r="CJ417" s="116"/>
      <c r="CK417" s="116"/>
      <c r="CL417" s="116"/>
      <c r="CM417" s="116"/>
      <c r="CN417" s="116"/>
      <c r="CO417" s="116"/>
      <c r="CP417" s="116"/>
      <c r="CQ417" s="116"/>
      <c r="CR417" s="116"/>
      <c r="CS417" s="116"/>
      <c r="CT417" s="116"/>
      <c r="CU417" s="116"/>
      <c r="CV417" s="116"/>
      <c r="CW417" s="116"/>
      <c r="CX417" s="116"/>
      <c r="CY417" s="116"/>
      <c r="CZ417" s="116"/>
      <c r="DA417" s="116"/>
      <c r="DB417" s="116"/>
      <c r="DC417" s="116"/>
      <c r="DD417" s="116"/>
      <c r="DE417" s="116"/>
      <c r="DF417" s="116"/>
      <c r="DG417" s="116"/>
      <c r="DH417" s="116"/>
      <c r="DI417" s="116"/>
      <c r="DJ417" s="116"/>
      <c r="DK417" s="116"/>
      <c r="DL417" s="116"/>
      <c r="DM417" s="116"/>
      <c r="DN417" s="116"/>
      <c r="DO417" s="116"/>
      <c r="DP417" s="116"/>
      <c r="DQ417" s="116"/>
      <c r="DR417" s="116"/>
      <c r="DS417" s="116"/>
      <c r="DT417" s="116"/>
      <c r="DU417" s="116"/>
      <c r="DV417" s="116"/>
      <c r="DW417" s="116"/>
      <c r="DX417" s="116"/>
      <c r="DY417" s="116"/>
      <c r="DZ417" s="116"/>
      <c r="EA417" s="116"/>
      <c r="EB417" s="116"/>
    </row>
    <row r="418" spans="36:132" ht="12.75" hidden="1" customHeight="1">
      <c r="AJ418" s="116"/>
      <c r="AK418" s="116"/>
      <c r="AL418" s="116"/>
      <c r="AM418" s="116"/>
      <c r="AN418" s="116"/>
      <c r="AO418" s="116"/>
      <c r="AP418" s="116"/>
      <c r="AS418" s="116"/>
      <c r="AT418" s="116"/>
      <c r="BQ418" s="116"/>
      <c r="BR418" s="116"/>
      <c r="BS418" s="116"/>
      <c r="BT418" s="116"/>
      <c r="BU418" s="116"/>
      <c r="BV418" s="116"/>
      <c r="BW418" s="116"/>
      <c r="BX418" s="116"/>
      <c r="BY418" s="116"/>
      <c r="BZ418" s="116"/>
      <c r="CA418" s="116"/>
      <c r="CB418" s="116"/>
      <c r="CC418" s="116"/>
      <c r="CD418" s="116"/>
      <c r="CE418" s="116"/>
      <c r="CF418" s="116"/>
      <c r="CG418" s="116"/>
      <c r="CH418" s="116"/>
      <c r="CI418" s="116"/>
      <c r="CJ418" s="116"/>
      <c r="CK418" s="116"/>
      <c r="CL418" s="116"/>
      <c r="CM418" s="116"/>
      <c r="CN418" s="116"/>
      <c r="CO418" s="116"/>
      <c r="CP418" s="116"/>
      <c r="CQ418" s="116"/>
      <c r="CR418" s="116"/>
      <c r="CS418" s="116"/>
      <c r="CT418" s="116"/>
      <c r="CU418" s="116"/>
      <c r="CV418" s="116"/>
      <c r="CW418" s="116"/>
      <c r="CX418" s="116"/>
      <c r="CY418" s="116"/>
      <c r="CZ418" s="116"/>
      <c r="DA418" s="116"/>
      <c r="DB418" s="116"/>
      <c r="DC418" s="116"/>
      <c r="DD418" s="116"/>
      <c r="DE418" s="116"/>
      <c r="DF418" s="116"/>
      <c r="DG418" s="116"/>
      <c r="DH418" s="116"/>
      <c r="DI418" s="116"/>
      <c r="DJ418" s="116"/>
      <c r="DK418" s="116"/>
      <c r="DL418" s="116"/>
      <c r="DM418" s="116"/>
      <c r="DN418" s="116"/>
      <c r="DO418" s="116"/>
      <c r="DP418" s="116"/>
      <c r="DQ418" s="116"/>
      <c r="DR418" s="116"/>
      <c r="DS418" s="116"/>
      <c r="DT418" s="116"/>
      <c r="DU418" s="116"/>
      <c r="DV418" s="116"/>
      <c r="DW418" s="116"/>
      <c r="DX418" s="116"/>
      <c r="DY418" s="116"/>
      <c r="DZ418" s="116"/>
      <c r="EA418" s="116"/>
      <c r="EB418" s="116"/>
    </row>
    <row r="419" spans="36:132" ht="12.75" hidden="1" customHeight="1">
      <c r="AJ419" s="116"/>
      <c r="AK419" s="116"/>
      <c r="AL419" s="116"/>
      <c r="AM419" s="116"/>
      <c r="AN419" s="116"/>
      <c r="AO419" s="116"/>
      <c r="AP419" s="116"/>
      <c r="AS419" s="116"/>
      <c r="AT419" s="116"/>
      <c r="BQ419" s="116"/>
      <c r="BR419" s="116"/>
      <c r="BS419" s="116"/>
      <c r="BT419" s="116"/>
      <c r="BU419" s="116"/>
      <c r="BV419" s="116"/>
      <c r="BW419" s="116"/>
      <c r="BX419" s="116"/>
      <c r="BY419" s="116"/>
      <c r="BZ419" s="116"/>
      <c r="CA419" s="116"/>
      <c r="CB419" s="116"/>
      <c r="CC419" s="116"/>
      <c r="CD419" s="116"/>
      <c r="CE419" s="116"/>
      <c r="CF419" s="116"/>
      <c r="CG419" s="116"/>
      <c r="CH419" s="116"/>
      <c r="CI419" s="116"/>
      <c r="CJ419" s="116"/>
      <c r="CK419" s="116"/>
      <c r="CL419" s="116"/>
      <c r="CM419" s="116"/>
      <c r="CN419" s="116"/>
      <c r="CO419" s="116"/>
      <c r="CP419" s="116"/>
      <c r="CQ419" s="116"/>
      <c r="CR419" s="116"/>
      <c r="CS419" s="116"/>
      <c r="CT419" s="116"/>
      <c r="CU419" s="116"/>
      <c r="CV419" s="116"/>
      <c r="CW419" s="116"/>
      <c r="CX419" s="116"/>
      <c r="CY419" s="116"/>
      <c r="CZ419" s="116"/>
      <c r="DA419" s="116"/>
      <c r="DB419" s="116"/>
      <c r="DC419" s="116"/>
      <c r="DD419" s="116"/>
      <c r="DE419" s="116"/>
      <c r="DF419" s="116"/>
      <c r="DG419" s="116"/>
      <c r="DH419" s="116"/>
      <c r="DI419" s="116"/>
      <c r="DJ419" s="116"/>
      <c r="DK419" s="116"/>
      <c r="DL419" s="116"/>
      <c r="DM419" s="116"/>
      <c r="DN419" s="116"/>
      <c r="DO419" s="116"/>
      <c r="DP419" s="116"/>
      <c r="DQ419" s="116"/>
      <c r="DR419" s="116"/>
      <c r="DS419" s="116"/>
      <c r="DT419" s="116"/>
      <c r="DU419" s="116"/>
      <c r="DV419" s="116"/>
      <c r="DW419" s="116"/>
      <c r="DX419" s="116"/>
      <c r="DY419" s="116"/>
      <c r="DZ419" s="116"/>
      <c r="EA419" s="116"/>
      <c r="EB419" s="116"/>
    </row>
    <row r="420" spans="36:132" ht="12.75" hidden="1" customHeight="1">
      <c r="AJ420" s="116"/>
      <c r="AK420" s="116"/>
      <c r="AL420" s="116"/>
      <c r="AM420" s="116"/>
      <c r="AN420" s="116"/>
      <c r="AO420" s="116"/>
      <c r="AP420" s="116"/>
      <c r="AS420" s="116"/>
      <c r="AT420" s="116"/>
      <c r="BQ420" s="116"/>
      <c r="BR420" s="116"/>
      <c r="BS420" s="116"/>
      <c r="BT420" s="116"/>
      <c r="BU420" s="116"/>
      <c r="BV420" s="116"/>
      <c r="BW420" s="116"/>
      <c r="BX420" s="116"/>
      <c r="BY420" s="116"/>
      <c r="BZ420" s="116"/>
      <c r="CA420" s="116"/>
      <c r="CB420" s="116"/>
      <c r="CC420" s="116"/>
      <c r="CD420" s="116"/>
      <c r="CE420" s="116"/>
      <c r="CF420" s="116"/>
      <c r="CG420" s="116"/>
      <c r="CH420" s="116"/>
      <c r="CI420" s="116"/>
      <c r="CJ420" s="116"/>
      <c r="CK420" s="116"/>
      <c r="CL420" s="116"/>
      <c r="CM420" s="116"/>
      <c r="CN420" s="116"/>
      <c r="CO420" s="116"/>
      <c r="CP420" s="116"/>
      <c r="CQ420" s="116"/>
      <c r="CR420" s="116"/>
      <c r="CS420" s="116"/>
      <c r="CT420" s="116"/>
      <c r="CU420" s="116"/>
      <c r="CV420" s="116"/>
      <c r="CW420" s="116"/>
      <c r="CX420" s="116"/>
      <c r="CY420" s="116"/>
      <c r="CZ420" s="116"/>
      <c r="DA420" s="116"/>
      <c r="DB420" s="116"/>
      <c r="DC420" s="116"/>
      <c r="DD420" s="116"/>
      <c r="DE420" s="116"/>
      <c r="DF420" s="116"/>
      <c r="DG420" s="116"/>
      <c r="DH420" s="116"/>
      <c r="DI420" s="116"/>
      <c r="DJ420" s="116"/>
      <c r="DK420" s="116"/>
      <c r="DL420" s="116"/>
      <c r="DM420" s="116"/>
      <c r="DN420" s="116"/>
      <c r="DO420" s="116"/>
      <c r="DP420" s="116"/>
      <c r="DQ420" s="116"/>
      <c r="DR420" s="116"/>
      <c r="DS420" s="116"/>
      <c r="DT420" s="116"/>
      <c r="DU420" s="116"/>
      <c r="DV420" s="116"/>
      <c r="DW420" s="116"/>
      <c r="DX420" s="116"/>
      <c r="DY420" s="116"/>
      <c r="DZ420" s="116"/>
      <c r="EA420" s="116"/>
      <c r="EB420" s="116"/>
    </row>
    <row r="421" spans="36:132" ht="12.75" hidden="1" customHeight="1">
      <c r="AJ421" s="116"/>
      <c r="AK421" s="116"/>
      <c r="AL421" s="116"/>
      <c r="AM421" s="116"/>
      <c r="AN421" s="116"/>
      <c r="AO421" s="116"/>
      <c r="AP421" s="116"/>
      <c r="AS421" s="116"/>
      <c r="AT421" s="116"/>
      <c r="BQ421" s="116"/>
      <c r="BR421" s="116"/>
      <c r="BS421" s="116"/>
      <c r="BT421" s="116"/>
      <c r="BU421" s="116"/>
      <c r="BV421" s="116"/>
      <c r="BW421" s="116"/>
      <c r="BX421" s="116"/>
      <c r="BY421" s="116"/>
      <c r="BZ421" s="116"/>
      <c r="CA421" s="116"/>
      <c r="CB421" s="116"/>
      <c r="CC421" s="116"/>
      <c r="CD421" s="116"/>
      <c r="CE421" s="116"/>
      <c r="CF421" s="116"/>
      <c r="CG421" s="116"/>
      <c r="CH421" s="116"/>
      <c r="CI421" s="116"/>
      <c r="CJ421" s="116"/>
      <c r="CK421" s="116"/>
      <c r="CL421" s="116"/>
      <c r="CM421" s="116"/>
      <c r="CN421" s="116"/>
      <c r="CO421" s="116"/>
      <c r="CP421" s="116"/>
      <c r="CQ421" s="116"/>
      <c r="CR421" s="116"/>
      <c r="CS421" s="116"/>
      <c r="CT421" s="116"/>
      <c r="CU421" s="116"/>
      <c r="CV421" s="116"/>
      <c r="CW421" s="116"/>
      <c r="CX421" s="116"/>
      <c r="CY421" s="116"/>
      <c r="CZ421" s="116"/>
      <c r="DA421" s="116"/>
      <c r="DB421" s="116"/>
      <c r="DC421" s="116"/>
      <c r="DD421" s="116"/>
      <c r="DE421" s="116"/>
      <c r="DF421" s="116"/>
      <c r="DG421" s="116"/>
      <c r="DH421" s="116"/>
      <c r="DI421" s="116"/>
      <c r="DJ421" s="116"/>
      <c r="DK421" s="116"/>
      <c r="DL421" s="116"/>
      <c r="DM421" s="116"/>
      <c r="DN421" s="116"/>
      <c r="DO421" s="116"/>
      <c r="DP421" s="116"/>
      <c r="DQ421" s="116"/>
      <c r="DR421" s="116"/>
      <c r="DS421" s="116"/>
      <c r="DT421" s="116"/>
      <c r="DU421" s="116"/>
      <c r="DV421" s="116"/>
      <c r="DW421" s="116"/>
      <c r="DX421" s="116"/>
      <c r="DY421" s="116"/>
      <c r="DZ421" s="116"/>
      <c r="EA421" s="116"/>
      <c r="EB421" s="116"/>
    </row>
    <row r="422" spans="36:132" ht="12.75" hidden="1" customHeight="1">
      <c r="AJ422" s="116"/>
      <c r="AK422" s="116"/>
      <c r="AL422" s="116"/>
      <c r="AM422" s="116"/>
      <c r="AN422" s="116"/>
      <c r="AO422" s="116"/>
      <c r="AP422" s="116"/>
      <c r="AS422" s="116"/>
      <c r="AT422" s="116"/>
      <c r="BQ422" s="116"/>
      <c r="BR422" s="116"/>
      <c r="BS422" s="116"/>
      <c r="BT422" s="116"/>
      <c r="BU422" s="116"/>
      <c r="BV422" s="116"/>
      <c r="BW422" s="116"/>
      <c r="BX422" s="116"/>
      <c r="BY422" s="116"/>
      <c r="BZ422" s="116"/>
      <c r="CA422" s="116"/>
      <c r="CB422" s="116"/>
      <c r="CC422" s="116"/>
      <c r="CD422" s="116"/>
      <c r="CE422" s="116"/>
      <c r="CF422" s="116"/>
      <c r="CG422" s="116"/>
      <c r="CH422" s="116"/>
      <c r="CI422" s="116"/>
      <c r="CJ422" s="116"/>
      <c r="CK422" s="116"/>
      <c r="CL422" s="116"/>
      <c r="CM422" s="116"/>
      <c r="CN422" s="116"/>
      <c r="CO422" s="116"/>
      <c r="CP422" s="116"/>
      <c r="CQ422" s="116"/>
      <c r="CR422" s="116"/>
      <c r="CS422" s="116"/>
      <c r="CT422" s="116"/>
      <c r="CU422" s="116"/>
      <c r="CV422" s="116"/>
      <c r="CW422" s="116"/>
      <c r="CX422" s="116"/>
      <c r="CY422" s="116"/>
      <c r="CZ422" s="116"/>
      <c r="DA422" s="116"/>
      <c r="DB422" s="116"/>
      <c r="DC422" s="116"/>
      <c r="DD422" s="116"/>
      <c r="DE422" s="116"/>
      <c r="DF422" s="116"/>
      <c r="DG422" s="116"/>
      <c r="DH422" s="116"/>
      <c r="DI422" s="116"/>
      <c r="DJ422" s="116"/>
      <c r="DK422" s="116"/>
      <c r="DL422" s="116"/>
      <c r="DM422" s="116"/>
      <c r="DN422" s="116"/>
      <c r="DO422" s="116"/>
      <c r="DP422" s="116"/>
      <c r="DQ422" s="116"/>
      <c r="DR422" s="116"/>
      <c r="DS422" s="116"/>
      <c r="DT422" s="116"/>
      <c r="DU422" s="116"/>
      <c r="DV422" s="116"/>
      <c r="DW422" s="116"/>
      <c r="DX422" s="116"/>
      <c r="DY422" s="116"/>
      <c r="DZ422" s="116"/>
      <c r="EA422" s="116"/>
      <c r="EB422" s="116"/>
    </row>
    <row r="423" spans="36:132" ht="12.75" hidden="1" customHeight="1">
      <c r="AJ423" s="116"/>
      <c r="AK423" s="116"/>
      <c r="AL423" s="116"/>
      <c r="AM423" s="116"/>
      <c r="AN423" s="116"/>
      <c r="AO423" s="116"/>
      <c r="AP423" s="116"/>
      <c r="AS423" s="116"/>
      <c r="AT423" s="116"/>
      <c r="BQ423" s="116"/>
      <c r="BR423" s="116"/>
      <c r="BS423" s="116"/>
      <c r="BT423" s="116"/>
      <c r="BU423" s="116"/>
      <c r="BV423" s="116"/>
      <c r="BW423" s="116"/>
      <c r="BX423" s="116"/>
      <c r="BY423" s="116"/>
      <c r="BZ423" s="116"/>
      <c r="CA423" s="116"/>
      <c r="CB423" s="116"/>
      <c r="CC423" s="116"/>
      <c r="CD423" s="116"/>
      <c r="CE423" s="116"/>
      <c r="CF423" s="116"/>
      <c r="CG423" s="116"/>
      <c r="CH423" s="116"/>
      <c r="CI423" s="116"/>
      <c r="CJ423" s="116"/>
      <c r="CK423" s="116"/>
      <c r="CL423" s="116"/>
      <c r="CM423" s="116"/>
      <c r="CN423" s="116"/>
      <c r="CO423" s="116"/>
      <c r="CP423" s="116"/>
      <c r="CQ423" s="116"/>
      <c r="CR423" s="116"/>
      <c r="CS423" s="116"/>
      <c r="CT423" s="116"/>
      <c r="CU423" s="116"/>
      <c r="CV423" s="116"/>
      <c r="CW423" s="116"/>
      <c r="CX423" s="116"/>
      <c r="CY423" s="116"/>
      <c r="CZ423" s="116"/>
      <c r="DA423" s="116"/>
      <c r="DB423" s="116"/>
      <c r="DC423" s="116"/>
      <c r="DD423" s="116"/>
      <c r="DE423" s="116"/>
      <c r="DF423" s="116"/>
      <c r="DG423" s="116"/>
      <c r="DH423" s="116"/>
      <c r="DI423" s="116"/>
      <c r="DJ423" s="116"/>
      <c r="DK423" s="116"/>
      <c r="DL423" s="116"/>
      <c r="DM423" s="116"/>
      <c r="DN423" s="116"/>
      <c r="DO423" s="116"/>
      <c r="DP423" s="116"/>
      <c r="DQ423" s="116"/>
      <c r="DR423" s="116"/>
      <c r="DS423" s="116"/>
      <c r="DT423" s="116"/>
      <c r="DU423" s="116"/>
      <c r="DV423" s="116"/>
      <c r="DW423" s="116"/>
      <c r="DX423" s="116"/>
      <c r="DY423" s="116"/>
      <c r="DZ423" s="116"/>
      <c r="EA423" s="116"/>
      <c r="EB423" s="116"/>
    </row>
    <row r="424" spans="36:132" ht="12.75" hidden="1" customHeight="1">
      <c r="AJ424" s="116"/>
      <c r="AK424" s="116"/>
      <c r="AL424" s="116"/>
      <c r="AM424" s="116"/>
      <c r="AN424" s="116"/>
      <c r="AO424" s="116"/>
      <c r="AP424" s="116"/>
      <c r="AS424" s="116"/>
      <c r="AT424" s="116"/>
      <c r="BQ424" s="116"/>
      <c r="BR424" s="116"/>
      <c r="BS424" s="116"/>
      <c r="BT424" s="116"/>
      <c r="BU424" s="116"/>
      <c r="BV424" s="116"/>
      <c r="BW424" s="116"/>
      <c r="BX424" s="116"/>
      <c r="BY424" s="116"/>
      <c r="BZ424" s="116"/>
      <c r="CA424" s="116"/>
      <c r="CB424" s="116"/>
      <c r="CC424" s="116"/>
      <c r="CD424" s="116"/>
      <c r="CE424" s="116"/>
      <c r="CF424" s="116"/>
      <c r="CG424" s="116"/>
      <c r="CH424" s="116"/>
      <c r="CI424" s="116"/>
      <c r="CJ424" s="116"/>
      <c r="CK424" s="116"/>
      <c r="CL424" s="116"/>
      <c r="CM424" s="116"/>
      <c r="CN424" s="116"/>
      <c r="CO424" s="116"/>
      <c r="CP424" s="116"/>
      <c r="CQ424" s="116"/>
      <c r="CR424" s="116"/>
      <c r="CS424" s="116"/>
      <c r="CT424" s="116"/>
      <c r="CU424" s="116"/>
      <c r="CV424" s="116"/>
      <c r="CW424" s="116"/>
      <c r="CX424" s="116"/>
      <c r="CY424" s="116"/>
      <c r="CZ424" s="116"/>
      <c r="DA424" s="116"/>
      <c r="DB424" s="116"/>
      <c r="DC424" s="116"/>
      <c r="DD424" s="116"/>
      <c r="DE424" s="116"/>
      <c r="DF424" s="116"/>
      <c r="DG424" s="116"/>
      <c r="DH424" s="116"/>
      <c r="DI424" s="116"/>
      <c r="DJ424" s="116"/>
      <c r="DK424" s="116"/>
      <c r="DL424" s="116"/>
      <c r="DM424" s="116"/>
      <c r="DN424" s="116"/>
      <c r="DO424" s="116"/>
      <c r="DP424" s="116"/>
      <c r="DQ424" s="116"/>
      <c r="DR424" s="116"/>
      <c r="DS424" s="116"/>
      <c r="DT424" s="116"/>
      <c r="DU424" s="116"/>
      <c r="DV424" s="116"/>
      <c r="DW424" s="116"/>
      <c r="DX424" s="116"/>
      <c r="DY424" s="116"/>
      <c r="DZ424" s="116"/>
      <c r="EA424" s="116"/>
      <c r="EB424" s="116"/>
    </row>
    <row r="425" spans="36:132" ht="12.75" hidden="1" customHeight="1">
      <c r="AJ425" s="116"/>
      <c r="AK425" s="116"/>
      <c r="AL425" s="116"/>
      <c r="AM425" s="116"/>
      <c r="AN425" s="116"/>
      <c r="AO425" s="116"/>
      <c r="AP425" s="116"/>
      <c r="AS425" s="116"/>
      <c r="AT425" s="116"/>
      <c r="BQ425" s="116"/>
      <c r="BR425" s="116"/>
      <c r="BS425" s="116"/>
      <c r="BT425" s="116"/>
      <c r="BU425" s="116"/>
      <c r="BV425" s="116"/>
      <c r="BW425" s="116"/>
      <c r="BX425" s="116"/>
      <c r="BY425" s="116"/>
      <c r="BZ425" s="116"/>
      <c r="CA425" s="116"/>
      <c r="CB425" s="116"/>
      <c r="CC425" s="116"/>
      <c r="CD425" s="116"/>
      <c r="CE425" s="116"/>
      <c r="CF425" s="116"/>
      <c r="CG425" s="116"/>
      <c r="CH425" s="116"/>
      <c r="CI425" s="116"/>
      <c r="CJ425" s="116"/>
      <c r="CK425" s="116"/>
      <c r="CL425" s="116"/>
      <c r="CM425" s="116"/>
      <c r="CN425" s="116"/>
      <c r="CO425" s="116"/>
      <c r="CP425" s="116"/>
      <c r="CQ425" s="116"/>
      <c r="CR425" s="116"/>
      <c r="CS425" s="116"/>
      <c r="CT425" s="116"/>
      <c r="CU425" s="116"/>
      <c r="CV425" s="116"/>
      <c r="CW425" s="116"/>
      <c r="CX425" s="116"/>
      <c r="CY425" s="116"/>
      <c r="CZ425" s="116"/>
      <c r="DA425" s="116"/>
      <c r="DB425" s="116"/>
      <c r="DC425" s="116"/>
      <c r="DD425" s="116"/>
      <c r="DE425" s="116"/>
      <c r="DF425" s="116"/>
      <c r="DG425" s="116"/>
      <c r="DH425" s="116"/>
      <c r="DI425" s="116"/>
      <c r="DJ425" s="116"/>
      <c r="DK425" s="116"/>
      <c r="DL425" s="116"/>
      <c r="DM425" s="116"/>
      <c r="DN425" s="116"/>
      <c r="DO425" s="116"/>
      <c r="DP425" s="116"/>
      <c r="DQ425" s="116"/>
      <c r="DR425" s="116"/>
      <c r="DS425" s="116"/>
      <c r="DT425" s="116"/>
      <c r="DU425" s="116"/>
      <c r="DV425" s="116"/>
      <c r="DW425" s="116"/>
      <c r="DX425" s="116"/>
      <c r="DY425" s="116"/>
      <c r="DZ425" s="116"/>
      <c r="EA425" s="116"/>
      <c r="EB425" s="116"/>
    </row>
    <row r="426" spans="36:132" ht="12.75" hidden="1" customHeight="1">
      <c r="AJ426" s="116"/>
      <c r="AK426" s="116"/>
      <c r="AL426" s="116"/>
      <c r="AM426" s="116"/>
      <c r="AN426" s="116"/>
      <c r="AO426" s="116"/>
      <c r="AP426" s="116"/>
      <c r="AS426" s="116"/>
      <c r="AT426" s="116"/>
      <c r="BQ426" s="116"/>
      <c r="BR426" s="116"/>
      <c r="BS426" s="116"/>
      <c r="BT426" s="116"/>
      <c r="BU426" s="116"/>
      <c r="BV426" s="116"/>
      <c r="BW426" s="116"/>
      <c r="BX426" s="116"/>
      <c r="BY426" s="116"/>
      <c r="BZ426" s="116"/>
      <c r="CA426" s="116"/>
      <c r="CB426" s="116"/>
      <c r="CC426" s="116"/>
      <c r="CD426" s="116"/>
      <c r="CE426" s="116"/>
      <c r="CF426" s="116"/>
      <c r="CG426" s="116"/>
      <c r="CH426" s="116"/>
      <c r="CI426" s="116"/>
      <c r="CJ426" s="116"/>
      <c r="CK426" s="116"/>
      <c r="CL426" s="116"/>
      <c r="CM426" s="116"/>
      <c r="CN426" s="116"/>
      <c r="CO426" s="116"/>
      <c r="CP426" s="116"/>
      <c r="CQ426" s="116"/>
      <c r="CR426" s="116"/>
      <c r="CS426" s="116"/>
      <c r="CT426" s="116"/>
      <c r="CU426" s="116"/>
      <c r="CV426" s="116"/>
      <c r="CW426" s="116"/>
      <c r="CX426" s="116"/>
      <c r="CY426" s="116"/>
      <c r="CZ426" s="116"/>
      <c r="DA426" s="116"/>
      <c r="DB426" s="116"/>
      <c r="DC426" s="116"/>
      <c r="DD426" s="116"/>
      <c r="DE426" s="116"/>
      <c r="DF426" s="116"/>
      <c r="DG426" s="116"/>
      <c r="DH426" s="116"/>
      <c r="DI426" s="116"/>
      <c r="DJ426" s="116"/>
      <c r="DK426" s="116"/>
      <c r="DL426" s="116"/>
      <c r="DM426" s="116"/>
      <c r="DN426" s="116"/>
      <c r="DO426" s="116"/>
      <c r="DP426" s="116"/>
      <c r="DQ426" s="116"/>
      <c r="DR426" s="116"/>
      <c r="DS426" s="116"/>
      <c r="DT426" s="116"/>
      <c r="DU426" s="116"/>
      <c r="DV426" s="116"/>
      <c r="DW426" s="116"/>
      <c r="DX426" s="116"/>
      <c r="DY426" s="116"/>
      <c r="DZ426" s="116"/>
      <c r="EA426" s="116"/>
      <c r="EB426" s="116"/>
    </row>
    <row r="427" spans="36:132" ht="12.75" hidden="1" customHeight="1">
      <c r="AJ427" s="116"/>
      <c r="AK427" s="116"/>
      <c r="AL427" s="116"/>
      <c r="AM427" s="116"/>
      <c r="AN427" s="116"/>
      <c r="AO427" s="116"/>
      <c r="AP427" s="116"/>
      <c r="AS427" s="116"/>
      <c r="AT427" s="116"/>
      <c r="BQ427" s="116"/>
      <c r="BR427" s="116"/>
      <c r="BS427" s="116"/>
      <c r="BT427" s="116"/>
      <c r="BU427" s="116"/>
      <c r="BV427" s="116"/>
      <c r="BW427" s="116"/>
      <c r="BX427" s="116"/>
      <c r="BY427" s="116"/>
      <c r="BZ427" s="116"/>
      <c r="CA427" s="116"/>
      <c r="CB427" s="116"/>
      <c r="CC427" s="116"/>
      <c r="CD427" s="116"/>
      <c r="CE427" s="116"/>
      <c r="CF427" s="116"/>
      <c r="CG427" s="116"/>
      <c r="CH427" s="116"/>
      <c r="CI427" s="116"/>
      <c r="CJ427" s="116"/>
      <c r="CK427" s="116"/>
      <c r="CL427" s="116"/>
      <c r="CM427" s="116"/>
      <c r="CN427" s="116"/>
      <c r="CO427" s="116"/>
      <c r="CP427" s="116"/>
      <c r="CQ427" s="116"/>
      <c r="CR427" s="116"/>
      <c r="CS427" s="116"/>
      <c r="CT427" s="116"/>
      <c r="CU427" s="116"/>
      <c r="CV427" s="116"/>
      <c r="CW427" s="116"/>
      <c r="CX427" s="116"/>
      <c r="CY427" s="116"/>
      <c r="CZ427" s="116"/>
      <c r="DA427" s="116"/>
      <c r="DB427" s="116"/>
      <c r="DC427" s="116"/>
      <c r="DD427" s="116"/>
      <c r="DE427" s="116"/>
      <c r="DF427" s="116"/>
      <c r="DG427" s="116"/>
      <c r="DH427" s="116"/>
      <c r="DI427" s="116"/>
      <c r="DJ427" s="116"/>
      <c r="DK427" s="116"/>
      <c r="DL427" s="116"/>
      <c r="DM427" s="116"/>
      <c r="DN427" s="116"/>
      <c r="DO427" s="116"/>
      <c r="DP427" s="116"/>
      <c r="DQ427" s="116"/>
      <c r="DR427" s="116"/>
      <c r="DS427" s="116"/>
      <c r="DT427" s="116"/>
      <c r="DU427" s="116"/>
      <c r="DV427" s="116"/>
      <c r="DW427" s="116"/>
      <c r="DX427" s="116"/>
      <c r="DY427" s="116"/>
      <c r="DZ427" s="116"/>
      <c r="EA427" s="116"/>
      <c r="EB427" s="116"/>
    </row>
    <row r="428" spans="36:132" ht="12.75" hidden="1" customHeight="1">
      <c r="AJ428" s="116"/>
      <c r="AK428" s="116"/>
      <c r="AL428" s="116"/>
      <c r="AM428" s="116"/>
      <c r="AN428" s="116"/>
      <c r="AO428" s="116"/>
      <c r="AP428" s="116"/>
      <c r="AS428" s="116"/>
      <c r="AT428" s="116"/>
      <c r="BQ428" s="116"/>
      <c r="BR428" s="116"/>
      <c r="BS428" s="116"/>
      <c r="BT428" s="116"/>
      <c r="BU428" s="116"/>
      <c r="BV428" s="116"/>
      <c r="BW428" s="116"/>
      <c r="BX428" s="116"/>
      <c r="BY428" s="116"/>
      <c r="BZ428" s="116"/>
      <c r="CA428" s="116"/>
      <c r="CB428" s="116"/>
      <c r="CC428" s="116"/>
      <c r="CD428" s="116"/>
      <c r="CE428" s="116"/>
      <c r="CF428" s="116"/>
      <c r="CG428" s="116"/>
      <c r="CH428" s="116"/>
      <c r="CI428" s="116"/>
      <c r="CJ428" s="116"/>
      <c r="CK428" s="116"/>
      <c r="CL428" s="116"/>
      <c r="CM428" s="116"/>
      <c r="CN428" s="116"/>
      <c r="CO428" s="116"/>
      <c r="CP428" s="116"/>
      <c r="CQ428" s="116"/>
      <c r="CR428" s="116"/>
      <c r="CS428" s="116"/>
      <c r="CT428" s="116"/>
      <c r="CU428" s="116"/>
      <c r="CV428" s="116"/>
      <c r="CW428" s="116"/>
      <c r="CX428" s="116"/>
      <c r="CY428" s="116"/>
      <c r="CZ428" s="116"/>
      <c r="DA428" s="116"/>
      <c r="DB428" s="116"/>
      <c r="DC428" s="116"/>
      <c r="DD428" s="116"/>
      <c r="DE428" s="116"/>
      <c r="DF428" s="116"/>
      <c r="DG428" s="116"/>
      <c r="DH428" s="116"/>
      <c r="DI428" s="116"/>
      <c r="DJ428" s="116"/>
      <c r="DK428" s="116"/>
      <c r="DL428" s="116"/>
      <c r="DM428" s="116"/>
      <c r="DN428" s="116"/>
      <c r="DO428" s="116"/>
      <c r="DP428" s="116"/>
      <c r="DQ428" s="116"/>
      <c r="DR428" s="116"/>
      <c r="DS428" s="116"/>
      <c r="DT428" s="116"/>
      <c r="DU428" s="116"/>
      <c r="DV428" s="116"/>
      <c r="DW428" s="116"/>
      <c r="DX428" s="116"/>
      <c r="DY428" s="116"/>
      <c r="DZ428" s="116"/>
      <c r="EA428" s="116"/>
      <c r="EB428" s="116"/>
    </row>
    <row r="429" spans="36:132" ht="12.75" hidden="1" customHeight="1">
      <c r="AJ429" s="116"/>
      <c r="AK429" s="116"/>
      <c r="AL429" s="116"/>
      <c r="AM429" s="116"/>
      <c r="AN429" s="116"/>
      <c r="AO429" s="116"/>
      <c r="AP429" s="116"/>
      <c r="AS429" s="116"/>
      <c r="AT429" s="116"/>
      <c r="BQ429" s="116"/>
      <c r="BR429" s="116"/>
      <c r="BS429" s="116"/>
      <c r="BT429" s="116"/>
      <c r="BU429" s="116"/>
      <c r="BV429" s="116"/>
      <c r="BW429" s="116"/>
      <c r="BX429" s="116"/>
      <c r="BY429" s="116"/>
      <c r="BZ429" s="116"/>
      <c r="CA429" s="116"/>
      <c r="CB429" s="116"/>
      <c r="CC429" s="116"/>
      <c r="CD429" s="116"/>
      <c r="CE429" s="116"/>
      <c r="CF429" s="116"/>
      <c r="CG429" s="116"/>
      <c r="CH429" s="116"/>
      <c r="CI429" s="116"/>
      <c r="CJ429" s="116"/>
      <c r="CK429" s="116"/>
      <c r="CL429" s="116"/>
      <c r="CM429" s="116"/>
      <c r="CN429" s="116"/>
      <c r="CO429" s="116"/>
      <c r="CP429" s="116"/>
      <c r="CQ429" s="116"/>
      <c r="CR429" s="116"/>
      <c r="CS429" s="116"/>
      <c r="CT429" s="116"/>
      <c r="CU429" s="116"/>
      <c r="CV429" s="116"/>
      <c r="CW429" s="116"/>
      <c r="CX429" s="116"/>
      <c r="CY429" s="116"/>
      <c r="CZ429" s="116"/>
      <c r="DA429" s="116"/>
      <c r="DB429" s="116"/>
      <c r="DC429" s="116"/>
      <c r="DD429" s="116"/>
      <c r="DE429" s="116"/>
      <c r="DF429" s="116"/>
      <c r="DG429" s="116"/>
      <c r="DH429" s="116"/>
      <c r="DI429" s="116"/>
      <c r="DJ429" s="116"/>
      <c r="DK429" s="116"/>
      <c r="DL429" s="116"/>
      <c r="DM429" s="116"/>
      <c r="DN429" s="116"/>
      <c r="DO429" s="116"/>
      <c r="DP429" s="116"/>
      <c r="DQ429" s="116"/>
      <c r="DR429" s="116"/>
      <c r="DS429" s="116"/>
      <c r="DT429" s="116"/>
      <c r="DU429" s="116"/>
      <c r="DV429" s="116"/>
      <c r="DW429" s="116"/>
      <c r="DX429" s="116"/>
      <c r="DY429" s="116"/>
      <c r="DZ429" s="116"/>
      <c r="EA429" s="116"/>
      <c r="EB429" s="116"/>
    </row>
    <row r="430" spans="36:132" ht="12.75" hidden="1" customHeight="1">
      <c r="AJ430" s="116"/>
      <c r="AK430" s="116"/>
      <c r="AL430" s="116"/>
      <c r="AM430" s="116"/>
      <c r="AN430" s="116"/>
      <c r="AO430" s="116"/>
      <c r="AP430" s="116"/>
      <c r="AS430" s="116"/>
      <c r="AT430" s="116"/>
      <c r="BQ430" s="116"/>
      <c r="BR430" s="116"/>
      <c r="BS430" s="116"/>
      <c r="BT430" s="116"/>
      <c r="BU430" s="116"/>
      <c r="BV430" s="116"/>
      <c r="BW430" s="116"/>
      <c r="BX430" s="116"/>
      <c r="BY430" s="116"/>
      <c r="BZ430" s="116"/>
      <c r="CA430" s="116"/>
      <c r="CB430" s="116"/>
      <c r="CC430" s="116"/>
      <c r="CD430" s="116"/>
      <c r="CE430" s="116"/>
      <c r="CF430" s="116"/>
      <c r="CG430" s="116"/>
      <c r="CH430" s="116"/>
      <c r="CI430" s="116"/>
      <c r="CJ430" s="116"/>
      <c r="CK430" s="116"/>
      <c r="CL430" s="116"/>
      <c r="CM430" s="116"/>
      <c r="CN430" s="116"/>
      <c r="CO430" s="116"/>
      <c r="CP430" s="116"/>
      <c r="CQ430" s="116"/>
      <c r="CR430" s="116"/>
      <c r="CS430" s="116"/>
      <c r="CT430" s="116"/>
      <c r="CU430" s="116"/>
      <c r="CV430" s="116"/>
      <c r="CW430" s="116"/>
      <c r="CX430" s="116"/>
      <c r="CY430" s="116"/>
      <c r="CZ430" s="116"/>
      <c r="DA430" s="116"/>
      <c r="DB430" s="116"/>
      <c r="DC430" s="116"/>
      <c r="DD430" s="116"/>
      <c r="DE430" s="116"/>
      <c r="DF430" s="116"/>
      <c r="DG430" s="116"/>
      <c r="DH430" s="116"/>
      <c r="DI430" s="116"/>
      <c r="DJ430" s="116"/>
      <c r="DK430" s="116"/>
      <c r="DL430" s="116"/>
      <c r="DM430" s="116"/>
      <c r="DN430" s="116"/>
      <c r="DO430" s="116"/>
      <c r="DP430" s="116"/>
      <c r="DQ430" s="116"/>
      <c r="DR430" s="116"/>
      <c r="DS430" s="116"/>
      <c r="DT430" s="116"/>
      <c r="DU430" s="116"/>
      <c r="DV430" s="116"/>
      <c r="DW430" s="116"/>
      <c r="DX430" s="116"/>
      <c r="DY430" s="116"/>
      <c r="DZ430" s="116"/>
      <c r="EA430" s="116"/>
      <c r="EB430" s="116"/>
    </row>
    <row r="431" spans="36:132" ht="12.75" hidden="1" customHeight="1">
      <c r="AJ431" s="116"/>
      <c r="AK431" s="116"/>
      <c r="AL431" s="116"/>
      <c r="AM431" s="116"/>
      <c r="AN431" s="116"/>
      <c r="AO431" s="116"/>
      <c r="AP431" s="116"/>
      <c r="AS431" s="116"/>
      <c r="AT431" s="116"/>
      <c r="BQ431" s="116"/>
      <c r="BR431" s="116"/>
      <c r="BS431" s="116"/>
      <c r="BT431" s="116"/>
      <c r="BU431" s="116"/>
      <c r="BV431" s="116"/>
      <c r="BW431" s="116"/>
      <c r="BX431" s="116"/>
      <c r="BY431" s="116"/>
      <c r="BZ431" s="116"/>
      <c r="CA431" s="116"/>
      <c r="CB431" s="116"/>
      <c r="CC431" s="116"/>
      <c r="CD431" s="116"/>
      <c r="CE431" s="116"/>
      <c r="CF431" s="116"/>
      <c r="CG431" s="116"/>
      <c r="CH431" s="116"/>
      <c r="CI431" s="116"/>
      <c r="CJ431" s="116"/>
      <c r="CK431" s="116"/>
      <c r="CL431" s="116"/>
      <c r="CM431" s="116"/>
      <c r="CN431" s="116"/>
      <c r="CO431" s="116"/>
      <c r="CP431" s="116"/>
      <c r="CQ431" s="116"/>
      <c r="CR431" s="116"/>
      <c r="CS431" s="116"/>
      <c r="CT431" s="116"/>
      <c r="CU431" s="116"/>
      <c r="CV431" s="116"/>
      <c r="CW431" s="116"/>
      <c r="CX431" s="116"/>
      <c r="CY431" s="116"/>
      <c r="CZ431" s="116"/>
      <c r="DA431" s="116"/>
      <c r="DB431" s="116"/>
      <c r="DC431" s="116"/>
      <c r="DD431" s="116"/>
      <c r="DE431" s="116"/>
      <c r="DF431" s="116"/>
      <c r="DG431" s="116"/>
      <c r="DH431" s="116"/>
      <c r="DI431" s="116"/>
      <c r="DJ431" s="116"/>
      <c r="DK431" s="116"/>
      <c r="DL431" s="116"/>
      <c r="DM431" s="116"/>
      <c r="DN431" s="116"/>
      <c r="DO431" s="116"/>
      <c r="DP431" s="116"/>
      <c r="DQ431" s="116"/>
      <c r="DR431" s="116"/>
      <c r="DS431" s="116"/>
      <c r="DT431" s="116"/>
      <c r="DU431" s="116"/>
      <c r="DV431" s="116"/>
      <c r="DW431" s="116"/>
      <c r="DX431" s="116"/>
      <c r="DY431" s="116"/>
      <c r="DZ431" s="116"/>
      <c r="EA431" s="116"/>
      <c r="EB431" s="116"/>
    </row>
    <row r="432" spans="36:132" ht="12.75" hidden="1" customHeight="1">
      <c r="AJ432" s="116"/>
      <c r="AK432" s="116"/>
      <c r="AL432" s="116"/>
      <c r="AM432" s="116"/>
      <c r="AN432" s="116"/>
      <c r="AO432" s="116"/>
      <c r="AP432" s="116"/>
      <c r="AS432" s="116"/>
      <c r="AT432" s="116"/>
      <c r="BQ432" s="116"/>
      <c r="BR432" s="116"/>
      <c r="BS432" s="116"/>
      <c r="BT432" s="116"/>
      <c r="BU432" s="116"/>
      <c r="BV432" s="116"/>
      <c r="BW432" s="116"/>
      <c r="BX432" s="116"/>
      <c r="BY432" s="116"/>
      <c r="BZ432" s="116"/>
      <c r="CA432" s="116"/>
      <c r="CB432" s="116"/>
      <c r="CC432" s="116"/>
      <c r="CD432" s="116"/>
      <c r="CE432" s="116"/>
      <c r="CF432" s="116"/>
      <c r="CG432" s="116"/>
      <c r="CH432" s="116"/>
      <c r="CI432" s="116"/>
      <c r="CJ432" s="116"/>
      <c r="CK432" s="116"/>
      <c r="CL432" s="116"/>
      <c r="CM432" s="116"/>
      <c r="CN432" s="116"/>
      <c r="CO432" s="116"/>
      <c r="CP432" s="116"/>
      <c r="CQ432" s="116"/>
      <c r="CR432" s="116"/>
      <c r="CS432" s="116"/>
      <c r="CT432" s="116"/>
      <c r="CU432" s="116"/>
      <c r="CV432" s="116"/>
      <c r="CW432" s="116"/>
      <c r="CX432" s="116"/>
      <c r="CY432" s="116"/>
      <c r="CZ432" s="116"/>
      <c r="DA432" s="116"/>
      <c r="DB432" s="116"/>
      <c r="DC432" s="116"/>
      <c r="DD432" s="116"/>
      <c r="DE432" s="116"/>
      <c r="DF432" s="116"/>
      <c r="DG432" s="116"/>
      <c r="DH432" s="116"/>
      <c r="DI432" s="116"/>
      <c r="DJ432" s="116"/>
      <c r="DK432" s="116"/>
      <c r="DL432" s="116"/>
      <c r="DM432" s="116"/>
      <c r="DN432" s="116"/>
      <c r="DO432" s="116"/>
      <c r="DP432" s="116"/>
      <c r="DQ432" s="116"/>
      <c r="DR432" s="116"/>
      <c r="DS432" s="116"/>
      <c r="DT432" s="116"/>
      <c r="DU432" s="116"/>
      <c r="DV432" s="116"/>
      <c r="DW432" s="116"/>
      <c r="DX432" s="116"/>
      <c r="DY432" s="116"/>
      <c r="DZ432" s="116"/>
      <c r="EA432" s="116"/>
      <c r="EB432" s="116"/>
    </row>
    <row r="433" spans="36:132" ht="12.75" hidden="1" customHeight="1">
      <c r="AJ433" s="116"/>
      <c r="AK433" s="116"/>
      <c r="AL433" s="116"/>
      <c r="AM433" s="116"/>
      <c r="AN433" s="116"/>
      <c r="AO433" s="116"/>
      <c r="AP433" s="116"/>
      <c r="AS433" s="116"/>
      <c r="AT433" s="116"/>
      <c r="BQ433" s="116"/>
      <c r="BR433" s="116"/>
      <c r="BS433" s="116"/>
      <c r="BT433" s="116"/>
      <c r="BU433" s="116"/>
      <c r="BV433" s="116"/>
      <c r="BW433" s="116"/>
      <c r="BX433" s="116"/>
      <c r="BY433" s="116"/>
      <c r="BZ433" s="116"/>
      <c r="CA433" s="116"/>
      <c r="CB433" s="116"/>
      <c r="CC433" s="116"/>
      <c r="CD433" s="116"/>
      <c r="CE433" s="116"/>
      <c r="CF433" s="116"/>
      <c r="CG433" s="116"/>
      <c r="CH433" s="116"/>
      <c r="CI433" s="116"/>
      <c r="CJ433" s="116"/>
      <c r="CK433" s="116"/>
      <c r="CL433" s="116"/>
      <c r="CM433" s="116"/>
      <c r="CN433" s="116"/>
      <c r="CO433" s="116"/>
      <c r="CP433" s="116"/>
      <c r="CQ433" s="116"/>
      <c r="CR433" s="116"/>
      <c r="CS433" s="116"/>
      <c r="CT433" s="116"/>
      <c r="CU433" s="116"/>
      <c r="CV433" s="116"/>
      <c r="CW433" s="116"/>
      <c r="CX433" s="116"/>
      <c r="CY433" s="116"/>
      <c r="CZ433" s="116"/>
      <c r="DA433" s="116"/>
      <c r="DB433" s="116"/>
      <c r="DC433" s="116"/>
      <c r="DD433" s="116"/>
      <c r="DE433" s="116"/>
      <c r="DF433" s="116"/>
      <c r="DG433" s="116"/>
      <c r="DH433" s="116"/>
      <c r="DI433" s="116"/>
      <c r="DJ433" s="116"/>
      <c r="DK433" s="116"/>
      <c r="DL433" s="116"/>
      <c r="DM433" s="116"/>
      <c r="DN433" s="116"/>
      <c r="DO433" s="116"/>
      <c r="DP433" s="116"/>
      <c r="DQ433" s="116"/>
      <c r="DR433" s="116"/>
      <c r="DS433" s="116"/>
      <c r="DT433" s="116"/>
      <c r="DU433" s="116"/>
      <c r="DV433" s="116"/>
      <c r="DW433" s="116"/>
      <c r="DX433" s="116"/>
      <c r="DY433" s="116"/>
      <c r="DZ433" s="116"/>
      <c r="EA433" s="116"/>
      <c r="EB433" s="116"/>
    </row>
    <row r="434" spans="36:132" ht="12.75" hidden="1" customHeight="1">
      <c r="AJ434" s="116"/>
      <c r="AK434" s="116"/>
      <c r="AL434" s="116"/>
      <c r="AM434" s="116"/>
      <c r="AN434" s="116"/>
      <c r="AO434" s="116"/>
      <c r="AP434" s="116"/>
      <c r="AS434" s="116"/>
      <c r="AT434" s="116"/>
      <c r="BQ434" s="116"/>
      <c r="BR434" s="116"/>
      <c r="BS434" s="116"/>
      <c r="BT434" s="116"/>
      <c r="BU434" s="116"/>
      <c r="BV434" s="116"/>
      <c r="BW434" s="116"/>
      <c r="BX434" s="116"/>
      <c r="BY434" s="116"/>
      <c r="BZ434" s="116"/>
      <c r="CA434" s="116"/>
      <c r="CB434" s="116"/>
      <c r="CC434" s="116"/>
      <c r="CD434" s="116"/>
      <c r="CE434" s="116"/>
      <c r="CF434" s="116"/>
      <c r="CG434" s="116"/>
      <c r="CH434" s="116"/>
      <c r="CI434" s="116"/>
      <c r="CJ434" s="116"/>
      <c r="CK434" s="116"/>
      <c r="CL434" s="116"/>
      <c r="CM434" s="116"/>
      <c r="CN434" s="116"/>
      <c r="CO434" s="116"/>
      <c r="CP434" s="116"/>
      <c r="CQ434" s="116"/>
      <c r="CR434" s="116"/>
      <c r="CS434" s="116"/>
      <c r="CT434" s="116"/>
      <c r="CU434" s="116"/>
      <c r="CV434" s="116"/>
      <c r="CW434" s="116"/>
      <c r="CX434" s="116"/>
      <c r="CY434" s="116"/>
      <c r="CZ434" s="116"/>
      <c r="DA434" s="116"/>
      <c r="DB434" s="116"/>
      <c r="DC434" s="116"/>
      <c r="DD434" s="116"/>
      <c r="DE434" s="116"/>
      <c r="DF434" s="116"/>
      <c r="DG434" s="116"/>
      <c r="DH434" s="116"/>
      <c r="DI434" s="116"/>
      <c r="DJ434" s="116"/>
      <c r="DK434" s="116"/>
      <c r="DL434" s="116"/>
      <c r="DM434" s="116"/>
      <c r="DN434" s="116"/>
      <c r="DO434" s="116"/>
      <c r="DP434" s="116"/>
      <c r="DQ434" s="116"/>
      <c r="DR434" s="116"/>
      <c r="DS434" s="116"/>
      <c r="DT434" s="116"/>
      <c r="DU434" s="116"/>
      <c r="DV434" s="116"/>
      <c r="DW434" s="116"/>
      <c r="DX434" s="116"/>
      <c r="DY434" s="116"/>
      <c r="DZ434" s="116"/>
      <c r="EA434" s="116"/>
      <c r="EB434" s="116"/>
    </row>
    <row r="435" spans="36:132" ht="12.75" hidden="1" customHeight="1">
      <c r="AJ435" s="116"/>
      <c r="AK435" s="116"/>
      <c r="AL435" s="116"/>
      <c r="AM435" s="116"/>
      <c r="AN435" s="116"/>
      <c r="AO435" s="116"/>
      <c r="AP435" s="116"/>
      <c r="AS435" s="116"/>
      <c r="AT435" s="116"/>
      <c r="BQ435" s="116"/>
      <c r="BR435" s="116"/>
      <c r="BS435" s="116"/>
      <c r="BT435" s="116"/>
      <c r="BU435" s="116"/>
      <c r="BV435" s="116"/>
      <c r="BW435" s="116"/>
      <c r="BX435" s="116"/>
      <c r="BY435" s="116"/>
      <c r="BZ435" s="116"/>
      <c r="CA435" s="116"/>
      <c r="CB435" s="116"/>
      <c r="CC435" s="116"/>
      <c r="CD435" s="116"/>
      <c r="CE435" s="116"/>
      <c r="CF435" s="116"/>
      <c r="CG435" s="116"/>
      <c r="CH435" s="116"/>
      <c r="CI435" s="116"/>
      <c r="CJ435" s="116"/>
      <c r="CK435" s="116"/>
      <c r="CL435" s="116"/>
      <c r="CM435" s="116"/>
      <c r="CN435" s="116"/>
      <c r="CO435" s="116"/>
      <c r="CP435" s="116"/>
      <c r="CQ435" s="116"/>
      <c r="CR435" s="116"/>
      <c r="CS435" s="116"/>
      <c r="CT435" s="116"/>
      <c r="CU435" s="116"/>
      <c r="CV435" s="116"/>
      <c r="CW435" s="116"/>
      <c r="CX435" s="116"/>
      <c r="CY435" s="116"/>
      <c r="CZ435" s="116"/>
      <c r="DA435" s="116"/>
      <c r="DB435" s="116"/>
      <c r="DC435" s="116"/>
      <c r="DD435" s="116"/>
      <c r="DE435" s="116"/>
      <c r="DF435" s="116"/>
      <c r="DG435" s="116"/>
      <c r="DH435" s="116"/>
      <c r="DI435" s="116"/>
      <c r="DJ435" s="116"/>
      <c r="DK435" s="116"/>
      <c r="DL435" s="116"/>
      <c r="DM435" s="116"/>
      <c r="DN435" s="116"/>
      <c r="DO435" s="116"/>
      <c r="DP435" s="116"/>
      <c r="DQ435" s="116"/>
      <c r="DR435" s="116"/>
      <c r="DS435" s="116"/>
      <c r="DT435" s="116"/>
      <c r="DU435" s="116"/>
      <c r="DV435" s="116"/>
      <c r="DW435" s="116"/>
      <c r="DX435" s="116"/>
      <c r="DY435" s="116"/>
      <c r="DZ435" s="116"/>
      <c r="EA435" s="116"/>
      <c r="EB435" s="116"/>
    </row>
    <row r="436" spans="36:132" ht="12.75" hidden="1" customHeight="1">
      <c r="AJ436" s="116"/>
      <c r="AK436" s="116"/>
      <c r="AL436" s="116"/>
      <c r="AM436" s="116"/>
      <c r="AN436" s="116"/>
      <c r="AO436" s="116"/>
      <c r="AP436" s="116"/>
      <c r="AS436" s="116"/>
      <c r="AT436" s="116"/>
      <c r="BQ436" s="116"/>
      <c r="BR436" s="116"/>
      <c r="BS436" s="116"/>
      <c r="BT436" s="116"/>
      <c r="BU436" s="116"/>
      <c r="BV436" s="116"/>
      <c r="BW436" s="116"/>
      <c r="BX436" s="116"/>
      <c r="BY436" s="116"/>
      <c r="BZ436" s="116"/>
      <c r="CA436" s="116"/>
      <c r="CB436" s="116"/>
      <c r="CC436" s="116"/>
      <c r="CD436" s="116"/>
      <c r="CE436" s="116"/>
      <c r="CF436" s="116"/>
      <c r="CG436" s="116"/>
      <c r="CH436" s="116"/>
      <c r="CI436" s="116"/>
      <c r="CJ436" s="116"/>
      <c r="CK436" s="116"/>
      <c r="CL436" s="116"/>
      <c r="CM436" s="116"/>
      <c r="CN436" s="116"/>
      <c r="CO436" s="116"/>
      <c r="CP436" s="116"/>
      <c r="CQ436" s="116"/>
      <c r="CR436" s="116"/>
      <c r="CS436" s="116"/>
      <c r="CT436" s="116"/>
      <c r="CU436" s="116"/>
      <c r="CV436" s="116"/>
      <c r="CW436" s="116"/>
      <c r="CX436" s="116"/>
      <c r="CY436" s="116"/>
      <c r="CZ436" s="116"/>
      <c r="DA436" s="116"/>
      <c r="DB436" s="116"/>
      <c r="DC436" s="116"/>
      <c r="DD436" s="116"/>
      <c r="DE436" s="116"/>
      <c r="DF436" s="116"/>
      <c r="DG436" s="116"/>
      <c r="DH436" s="116"/>
      <c r="DI436" s="116"/>
      <c r="DJ436" s="116"/>
      <c r="DK436" s="116"/>
      <c r="DL436" s="116"/>
      <c r="DM436" s="116"/>
      <c r="DN436" s="116"/>
      <c r="DO436" s="116"/>
      <c r="DP436" s="116"/>
      <c r="DQ436" s="116"/>
      <c r="DR436" s="116"/>
      <c r="DS436" s="116"/>
      <c r="DT436" s="116"/>
      <c r="DU436" s="116"/>
      <c r="DV436" s="116"/>
      <c r="DW436" s="116"/>
      <c r="DX436" s="116"/>
      <c r="DY436" s="116"/>
      <c r="DZ436" s="116"/>
      <c r="EA436" s="116"/>
      <c r="EB436" s="116"/>
    </row>
    <row r="437" spans="36:132" ht="12.75" hidden="1" customHeight="1">
      <c r="AJ437" s="116"/>
      <c r="AK437" s="116"/>
      <c r="AL437" s="116"/>
      <c r="AM437" s="116"/>
      <c r="AN437" s="116"/>
      <c r="AO437" s="116"/>
      <c r="AP437" s="116"/>
      <c r="AS437" s="116"/>
      <c r="AT437" s="116"/>
      <c r="BQ437" s="116"/>
      <c r="BR437" s="116"/>
      <c r="BS437" s="116"/>
      <c r="BT437" s="116"/>
      <c r="BU437" s="116"/>
      <c r="BV437" s="116"/>
      <c r="BW437" s="116"/>
      <c r="BX437" s="116"/>
      <c r="BY437" s="116"/>
      <c r="BZ437" s="116"/>
      <c r="CA437" s="116"/>
      <c r="CB437" s="116"/>
      <c r="CC437" s="116"/>
      <c r="CD437" s="116"/>
      <c r="CE437" s="116"/>
      <c r="CF437" s="116"/>
      <c r="CG437" s="116"/>
      <c r="CH437" s="116"/>
      <c r="CI437" s="116"/>
      <c r="CJ437" s="116"/>
      <c r="CK437" s="116"/>
      <c r="CL437" s="116"/>
      <c r="CM437" s="116"/>
      <c r="CN437" s="116"/>
      <c r="CO437" s="116"/>
      <c r="CP437" s="116"/>
      <c r="CQ437" s="116"/>
      <c r="CR437" s="116"/>
      <c r="CS437" s="116"/>
      <c r="CT437" s="116"/>
      <c r="CU437" s="116"/>
      <c r="CV437" s="116"/>
      <c r="CW437" s="116"/>
      <c r="CX437" s="116"/>
      <c r="CY437" s="116"/>
      <c r="CZ437" s="116"/>
      <c r="DA437" s="116"/>
      <c r="DB437" s="116"/>
      <c r="DC437" s="116"/>
      <c r="DD437" s="116"/>
      <c r="DE437" s="116"/>
      <c r="DF437" s="116"/>
      <c r="DG437" s="116"/>
      <c r="DH437" s="116"/>
      <c r="DI437" s="116"/>
      <c r="DJ437" s="116"/>
      <c r="DK437" s="116"/>
      <c r="DL437" s="116"/>
      <c r="DM437" s="116"/>
      <c r="DN437" s="116"/>
      <c r="DO437" s="116"/>
      <c r="DP437" s="116"/>
      <c r="DQ437" s="116"/>
      <c r="DR437" s="116"/>
      <c r="DS437" s="116"/>
      <c r="DT437" s="116"/>
      <c r="DU437" s="116"/>
      <c r="DV437" s="116"/>
      <c r="DW437" s="116"/>
      <c r="DX437" s="116"/>
      <c r="DY437" s="116"/>
      <c r="DZ437" s="116"/>
      <c r="EA437" s="116"/>
      <c r="EB437" s="116"/>
    </row>
    <row r="438" spans="36:132" ht="12.75" hidden="1" customHeight="1">
      <c r="AJ438" s="116"/>
      <c r="AK438" s="116"/>
      <c r="AL438" s="116"/>
      <c r="AM438" s="116"/>
      <c r="AN438" s="116"/>
      <c r="AO438" s="116"/>
      <c r="AP438" s="116"/>
      <c r="AS438" s="116"/>
      <c r="AT438" s="116"/>
      <c r="BQ438" s="116"/>
      <c r="BR438" s="116"/>
      <c r="BS438" s="116"/>
      <c r="BT438" s="116"/>
      <c r="BU438" s="116"/>
      <c r="BV438" s="116"/>
      <c r="BW438" s="116"/>
      <c r="BX438" s="116"/>
      <c r="BY438" s="116"/>
      <c r="BZ438" s="116"/>
      <c r="CA438" s="116"/>
      <c r="CB438" s="116"/>
      <c r="CC438" s="116"/>
      <c r="CD438" s="116"/>
      <c r="CE438" s="116"/>
      <c r="CF438" s="116"/>
      <c r="CG438" s="116"/>
      <c r="CH438" s="116"/>
      <c r="CI438" s="116"/>
      <c r="CJ438" s="116"/>
      <c r="CK438" s="116"/>
      <c r="CL438" s="116"/>
      <c r="CM438" s="116"/>
      <c r="CN438" s="116"/>
      <c r="CO438" s="116"/>
      <c r="CP438" s="116"/>
      <c r="CQ438" s="116"/>
      <c r="CR438" s="116"/>
      <c r="CS438" s="116"/>
      <c r="CT438" s="116"/>
      <c r="CU438" s="116"/>
      <c r="CV438" s="116"/>
      <c r="CW438" s="116"/>
      <c r="CX438" s="116"/>
      <c r="CY438" s="116"/>
      <c r="CZ438" s="116"/>
      <c r="DA438" s="116"/>
      <c r="DB438" s="116"/>
      <c r="DC438" s="116"/>
      <c r="DD438" s="116"/>
      <c r="DE438" s="116"/>
      <c r="DF438" s="116"/>
      <c r="DG438" s="116"/>
      <c r="DH438" s="116"/>
      <c r="DI438" s="116"/>
      <c r="DJ438" s="116"/>
      <c r="DK438" s="116"/>
      <c r="DL438" s="116"/>
      <c r="DM438" s="116"/>
      <c r="DN438" s="116"/>
      <c r="DO438" s="116"/>
      <c r="DP438" s="116"/>
      <c r="DQ438" s="116"/>
      <c r="DR438" s="116"/>
      <c r="DS438" s="116"/>
      <c r="DT438" s="116"/>
      <c r="DU438" s="116"/>
      <c r="DV438" s="116"/>
      <c r="DW438" s="116"/>
      <c r="DX438" s="116"/>
      <c r="DY438" s="116"/>
      <c r="DZ438" s="116"/>
      <c r="EA438" s="116"/>
      <c r="EB438" s="116"/>
    </row>
    <row r="439" spans="36:132" ht="12.75" hidden="1" customHeight="1">
      <c r="AJ439" s="116"/>
      <c r="AK439" s="116"/>
      <c r="AL439" s="116"/>
      <c r="AM439" s="116"/>
      <c r="AN439" s="116"/>
      <c r="AO439" s="116"/>
      <c r="AP439" s="116"/>
      <c r="AS439" s="116"/>
      <c r="AT439" s="116"/>
      <c r="BQ439" s="116"/>
      <c r="BR439" s="116"/>
      <c r="BS439" s="116"/>
      <c r="BT439" s="116"/>
      <c r="BU439" s="116"/>
      <c r="BV439" s="116"/>
      <c r="BW439" s="116"/>
      <c r="BX439" s="116"/>
      <c r="BY439" s="116"/>
      <c r="BZ439" s="116"/>
      <c r="CA439" s="116"/>
      <c r="CB439" s="116"/>
      <c r="CC439" s="116"/>
      <c r="CD439" s="116"/>
      <c r="CE439" s="116"/>
      <c r="CF439" s="116"/>
      <c r="CG439" s="116"/>
      <c r="CH439" s="116"/>
      <c r="CI439" s="116"/>
      <c r="CJ439" s="116"/>
      <c r="CK439" s="116"/>
      <c r="CL439" s="116"/>
      <c r="CM439" s="116"/>
      <c r="CN439" s="116"/>
      <c r="CO439" s="116"/>
      <c r="CP439" s="116"/>
      <c r="CQ439" s="116"/>
      <c r="CR439" s="116"/>
      <c r="CS439" s="116"/>
      <c r="CT439" s="116"/>
      <c r="CU439" s="116"/>
      <c r="CV439" s="116"/>
      <c r="CW439" s="116"/>
      <c r="CX439" s="116"/>
      <c r="CY439" s="116"/>
      <c r="CZ439" s="116"/>
      <c r="DA439" s="116"/>
      <c r="DB439" s="116"/>
      <c r="DC439" s="116"/>
      <c r="DD439" s="116"/>
      <c r="DE439" s="116"/>
      <c r="DF439" s="116"/>
      <c r="DG439" s="116"/>
      <c r="DH439" s="116"/>
      <c r="DI439" s="116"/>
      <c r="DJ439" s="116"/>
      <c r="DK439" s="116"/>
      <c r="DL439" s="116"/>
      <c r="DM439" s="116"/>
      <c r="DN439" s="116"/>
      <c r="DO439" s="116"/>
      <c r="DP439" s="116"/>
      <c r="DQ439" s="116"/>
      <c r="DR439" s="116"/>
      <c r="DS439" s="116"/>
      <c r="DT439" s="116"/>
      <c r="DU439" s="116"/>
      <c r="DV439" s="116"/>
      <c r="DW439" s="116"/>
      <c r="DX439" s="116"/>
      <c r="DY439" s="116"/>
      <c r="DZ439" s="116"/>
      <c r="EA439" s="116"/>
      <c r="EB439" s="116"/>
    </row>
    <row r="440" spans="36:132" ht="12.75" hidden="1" customHeight="1">
      <c r="AJ440" s="116"/>
      <c r="AK440" s="116"/>
      <c r="AL440" s="116"/>
      <c r="AM440" s="116"/>
      <c r="AN440" s="116"/>
      <c r="AO440" s="116"/>
      <c r="AP440" s="116"/>
      <c r="AS440" s="116"/>
      <c r="AT440" s="116"/>
      <c r="BQ440" s="116"/>
      <c r="BR440" s="116"/>
      <c r="BS440" s="116"/>
      <c r="BT440" s="116"/>
      <c r="BU440" s="116"/>
      <c r="BV440" s="116"/>
      <c r="BW440" s="116"/>
      <c r="BX440" s="116"/>
      <c r="BY440" s="116"/>
      <c r="BZ440" s="116"/>
      <c r="CA440" s="116"/>
      <c r="CB440" s="116"/>
      <c r="CC440" s="116"/>
      <c r="CD440" s="116"/>
      <c r="CE440" s="116"/>
      <c r="CF440" s="116"/>
      <c r="CG440" s="116"/>
      <c r="CH440" s="116"/>
      <c r="CI440" s="116"/>
      <c r="CJ440" s="116"/>
      <c r="CK440" s="116"/>
      <c r="CL440" s="116"/>
      <c r="CM440" s="116"/>
      <c r="CN440" s="116"/>
      <c r="CO440" s="116"/>
      <c r="CP440" s="116"/>
      <c r="CQ440" s="116"/>
      <c r="CR440" s="116"/>
      <c r="CS440" s="116"/>
      <c r="CT440" s="116"/>
      <c r="CU440" s="116"/>
      <c r="CV440" s="116"/>
      <c r="CW440" s="116"/>
      <c r="CX440" s="116"/>
      <c r="CY440" s="116"/>
      <c r="CZ440" s="116"/>
      <c r="DA440" s="116"/>
      <c r="DB440" s="116"/>
      <c r="DC440" s="116"/>
      <c r="DD440" s="116"/>
      <c r="DE440" s="116"/>
      <c r="DF440" s="116"/>
      <c r="DG440" s="116"/>
      <c r="DH440" s="116"/>
      <c r="DI440" s="116"/>
      <c r="DJ440" s="116"/>
      <c r="DK440" s="116"/>
      <c r="DL440" s="116"/>
      <c r="DM440" s="116"/>
      <c r="DN440" s="116"/>
      <c r="DO440" s="116"/>
      <c r="DP440" s="116"/>
      <c r="DQ440" s="116"/>
      <c r="DR440" s="116"/>
      <c r="DS440" s="116"/>
      <c r="DT440" s="116"/>
      <c r="DU440" s="116"/>
      <c r="DV440" s="116"/>
      <c r="DW440" s="116"/>
      <c r="DX440" s="116"/>
      <c r="DY440" s="116"/>
      <c r="DZ440" s="116"/>
      <c r="EA440" s="116"/>
      <c r="EB440" s="116"/>
    </row>
    <row r="441" spans="36:132" ht="12.75" hidden="1" customHeight="1">
      <c r="AJ441" s="116"/>
      <c r="AK441" s="116"/>
      <c r="AL441" s="116"/>
      <c r="AM441" s="116"/>
      <c r="AN441" s="116"/>
      <c r="AO441" s="116"/>
      <c r="AP441" s="116"/>
      <c r="AS441" s="116"/>
      <c r="AT441" s="116"/>
      <c r="BQ441" s="116"/>
      <c r="BR441" s="116"/>
      <c r="BS441" s="116"/>
      <c r="BT441" s="116"/>
      <c r="BU441" s="116"/>
      <c r="BV441" s="116"/>
      <c r="BW441" s="116"/>
      <c r="BX441" s="116"/>
      <c r="BY441" s="116"/>
      <c r="BZ441" s="116"/>
      <c r="CA441" s="116"/>
      <c r="CB441" s="116"/>
      <c r="CC441" s="116"/>
      <c r="CD441" s="116"/>
      <c r="CE441" s="116"/>
      <c r="CF441" s="116"/>
      <c r="CG441" s="116"/>
      <c r="CH441" s="116"/>
      <c r="CI441" s="116"/>
      <c r="CJ441" s="116"/>
      <c r="CK441" s="116"/>
      <c r="CL441" s="116"/>
      <c r="CM441" s="116"/>
      <c r="CN441" s="116"/>
      <c r="CO441" s="116"/>
      <c r="CP441" s="116"/>
      <c r="CQ441" s="116"/>
      <c r="CR441" s="116"/>
      <c r="CS441" s="116"/>
      <c r="CT441" s="116"/>
      <c r="CU441" s="116"/>
      <c r="CV441" s="116"/>
      <c r="CW441" s="116"/>
      <c r="CX441" s="116"/>
      <c r="CY441" s="116"/>
      <c r="CZ441" s="116"/>
      <c r="DA441" s="116"/>
      <c r="DB441" s="116"/>
      <c r="DC441" s="116"/>
      <c r="DD441" s="116"/>
      <c r="DE441" s="116"/>
      <c r="DF441" s="116"/>
      <c r="DG441" s="116"/>
      <c r="DH441" s="116"/>
      <c r="DI441" s="116"/>
      <c r="DJ441" s="116"/>
      <c r="DK441" s="116"/>
      <c r="DL441" s="116"/>
      <c r="DM441" s="116"/>
      <c r="DN441" s="116"/>
      <c r="DO441" s="116"/>
      <c r="DP441" s="116"/>
      <c r="DQ441" s="116"/>
      <c r="DR441" s="116"/>
      <c r="DS441" s="116"/>
      <c r="DT441" s="116"/>
      <c r="DU441" s="116"/>
      <c r="DV441" s="116"/>
      <c r="DW441" s="116"/>
      <c r="DX441" s="116"/>
      <c r="DY441" s="116"/>
      <c r="DZ441" s="116"/>
      <c r="EA441" s="116"/>
      <c r="EB441" s="116"/>
    </row>
    <row r="442" spans="36:132" ht="12.75" hidden="1" customHeight="1">
      <c r="AJ442" s="116"/>
      <c r="AK442" s="116"/>
      <c r="AL442" s="116"/>
      <c r="AM442" s="116"/>
      <c r="AN442" s="116"/>
      <c r="AO442" s="116"/>
      <c r="AP442" s="116"/>
      <c r="AS442" s="116"/>
      <c r="AT442" s="116"/>
      <c r="BQ442" s="116"/>
      <c r="BR442" s="116"/>
      <c r="BS442" s="116"/>
      <c r="BT442" s="116"/>
      <c r="BU442" s="116"/>
      <c r="BV442" s="116"/>
      <c r="BW442" s="116"/>
      <c r="BX442" s="116"/>
      <c r="BY442" s="116"/>
      <c r="BZ442" s="116"/>
      <c r="CA442" s="116"/>
      <c r="CB442" s="116"/>
      <c r="CC442" s="116"/>
      <c r="CD442" s="116"/>
      <c r="CE442" s="116"/>
      <c r="CF442" s="116"/>
      <c r="CG442" s="116"/>
      <c r="CH442" s="116"/>
      <c r="CI442" s="116"/>
      <c r="CJ442" s="116"/>
      <c r="CK442" s="116"/>
      <c r="CL442" s="116"/>
      <c r="CM442" s="116"/>
      <c r="CN442" s="116"/>
      <c r="CO442" s="116"/>
      <c r="CP442" s="116"/>
      <c r="CQ442" s="116"/>
      <c r="CR442" s="116"/>
      <c r="CS442" s="116"/>
      <c r="CT442" s="116"/>
      <c r="CU442" s="116"/>
      <c r="CV442" s="116"/>
      <c r="CW442" s="116"/>
      <c r="CX442" s="116"/>
      <c r="CY442" s="116"/>
      <c r="CZ442" s="116"/>
      <c r="DA442" s="116"/>
      <c r="DB442" s="116"/>
      <c r="DC442" s="116"/>
      <c r="DD442" s="116"/>
      <c r="DE442" s="116"/>
      <c r="DF442" s="116"/>
      <c r="DG442" s="116"/>
      <c r="DH442" s="116"/>
      <c r="DI442" s="116"/>
      <c r="DJ442" s="116"/>
      <c r="DK442" s="116"/>
      <c r="DL442" s="116"/>
      <c r="DM442" s="116"/>
      <c r="DN442" s="116"/>
      <c r="DO442" s="116"/>
      <c r="DP442" s="116"/>
      <c r="DQ442" s="116"/>
      <c r="DR442" s="116"/>
      <c r="DS442" s="116"/>
      <c r="DT442" s="116"/>
      <c r="DU442" s="116"/>
      <c r="DV442" s="116"/>
      <c r="DW442" s="116"/>
      <c r="DX442" s="116"/>
      <c r="DY442" s="116"/>
      <c r="DZ442" s="116"/>
      <c r="EA442" s="116"/>
      <c r="EB442" s="116"/>
    </row>
    <row r="443" spans="36:132" ht="12.75" hidden="1" customHeight="1">
      <c r="AJ443" s="116"/>
      <c r="AK443" s="116"/>
      <c r="AL443" s="116"/>
      <c r="AM443" s="116"/>
      <c r="AN443" s="116"/>
      <c r="AO443" s="116"/>
      <c r="AP443" s="116"/>
      <c r="AS443" s="116"/>
      <c r="AT443" s="116"/>
      <c r="BQ443" s="116"/>
      <c r="BR443" s="116"/>
      <c r="BS443" s="116"/>
      <c r="BT443" s="116"/>
      <c r="BU443" s="116"/>
      <c r="BV443" s="116"/>
      <c r="BW443" s="116"/>
      <c r="BX443" s="116"/>
      <c r="BY443" s="116"/>
      <c r="BZ443" s="116"/>
      <c r="CA443" s="116"/>
      <c r="CB443" s="116"/>
      <c r="CC443" s="116"/>
      <c r="CD443" s="116"/>
      <c r="CE443" s="116"/>
      <c r="CF443" s="116"/>
      <c r="CG443" s="116"/>
      <c r="CH443" s="116"/>
      <c r="CI443" s="116"/>
      <c r="CJ443" s="116"/>
      <c r="CK443" s="116"/>
      <c r="CL443" s="116"/>
      <c r="CM443" s="116"/>
      <c r="CN443" s="116"/>
      <c r="CO443" s="116"/>
      <c r="CP443" s="116"/>
      <c r="CQ443" s="116"/>
      <c r="CR443" s="116"/>
      <c r="CS443" s="116"/>
      <c r="CT443" s="116"/>
      <c r="CU443" s="116"/>
      <c r="CV443" s="116"/>
      <c r="CW443" s="116"/>
      <c r="CX443" s="116"/>
      <c r="CY443" s="116"/>
      <c r="CZ443" s="116"/>
      <c r="DA443" s="116"/>
      <c r="DB443" s="116"/>
      <c r="DC443" s="116"/>
      <c r="DD443" s="116"/>
      <c r="DE443" s="116"/>
      <c r="DF443" s="116"/>
      <c r="DG443" s="116"/>
      <c r="DH443" s="116"/>
      <c r="DI443" s="116"/>
      <c r="DJ443" s="116"/>
      <c r="DK443" s="116"/>
      <c r="DL443" s="116"/>
      <c r="DM443" s="116"/>
      <c r="DN443" s="116"/>
      <c r="DO443" s="116"/>
      <c r="DP443" s="116"/>
      <c r="DQ443" s="116"/>
      <c r="DR443" s="116"/>
      <c r="DS443" s="116"/>
      <c r="DT443" s="116"/>
      <c r="DU443" s="116"/>
      <c r="DV443" s="116"/>
      <c r="DW443" s="116"/>
      <c r="DX443" s="116"/>
      <c r="DY443" s="116"/>
      <c r="DZ443" s="116"/>
      <c r="EA443" s="116"/>
      <c r="EB443" s="116"/>
    </row>
    <row r="444" spans="36:132" ht="12.75" hidden="1" customHeight="1">
      <c r="AJ444" s="116"/>
      <c r="AK444" s="116"/>
      <c r="AL444" s="116"/>
      <c r="AM444" s="116"/>
      <c r="AN444" s="116"/>
      <c r="AO444" s="116"/>
      <c r="AP444" s="116"/>
      <c r="AS444" s="116"/>
      <c r="AT444" s="116"/>
      <c r="BQ444" s="116"/>
      <c r="BR444" s="116"/>
      <c r="BS444" s="116"/>
      <c r="BT444" s="116"/>
      <c r="BU444" s="116"/>
      <c r="BV444" s="116"/>
      <c r="BW444" s="116"/>
      <c r="BX444" s="116"/>
      <c r="BY444" s="116"/>
      <c r="BZ444" s="116"/>
      <c r="CA444" s="116"/>
      <c r="CB444" s="116"/>
      <c r="CC444" s="116"/>
      <c r="CD444" s="116"/>
      <c r="CE444" s="116"/>
      <c r="CF444" s="116"/>
      <c r="CG444" s="116"/>
      <c r="CH444" s="116"/>
      <c r="CI444" s="116"/>
      <c r="CJ444" s="116"/>
      <c r="CK444" s="116"/>
      <c r="CL444" s="116"/>
      <c r="CM444" s="116"/>
      <c r="CN444" s="116"/>
      <c r="CO444" s="116"/>
      <c r="CP444" s="116"/>
      <c r="CQ444" s="116"/>
      <c r="CR444" s="116"/>
      <c r="CS444" s="116"/>
      <c r="CT444" s="116"/>
      <c r="CU444" s="116"/>
      <c r="CV444" s="116"/>
      <c r="CW444" s="116"/>
      <c r="CX444" s="116"/>
      <c r="CY444" s="116"/>
      <c r="CZ444" s="116"/>
      <c r="DA444" s="116"/>
      <c r="DB444" s="116"/>
      <c r="DC444" s="116"/>
      <c r="DD444" s="116"/>
      <c r="DE444" s="116"/>
      <c r="DF444" s="116"/>
      <c r="DG444" s="116"/>
      <c r="DH444" s="116"/>
      <c r="DI444" s="116"/>
      <c r="DJ444" s="116"/>
      <c r="DK444" s="116"/>
      <c r="DL444" s="116"/>
      <c r="DM444" s="116"/>
      <c r="DN444" s="116"/>
      <c r="DO444" s="116"/>
      <c r="DP444" s="116"/>
      <c r="DQ444" s="116"/>
      <c r="DR444" s="116"/>
      <c r="DS444" s="116"/>
      <c r="DT444" s="116"/>
      <c r="DU444" s="116"/>
      <c r="DV444" s="116"/>
      <c r="DW444" s="116"/>
      <c r="DX444" s="116"/>
      <c r="DY444" s="116"/>
      <c r="DZ444" s="116"/>
      <c r="EA444" s="116"/>
      <c r="EB444" s="116"/>
    </row>
    <row r="445" spans="36:132" ht="12.75" hidden="1" customHeight="1">
      <c r="AJ445" s="116"/>
      <c r="AK445" s="116"/>
      <c r="AL445" s="116"/>
      <c r="AM445" s="116"/>
      <c r="AN445" s="116"/>
      <c r="AO445" s="116"/>
      <c r="AP445" s="116"/>
      <c r="AS445" s="116"/>
      <c r="AT445" s="116"/>
      <c r="BQ445" s="116"/>
      <c r="BR445" s="116"/>
      <c r="BS445" s="116"/>
      <c r="BT445" s="116"/>
      <c r="BU445" s="116"/>
      <c r="BV445" s="116"/>
      <c r="BW445" s="116"/>
      <c r="BX445" s="116"/>
      <c r="BY445" s="116"/>
      <c r="BZ445" s="116"/>
      <c r="CA445" s="116"/>
      <c r="CB445" s="116"/>
      <c r="CC445" s="116"/>
      <c r="CD445" s="116"/>
      <c r="CE445" s="116"/>
      <c r="CF445" s="116"/>
      <c r="CG445" s="116"/>
      <c r="CH445" s="116"/>
      <c r="CI445" s="116"/>
      <c r="CJ445" s="116"/>
      <c r="CK445" s="116"/>
      <c r="CL445" s="116"/>
      <c r="CM445" s="116"/>
      <c r="CN445" s="116"/>
      <c r="CO445" s="116"/>
      <c r="CP445" s="116"/>
      <c r="CQ445" s="116"/>
      <c r="CR445" s="116"/>
      <c r="CS445" s="116"/>
      <c r="CT445" s="116"/>
      <c r="CU445" s="116"/>
      <c r="CV445" s="116"/>
      <c r="CW445" s="116"/>
      <c r="CX445" s="116"/>
      <c r="CY445" s="116"/>
      <c r="CZ445" s="116"/>
      <c r="DA445" s="116"/>
      <c r="DB445" s="116"/>
      <c r="DC445" s="116"/>
      <c r="DD445" s="116"/>
      <c r="DE445" s="116"/>
      <c r="DF445" s="116"/>
      <c r="DG445" s="116"/>
      <c r="DH445" s="116"/>
      <c r="DI445" s="116"/>
      <c r="DJ445" s="116"/>
      <c r="DK445" s="116"/>
      <c r="DL445" s="116"/>
      <c r="DM445" s="116"/>
      <c r="DN445" s="116"/>
      <c r="DO445" s="116"/>
      <c r="DP445" s="116"/>
      <c r="DQ445" s="116"/>
      <c r="DR445" s="116"/>
      <c r="DS445" s="116"/>
      <c r="DT445" s="116"/>
      <c r="DU445" s="116"/>
      <c r="DV445" s="116"/>
      <c r="DW445" s="116"/>
      <c r="DX445" s="116"/>
      <c r="DY445" s="116"/>
      <c r="DZ445" s="116"/>
      <c r="EA445" s="116"/>
      <c r="EB445" s="116"/>
    </row>
    <row r="446" spans="36:132" ht="12.75" hidden="1" customHeight="1">
      <c r="AJ446" s="116"/>
      <c r="AK446" s="116"/>
      <c r="AL446" s="116"/>
      <c r="AM446" s="116"/>
      <c r="AN446" s="116"/>
      <c r="AO446" s="116"/>
      <c r="AP446" s="116"/>
      <c r="AS446" s="116"/>
      <c r="AT446" s="116"/>
      <c r="BQ446" s="116"/>
      <c r="BR446" s="116"/>
      <c r="BS446" s="116"/>
      <c r="BT446" s="116"/>
      <c r="BU446" s="116"/>
      <c r="BV446" s="116"/>
      <c r="BW446" s="116"/>
      <c r="BX446" s="116"/>
      <c r="BY446" s="116"/>
      <c r="BZ446" s="116"/>
      <c r="CA446" s="116"/>
      <c r="CB446" s="116"/>
      <c r="CC446" s="116"/>
      <c r="CD446" s="116"/>
      <c r="CE446" s="116"/>
      <c r="CF446" s="116"/>
      <c r="CG446" s="116"/>
      <c r="CH446" s="116"/>
      <c r="CI446" s="116"/>
      <c r="CJ446" s="116"/>
      <c r="CK446" s="116"/>
      <c r="CL446" s="116"/>
      <c r="CM446" s="116"/>
      <c r="CN446" s="116"/>
      <c r="CO446" s="116"/>
      <c r="CP446" s="116"/>
      <c r="CQ446" s="116"/>
      <c r="CR446" s="116"/>
      <c r="CS446" s="116"/>
      <c r="CT446" s="116"/>
      <c r="CU446" s="116"/>
      <c r="CV446" s="116"/>
      <c r="CW446" s="116"/>
      <c r="CX446" s="116"/>
      <c r="CY446" s="116"/>
      <c r="CZ446" s="116"/>
      <c r="DA446" s="116"/>
      <c r="DB446" s="116"/>
      <c r="DC446" s="116"/>
      <c r="DD446" s="116"/>
      <c r="DE446" s="116"/>
      <c r="DF446" s="116"/>
      <c r="DG446" s="116"/>
      <c r="DH446" s="116"/>
      <c r="DI446" s="116"/>
      <c r="DJ446" s="116"/>
      <c r="DK446" s="116"/>
      <c r="DL446" s="116"/>
      <c r="DM446" s="116"/>
      <c r="DN446" s="116"/>
      <c r="DO446" s="116"/>
      <c r="DP446" s="116"/>
      <c r="DQ446" s="116"/>
      <c r="DR446" s="116"/>
      <c r="DS446" s="116"/>
      <c r="DT446" s="116"/>
      <c r="DU446" s="116"/>
      <c r="DV446" s="116"/>
      <c r="DW446" s="116"/>
      <c r="DX446" s="116"/>
      <c r="DY446" s="116"/>
      <c r="DZ446" s="116"/>
      <c r="EA446" s="116"/>
      <c r="EB446" s="116"/>
    </row>
    <row r="447" spans="36:132" ht="12.75" hidden="1" customHeight="1">
      <c r="AJ447" s="116"/>
      <c r="AK447" s="116"/>
      <c r="AL447" s="116"/>
      <c r="AM447" s="116"/>
      <c r="AN447" s="116"/>
      <c r="AO447" s="116"/>
      <c r="AP447" s="116"/>
      <c r="AS447" s="116"/>
      <c r="AT447" s="116"/>
      <c r="BQ447" s="116"/>
      <c r="BR447" s="116"/>
      <c r="BS447" s="116"/>
      <c r="BT447" s="116"/>
      <c r="BU447" s="116"/>
      <c r="BV447" s="116"/>
      <c r="BW447" s="116"/>
      <c r="BX447" s="116"/>
      <c r="BY447" s="116"/>
      <c r="BZ447" s="116"/>
      <c r="CA447" s="116"/>
      <c r="CB447" s="116"/>
      <c r="CC447" s="116"/>
      <c r="CD447" s="116"/>
      <c r="CE447" s="116"/>
      <c r="CF447" s="116"/>
      <c r="CG447" s="116"/>
      <c r="CH447" s="116"/>
      <c r="CI447" s="116"/>
      <c r="CJ447" s="116"/>
      <c r="CK447" s="116"/>
      <c r="CL447" s="116"/>
      <c r="CM447" s="116"/>
      <c r="CN447" s="116"/>
      <c r="CO447" s="116"/>
      <c r="CP447" s="116"/>
      <c r="CQ447" s="116"/>
      <c r="CR447" s="116"/>
      <c r="CS447" s="116"/>
      <c r="CT447" s="116"/>
      <c r="CU447" s="116"/>
      <c r="CV447" s="116"/>
      <c r="CW447" s="116"/>
      <c r="CX447" s="116"/>
      <c r="CY447" s="116"/>
      <c r="CZ447" s="116"/>
      <c r="DA447" s="116"/>
      <c r="DB447" s="116"/>
      <c r="DC447" s="116"/>
      <c r="DD447" s="116"/>
      <c r="DE447" s="116"/>
      <c r="DF447" s="116"/>
      <c r="DG447" s="116"/>
      <c r="DH447" s="116"/>
      <c r="DI447" s="116"/>
      <c r="DJ447" s="116"/>
      <c r="DK447" s="116"/>
      <c r="DL447" s="116"/>
      <c r="DM447" s="116"/>
      <c r="DN447" s="116"/>
      <c r="DO447" s="116"/>
      <c r="DP447" s="116"/>
      <c r="DQ447" s="116"/>
      <c r="DR447" s="116"/>
      <c r="DS447" s="116"/>
      <c r="DT447" s="116"/>
      <c r="DU447" s="116"/>
      <c r="DV447" s="116"/>
      <c r="DW447" s="116"/>
      <c r="DX447" s="116"/>
      <c r="DY447" s="116"/>
      <c r="DZ447" s="116"/>
      <c r="EA447" s="116"/>
      <c r="EB447" s="116"/>
    </row>
    <row r="448" spans="36:132" ht="12.75" hidden="1" customHeight="1">
      <c r="AJ448" s="116"/>
      <c r="AK448" s="116"/>
      <c r="AL448" s="116"/>
      <c r="AM448" s="116"/>
      <c r="AN448" s="116"/>
      <c r="AO448" s="116"/>
      <c r="AP448" s="116"/>
      <c r="AS448" s="116"/>
      <c r="AT448" s="116"/>
      <c r="BQ448" s="116"/>
      <c r="BR448" s="116"/>
      <c r="BS448" s="116"/>
      <c r="BT448" s="116"/>
      <c r="BU448" s="116"/>
      <c r="BV448" s="116"/>
      <c r="BW448" s="116"/>
      <c r="BX448" s="116"/>
      <c r="BY448" s="116"/>
      <c r="BZ448" s="116"/>
      <c r="CA448" s="116"/>
      <c r="CB448" s="116"/>
      <c r="CC448" s="116"/>
      <c r="CD448" s="116"/>
      <c r="CE448" s="116"/>
      <c r="CF448" s="116"/>
      <c r="CG448" s="116"/>
      <c r="CH448" s="116"/>
      <c r="CI448" s="116"/>
      <c r="CJ448" s="116"/>
      <c r="CK448" s="116"/>
      <c r="CL448" s="116"/>
      <c r="CM448" s="116"/>
      <c r="CN448" s="116"/>
      <c r="CO448" s="116"/>
      <c r="CP448" s="116"/>
      <c r="CQ448" s="116"/>
      <c r="CR448" s="116"/>
      <c r="CS448" s="116"/>
      <c r="CT448" s="116"/>
      <c r="CU448" s="116"/>
      <c r="CV448" s="116"/>
      <c r="CW448" s="116"/>
      <c r="CX448" s="116"/>
      <c r="CY448" s="116"/>
      <c r="CZ448" s="116"/>
      <c r="DA448" s="116"/>
      <c r="DB448" s="116"/>
      <c r="DC448" s="116"/>
      <c r="DD448" s="116"/>
      <c r="DE448" s="116"/>
      <c r="DF448" s="116"/>
      <c r="DG448" s="116"/>
      <c r="DH448" s="116"/>
      <c r="DI448" s="116"/>
      <c r="DJ448" s="116"/>
      <c r="DK448" s="116"/>
      <c r="DL448" s="116"/>
      <c r="DM448" s="116"/>
      <c r="DN448" s="116"/>
      <c r="DO448" s="116"/>
      <c r="DP448" s="116"/>
      <c r="DQ448" s="116"/>
      <c r="DR448" s="116"/>
      <c r="DS448" s="116"/>
      <c r="DT448" s="116"/>
      <c r="DU448" s="116"/>
      <c r="DV448" s="116"/>
      <c r="DW448" s="116"/>
      <c r="DX448" s="116"/>
      <c r="DY448" s="116"/>
      <c r="DZ448" s="116"/>
      <c r="EA448" s="116"/>
      <c r="EB448" s="116"/>
    </row>
    <row r="449" spans="36:132" ht="12.75" hidden="1" customHeight="1">
      <c r="AJ449" s="116"/>
      <c r="AK449" s="116"/>
      <c r="AL449" s="116"/>
      <c r="AM449" s="116"/>
      <c r="AN449" s="116"/>
      <c r="AO449" s="116"/>
      <c r="AP449" s="116"/>
      <c r="AS449" s="116"/>
      <c r="AT449" s="116"/>
      <c r="BQ449" s="116"/>
      <c r="BR449" s="116"/>
      <c r="BS449" s="116"/>
      <c r="BT449" s="116"/>
      <c r="BU449" s="116"/>
      <c r="BV449" s="116"/>
      <c r="BW449" s="116"/>
      <c r="BX449" s="116"/>
      <c r="BY449" s="116"/>
      <c r="BZ449" s="116"/>
      <c r="CA449" s="116"/>
      <c r="CB449" s="116"/>
      <c r="CC449" s="116"/>
      <c r="CD449" s="116"/>
      <c r="CE449" s="116"/>
      <c r="CF449" s="116"/>
      <c r="CG449" s="116"/>
      <c r="CH449" s="116"/>
      <c r="CI449" s="116"/>
      <c r="CJ449" s="116"/>
      <c r="CK449" s="116"/>
      <c r="CL449" s="116"/>
      <c r="CM449" s="116"/>
      <c r="CN449" s="116"/>
      <c r="CO449" s="116"/>
      <c r="CP449" s="116"/>
      <c r="CQ449" s="116"/>
      <c r="CR449" s="116"/>
      <c r="CS449" s="116"/>
      <c r="CT449" s="116"/>
      <c r="CU449" s="116"/>
      <c r="CV449" s="116"/>
      <c r="CW449" s="116"/>
      <c r="CX449" s="116"/>
      <c r="CY449" s="116"/>
      <c r="CZ449" s="116"/>
      <c r="DA449" s="116"/>
      <c r="DB449" s="116"/>
      <c r="DC449" s="116"/>
      <c r="DD449" s="116"/>
      <c r="DE449" s="116"/>
      <c r="DF449" s="116"/>
      <c r="DG449" s="116"/>
      <c r="DH449" s="116"/>
      <c r="DI449" s="116"/>
      <c r="DJ449" s="116"/>
      <c r="DK449" s="116"/>
      <c r="DL449" s="116"/>
      <c r="DM449" s="116"/>
      <c r="DN449" s="116"/>
      <c r="DO449" s="116"/>
      <c r="DP449" s="116"/>
      <c r="DQ449" s="116"/>
      <c r="DR449" s="116"/>
      <c r="DS449" s="116"/>
      <c r="DT449" s="116"/>
      <c r="DU449" s="116"/>
      <c r="DV449" s="116"/>
      <c r="DW449" s="116"/>
      <c r="DX449" s="116"/>
      <c r="DY449" s="116"/>
      <c r="DZ449" s="116"/>
      <c r="EA449" s="116"/>
      <c r="EB449" s="116"/>
    </row>
    <row r="450" spans="36:132" ht="12.75" hidden="1" customHeight="1">
      <c r="AJ450" s="116"/>
      <c r="AK450" s="116"/>
      <c r="AL450" s="116"/>
      <c r="AM450" s="116"/>
      <c r="AN450" s="116"/>
      <c r="AO450" s="116"/>
      <c r="AP450" s="116"/>
      <c r="AS450" s="116"/>
      <c r="AT450" s="116"/>
      <c r="BQ450" s="116"/>
      <c r="BR450" s="116"/>
      <c r="BS450" s="116"/>
      <c r="BT450" s="116"/>
      <c r="BU450" s="116"/>
      <c r="BV450" s="116"/>
      <c r="BW450" s="116"/>
      <c r="BX450" s="116"/>
      <c r="BY450" s="116"/>
      <c r="BZ450" s="116"/>
      <c r="CA450" s="116"/>
      <c r="CB450" s="116"/>
      <c r="CC450" s="116"/>
      <c r="CD450" s="116"/>
      <c r="CE450" s="116"/>
      <c r="CF450" s="116"/>
      <c r="CG450" s="116"/>
      <c r="CH450" s="116"/>
      <c r="CI450" s="116"/>
      <c r="CJ450" s="116"/>
      <c r="CK450" s="116"/>
      <c r="CL450" s="116"/>
      <c r="CM450" s="116"/>
      <c r="CN450" s="116"/>
      <c r="CO450" s="116"/>
      <c r="CP450" s="116"/>
      <c r="CQ450" s="116"/>
      <c r="CR450" s="116"/>
      <c r="CS450" s="116"/>
      <c r="CT450" s="116"/>
      <c r="CU450" s="116"/>
      <c r="CV450" s="116"/>
      <c r="CW450" s="116"/>
      <c r="CX450" s="116"/>
      <c r="CY450" s="116"/>
      <c r="CZ450" s="116"/>
      <c r="DA450" s="116"/>
      <c r="DB450" s="116"/>
      <c r="DC450" s="116"/>
      <c r="DD450" s="116"/>
      <c r="DE450" s="116"/>
      <c r="DF450" s="116"/>
      <c r="DG450" s="116"/>
      <c r="DH450" s="116"/>
      <c r="DI450" s="116"/>
      <c r="DJ450" s="116"/>
      <c r="DK450" s="116"/>
      <c r="DL450" s="116"/>
      <c r="DM450" s="116"/>
      <c r="DN450" s="116"/>
      <c r="DO450" s="116"/>
      <c r="DP450" s="116"/>
      <c r="DQ450" s="116"/>
      <c r="DR450" s="116"/>
      <c r="DS450" s="116"/>
      <c r="DT450" s="116"/>
      <c r="DU450" s="116"/>
      <c r="DV450" s="116"/>
      <c r="DW450" s="116"/>
      <c r="DX450" s="116"/>
      <c r="DY450" s="116"/>
      <c r="DZ450" s="116"/>
      <c r="EA450" s="116"/>
      <c r="EB450" s="116"/>
    </row>
    <row r="451" spans="36:132" ht="12.75" hidden="1" customHeight="1">
      <c r="AJ451" s="116"/>
      <c r="AK451" s="116"/>
      <c r="AL451" s="116"/>
      <c r="AM451" s="116"/>
      <c r="AN451" s="116"/>
      <c r="AO451" s="116"/>
      <c r="AP451" s="116"/>
      <c r="AS451" s="116"/>
      <c r="AT451" s="116"/>
      <c r="BQ451" s="116"/>
      <c r="BR451" s="116"/>
      <c r="BS451" s="116"/>
      <c r="BT451" s="116"/>
      <c r="BU451" s="116"/>
      <c r="BV451" s="116"/>
      <c r="BW451" s="116"/>
      <c r="BX451" s="116"/>
      <c r="BY451" s="116"/>
      <c r="BZ451" s="116"/>
      <c r="CA451" s="116"/>
      <c r="CB451" s="116"/>
      <c r="CC451" s="116"/>
      <c r="CD451" s="116"/>
      <c r="CE451" s="116"/>
      <c r="CF451" s="116"/>
      <c r="CG451" s="116"/>
      <c r="CH451" s="116"/>
      <c r="CI451" s="116"/>
      <c r="CJ451" s="116"/>
      <c r="CK451" s="116"/>
      <c r="CL451" s="116"/>
      <c r="CM451" s="116"/>
      <c r="CN451" s="116"/>
      <c r="CO451" s="116"/>
      <c r="CP451" s="116"/>
      <c r="CQ451" s="116"/>
      <c r="CR451" s="116"/>
      <c r="CS451" s="116"/>
      <c r="CT451" s="116"/>
      <c r="CU451" s="116"/>
      <c r="CV451" s="116"/>
      <c r="CW451" s="116"/>
      <c r="CX451" s="116"/>
      <c r="CY451" s="116"/>
      <c r="CZ451" s="116"/>
      <c r="DA451" s="116"/>
      <c r="DB451" s="116"/>
      <c r="DC451" s="116"/>
      <c r="DD451" s="116"/>
      <c r="DE451" s="116"/>
      <c r="DF451" s="116"/>
      <c r="DG451" s="116"/>
      <c r="DH451" s="116"/>
      <c r="DI451" s="116"/>
      <c r="DJ451" s="116"/>
      <c r="DK451" s="116"/>
      <c r="DL451" s="116"/>
      <c r="DM451" s="116"/>
      <c r="DN451" s="116"/>
      <c r="DO451" s="116"/>
      <c r="DP451" s="116"/>
      <c r="DQ451" s="116"/>
      <c r="DR451" s="116"/>
      <c r="DS451" s="116"/>
      <c r="DT451" s="116"/>
      <c r="DU451" s="116"/>
      <c r="DV451" s="116"/>
      <c r="DW451" s="116"/>
      <c r="DX451" s="116"/>
      <c r="DY451" s="116"/>
      <c r="DZ451" s="116"/>
      <c r="EA451" s="116"/>
      <c r="EB451" s="116"/>
    </row>
    <row r="452" spans="36:132" ht="12.75" hidden="1" customHeight="1">
      <c r="AJ452" s="116"/>
      <c r="AK452" s="116"/>
      <c r="AL452" s="116"/>
      <c r="AM452" s="116"/>
      <c r="AN452" s="116"/>
      <c r="AO452" s="116"/>
      <c r="AP452" s="116"/>
      <c r="AS452" s="116"/>
      <c r="AT452" s="116"/>
      <c r="BQ452" s="116"/>
      <c r="BR452" s="116"/>
      <c r="BS452" s="116"/>
      <c r="BT452" s="116"/>
      <c r="BU452" s="116"/>
      <c r="BV452" s="116"/>
      <c r="BW452" s="116"/>
      <c r="BX452" s="116"/>
      <c r="BY452" s="116"/>
      <c r="BZ452" s="116"/>
      <c r="CA452" s="116"/>
      <c r="CB452" s="116"/>
      <c r="CC452" s="116"/>
      <c r="CD452" s="116"/>
      <c r="CE452" s="116"/>
      <c r="CF452" s="116"/>
      <c r="CG452" s="116"/>
      <c r="CH452" s="116"/>
      <c r="CI452" s="116"/>
      <c r="CJ452" s="116"/>
      <c r="CK452" s="116"/>
      <c r="CL452" s="116"/>
      <c r="CM452" s="116"/>
      <c r="CN452" s="116"/>
      <c r="CO452" s="116"/>
      <c r="CP452" s="116"/>
      <c r="CQ452" s="116"/>
      <c r="CR452" s="116"/>
      <c r="CS452" s="116"/>
      <c r="CT452" s="116"/>
      <c r="CU452" s="116"/>
      <c r="CV452" s="116"/>
      <c r="CW452" s="116"/>
      <c r="CX452" s="116"/>
      <c r="CY452" s="116"/>
      <c r="CZ452" s="116"/>
      <c r="DA452" s="116"/>
      <c r="DB452" s="116"/>
      <c r="DC452" s="116"/>
      <c r="DD452" s="116"/>
      <c r="DE452" s="116"/>
      <c r="DF452" s="116"/>
      <c r="DG452" s="116"/>
      <c r="DH452" s="116"/>
      <c r="DI452" s="116"/>
      <c r="DJ452" s="116"/>
      <c r="DK452" s="116"/>
      <c r="DL452" s="116"/>
      <c r="DM452" s="116"/>
      <c r="DN452" s="116"/>
      <c r="DO452" s="116"/>
      <c r="DP452" s="116"/>
      <c r="DQ452" s="116"/>
      <c r="DR452" s="116"/>
      <c r="DS452" s="116"/>
      <c r="DT452" s="116"/>
      <c r="DU452" s="116"/>
      <c r="DV452" s="116"/>
      <c r="DW452" s="116"/>
      <c r="DX452" s="116"/>
      <c r="DY452" s="116"/>
      <c r="DZ452" s="116"/>
      <c r="EA452" s="116"/>
      <c r="EB452" s="116"/>
    </row>
    <row r="453" spans="36:132" ht="12.75" hidden="1" customHeight="1">
      <c r="AJ453" s="116"/>
      <c r="AK453" s="116"/>
      <c r="AL453" s="116"/>
      <c r="AM453" s="116"/>
      <c r="AN453" s="116"/>
      <c r="AO453" s="116"/>
      <c r="AP453" s="116"/>
      <c r="AS453" s="116"/>
      <c r="AT453" s="116"/>
      <c r="BQ453" s="116"/>
      <c r="BR453" s="116"/>
      <c r="BS453" s="116"/>
      <c r="BT453" s="116"/>
      <c r="BU453" s="116"/>
      <c r="BV453" s="116"/>
      <c r="BW453" s="116"/>
      <c r="BX453" s="116"/>
      <c r="BY453" s="116"/>
      <c r="BZ453" s="116"/>
      <c r="CA453" s="116"/>
      <c r="CB453" s="116"/>
      <c r="CC453" s="116"/>
      <c r="CD453" s="116"/>
      <c r="CE453" s="116"/>
      <c r="CF453" s="116"/>
      <c r="CG453" s="116"/>
      <c r="CH453" s="116"/>
      <c r="CI453" s="116"/>
      <c r="CJ453" s="116"/>
      <c r="CK453" s="116"/>
      <c r="CL453" s="116"/>
      <c r="CM453" s="116"/>
      <c r="CN453" s="116"/>
      <c r="CO453" s="116"/>
      <c r="CP453" s="116"/>
      <c r="CQ453" s="116"/>
      <c r="CR453" s="116"/>
      <c r="CS453" s="116"/>
      <c r="CT453" s="116"/>
      <c r="CU453" s="116"/>
      <c r="CV453" s="116"/>
      <c r="CW453" s="116"/>
      <c r="CX453" s="116"/>
      <c r="CY453" s="116"/>
      <c r="CZ453" s="116"/>
      <c r="DA453" s="116"/>
      <c r="DB453" s="116"/>
      <c r="DC453" s="116"/>
      <c r="DD453" s="116"/>
      <c r="DE453" s="116"/>
      <c r="DF453" s="116"/>
      <c r="DG453" s="116"/>
      <c r="DH453" s="116"/>
      <c r="DI453" s="116"/>
      <c r="DJ453" s="116"/>
      <c r="DK453" s="116"/>
      <c r="DL453" s="116"/>
      <c r="DM453" s="116"/>
      <c r="DN453" s="116"/>
      <c r="DO453" s="116"/>
      <c r="DP453" s="116"/>
      <c r="DQ453" s="116"/>
      <c r="DR453" s="116"/>
      <c r="DS453" s="116"/>
      <c r="DT453" s="116"/>
      <c r="DU453" s="116"/>
      <c r="DV453" s="116"/>
      <c r="DW453" s="116"/>
      <c r="DX453" s="116"/>
      <c r="DY453" s="116"/>
      <c r="DZ453" s="116"/>
      <c r="EA453" s="116"/>
      <c r="EB453" s="116"/>
    </row>
    <row r="454" spans="36:132" ht="12.75" hidden="1" customHeight="1">
      <c r="AJ454" s="116"/>
      <c r="AK454" s="116"/>
      <c r="AL454" s="116"/>
      <c r="AM454" s="116"/>
      <c r="AN454" s="116"/>
      <c r="AO454" s="116"/>
      <c r="AP454" s="116"/>
      <c r="AS454" s="116"/>
      <c r="AT454" s="116"/>
      <c r="BQ454" s="116"/>
      <c r="BR454" s="116"/>
      <c r="BS454" s="116"/>
      <c r="BT454" s="116"/>
      <c r="BU454" s="116"/>
      <c r="BV454" s="116"/>
      <c r="BW454" s="116"/>
      <c r="BX454" s="116"/>
      <c r="BY454" s="116"/>
      <c r="BZ454" s="116"/>
      <c r="CA454" s="116"/>
      <c r="CB454" s="116"/>
      <c r="CC454" s="116"/>
      <c r="CD454" s="116"/>
      <c r="CE454" s="116"/>
      <c r="CF454" s="116"/>
      <c r="CG454" s="116"/>
      <c r="CH454" s="116"/>
      <c r="CI454" s="116"/>
      <c r="CJ454" s="116"/>
      <c r="CK454" s="116"/>
      <c r="CL454" s="116"/>
      <c r="CM454" s="116"/>
      <c r="CN454" s="116"/>
      <c r="CO454" s="116"/>
      <c r="CP454" s="116"/>
      <c r="CQ454" s="116"/>
      <c r="CR454" s="116"/>
      <c r="CS454" s="116"/>
      <c r="CT454" s="116"/>
      <c r="CU454" s="116"/>
      <c r="CV454" s="116"/>
      <c r="CW454" s="116"/>
      <c r="CX454" s="116"/>
      <c r="CY454" s="116"/>
      <c r="CZ454" s="116"/>
      <c r="DA454" s="116"/>
      <c r="DB454" s="116"/>
      <c r="DC454" s="116"/>
      <c r="DD454" s="116"/>
      <c r="DE454" s="116"/>
      <c r="DF454" s="116"/>
      <c r="DG454" s="116"/>
      <c r="DH454" s="116"/>
      <c r="DI454" s="116"/>
      <c r="DJ454" s="116"/>
      <c r="DK454" s="116"/>
      <c r="DL454" s="116"/>
      <c r="DM454" s="116"/>
      <c r="DN454" s="116"/>
      <c r="DO454" s="116"/>
      <c r="DP454" s="116"/>
      <c r="DQ454" s="116"/>
      <c r="DR454" s="116"/>
      <c r="DS454" s="116"/>
      <c r="DT454" s="116"/>
      <c r="DU454" s="116"/>
      <c r="DV454" s="116"/>
      <c r="DW454" s="116"/>
      <c r="DX454" s="116"/>
      <c r="DY454" s="116"/>
      <c r="DZ454" s="116"/>
      <c r="EA454" s="116"/>
      <c r="EB454" s="116"/>
    </row>
    <row r="455" spans="36:132" ht="12.75" hidden="1" customHeight="1">
      <c r="AJ455" s="116"/>
      <c r="AK455" s="116"/>
      <c r="AL455" s="116"/>
      <c r="AM455" s="116"/>
      <c r="AN455" s="116"/>
      <c r="AO455" s="116"/>
      <c r="AP455" s="116"/>
      <c r="AS455" s="116"/>
      <c r="AT455" s="116"/>
      <c r="BQ455" s="116"/>
      <c r="BR455" s="116"/>
      <c r="BS455" s="116"/>
      <c r="BT455" s="116"/>
      <c r="BU455" s="116"/>
      <c r="BV455" s="116"/>
      <c r="BW455" s="116"/>
      <c r="BX455" s="116"/>
      <c r="BY455" s="116"/>
      <c r="BZ455" s="116"/>
      <c r="CA455" s="116"/>
      <c r="CB455" s="116"/>
      <c r="CC455" s="116"/>
      <c r="CD455" s="116"/>
      <c r="CE455" s="116"/>
      <c r="CF455" s="116"/>
      <c r="CG455" s="116"/>
      <c r="CH455" s="116"/>
      <c r="CI455" s="116"/>
      <c r="CJ455" s="116"/>
      <c r="CK455" s="116"/>
      <c r="CL455" s="116"/>
      <c r="CM455" s="116"/>
      <c r="CN455" s="116"/>
      <c r="CO455" s="116"/>
      <c r="CP455" s="116"/>
      <c r="CQ455" s="116"/>
      <c r="CR455" s="116"/>
      <c r="CS455" s="116"/>
      <c r="CT455" s="116"/>
      <c r="CU455" s="116"/>
      <c r="CV455" s="116"/>
      <c r="CW455" s="116"/>
      <c r="CX455" s="116"/>
      <c r="CY455" s="116"/>
      <c r="CZ455" s="116"/>
      <c r="DA455" s="116"/>
      <c r="DB455" s="116"/>
      <c r="DC455" s="116"/>
      <c r="DD455" s="116"/>
      <c r="DE455" s="116"/>
      <c r="DF455" s="116"/>
      <c r="DG455" s="116"/>
      <c r="DH455" s="116"/>
      <c r="DI455" s="116"/>
      <c r="DJ455" s="116"/>
      <c r="DK455" s="116"/>
      <c r="DL455" s="116"/>
      <c r="DM455" s="116"/>
      <c r="DN455" s="116"/>
      <c r="DO455" s="116"/>
      <c r="DP455" s="116"/>
      <c r="DQ455" s="116"/>
      <c r="DR455" s="116"/>
      <c r="DS455" s="116"/>
      <c r="DT455" s="116"/>
      <c r="DU455" s="116"/>
      <c r="DV455" s="116"/>
      <c r="DW455" s="116"/>
      <c r="DX455" s="116"/>
      <c r="DY455" s="116"/>
      <c r="DZ455" s="116"/>
      <c r="EA455" s="116"/>
      <c r="EB455" s="116"/>
    </row>
    <row r="456" spans="36:132" ht="12.75" hidden="1" customHeight="1">
      <c r="AJ456" s="116"/>
      <c r="AK456" s="116"/>
      <c r="AL456" s="116"/>
      <c r="AM456" s="116"/>
      <c r="AN456" s="116"/>
      <c r="AO456" s="116"/>
      <c r="AP456" s="116"/>
      <c r="AS456" s="116"/>
      <c r="AT456" s="116"/>
      <c r="BQ456" s="116"/>
      <c r="BR456" s="116"/>
      <c r="BS456" s="116"/>
      <c r="BT456" s="116"/>
      <c r="BU456" s="116"/>
      <c r="BV456" s="116"/>
      <c r="BW456" s="116"/>
      <c r="BX456" s="116"/>
      <c r="BY456" s="116"/>
      <c r="BZ456" s="116"/>
      <c r="CA456" s="116"/>
      <c r="CB456" s="116"/>
      <c r="CC456" s="116"/>
      <c r="CD456" s="116"/>
      <c r="CE456" s="116"/>
      <c r="CF456" s="116"/>
      <c r="CG456" s="116"/>
      <c r="CH456" s="116"/>
      <c r="CI456" s="116"/>
      <c r="CJ456" s="116"/>
      <c r="CK456" s="116"/>
      <c r="CL456" s="116"/>
      <c r="CM456" s="116"/>
      <c r="CN456" s="116"/>
      <c r="CO456" s="116"/>
      <c r="CP456" s="116"/>
      <c r="CQ456" s="116"/>
      <c r="CR456" s="116"/>
      <c r="CS456" s="116"/>
      <c r="CT456" s="116"/>
      <c r="CU456" s="116"/>
      <c r="CV456" s="116"/>
      <c r="CW456" s="116"/>
      <c r="CX456" s="116"/>
      <c r="CY456" s="116"/>
      <c r="CZ456" s="116"/>
      <c r="DA456" s="116"/>
      <c r="DB456" s="116"/>
      <c r="DC456" s="116"/>
      <c r="DD456" s="116"/>
      <c r="DE456" s="116"/>
      <c r="DF456" s="116"/>
      <c r="DG456" s="116"/>
      <c r="DH456" s="116"/>
      <c r="DI456" s="116"/>
      <c r="DJ456" s="116"/>
      <c r="DK456" s="116"/>
      <c r="DL456" s="116"/>
      <c r="DM456" s="116"/>
      <c r="DN456" s="116"/>
      <c r="DO456" s="116"/>
      <c r="DP456" s="116"/>
      <c r="DQ456" s="116"/>
      <c r="DR456" s="116"/>
      <c r="DS456" s="116"/>
      <c r="DT456" s="116"/>
      <c r="DU456" s="116"/>
      <c r="DV456" s="116"/>
      <c r="DW456" s="116"/>
      <c r="DX456" s="116"/>
      <c r="DY456" s="116"/>
      <c r="DZ456" s="116"/>
      <c r="EA456" s="116"/>
      <c r="EB456" s="116"/>
    </row>
    <row r="457" spans="36:132" ht="12.75" hidden="1" customHeight="1">
      <c r="AJ457" s="116"/>
      <c r="AK457" s="116"/>
      <c r="AL457" s="116"/>
      <c r="AM457" s="116"/>
      <c r="AN457" s="116"/>
      <c r="AO457" s="116"/>
      <c r="AP457" s="116"/>
      <c r="AS457" s="116"/>
      <c r="AT457" s="116"/>
      <c r="BQ457" s="116"/>
      <c r="BR457" s="116"/>
      <c r="BS457" s="116"/>
      <c r="BT457" s="116"/>
      <c r="BU457" s="116"/>
      <c r="BV457" s="116"/>
      <c r="BW457" s="116"/>
      <c r="BX457" s="116"/>
      <c r="BY457" s="116"/>
      <c r="BZ457" s="116"/>
      <c r="CA457" s="116"/>
      <c r="CB457" s="116"/>
      <c r="CC457" s="116"/>
      <c r="CD457" s="116"/>
      <c r="CE457" s="116"/>
      <c r="CF457" s="116"/>
      <c r="CG457" s="116"/>
      <c r="CH457" s="116"/>
      <c r="CI457" s="116"/>
      <c r="CJ457" s="116"/>
      <c r="CK457" s="116"/>
      <c r="CL457" s="116"/>
      <c r="CM457" s="116"/>
      <c r="CN457" s="116"/>
      <c r="CO457" s="116"/>
      <c r="CP457" s="116"/>
      <c r="CQ457" s="116"/>
      <c r="CR457" s="116"/>
      <c r="CS457" s="116"/>
      <c r="CT457" s="116"/>
      <c r="CU457" s="116"/>
      <c r="CV457" s="116"/>
      <c r="CW457" s="116"/>
      <c r="CX457" s="116"/>
      <c r="CY457" s="116"/>
      <c r="CZ457" s="116"/>
      <c r="DA457" s="116"/>
      <c r="DB457" s="116"/>
      <c r="DC457" s="116"/>
      <c r="DD457" s="116"/>
      <c r="DE457" s="116"/>
      <c r="DF457" s="116"/>
      <c r="DG457" s="116"/>
      <c r="DH457" s="116"/>
      <c r="DI457" s="116"/>
      <c r="DJ457" s="116"/>
      <c r="DK457" s="116"/>
      <c r="DL457" s="116"/>
      <c r="DM457" s="116"/>
      <c r="DN457" s="116"/>
      <c r="DO457" s="116"/>
      <c r="DP457" s="116"/>
      <c r="DQ457" s="116"/>
      <c r="DR457" s="116"/>
      <c r="DS457" s="116"/>
      <c r="DT457" s="116"/>
      <c r="DU457" s="116"/>
      <c r="DV457" s="116"/>
      <c r="DW457" s="116"/>
      <c r="DX457" s="116"/>
      <c r="DY457" s="116"/>
      <c r="DZ457" s="116"/>
      <c r="EA457" s="116"/>
      <c r="EB457" s="116"/>
    </row>
    <row r="458" spans="36:132" ht="12.75" hidden="1" customHeight="1">
      <c r="AJ458" s="116"/>
      <c r="AK458" s="116"/>
      <c r="AL458" s="116"/>
      <c r="AM458" s="116"/>
      <c r="AN458" s="116"/>
      <c r="AO458" s="116"/>
      <c r="AP458" s="116"/>
      <c r="AS458" s="116"/>
      <c r="AT458" s="116"/>
      <c r="BQ458" s="116"/>
      <c r="BR458" s="116"/>
      <c r="BS458" s="116"/>
      <c r="BT458" s="116"/>
      <c r="BU458" s="116"/>
      <c r="BV458" s="116"/>
      <c r="BW458" s="116"/>
      <c r="BX458" s="116"/>
      <c r="BY458" s="116"/>
      <c r="BZ458" s="116"/>
      <c r="CA458" s="116"/>
      <c r="CB458" s="116"/>
      <c r="CC458" s="116"/>
      <c r="CD458" s="116"/>
      <c r="CE458" s="116"/>
      <c r="CF458" s="116"/>
      <c r="CG458" s="116"/>
      <c r="CH458" s="116"/>
      <c r="CI458" s="116"/>
      <c r="CJ458" s="116"/>
      <c r="CK458" s="116"/>
      <c r="CL458" s="116"/>
      <c r="CM458" s="116"/>
      <c r="CN458" s="116"/>
      <c r="CO458" s="116"/>
      <c r="CP458" s="116"/>
      <c r="CQ458" s="116"/>
      <c r="CR458" s="116"/>
      <c r="CS458" s="116"/>
      <c r="CT458" s="116"/>
      <c r="CU458" s="116"/>
      <c r="CV458" s="116"/>
      <c r="CW458" s="116"/>
      <c r="CX458" s="116"/>
      <c r="CY458" s="116"/>
      <c r="CZ458" s="116"/>
      <c r="DA458" s="116"/>
      <c r="DB458" s="116"/>
      <c r="DC458" s="116"/>
      <c r="DD458" s="116"/>
      <c r="DE458" s="116"/>
      <c r="DF458" s="116"/>
      <c r="DG458" s="116"/>
      <c r="DH458" s="116"/>
      <c r="DI458" s="116"/>
      <c r="DJ458" s="116"/>
      <c r="DK458" s="116"/>
      <c r="DL458" s="116"/>
      <c r="DM458" s="116"/>
      <c r="DN458" s="116"/>
      <c r="DO458" s="116"/>
      <c r="DP458" s="116"/>
      <c r="DQ458" s="116"/>
      <c r="DR458" s="116"/>
      <c r="DS458" s="116"/>
      <c r="DT458" s="116"/>
      <c r="DU458" s="116"/>
      <c r="DV458" s="116"/>
      <c r="DW458" s="116"/>
      <c r="DX458" s="116"/>
      <c r="DY458" s="116"/>
      <c r="DZ458" s="116"/>
      <c r="EA458" s="116"/>
      <c r="EB458" s="116"/>
    </row>
    <row r="459" spans="36:132" ht="12.75" hidden="1" customHeight="1">
      <c r="AJ459" s="116"/>
      <c r="AK459" s="116"/>
      <c r="AL459" s="116"/>
      <c r="AM459" s="116"/>
      <c r="AN459" s="116"/>
      <c r="AO459" s="116"/>
      <c r="AP459" s="116"/>
      <c r="AS459" s="116"/>
      <c r="AT459" s="116"/>
      <c r="BQ459" s="116"/>
      <c r="BR459" s="116"/>
      <c r="BS459" s="116"/>
      <c r="BT459" s="116"/>
      <c r="BU459" s="116"/>
      <c r="BV459" s="116"/>
      <c r="BW459" s="116"/>
      <c r="BX459" s="116"/>
      <c r="BY459" s="116"/>
      <c r="BZ459" s="116"/>
      <c r="CA459" s="116"/>
      <c r="CB459" s="116"/>
      <c r="CC459" s="116"/>
      <c r="CD459" s="116"/>
      <c r="CE459" s="116"/>
      <c r="CF459" s="116"/>
      <c r="CG459" s="116"/>
      <c r="CH459" s="116"/>
      <c r="CI459" s="116"/>
      <c r="CJ459" s="116"/>
      <c r="CK459" s="116"/>
      <c r="CL459" s="116"/>
      <c r="CM459" s="116"/>
      <c r="CN459" s="116"/>
      <c r="CO459" s="116"/>
      <c r="CP459" s="116"/>
      <c r="CQ459" s="116"/>
      <c r="CR459" s="116"/>
      <c r="CS459" s="116"/>
      <c r="CT459" s="116"/>
      <c r="CU459" s="116"/>
      <c r="CV459" s="116"/>
      <c r="CW459" s="116"/>
      <c r="CX459" s="116"/>
      <c r="CY459" s="116"/>
      <c r="CZ459" s="116"/>
      <c r="DA459" s="116"/>
      <c r="DB459" s="116"/>
      <c r="DC459" s="116"/>
      <c r="DD459" s="116"/>
      <c r="DE459" s="116"/>
      <c r="DF459" s="116"/>
      <c r="DG459" s="116"/>
      <c r="DH459" s="116"/>
      <c r="DI459" s="116"/>
      <c r="DJ459" s="116"/>
      <c r="DK459" s="116"/>
      <c r="DL459" s="116"/>
      <c r="DM459" s="116"/>
      <c r="DN459" s="116"/>
      <c r="DO459" s="116"/>
      <c r="DP459" s="116"/>
      <c r="DQ459" s="116"/>
      <c r="DR459" s="116"/>
      <c r="DS459" s="116"/>
      <c r="DT459" s="116"/>
      <c r="DU459" s="116"/>
      <c r="DV459" s="116"/>
      <c r="DW459" s="116"/>
      <c r="DX459" s="116"/>
      <c r="DY459" s="116"/>
      <c r="DZ459" s="116"/>
      <c r="EA459" s="116"/>
      <c r="EB459" s="116"/>
    </row>
    <row r="460" spans="36:132" ht="12.75" hidden="1" customHeight="1">
      <c r="AJ460" s="116"/>
      <c r="AK460" s="116"/>
      <c r="AL460" s="116"/>
      <c r="AM460" s="116"/>
      <c r="AN460" s="116"/>
      <c r="AO460" s="116"/>
      <c r="AP460" s="116"/>
      <c r="AS460" s="116"/>
      <c r="AT460" s="116"/>
      <c r="BQ460" s="116"/>
      <c r="BR460" s="116"/>
      <c r="BS460" s="116"/>
      <c r="BT460" s="116"/>
      <c r="BU460" s="116"/>
      <c r="BV460" s="116"/>
      <c r="BW460" s="116"/>
      <c r="BX460" s="116"/>
      <c r="BY460" s="116"/>
      <c r="BZ460" s="116"/>
      <c r="CA460" s="116"/>
      <c r="CB460" s="116"/>
      <c r="CC460" s="116"/>
      <c r="CD460" s="116"/>
      <c r="CE460" s="116"/>
      <c r="CF460" s="116"/>
      <c r="CG460" s="116"/>
      <c r="CH460" s="116"/>
      <c r="CI460" s="116"/>
      <c r="CJ460" s="116"/>
      <c r="CK460" s="116"/>
      <c r="CL460" s="116"/>
      <c r="CM460" s="116"/>
      <c r="CN460" s="116"/>
      <c r="CO460" s="116"/>
      <c r="CP460" s="116"/>
      <c r="CQ460" s="116"/>
      <c r="CR460" s="116"/>
      <c r="CS460" s="116"/>
      <c r="CT460" s="116"/>
      <c r="CU460" s="116"/>
      <c r="CV460" s="116"/>
      <c r="CW460" s="116"/>
      <c r="CX460" s="116"/>
      <c r="CY460" s="116"/>
      <c r="CZ460" s="116"/>
      <c r="DA460" s="116"/>
      <c r="DB460" s="116"/>
      <c r="DC460" s="116"/>
      <c r="DD460" s="116"/>
      <c r="DE460" s="116"/>
      <c r="DF460" s="116"/>
      <c r="DG460" s="116"/>
      <c r="DH460" s="116"/>
      <c r="DI460" s="116"/>
      <c r="DJ460" s="116"/>
      <c r="DK460" s="116"/>
      <c r="DL460" s="116"/>
      <c r="DM460" s="116"/>
      <c r="DN460" s="116"/>
      <c r="DO460" s="116"/>
      <c r="DP460" s="116"/>
      <c r="DQ460" s="116"/>
      <c r="DR460" s="116"/>
      <c r="DS460" s="116"/>
      <c r="DT460" s="116"/>
      <c r="DU460" s="116"/>
      <c r="DV460" s="116"/>
      <c r="DW460" s="116"/>
      <c r="DX460" s="116"/>
      <c r="DY460" s="116"/>
      <c r="DZ460" s="116"/>
      <c r="EA460" s="116"/>
      <c r="EB460" s="116"/>
    </row>
    <row r="461" spans="36:132" ht="12.75" hidden="1" customHeight="1">
      <c r="AJ461" s="116"/>
      <c r="AK461" s="116"/>
      <c r="AL461" s="116"/>
      <c r="AM461" s="116"/>
      <c r="AN461" s="116"/>
      <c r="AO461" s="116"/>
      <c r="AP461" s="116"/>
      <c r="AS461" s="116"/>
      <c r="AT461" s="116"/>
      <c r="BQ461" s="116"/>
      <c r="BR461" s="116"/>
      <c r="BS461" s="116"/>
      <c r="BT461" s="116"/>
      <c r="BU461" s="116"/>
      <c r="BV461" s="116"/>
      <c r="BW461" s="116"/>
      <c r="BX461" s="116"/>
      <c r="BY461" s="116"/>
      <c r="BZ461" s="116"/>
      <c r="CA461" s="116"/>
      <c r="CB461" s="116"/>
      <c r="CC461" s="116"/>
      <c r="CD461" s="116"/>
      <c r="CE461" s="116"/>
      <c r="CF461" s="116"/>
      <c r="CG461" s="116"/>
      <c r="CH461" s="116"/>
      <c r="CI461" s="116"/>
      <c r="CJ461" s="116"/>
      <c r="CK461" s="116"/>
      <c r="CL461" s="116"/>
      <c r="CM461" s="116"/>
      <c r="CN461" s="116"/>
      <c r="CO461" s="116"/>
      <c r="CP461" s="116"/>
      <c r="CQ461" s="116"/>
      <c r="CR461" s="116"/>
      <c r="CS461" s="116"/>
      <c r="CT461" s="116"/>
      <c r="CU461" s="116"/>
      <c r="CV461" s="116"/>
      <c r="CW461" s="116"/>
      <c r="CX461" s="116"/>
      <c r="CY461" s="116"/>
      <c r="CZ461" s="116"/>
      <c r="DA461" s="116"/>
      <c r="DB461" s="116"/>
      <c r="DC461" s="116"/>
      <c r="DD461" s="116"/>
      <c r="DE461" s="116"/>
      <c r="DF461" s="116"/>
      <c r="DG461" s="116"/>
      <c r="DH461" s="116"/>
      <c r="DI461" s="116"/>
      <c r="DJ461" s="116"/>
      <c r="DK461" s="116"/>
      <c r="DL461" s="116"/>
      <c r="DM461" s="116"/>
      <c r="DN461" s="116"/>
      <c r="DO461" s="116"/>
      <c r="DP461" s="116"/>
      <c r="DQ461" s="116"/>
      <c r="DR461" s="116"/>
      <c r="DS461" s="116"/>
      <c r="DT461" s="116"/>
      <c r="DU461" s="116"/>
      <c r="DV461" s="116"/>
      <c r="DW461" s="116"/>
      <c r="DX461" s="116"/>
      <c r="DY461" s="116"/>
      <c r="DZ461" s="116"/>
      <c r="EA461" s="116"/>
      <c r="EB461" s="116"/>
    </row>
    <row r="462" spans="36:132" ht="12.75" hidden="1" customHeight="1">
      <c r="AJ462" s="116"/>
      <c r="AK462" s="116"/>
      <c r="AL462" s="116"/>
      <c r="AM462" s="116"/>
      <c r="AN462" s="116"/>
      <c r="AO462" s="116"/>
      <c r="AP462" s="116"/>
      <c r="AS462" s="116"/>
      <c r="AT462" s="116"/>
      <c r="BQ462" s="116"/>
      <c r="BR462" s="116"/>
      <c r="BS462" s="116"/>
      <c r="BT462" s="116"/>
      <c r="BU462" s="116"/>
      <c r="BV462" s="116"/>
      <c r="BW462" s="116"/>
      <c r="BX462" s="116"/>
      <c r="BY462" s="116"/>
      <c r="BZ462" s="116"/>
      <c r="CA462" s="116"/>
      <c r="CB462" s="116"/>
      <c r="CC462" s="116"/>
      <c r="CD462" s="116"/>
      <c r="CE462" s="116"/>
      <c r="CF462" s="116"/>
      <c r="CG462" s="116"/>
      <c r="CH462" s="116"/>
      <c r="CI462" s="116"/>
      <c r="CJ462" s="116"/>
      <c r="CK462" s="116"/>
      <c r="CL462" s="116"/>
      <c r="CM462" s="116"/>
      <c r="CN462" s="116"/>
      <c r="CO462" s="116"/>
      <c r="CP462" s="116"/>
      <c r="CQ462" s="116"/>
      <c r="CR462" s="116"/>
      <c r="CS462" s="116"/>
      <c r="CT462" s="116"/>
      <c r="CU462" s="116"/>
      <c r="CV462" s="116"/>
      <c r="CW462" s="116"/>
      <c r="CX462" s="116"/>
      <c r="CY462" s="116"/>
      <c r="CZ462" s="116"/>
      <c r="DA462" s="116"/>
      <c r="DB462" s="116"/>
      <c r="DC462" s="116"/>
      <c r="DD462" s="116"/>
      <c r="DE462" s="116"/>
      <c r="DF462" s="116"/>
      <c r="DG462" s="116"/>
      <c r="DH462" s="116"/>
      <c r="DI462" s="116"/>
      <c r="DJ462" s="116"/>
      <c r="DK462" s="116"/>
      <c r="DL462" s="116"/>
      <c r="DM462" s="116"/>
      <c r="DN462" s="116"/>
      <c r="DO462" s="116"/>
      <c r="DP462" s="116"/>
      <c r="DQ462" s="116"/>
      <c r="DR462" s="116"/>
      <c r="DS462" s="116"/>
      <c r="DT462" s="116"/>
      <c r="DU462" s="116"/>
      <c r="DV462" s="116"/>
      <c r="DW462" s="116"/>
      <c r="DX462" s="116"/>
      <c r="DY462" s="116"/>
      <c r="DZ462" s="116"/>
      <c r="EA462" s="116"/>
      <c r="EB462" s="116"/>
    </row>
    <row r="463" spans="36:132" ht="12.75" hidden="1" customHeight="1">
      <c r="AJ463" s="116"/>
      <c r="AK463" s="116"/>
      <c r="AL463" s="116"/>
      <c r="AM463" s="116"/>
      <c r="AN463" s="116"/>
      <c r="AO463" s="116"/>
      <c r="AP463" s="116"/>
      <c r="AS463" s="116"/>
      <c r="AT463" s="116"/>
      <c r="BQ463" s="116"/>
      <c r="BR463" s="116"/>
      <c r="BS463" s="116"/>
      <c r="BT463" s="116"/>
      <c r="BU463" s="116"/>
      <c r="BV463" s="116"/>
      <c r="BW463" s="116"/>
      <c r="BX463" s="116"/>
      <c r="BY463" s="116"/>
      <c r="BZ463" s="116"/>
      <c r="CA463" s="116"/>
      <c r="CB463" s="116"/>
      <c r="CC463" s="116"/>
      <c r="CD463" s="116"/>
      <c r="CE463" s="116"/>
      <c r="CF463" s="116"/>
      <c r="CG463" s="116"/>
      <c r="CH463" s="116"/>
      <c r="CI463" s="116"/>
      <c r="CJ463" s="116"/>
      <c r="CK463" s="116"/>
      <c r="CL463" s="116"/>
      <c r="CM463" s="116"/>
      <c r="CN463" s="116"/>
      <c r="CO463" s="116"/>
      <c r="CP463" s="116"/>
      <c r="CQ463" s="116"/>
      <c r="CR463" s="116"/>
      <c r="CS463" s="116"/>
      <c r="CT463" s="116"/>
      <c r="CU463" s="116"/>
      <c r="CV463" s="116"/>
      <c r="CW463" s="116"/>
      <c r="CX463" s="116"/>
      <c r="CY463" s="116"/>
      <c r="CZ463" s="116"/>
      <c r="DA463" s="116"/>
      <c r="DB463" s="116"/>
      <c r="DC463" s="116"/>
      <c r="DD463" s="116"/>
      <c r="DE463" s="116"/>
      <c r="DF463" s="116"/>
      <c r="DG463" s="116"/>
      <c r="DH463" s="116"/>
      <c r="DI463" s="116"/>
      <c r="DJ463" s="116"/>
      <c r="DK463" s="116"/>
      <c r="DL463" s="116"/>
      <c r="DM463" s="116"/>
      <c r="DN463" s="116"/>
      <c r="DO463" s="116"/>
      <c r="DP463" s="116"/>
      <c r="DQ463" s="116"/>
      <c r="DR463" s="116"/>
      <c r="DS463" s="116"/>
      <c r="DT463" s="116"/>
      <c r="DU463" s="116"/>
      <c r="DV463" s="116"/>
      <c r="DW463" s="116"/>
      <c r="DX463" s="116"/>
      <c r="DY463" s="116"/>
      <c r="DZ463" s="116"/>
      <c r="EA463" s="116"/>
      <c r="EB463" s="116"/>
    </row>
    <row r="464" spans="36:132" ht="12.75" hidden="1" customHeight="1">
      <c r="AJ464" s="116"/>
      <c r="AK464" s="116"/>
      <c r="AL464" s="116"/>
      <c r="AM464" s="116"/>
      <c r="AN464" s="116"/>
      <c r="AO464" s="116"/>
      <c r="AP464" s="116"/>
      <c r="AS464" s="116"/>
      <c r="AT464" s="116"/>
      <c r="BQ464" s="116"/>
      <c r="BR464" s="116"/>
      <c r="BS464" s="116"/>
      <c r="BT464" s="116"/>
      <c r="BU464" s="116"/>
      <c r="BV464" s="116"/>
      <c r="BW464" s="116"/>
      <c r="BX464" s="116"/>
      <c r="BY464" s="116"/>
      <c r="BZ464" s="116"/>
      <c r="CA464" s="116"/>
      <c r="CB464" s="116"/>
      <c r="CC464" s="116"/>
      <c r="CD464" s="116"/>
      <c r="CE464" s="116"/>
      <c r="CF464" s="116"/>
      <c r="CG464" s="116"/>
      <c r="CH464" s="116"/>
      <c r="CI464" s="116"/>
      <c r="CJ464" s="116"/>
      <c r="CK464" s="116"/>
      <c r="CL464" s="116"/>
      <c r="CM464" s="116"/>
      <c r="CN464" s="116"/>
      <c r="CO464" s="116"/>
      <c r="CP464" s="116"/>
      <c r="CQ464" s="116"/>
      <c r="CR464" s="116"/>
      <c r="CS464" s="116"/>
      <c r="CT464" s="116"/>
      <c r="CU464" s="116"/>
      <c r="CV464" s="116"/>
      <c r="CW464" s="116"/>
      <c r="CX464" s="116"/>
      <c r="CY464" s="116"/>
      <c r="CZ464" s="116"/>
      <c r="DA464" s="116"/>
      <c r="DB464" s="116"/>
      <c r="DC464" s="116"/>
      <c r="DD464" s="116"/>
      <c r="DE464" s="116"/>
      <c r="DF464" s="116"/>
      <c r="DG464" s="116"/>
      <c r="DH464" s="116"/>
      <c r="DI464" s="116"/>
      <c r="DJ464" s="116"/>
      <c r="DK464" s="116"/>
      <c r="DL464" s="116"/>
      <c r="DM464" s="116"/>
      <c r="DN464" s="116"/>
      <c r="DO464" s="116"/>
      <c r="DP464" s="116"/>
      <c r="DQ464" s="116"/>
      <c r="DR464" s="116"/>
      <c r="DS464" s="116"/>
      <c r="DT464" s="116"/>
      <c r="DU464" s="116"/>
      <c r="DV464" s="116"/>
      <c r="DW464" s="116"/>
      <c r="DX464" s="116"/>
      <c r="DY464" s="116"/>
      <c r="DZ464" s="116"/>
      <c r="EA464" s="116"/>
      <c r="EB464" s="116"/>
    </row>
    <row r="465" spans="36:132" ht="12.75" hidden="1" customHeight="1">
      <c r="AJ465" s="116"/>
      <c r="AK465" s="116"/>
      <c r="AL465" s="116"/>
      <c r="AM465" s="116"/>
      <c r="AN465" s="116"/>
      <c r="AO465" s="116"/>
      <c r="AP465" s="116"/>
      <c r="AS465" s="116"/>
      <c r="AT465" s="116"/>
      <c r="BQ465" s="116"/>
      <c r="BR465" s="116"/>
      <c r="BS465" s="116"/>
      <c r="BT465" s="116"/>
      <c r="BU465" s="116"/>
      <c r="BV465" s="116"/>
      <c r="BW465" s="116"/>
      <c r="BX465" s="116"/>
      <c r="BY465" s="116"/>
      <c r="BZ465" s="116"/>
      <c r="CA465" s="116"/>
      <c r="CB465" s="116"/>
      <c r="CC465" s="116"/>
      <c r="CD465" s="116"/>
      <c r="CE465" s="116"/>
      <c r="CF465" s="116"/>
      <c r="CG465" s="116"/>
      <c r="CH465" s="116"/>
      <c r="CI465" s="116"/>
      <c r="CJ465" s="116"/>
      <c r="CK465" s="116"/>
      <c r="CL465" s="116"/>
      <c r="CM465" s="116"/>
      <c r="CN465" s="116"/>
      <c r="CO465" s="116"/>
      <c r="CP465" s="116"/>
      <c r="CQ465" s="116"/>
      <c r="CR465" s="116"/>
      <c r="CS465" s="116"/>
      <c r="CT465" s="116"/>
      <c r="CU465" s="116"/>
      <c r="CV465" s="116"/>
      <c r="CW465" s="116"/>
      <c r="CX465" s="116"/>
      <c r="CY465" s="116"/>
      <c r="CZ465" s="116"/>
      <c r="DA465" s="116"/>
      <c r="DB465" s="116"/>
      <c r="DC465" s="116"/>
      <c r="DD465" s="116"/>
      <c r="DE465" s="116"/>
      <c r="DF465" s="116"/>
      <c r="DG465" s="116"/>
      <c r="DH465" s="116"/>
      <c r="DI465" s="116"/>
      <c r="DJ465" s="116"/>
      <c r="DK465" s="116"/>
      <c r="DL465" s="116"/>
      <c r="DM465" s="116"/>
      <c r="DN465" s="116"/>
      <c r="DO465" s="116"/>
      <c r="DP465" s="116"/>
      <c r="DQ465" s="116"/>
      <c r="DR465" s="116"/>
      <c r="DS465" s="116"/>
      <c r="DT465" s="116"/>
      <c r="DU465" s="116"/>
      <c r="DV465" s="116"/>
      <c r="DW465" s="116"/>
      <c r="DX465" s="116"/>
      <c r="DY465" s="116"/>
      <c r="DZ465" s="116"/>
      <c r="EA465" s="116"/>
      <c r="EB465" s="116"/>
    </row>
    <row r="466" spans="36:132" ht="12.75" hidden="1" customHeight="1">
      <c r="AJ466" s="116"/>
      <c r="AK466" s="116"/>
      <c r="AL466" s="116"/>
      <c r="AM466" s="116"/>
      <c r="AN466" s="116"/>
      <c r="AO466" s="116"/>
      <c r="AP466" s="116"/>
      <c r="AS466" s="116"/>
      <c r="AT466" s="116"/>
      <c r="BQ466" s="116"/>
      <c r="BR466" s="116"/>
      <c r="BS466" s="116"/>
      <c r="BT466" s="116"/>
      <c r="BU466" s="116"/>
      <c r="BV466" s="116"/>
      <c r="BW466" s="116"/>
      <c r="BX466" s="116"/>
      <c r="BY466" s="116"/>
      <c r="BZ466" s="116"/>
      <c r="CA466" s="116"/>
      <c r="CB466" s="116"/>
      <c r="CC466" s="116"/>
      <c r="CD466" s="116"/>
      <c r="CE466" s="116"/>
      <c r="CF466" s="116"/>
      <c r="CG466" s="116"/>
      <c r="CH466" s="116"/>
      <c r="CI466" s="116"/>
      <c r="CJ466" s="116"/>
      <c r="CK466" s="116"/>
      <c r="CL466" s="116"/>
      <c r="CM466" s="116"/>
      <c r="CN466" s="116"/>
      <c r="CO466" s="116"/>
      <c r="CP466" s="116"/>
      <c r="CQ466" s="116"/>
      <c r="CR466" s="116"/>
      <c r="CS466" s="116"/>
      <c r="CT466" s="116"/>
      <c r="CU466" s="116"/>
      <c r="CV466" s="116"/>
      <c r="CW466" s="116"/>
      <c r="CX466" s="116"/>
      <c r="CY466" s="116"/>
      <c r="CZ466" s="116"/>
      <c r="DA466" s="116"/>
      <c r="DB466" s="116"/>
      <c r="DC466" s="116"/>
      <c r="DD466" s="116"/>
      <c r="DE466" s="116"/>
      <c r="DF466" s="116"/>
      <c r="DG466" s="116"/>
      <c r="DH466" s="116"/>
      <c r="DI466" s="116"/>
      <c r="DJ466" s="116"/>
      <c r="DK466" s="116"/>
      <c r="DL466" s="116"/>
      <c r="DM466" s="116"/>
      <c r="DN466" s="116"/>
      <c r="DO466" s="116"/>
      <c r="DP466" s="116"/>
      <c r="DQ466" s="116"/>
      <c r="DR466" s="116"/>
      <c r="DS466" s="116"/>
      <c r="DT466" s="116"/>
      <c r="DU466" s="116"/>
      <c r="DV466" s="116"/>
      <c r="DW466" s="116"/>
      <c r="DX466" s="116"/>
      <c r="DY466" s="116"/>
      <c r="DZ466" s="116"/>
      <c r="EA466" s="116"/>
      <c r="EB466" s="116"/>
    </row>
    <row r="467" spans="36:132" ht="12.75" hidden="1" customHeight="1">
      <c r="AJ467" s="116"/>
      <c r="AK467" s="116"/>
      <c r="AL467" s="116"/>
      <c r="AM467" s="116"/>
      <c r="AN467" s="116"/>
      <c r="AO467" s="116"/>
      <c r="AP467" s="116"/>
      <c r="AS467" s="116"/>
      <c r="AT467" s="116"/>
      <c r="BQ467" s="116"/>
      <c r="BR467" s="116"/>
      <c r="BS467" s="116"/>
      <c r="BT467" s="116"/>
      <c r="BU467" s="116"/>
      <c r="BV467" s="116"/>
      <c r="BW467" s="116"/>
      <c r="BX467" s="116"/>
      <c r="BY467" s="116"/>
      <c r="BZ467" s="116"/>
      <c r="CA467" s="116"/>
      <c r="CB467" s="116"/>
      <c r="CC467" s="116"/>
      <c r="CD467" s="116"/>
      <c r="CE467" s="116"/>
      <c r="CF467" s="116"/>
      <c r="CG467" s="116"/>
      <c r="CH467" s="116"/>
      <c r="CI467" s="116"/>
      <c r="CJ467" s="116"/>
      <c r="CK467" s="116"/>
      <c r="CL467" s="116"/>
      <c r="CM467" s="116"/>
      <c r="CN467" s="116"/>
      <c r="CO467" s="116"/>
      <c r="CP467" s="116"/>
      <c r="CQ467" s="116"/>
      <c r="CR467" s="116"/>
      <c r="CS467" s="116"/>
      <c r="CT467" s="116"/>
      <c r="CU467" s="116"/>
      <c r="CV467" s="116"/>
      <c r="CW467" s="116"/>
      <c r="CX467" s="116"/>
      <c r="CY467" s="116"/>
      <c r="CZ467" s="116"/>
      <c r="DA467" s="116"/>
      <c r="DB467" s="116"/>
      <c r="DC467" s="116"/>
      <c r="DD467" s="116"/>
      <c r="DE467" s="116"/>
      <c r="DF467" s="116"/>
      <c r="DG467" s="116"/>
      <c r="DH467" s="116"/>
      <c r="DI467" s="116"/>
      <c r="DJ467" s="116"/>
      <c r="DK467" s="116"/>
      <c r="DL467" s="116"/>
      <c r="DM467" s="116"/>
      <c r="DN467" s="116"/>
      <c r="DO467" s="116"/>
      <c r="DP467" s="116"/>
      <c r="DQ467" s="116"/>
      <c r="DR467" s="116"/>
      <c r="DS467" s="116"/>
      <c r="DT467" s="116"/>
      <c r="DU467" s="116"/>
      <c r="DV467" s="116"/>
      <c r="DW467" s="116"/>
      <c r="DX467" s="116"/>
      <c r="DY467" s="116"/>
      <c r="DZ467" s="116"/>
      <c r="EA467" s="116"/>
      <c r="EB467" s="116"/>
    </row>
    <row r="468" spans="36:132" ht="12.75" hidden="1" customHeight="1">
      <c r="AJ468" s="116"/>
      <c r="AK468" s="116"/>
      <c r="AL468" s="116"/>
      <c r="AM468" s="116"/>
      <c r="AN468" s="116"/>
      <c r="AO468" s="116"/>
      <c r="AP468" s="116"/>
      <c r="AS468" s="116"/>
      <c r="AT468" s="116"/>
      <c r="BQ468" s="116"/>
      <c r="BR468" s="116"/>
      <c r="BS468" s="116"/>
      <c r="BT468" s="116"/>
      <c r="BU468" s="116"/>
      <c r="BV468" s="116"/>
      <c r="BW468" s="116"/>
      <c r="BX468" s="116"/>
      <c r="BY468" s="116"/>
      <c r="BZ468" s="116"/>
      <c r="CA468" s="116"/>
      <c r="CB468" s="116"/>
      <c r="CC468" s="116"/>
      <c r="CD468" s="116"/>
      <c r="CE468" s="116"/>
      <c r="CF468" s="116"/>
      <c r="CG468" s="116"/>
      <c r="CH468" s="116"/>
      <c r="CI468" s="116"/>
      <c r="CJ468" s="116"/>
      <c r="CK468" s="116"/>
      <c r="CL468" s="116"/>
      <c r="CM468" s="116"/>
      <c r="CN468" s="116"/>
      <c r="CO468" s="116"/>
      <c r="CP468" s="116"/>
      <c r="CQ468" s="116"/>
      <c r="CR468" s="116"/>
      <c r="CS468" s="116"/>
      <c r="CT468" s="116"/>
      <c r="CU468" s="116"/>
      <c r="CV468" s="116"/>
      <c r="CW468" s="116"/>
      <c r="CX468" s="116"/>
      <c r="CY468" s="116"/>
      <c r="CZ468" s="116"/>
      <c r="DA468" s="116"/>
      <c r="DB468" s="116"/>
      <c r="DC468" s="116"/>
      <c r="DD468" s="116"/>
      <c r="DE468" s="116"/>
      <c r="DF468" s="116"/>
      <c r="DG468" s="116"/>
      <c r="DH468" s="116"/>
      <c r="DI468" s="116"/>
      <c r="DJ468" s="116"/>
      <c r="DK468" s="116"/>
      <c r="DL468" s="116"/>
      <c r="DM468" s="116"/>
      <c r="DN468" s="116"/>
      <c r="DO468" s="116"/>
      <c r="DP468" s="116"/>
      <c r="DQ468" s="116"/>
      <c r="DR468" s="116"/>
      <c r="DS468" s="116"/>
      <c r="DT468" s="116"/>
      <c r="DU468" s="116"/>
      <c r="DV468" s="116"/>
      <c r="DW468" s="116"/>
      <c r="DX468" s="116"/>
      <c r="DY468" s="116"/>
      <c r="DZ468" s="116"/>
      <c r="EA468" s="116"/>
      <c r="EB468" s="116"/>
    </row>
    <row r="469" spans="36:132" ht="12.75" hidden="1" customHeight="1">
      <c r="AJ469" s="116"/>
      <c r="AK469" s="116"/>
      <c r="AL469" s="116"/>
      <c r="AM469" s="116"/>
      <c r="AN469" s="116"/>
      <c r="AO469" s="116"/>
      <c r="AP469" s="116"/>
      <c r="AS469" s="116"/>
      <c r="AT469" s="116"/>
      <c r="BQ469" s="116"/>
      <c r="BR469" s="116"/>
      <c r="BS469" s="116"/>
      <c r="BT469" s="116"/>
      <c r="BU469" s="116"/>
      <c r="BV469" s="116"/>
      <c r="BW469" s="116"/>
      <c r="BX469" s="116"/>
      <c r="BY469" s="116"/>
      <c r="BZ469" s="116"/>
      <c r="CA469" s="116"/>
      <c r="CB469" s="116"/>
      <c r="CC469" s="116"/>
      <c r="CD469" s="116"/>
      <c r="CE469" s="116"/>
      <c r="CF469" s="116"/>
      <c r="CG469" s="116"/>
      <c r="CH469" s="116"/>
      <c r="CI469" s="116"/>
      <c r="CJ469" s="116"/>
      <c r="CK469" s="116"/>
      <c r="CL469" s="116"/>
      <c r="CM469" s="116"/>
      <c r="CN469" s="116"/>
      <c r="CO469" s="116"/>
      <c r="CP469" s="116"/>
      <c r="CQ469" s="116"/>
      <c r="CR469" s="116"/>
      <c r="CS469" s="116"/>
      <c r="CT469" s="116"/>
      <c r="CU469" s="116"/>
      <c r="CV469" s="116"/>
      <c r="CW469" s="116"/>
      <c r="CX469" s="116"/>
      <c r="CY469" s="116"/>
      <c r="CZ469" s="116"/>
      <c r="DA469" s="116"/>
      <c r="DB469" s="116"/>
      <c r="DC469" s="116"/>
      <c r="DD469" s="116"/>
      <c r="DE469" s="116"/>
      <c r="DF469" s="116"/>
      <c r="DG469" s="116"/>
      <c r="DH469" s="116"/>
      <c r="DI469" s="116"/>
      <c r="DJ469" s="116"/>
      <c r="DK469" s="116"/>
      <c r="DL469" s="116"/>
      <c r="DM469" s="116"/>
      <c r="DN469" s="116"/>
      <c r="DO469" s="116"/>
      <c r="DP469" s="116"/>
      <c r="DQ469" s="116"/>
      <c r="DR469" s="116"/>
      <c r="DS469" s="116"/>
      <c r="DT469" s="116"/>
      <c r="DU469" s="116"/>
      <c r="DV469" s="116"/>
      <c r="DW469" s="116"/>
      <c r="DX469" s="116"/>
      <c r="DY469" s="116"/>
      <c r="DZ469" s="116"/>
      <c r="EA469" s="116"/>
      <c r="EB469" s="116"/>
    </row>
    <row r="470" spans="36:132" ht="12.75" hidden="1" customHeight="1">
      <c r="AJ470" s="116"/>
      <c r="AK470" s="116"/>
      <c r="AL470" s="116"/>
      <c r="AM470" s="116"/>
      <c r="AN470" s="116"/>
      <c r="AO470" s="116"/>
      <c r="AP470" s="116"/>
      <c r="AS470" s="116"/>
      <c r="AT470" s="116"/>
      <c r="BQ470" s="116"/>
      <c r="BR470" s="116"/>
      <c r="BS470" s="116"/>
      <c r="BT470" s="116"/>
      <c r="BU470" s="116"/>
      <c r="BV470" s="116"/>
      <c r="BW470" s="116"/>
      <c r="BX470" s="116"/>
      <c r="BY470" s="116"/>
      <c r="BZ470" s="116"/>
      <c r="CA470" s="116"/>
      <c r="CB470" s="116"/>
      <c r="CC470" s="116"/>
      <c r="CD470" s="116"/>
      <c r="CE470" s="116"/>
      <c r="CF470" s="116"/>
      <c r="CG470" s="116"/>
      <c r="CH470" s="116"/>
      <c r="CI470" s="116"/>
      <c r="CJ470" s="116"/>
      <c r="CK470" s="116"/>
      <c r="CL470" s="116"/>
      <c r="CM470" s="116"/>
      <c r="CN470" s="116"/>
      <c r="CO470" s="116"/>
      <c r="CP470" s="116"/>
      <c r="CQ470" s="116"/>
      <c r="CR470" s="116"/>
      <c r="CS470" s="116"/>
      <c r="CT470" s="116"/>
      <c r="CU470" s="116"/>
      <c r="CV470" s="116"/>
      <c r="CW470" s="116"/>
      <c r="CX470" s="116"/>
      <c r="CY470" s="116"/>
      <c r="CZ470" s="116"/>
      <c r="DA470" s="116"/>
      <c r="DB470" s="116"/>
      <c r="DC470" s="116"/>
      <c r="DD470" s="116"/>
      <c r="DE470" s="116"/>
      <c r="DF470" s="116"/>
      <c r="DG470" s="116"/>
      <c r="DH470" s="116"/>
      <c r="DI470" s="116"/>
      <c r="DJ470" s="116"/>
      <c r="DK470" s="116"/>
      <c r="DL470" s="116"/>
      <c r="DM470" s="116"/>
      <c r="DN470" s="116"/>
      <c r="DO470" s="116"/>
      <c r="DP470" s="116"/>
      <c r="DQ470" s="116"/>
      <c r="DR470" s="116"/>
      <c r="DS470" s="116"/>
      <c r="DT470" s="116"/>
      <c r="DU470" s="116"/>
      <c r="DV470" s="116"/>
      <c r="DW470" s="116"/>
      <c r="DX470" s="116"/>
      <c r="DY470" s="116"/>
      <c r="DZ470" s="116"/>
      <c r="EA470" s="116"/>
      <c r="EB470" s="116"/>
    </row>
    <row r="471" spans="36:132" ht="12.75" hidden="1" customHeight="1">
      <c r="AJ471" s="116"/>
      <c r="AK471" s="116"/>
      <c r="AL471" s="116"/>
      <c r="AM471" s="116"/>
      <c r="AN471" s="116"/>
      <c r="AO471" s="116"/>
      <c r="AP471" s="116"/>
      <c r="AS471" s="116"/>
      <c r="AT471" s="116"/>
      <c r="BQ471" s="116"/>
      <c r="BR471" s="116"/>
      <c r="BS471" s="116"/>
      <c r="BT471" s="116"/>
      <c r="BU471" s="116"/>
      <c r="BV471" s="116"/>
      <c r="BW471" s="116"/>
      <c r="BX471" s="116"/>
      <c r="BY471" s="116"/>
      <c r="BZ471" s="116"/>
      <c r="CA471" s="116"/>
      <c r="CB471" s="116"/>
      <c r="CC471" s="116"/>
      <c r="CD471" s="116"/>
      <c r="CE471" s="116"/>
      <c r="CF471" s="116"/>
      <c r="CG471" s="116"/>
      <c r="CH471" s="116"/>
      <c r="CI471" s="116"/>
      <c r="CJ471" s="116"/>
      <c r="CK471" s="116"/>
      <c r="CL471" s="116"/>
      <c r="CM471" s="116"/>
      <c r="CN471" s="116"/>
      <c r="CO471" s="116"/>
      <c r="CP471" s="116"/>
      <c r="CQ471" s="116"/>
      <c r="CR471" s="116"/>
      <c r="CS471" s="116"/>
      <c r="CT471" s="116"/>
      <c r="CU471" s="116"/>
      <c r="CV471" s="116"/>
      <c r="CW471" s="116"/>
      <c r="CX471" s="116"/>
      <c r="CY471" s="116"/>
      <c r="CZ471" s="116"/>
      <c r="DA471" s="116"/>
      <c r="DB471" s="116"/>
      <c r="DC471" s="116"/>
      <c r="DD471" s="116"/>
      <c r="DE471" s="116"/>
      <c r="DF471" s="116"/>
      <c r="DG471" s="116"/>
      <c r="DH471" s="116"/>
      <c r="DI471" s="116"/>
      <c r="DJ471" s="116"/>
      <c r="DK471" s="116"/>
      <c r="DL471" s="116"/>
      <c r="DM471" s="116"/>
      <c r="DN471" s="116"/>
      <c r="DO471" s="116"/>
      <c r="DP471" s="116"/>
      <c r="DQ471" s="116"/>
      <c r="DR471" s="116"/>
      <c r="DS471" s="116"/>
      <c r="DT471" s="116"/>
      <c r="DU471" s="116"/>
      <c r="DV471" s="116"/>
      <c r="DW471" s="116"/>
      <c r="DX471" s="116"/>
      <c r="DY471" s="116"/>
      <c r="DZ471" s="116"/>
      <c r="EA471" s="116"/>
      <c r="EB471" s="116"/>
    </row>
    <row r="472" spans="36:132" ht="12.75" hidden="1" customHeight="1">
      <c r="AJ472" s="116"/>
      <c r="AK472" s="116"/>
      <c r="AL472" s="116"/>
      <c r="AM472" s="116"/>
      <c r="AN472" s="116"/>
      <c r="AO472" s="116"/>
      <c r="AP472" s="116"/>
      <c r="AS472" s="116"/>
      <c r="AT472" s="116"/>
      <c r="BQ472" s="116"/>
      <c r="BR472" s="116"/>
      <c r="BS472" s="116"/>
      <c r="BT472" s="116"/>
      <c r="BU472" s="116"/>
      <c r="BV472" s="116"/>
      <c r="BW472" s="116"/>
      <c r="BX472" s="116"/>
      <c r="BY472" s="116"/>
      <c r="BZ472" s="116"/>
      <c r="CA472" s="116"/>
      <c r="CB472" s="116"/>
      <c r="CC472" s="116"/>
      <c r="CD472" s="116"/>
      <c r="CE472" s="116"/>
      <c r="CF472" s="116"/>
      <c r="CG472" s="116"/>
      <c r="CH472" s="116"/>
      <c r="CI472" s="116"/>
      <c r="CJ472" s="116"/>
      <c r="CK472" s="116"/>
      <c r="CL472" s="116"/>
      <c r="CM472" s="116"/>
      <c r="CN472" s="116"/>
      <c r="CO472" s="116"/>
      <c r="CP472" s="116"/>
      <c r="CQ472" s="116"/>
      <c r="CR472" s="116"/>
      <c r="CS472" s="116"/>
      <c r="CT472" s="116"/>
      <c r="CU472" s="116"/>
      <c r="CV472" s="116"/>
      <c r="CW472" s="116"/>
      <c r="CX472" s="116"/>
      <c r="CY472" s="116"/>
      <c r="CZ472" s="116"/>
      <c r="DA472" s="116"/>
      <c r="DB472" s="116"/>
      <c r="DC472" s="116"/>
      <c r="DD472" s="116"/>
      <c r="DE472" s="116"/>
      <c r="DF472" s="116"/>
      <c r="DG472" s="116"/>
      <c r="DH472" s="116"/>
      <c r="DI472" s="116"/>
      <c r="DJ472" s="116"/>
      <c r="DK472" s="116"/>
      <c r="DL472" s="116"/>
      <c r="DM472" s="116"/>
      <c r="DN472" s="116"/>
      <c r="DO472" s="116"/>
      <c r="DP472" s="116"/>
      <c r="DQ472" s="116"/>
      <c r="DR472" s="116"/>
      <c r="DS472" s="116"/>
      <c r="DT472" s="116"/>
      <c r="DU472" s="116"/>
      <c r="DV472" s="116"/>
      <c r="DW472" s="116"/>
      <c r="DX472" s="116"/>
      <c r="DY472" s="116"/>
      <c r="DZ472" s="116"/>
      <c r="EA472" s="116"/>
      <c r="EB472" s="116"/>
    </row>
    <row r="473" spans="36:132" ht="12.75" hidden="1" customHeight="1">
      <c r="AJ473" s="116"/>
      <c r="AK473" s="116"/>
      <c r="AL473" s="116"/>
      <c r="AM473" s="116"/>
      <c r="AN473" s="116"/>
      <c r="AO473" s="116"/>
      <c r="AP473" s="116"/>
      <c r="AS473" s="116"/>
      <c r="AT473" s="116"/>
      <c r="BQ473" s="116"/>
      <c r="BR473" s="116"/>
      <c r="BS473" s="116"/>
      <c r="BT473" s="116"/>
      <c r="BU473" s="116"/>
      <c r="BV473" s="116"/>
      <c r="BW473" s="116"/>
      <c r="BX473" s="116"/>
      <c r="BY473" s="116"/>
      <c r="BZ473" s="116"/>
      <c r="CA473" s="116"/>
      <c r="CB473" s="116"/>
      <c r="CC473" s="116"/>
      <c r="CD473" s="116"/>
      <c r="CE473" s="116"/>
      <c r="CF473" s="116"/>
      <c r="CG473" s="116"/>
      <c r="CH473" s="116"/>
      <c r="CI473" s="116"/>
      <c r="CJ473" s="116"/>
      <c r="CK473" s="116"/>
      <c r="CL473" s="116"/>
      <c r="CM473" s="116"/>
      <c r="CN473" s="116"/>
      <c r="CO473" s="116"/>
      <c r="CP473" s="116"/>
      <c r="CQ473" s="116"/>
      <c r="CR473" s="116"/>
      <c r="CS473" s="116"/>
      <c r="CT473" s="116"/>
      <c r="CU473" s="116"/>
      <c r="CV473" s="116"/>
      <c r="CW473" s="116"/>
      <c r="CX473" s="116"/>
      <c r="CY473" s="116"/>
      <c r="CZ473" s="116"/>
      <c r="DA473" s="116"/>
      <c r="DB473" s="116"/>
      <c r="DC473" s="116"/>
      <c r="DD473" s="116"/>
      <c r="DE473" s="116"/>
      <c r="DF473" s="116"/>
      <c r="DG473" s="116"/>
      <c r="DH473" s="116"/>
      <c r="DI473" s="116"/>
      <c r="DJ473" s="116"/>
      <c r="DK473" s="116"/>
      <c r="DL473" s="116"/>
      <c r="DM473" s="116"/>
      <c r="DN473" s="116"/>
      <c r="DO473" s="116"/>
      <c r="DP473" s="116"/>
      <c r="DQ473" s="116"/>
      <c r="DR473" s="116"/>
      <c r="DS473" s="116"/>
      <c r="DT473" s="116"/>
      <c r="DU473" s="116"/>
      <c r="DV473" s="116"/>
      <c r="DW473" s="116"/>
      <c r="DX473" s="116"/>
      <c r="DY473" s="116"/>
      <c r="DZ473" s="116"/>
      <c r="EA473" s="116"/>
      <c r="EB473" s="116"/>
    </row>
    <row r="474" spans="36:132" ht="12.75" hidden="1" customHeight="1">
      <c r="AJ474" s="116"/>
      <c r="AK474" s="116"/>
      <c r="AL474" s="116"/>
      <c r="AM474" s="116"/>
      <c r="AN474" s="116"/>
      <c r="AO474" s="116"/>
      <c r="AP474" s="116"/>
      <c r="AS474" s="116"/>
      <c r="AT474" s="116"/>
      <c r="BQ474" s="116"/>
      <c r="BR474" s="116"/>
      <c r="BS474" s="116"/>
      <c r="BT474" s="116"/>
      <c r="BU474" s="116"/>
      <c r="BV474" s="116"/>
      <c r="BW474" s="116"/>
      <c r="BX474" s="116"/>
      <c r="BY474" s="116"/>
      <c r="BZ474" s="116"/>
      <c r="CA474" s="116"/>
      <c r="CB474" s="116"/>
      <c r="CC474" s="116"/>
      <c r="CD474" s="116"/>
      <c r="CE474" s="116"/>
      <c r="CF474" s="116"/>
      <c r="CG474" s="116"/>
      <c r="CH474" s="116"/>
      <c r="CI474" s="116"/>
      <c r="CJ474" s="116"/>
      <c r="CK474" s="116"/>
      <c r="CL474" s="116"/>
      <c r="CM474" s="116"/>
      <c r="CN474" s="116"/>
      <c r="CO474" s="116"/>
      <c r="CP474" s="116"/>
      <c r="CQ474" s="116"/>
      <c r="CR474" s="116"/>
      <c r="CS474" s="116"/>
      <c r="CT474" s="116"/>
      <c r="CU474" s="116"/>
      <c r="CV474" s="116"/>
      <c r="CW474" s="116"/>
      <c r="CX474" s="116"/>
      <c r="CY474" s="116"/>
      <c r="CZ474" s="116"/>
      <c r="DA474" s="116"/>
      <c r="DB474" s="116"/>
      <c r="DC474" s="116"/>
      <c r="DD474" s="116"/>
      <c r="DE474" s="116"/>
      <c r="DF474" s="116"/>
      <c r="DG474" s="116"/>
      <c r="DH474" s="116"/>
      <c r="DI474" s="116"/>
      <c r="DJ474" s="116"/>
      <c r="DK474" s="116"/>
      <c r="DL474" s="116"/>
      <c r="DM474" s="116"/>
      <c r="DN474" s="116"/>
      <c r="DO474" s="116"/>
      <c r="DP474" s="116"/>
      <c r="DQ474" s="116"/>
      <c r="DR474" s="116"/>
      <c r="DS474" s="116"/>
      <c r="DT474" s="116"/>
      <c r="DU474" s="116"/>
      <c r="DV474" s="116"/>
      <c r="DW474" s="116"/>
      <c r="DX474" s="116"/>
      <c r="DY474" s="116"/>
      <c r="DZ474" s="116"/>
      <c r="EA474" s="116"/>
      <c r="EB474" s="116"/>
    </row>
    <row r="475" spans="36:132" ht="12.75" hidden="1" customHeight="1">
      <c r="AJ475" s="116"/>
      <c r="AK475" s="116"/>
      <c r="AL475" s="116"/>
      <c r="AM475" s="116"/>
      <c r="AN475" s="116"/>
      <c r="AO475" s="116"/>
      <c r="AP475" s="116"/>
      <c r="AS475" s="116"/>
      <c r="AT475" s="116"/>
      <c r="BQ475" s="116"/>
      <c r="BR475" s="116"/>
      <c r="BS475" s="116"/>
      <c r="BT475" s="116"/>
      <c r="BU475" s="116"/>
      <c r="BV475" s="116"/>
      <c r="BW475" s="116"/>
      <c r="BX475" s="116"/>
      <c r="BY475" s="116"/>
      <c r="BZ475" s="116"/>
      <c r="CA475" s="116"/>
      <c r="CB475" s="116"/>
      <c r="CC475" s="116"/>
      <c r="CD475" s="116"/>
      <c r="CE475" s="116"/>
      <c r="CF475" s="116"/>
      <c r="CG475" s="116"/>
      <c r="CH475" s="116"/>
      <c r="CI475" s="116"/>
      <c r="CJ475" s="116"/>
      <c r="CK475" s="116"/>
      <c r="CL475" s="116"/>
      <c r="CM475" s="116"/>
      <c r="CN475" s="116"/>
      <c r="CO475" s="116"/>
      <c r="CP475" s="116"/>
      <c r="CQ475" s="116"/>
      <c r="CR475" s="116"/>
      <c r="CS475" s="116"/>
      <c r="CT475" s="116"/>
      <c r="CU475" s="116"/>
      <c r="CV475" s="116"/>
      <c r="CW475" s="116"/>
      <c r="CX475" s="116"/>
      <c r="CY475" s="116"/>
      <c r="CZ475" s="116"/>
      <c r="DA475" s="116"/>
      <c r="DB475" s="116"/>
      <c r="DC475" s="116"/>
      <c r="DD475" s="116"/>
      <c r="DE475" s="116"/>
      <c r="DF475" s="116"/>
      <c r="DG475" s="116"/>
      <c r="DH475" s="116"/>
      <c r="DI475" s="116"/>
      <c r="DJ475" s="116"/>
      <c r="DK475" s="116"/>
      <c r="DL475" s="116"/>
      <c r="DM475" s="116"/>
      <c r="DN475" s="116"/>
      <c r="DO475" s="116"/>
      <c r="DP475" s="116"/>
      <c r="DQ475" s="116"/>
      <c r="DR475" s="116"/>
      <c r="DS475" s="116"/>
      <c r="DT475" s="116"/>
      <c r="DU475" s="116"/>
      <c r="DV475" s="116"/>
      <c r="DW475" s="116"/>
      <c r="DX475" s="116"/>
      <c r="DY475" s="116"/>
      <c r="DZ475" s="116"/>
      <c r="EA475" s="116"/>
      <c r="EB475" s="116"/>
    </row>
    <row r="476" spans="36:132" ht="12.75" hidden="1" customHeight="1">
      <c r="AJ476" s="116"/>
      <c r="AK476" s="116"/>
      <c r="AL476" s="116"/>
      <c r="AM476" s="116"/>
      <c r="AN476" s="116"/>
      <c r="AO476" s="116"/>
      <c r="AP476" s="116"/>
      <c r="AS476" s="116"/>
      <c r="AT476" s="116"/>
      <c r="BQ476" s="116"/>
      <c r="BR476" s="116"/>
      <c r="BS476" s="116"/>
      <c r="BT476" s="116"/>
      <c r="BU476" s="116"/>
      <c r="BV476" s="116"/>
      <c r="BW476" s="116"/>
      <c r="BX476" s="116"/>
      <c r="BY476" s="116"/>
      <c r="BZ476" s="116"/>
      <c r="CA476" s="116"/>
      <c r="CB476" s="116"/>
      <c r="CC476" s="116"/>
      <c r="CD476" s="116"/>
      <c r="CE476" s="116"/>
      <c r="CF476" s="116"/>
      <c r="CG476" s="116"/>
      <c r="CH476" s="116"/>
      <c r="CI476" s="116"/>
      <c r="CJ476" s="116"/>
      <c r="CK476" s="116"/>
      <c r="CL476" s="116"/>
      <c r="CM476" s="116"/>
      <c r="CN476" s="116"/>
      <c r="CO476" s="116"/>
      <c r="CP476" s="116"/>
      <c r="CQ476" s="116"/>
      <c r="CR476" s="116"/>
      <c r="CS476" s="116"/>
      <c r="CT476" s="116"/>
      <c r="CU476" s="116"/>
      <c r="CV476" s="116"/>
      <c r="CW476" s="116"/>
      <c r="CX476" s="116"/>
      <c r="CY476" s="116"/>
      <c r="CZ476" s="116"/>
      <c r="DA476" s="116"/>
      <c r="DB476" s="116"/>
      <c r="DC476" s="116"/>
      <c r="DD476" s="116"/>
      <c r="DE476" s="116"/>
      <c r="DF476" s="116"/>
      <c r="DG476" s="116"/>
      <c r="DH476" s="116"/>
      <c r="DI476" s="116"/>
      <c r="DJ476" s="116"/>
      <c r="DK476" s="116"/>
      <c r="DL476" s="116"/>
      <c r="DM476" s="116"/>
      <c r="DN476" s="116"/>
      <c r="DO476" s="116"/>
      <c r="DP476" s="116"/>
      <c r="DQ476" s="116"/>
      <c r="DR476" s="116"/>
      <c r="DS476" s="116"/>
      <c r="DT476" s="116"/>
      <c r="DU476" s="116"/>
      <c r="DV476" s="116"/>
      <c r="DW476" s="116"/>
      <c r="DX476" s="116"/>
      <c r="DY476" s="116"/>
      <c r="DZ476" s="116"/>
      <c r="EA476" s="116"/>
      <c r="EB476" s="116"/>
    </row>
    <row r="477" spans="36:132" ht="12.75" hidden="1" customHeight="1">
      <c r="AJ477" s="116"/>
      <c r="AK477" s="116"/>
      <c r="AL477" s="116"/>
      <c r="AM477" s="116"/>
      <c r="AN477" s="116"/>
      <c r="AO477" s="116"/>
      <c r="AP477" s="116"/>
      <c r="AS477" s="116"/>
      <c r="AT477" s="116"/>
      <c r="BQ477" s="116"/>
      <c r="BR477" s="116"/>
      <c r="BS477" s="116"/>
      <c r="BT477" s="116"/>
      <c r="BU477" s="116"/>
      <c r="BV477" s="116"/>
      <c r="BW477" s="116"/>
      <c r="BX477" s="116"/>
      <c r="BY477" s="116"/>
      <c r="BZ477" s="116"/>
      <c r="CA477" s="116"/>
      <c r="CB477" s="116"/>
      <c r="CC477" s="116"/>
      <c r="CD477" s="116"/>
      <c r="CE477" s="116"/>
      <c r="CF477" s="116"/>
      <c r="CG477" s="116"/>
      <c r="CH477" s="116"/>
      <c r="CI477" s="116"/>
      <c r="CJ477" s="116"/>
      <c r="CK477" s="116"/>
      <c r="CL477" s="116"/>
      <c r="CM477" s="116"/>
      <c r="CN477" s="116"/>
      <c r="CO477" s="116"/>
      <c r="CP477" s="116"/>
      <c r="CQ477" s="116"/>
      <c r="CR477" s="116"/>
      <c r="CS477" s="116"/>
      <c r="CT477" s="116"/>
      <c r="CU477" s="116"/>
      <c r="CV477" s="116"/>
      <c r="CW477" s="116"/>
      <c r="CX477" s="116"/>
      <c r="CY477" s="116"/>
      <c r="CZ477" s="116"/>
      <c r="DA477" s="116"/>
      <c r="DB477" s="116"/>
      <c r="DC477" s="116"/>
      <c r="DD477" s="116"/>
      <c r="DE477" s="116"/>
      <c r="DF477" s="116"/>
      <c r="DG477" s="116"/>
      <c r="DH477" s="116"/>
      <c r="DI477" s="116"/>
      <c r="DJ477" s="116"/>
      <c r="DK477" s="116"/>
      <c r="DL477" s="116"/>
      <c r="DM477" s="116"/>
      <c r="DN477" s="116"/>
      <c r="DO477" s="116"/>
      <c r="DP477" s="116"/>
      <c r="DQ477" s="116"/>
      <c r="DR477" s="116"/>
      <c r="DS477" s="116"/>
      <c r="DT477" s="116"/>
      <c r="DU477" s="116"/>
      <c r="DV477" s="116"/>
      <c r="DW477" s="116"/>
      <c r="DX477" s="116"/>
      <c r="DY477" s="116"/>
      <c r="DZ477" s="116"/>
      <c r="EA477" s="116"/>
      <c r="EB477" s="116"/>
    </row>
    <row r="478" spans="36:132" ht="12.75" hidden="1" customHeight="1">
      <c r="AJ478" s="116"/>
      <c r="AK478" s="116"/>
      <c r="AL478" s="116"/>
      <c r="AM478" s="116"/>
      <c r="AN478" s="116"/>
      <c r="AO478" s="116"/>
      <c r="AP478" s="116"/>
      <c r="AS478" s="116"/>
      <c r="AT478" s="116"/>
      <c r="BQ478" s="116"/>
      <c r="BR478" s="116"/>
      <c r="BS478" s="116"/>
      <c r="BT478" s="116"/>
      <c r="BU478" s="116"/>
      <c r="BV478" s="116"/>
      <c r="BW478" s="116"/>
      <c r="BX478" s="116"/>
      <c r="BY478" s="116"/>
      <c r="BZ478" s="116"/>
      <c r="CA478" s="116"/>
      <c r="CB478" s="116"/>
      <c r="CC478" s="116"/>
      <c r="CD478" s="116"/>
      <c r="CE478" s="116"/>
      <c r="CF478" s="116"/>
      <c r="CG478" s="116"/>
      <c r="CH478" s="116"/>
      <c r="CI478" s="116"/>
      <c r="CJ478" s="116"/>
      <c r="CK478" s="116"/>
      <c r="CL478" s="116"/>
      <c r="CM478" s="116"/>
      <c r="CN478" s="116"/>
      <c r="CO478" s="116"/>
      <c r="CP478" s="116"/>
      <c r="CQ478" s="116"/>
      <c r="CR478" s="116"/>
      <c r="CS478" s="116"/>
      <c r="CT478" s="116"/>
      <c r="CU478" s="116"/>
      <c r="CV478" s="116"/>
      <c r="CW478" s="116"/>
      <c r="CX478" s="116"/>
      <c r="CY478" s="116"/>
      <c r="CZ478" s="116"/>
      <c r="DA478" s="116"/>
      <c r="DB478" s="116"/>
      <c r="DC478" s="116"/>
      <c r="DD478" s="116"/>
      <c r="DE478" s="116"/>
      <c r="DF478" s="116"/>
      <c r="DG478" s="116"/>
      <c r="DH478" s="116"/>
      <c r="DI478" s="116"/>
      <c r="DJ478" s="116"/>
      <c r="DK478" s="116"/>
      <c r="DL478" s="116"/>
      <c r="DM478" s="116"/>
      <c r="DN478" s="116"/>
      <c r="DO478" s="116"/>
      <c r="DP478" s="116"/>
      <c r="DQ478" s="116"/>
      <c r="DR478" s="116"/>
      <c r="DS478" s="116"/>
      <c r="DT478" s="116"/>
      <c r="DU478" s="116"/>
      <c r="DV478" s="116"/>
      <c r="DW478" s="116"/>
      <c r="DX478" s="116"/>
      <c r="DY478" s="116"/>
      <c r="DZ478" s="116"/>
      <c r="EA478" s="116"/>
      <c r="EB478" s="116"/>
    </row>
    <row r="479" spans="36:132" ht="12.75" hidden="1" customHeight="1">
      <c r="AJ479" s="116"/>
      <c r="AK479" s="116"/>
      <c r="AL479" s="116"/>
      <c r="AM479" s="116"/>
      <c r="AN479" s="116"/>
      <c r="AO479" s="116"/>
      <c r="AP479" s="116"/>
      <c r="AS479" s="116"/>
      <c r="AT479" s="116"/>
      <c r="BQ479" s="116"/>
      <c r="BR479" s="116"/>
      <c r="BS479" s="116"/>
      <c r="BT479" s="116"/>
      <c r="BU479" s="116"/>
      <c r="BV479" s="116"/>
      <c r="BW479" s="116"/>
      <c r="BX479" s="116"/>
      <c r="BY479" s="116"/>
      <c r="BZ479" s="116"/>
      <c r="CA479" s="116"/>
      <c r="CB479" s="116"/>
      <c r="CC479" s="116"/>
      <c r="CD479" s="116"/>
      <c r="CE479" s="116"/>
      <c r="CF479" s="116"/>
      <c r="CG479" s="116"/>
      <c r="CH479" s="116"/>
      <c r="CI479" s="116"/>
      <c r="CJ479" s="116"/>
      <c r="CK479" s="116"/>
      <c r="CL479" s="116"/>
      <c r="CM479" s="116"/>
      <c r="CN479" s="116"/>
      <c r="CO479" s="116"/>
      <c r="CP479" s="116"/>
      <c r="CQ479" s="116"/>
      <c r="CR479" s="116"/>
      <c r="CS479" s="116"/>
      <c r="CT479" s="116"/>
      <c r="CU479" s="116"/>
      <c r="CV479" s="116"/>
      <c r="CW479" s="116"/>
      <c r="CX479" s="116"/>
      <c r="CY479" s="116"/>
      <c r="CZ479" s="116"/>
      <c r="DA479" s="116"/>
      <c r="DB479" s="116"/>
      <c r="DC479" s="116"/>
      <c r="DD479" s="116"/>
      <c r="DE479" s="116"/>
      <c r="DF479" s="116"/>
      <c r="DG479" s="116"/>
      <c r="DH479" s="116"/>
      <c r="DI479" s="116"/>
      <c r="DJ479" s="116"/>
      <c r="DK479" s="116"/>
      <c r="DL479" s="116"/>
      <c r="DM479" s="116"/>
      <c r="DN479" s="116"/>
      <c r="DO479" s="116"/>
      <c r="DP479" s="116"/>
      <c r="DQ479" s="116"/>
      <c r="DR479" s="116"/>
      <c r="DS479" s="116"/>
      <c r="DT479" s="116"/>
      <c r="DU479" s="116"/>
      <c r="DV479" s="116"/>
      <c r="DW479" s="116"/>
      <c r="DX479" s="116"/>
      <c r="DY479" s="116"/>
      <c r="DZ479" s="116"/>
      <c r="EA479" s="116"/>
      <c r="EB479" s="116"/>
    </row>
    <row r="480" spans="36:132" ht="12.75" hidden="1" customHeight="1">
      <c r="AJ480" s="116"/>
      <c r="AK480" s="116"/>
      <c r="AL480" s="116"/>
      <c r="AM480" s="116"/>
      <c r="AN480" s="116"/>
      <c r="AO480" s="116"/>
      <c r="AP480" s="116"/>
      <c r="AS480" s="116"/>
      <c r="AT480" s="116"/>
      <c r="BQ480" s="116"/>
      <c r="BR480" s="116"/>
      <c r="BS480" s="116"/>
      <c r="BT480" s="116"/>
      <c r="BU480" s="116"/>
      <c r="BV480" s="116"/>
      <c r="BW480" s="116"/>
      <c r="BX480" s="116"/>
      <c r="BY480" s="116"/>
      <c r="BZ480" s="116"/>
      <c r="CA480" s="116"/>
      <c r="CB480" s="116"/>
      <c r="CC480" s="116"/>
      <c r="CD480" s="116"/>
      <c r="CE480" s="116"/>
      <c r="CF480" s="116"/>
      <c r="CG480" s="116"/>
      <c r="CH480" s="116"/>
      <c r="CI480" s="116"/>
      <c r="CJ480" s="116"/>
      <c r="CK480" s="116"/>
      <c r="CL480" s="116"/>
      <c r="CM480" s="116"/>
      <c r="CN480" s="116"/>
      <c r="CO480" s="116"/>
      <c r="CP480" s="116"/>
      <c r="CQ480" s="116"/>
      <c r="CR480" s="116"/>
      <c r="CS480" s="116"/>
      <c r="CT480" s="116"/>
      <c r="CU480" s="116"/>
      <c r="CV480" s="116"/>
      <c r="CW480" s="116"/>
      <c r="CX480" s="116"/>
      <c r="CY480" s="116"/>
      <c r="CZ480" s="116"/>
      <c r="DA480" s="116"/>
      <c r="DB480" s="116"/>
      <c r="DC480" s="116"/>
      <c r="DD480" s="116"/>
      <c r="DE480" s="116"/>
      <c r="DF480" s="116"/>
      <c r="DG480" s="116"/>
      <c r="DH480" s="116"/>
      <c r="DI480" s="116"/>
      <c r="DJ480" s="116"/>
      <c r="DK480" s="116"/>
      <c r="DL480" s="116"/>
      <c r="DM480" s="116"/>
      <c r="DN480" s="116"/>
      <c r="DO480" s="116"/>
      <c r="DP480" s="116"/>
      <c r="DQ480" s="116"/>
      <c r="DR480" s="116"/>
      <c r="DS480" s="116"/>
      <c r="DT480" s="116"/>
      <c r="DU480" s="116"/>
      <c r="DV480" s="116"/>
      <c r="DW480" s="116"/>
      <c r="DX480" s="116"/>
      <c r="DY480" s="116"/>
      <c r="DZ480" s="116"/>
      <c r="EA480" s="116"/>
      <c r="EB480" s="116"/>
    </row>
    <row r="481" spans="36:132" ht="12.75" hidden="1" customHeight="1">
      <c r="AJ481" s="116"/>
      <c r="AK481" s="116"/>
      <c r="AL481" s="116"/>
      <c r="AM481" s="116"/>
      <c r="AN481" s="116"/>
      <c r="AO481" s="116"/>
      <c r="AP481" s="116"/>
      <c r="AS481" s="116"/>
      <c r="AT481" s="116"/>
      <c r="BQ481" s="116"/>
      <c r="BR481" s="116"/>
      <c r="BS481" s="116"/>
      <c r="BT481" s="116"/>
      <c r="BU481" s="116"/>
      <c r="BV481" s="116"/>
      <c r="BW481" s="116"/>
      <c r="BX481" s="116"/>
      <c r="BY481" s="116"/>
      <c r="BZ481" s="116"/>
      <c r="CA481" s="116"/>
      <c r="CB481" s="116"/>
      <c r="CC481" s="116"/>
      <c r="CD481" s="116"/>
      <c r="CE481" s="116"/>
      <c r="CF481" s="116"/>
      <c r="CG481" s="116"/>
      <c r="CH481" s="116"/>
      <c r="CI481" s="116"/>
      <c r="CJ481" s="116"/>
      <c r="CK481" s="116"/>
      <c r="CL481" s="116"/>
      <c r="CM481" s="116"/>
      <c r="CN481" s="116"/>
      <c r="CO481" s="116"/>
      <c r="CP481" s="116"/>
      <c r="CQ481" s="116"/>
      <c r="CR481" s="116"/>
      <c r="CS481" s="116"/>
      <c r="CT481" s="116"/>
      <c r="CU481" s="116"/>
      <c r="CV481" s="116"/>
      <c r="CW481" s="116"/>
      <c r="CX481" s="116"/>
      <c r="CY481" s="116"/>
      <c r="CZ481" s="116"/>
      <c r="DA481" s="116"/>
      <c r="DB481" s="116"/>
      <c r="DC481" s="116"/>
      <c r="DD481" s="116"/>
      <c r="DE481" s="116"/>
      <c r="DF481" s="116"/>
      <c r="DG481" s="116"/>
      <c r="DH481" s="116"/>
      <c r="DI481" s="116"/>
      <c r="DJ481" s="116"/>
      <c r="DK481" s="116"/>
      <c r="DL481" s="116"/>
      <c r="DM481" s="116"/>
      <c r="DN481" s="116"/>
      <c r="DO481" s="116"/>
      <c r="DP481" s="116"/>
      <c r="DQ481" s="116"/>
      <c r="DR481" s="116"/>
      <c r="DS481" s="116"/>
      <c r="DT481" s="116"/>
      <c r="DU481" s="116"/>
      <c r="DV481" s="116"/>
      <c r="DW481" s="116"/>
      <c r="DX481" s="116"/>
      <c r="DY481" s="116"/>
      <c r="DZ481" s="116"/>
      <c r="EA481" s="116"/>
      <c r="EB481" s="116"/>
    </row>
    <row r="482" spans="36:132" ht="12.75" hidden="1" customHeight="1">
      <c r="AJ482" s="116"/>
      <c r="AK482" s="116"/>
      <c r="AL482" s="116"/>
      <c r="AM482" s="116"/>
      <c r="AN482" s="116"/>
      <c r="AO482" s="116"/>
      <c r="AP482" s="116"/>
      <c r="AS482" s="116"/>
      <c r="AT482" s="116"/>
      <c r="BQ482" s="116"/>
      <c r="BR482" s="116"/>
      <c r="BS482" s="116"/>
      <c r="BT482" s="116"/>
      <c r="BU482" s="116"/>
      <c r="BV482" s="116"/>
      <c r="BW482" s="116"/>
      <c r="BX482" s="116"/>
      <c r="BY482" s="116"/>
      <c r="BZ482" s="116"/>
      <c r="CA482" s="116"/>
      <c r="CB482" s="116"/>
      <c r="CC482" s="116"/>
      <c r="CD482" s="116"/>
      <c r="CE482" s="116"/>
      <c r="CF482" s="116"/>
      <c r="CG482" s="116"/>
      <c r="CH482" s="116"/>
      <c r="CI482" s="116"/>
      <c r="CJ482" s="116"/>
      <c r="CK482" s="116"/>
      <c r="CL482" s="116"/>
      <c r="CM482" s="116"/>
      <c r="CN482" s="116"/>
      <c r="CO482" s="116"/>
      <c r="CP482" s="116"/>
      <c r="CQ482" s="116"/>
      <c r="CR482" s="116"/>
      <c r="CS482" s="116"/>
      <c r="CT482" s="116"/>
      <c r="CU482" s="116"/>
      <c r="CV482" s="116"/>
      <c r="CW482" s="116"/>
      <c r="CX482" s="116"/>
      <c r="CY482" s="116"/>
      <c r="CZ482" s="116"/>
      <c r="DA482" s="116"/>
      <c r="DB482" s="116"/>
      <c r="DC482" s="116"/>
      <c r="DD482" s="116"/>
      <c r="DE482" s="116"/>
      <c r="DF482" s="116"/>
      <c r="DG482" s="116"/>
      <c r="DH482" s="116"/>
      <c r="DI482" s="116"/>
      <c r="DJ482" s="116"/>
      <c r="DK482" s="116"/>
      <c r="DL482" s="116"/>
      <c r="DM482" s="116"/>
      <c r="DN482" s="116"/>
      <c r="DO482" s="116"/>
      <c r="DP482" s="116"/>
      <c r="DQ482" s="116"/>
      <c r="DR482" s="116"/>
      <c r="DS482" s="116"/>
      <c r="DT482" s="116"/>
      <c r="DU482" s="116"/>
      <c r="DV482" s="116"/>
      <c r="DW482" s="116"/>
      <c r="DX482" s="116"/>
      <c r="DY482" s="116"/>
      <c r="DZ482" s="116"/>
      <c r="EA482" s="116"/>
      <c r="EB482" s="116"/>
    </row>
    <row r="483" spans="36:132" ht="12.75" hidden="1" customHeight="1">
      <c r="AJ483" s="116"/>
      <c r="AK483" s="116"/>
      <c r="AL483" s="116"/>
      <c r="AM483" s="116"/>
      <c r="AN483" s="116"/>
      <c r="AO483" s="116"/>
      <c r="AP483" s="116"/>
      <c r="AS483" s="116"/>
      <c r="AT483" s="116"/>
      <c r="BQ483" s="116"/>
      <c r="BR483" s="116"/>
      <c r="BS483" s="116"/>
      <c r="BT483" s="116"/>
      <c r="BU483" s="116"/>
      <c r="BV483" s="116"/>
      <c r="BW483" s="116"/>
      <c r="BX483" s="116"/>
      <c r="BY483" s="116"/>
      <c r="BZ483" s="116"/>
      <c r="CA483" s="116"/>
      <c r="CB483" s="116"/>
      <c r="CC483" s="116"/>
      <c r="CD483" s="116"/>
      <c r="CE483" s="116"/>
      <c r="CF483" s="116"/>
      <c r="CG483" s="116"/>
      <c r="CH483" s="116"/>
      <c r="CI483" s="116"/>
      <c r="CJ483" s="116"/>
      <c r="CK483" s="116"/>
      <c r="CL483" s="116"/>
      <c r="CM483" s="116"/>
      <c r="CN483" s="116"/>
      <c r="CO483" s="116"/>
      <c r="CP483" s="116"/>
      <c r="CQ483" s="116"/>
      <c r="CR483" s="116"/>
      <c r="CS483" s="116"/>
      <c r="CT483" s="116"/>
      <c r="CU483" s="116"/>
      <c r="CV483" s="116"/>
      <c r="CW483" s="116"/>
      <c r="CX483" s="116"/>
      <c r="CY483" s="116"/>
      <c r="CZ483" s="116"/>
      <c r="DA483" s="116"/>
      <c r="DB483" s="116"/>
      <c r="DC483" s="116"/>
      <c r="DD483" s="116"/>
      <c r="DE483" s="116"/>
      <c r="DF483" s="116"/>
      <c r="DG483" s="116"/>
      <c r="DH483" s="116"/>
      <c r="DI483" s="116"/>
      <c r="DJ483" s="116"/>
      <c r="DK483" s="116"/>
      <c r="DL483" s="116"/>
      <c r="DM483" s="116"/>
      <c r="DN483" s="116"/>
      <c r="DO483" s="116"/>
      <c r="DP483" s="116"/>
      <c r="DQ483" s="116"/>
      <c r="DR483" s="116"/>
      <c r="DS483" s="116"/>
      <c r="DT483" s="116"/>
      <c r="DU483" s="116"/>
      <c r="DV483" s="116"/>
      <c r="DW483" s="116"/>
      <c r="DX483" s="116"/>
      <c r="DY483" s="116"/>
      <c r="DZ483" s="116"/>
      <c r="EA483" s="116"/>
      <c r="EB483" s="116"/>
    </row>
    <row r="484" spans="36:132" ht="12.75" hidden="1" customHeight="1">
      <c r="AJ484" s="116"/>
      <c r="AK484" s="116"/>
      <c r="AL484" s="116"/>
      <c r="AM484" s="116"/>
      <c r="AN484" s="116"/>
      <c r="AO484" s="116"/>
      <c r="AP484" s="116"/>
      <c r="AS484" s="116"/>
      <c r="AT484" s="116"/>
      <c r="BQ484" s="116"/>
      <c r="BR484" s="116"/>
      <c r="BS484" s="116"/>
      <c r="BT484" s="116"/>
      <c r="BU484" s="116"/>
      <c r="BV484" s="116"/>
      <c r="BW484" s="116"/>
      <c r="BX484" s="116"/>
      <c r="BY484" s="116"/>
      <c r="BZ484" s="116"/>
      <c r="CA484" s="116"/>
      <c r="CB484" s="116"/>
      <c r="CC484" s="116"/>
      <c r="CD484" s="116"/>
      <c r="CE484" s="116"/>
      <c r="CF484" s="116"/>
      <c r="CG484" s="116"/>
      <c r="CH484" s="116"/>
      <c r="CI484" s="116"/>
      <c r="CJ484" s="116"/>
      <c r="CK484" s="116"/>
      <c r="CL484" s="116"/>
      <c r="CM484" s="116"/>
      <c r="CN484" s="116"/>
      <c r="CO484" s="116"/>
      <c r="CP484" s="116"/>
      <c r="CQ484" s="116"/>
      <c r="CR484" s="116"/>
      <c r="CS484" s="116"/>
      <c r="CT484" s="116"/>
      <c r="CU484" s="116"/>
      <c r="CV484" s="116"/>
      <c r="CW484" s="116"/>
      <c r="CX484" s="116"/>
      <c r="CY484" s="116"/>
      <c r="CZ484" s="116"/>
      <c r="DA484" s="116"/>
      <c r="DB484" s="116"/>
      <c r="DC484" s="116"/>
      <c r="DD484" s="116"/>
      <c r="DE484" s="116"/>
      <c r="DF484" s="116"/>
      <c r="DG484" s="116"/>
      <c r="DH484" s="116"/>
      <c r="DI484" s="116"/>
      <c r="DJ484" s="116"/>
      <c r="DK484" s="116"/>
      <c r="DL484" s="116"/>
      <c r="DM484" s="116"/>
      <c r="DN484" s="116"/>
      <c r="DO484" s="116"/>
      <c r="DP484" s="116"/>
      <c r="DQ484" s="116"/>
      <c r="DR484" s="116"/>
      <c r="DS484" s="116"/>
      <c r="DT484" s="116"/>
      <c r="DU484" s="116"/>
      <c r="DV484" s="116"/>
      <c r="DW484" s="116"/>
      <c r="DX484" s="116"/>
      <c r="DY484" s="116"/>
      <c r="DZ484" s="116"/>
      <c r="EA484" s="116"/>
      <c r="EB484" s="116"/>
    </row>
    <row r="485" spans="36:132" ht="12.75" hidden="1" customHeight="1">
      <c r="AJ485" s="116"/>
      <c r="AK485" s="116"/>
      <c r="AL485" s="116"/>
      <c r="AM485" s="116"/>
      <c r="AN485" s="116"/>
      <c r="AO485" s="116"/>
      <c r="AP485" s="116"/>
      <c r="AS485" s="116"/>
      <c r="AT485" s="116"/>
      <c r="BQ485" s="116"/>
      <c r="BR485" s="116"/>
      <c r="BS485" s="116"/>
      <c r="BT485" s="116"/>
      <c r="BU485" s="116"/>
      <c r="BV485" s="116"/>
      <c r="BW485" s="116"/>
      <c r="BX485" s="116"/>
      <c r="BY485" s="116"/>
      <c r="BZ485" s="116"/>
      <c r="CA485" s="116"/>
      <c r="CB485" s="116"/>
      <c r="CC485" s="116"/>
      <c r="CD485" s="116"/>
      <c r="CE485" s="116"/>
      <c r="CF485" s="116"/>
      <c r="CG485" s="116"/>
      <c r="CH485" s="116"/>
      <c r="CI485" s="116"/>
      <c r="CJ485" s="116"/>
      <c r="CK485" s="116"/>
      <c r="CL485" s="116"/>
      <c r="CM485" s="116"/>
      <c r="CN485" s="116"/>
      <c r="CO485" s="116"/>
      <c r="CP485" s="116"/>
      <c r="CQ485" s="116"/>
      <c r="CR485" s="116"/>
      <c r="CS485" s="116"/>
      <c r="CT485" s="116"/>
      <c r="CU485" s="116"/>
      <c r="CV485" s="116"/>
      <c r="CW485" s="116"/>
      <c r="CX485" s="116"/>
      <c r="CY485" s="116"/>
      <c r="CZ485" s="116"/>
      <c r="DA485" s="116"/>
      <c r="DB485" s="116"/>
      <c r="DC485" s="116"/>
      <c r="DD485" s="116"/>
      <c r="DE485" s="116"/>
      <c r="DF485" s="116"/>
      <c r="DG485" s="116"/>
      <c r="DH485" s="116"/>
      <c r="DI485" s="116"/>
      <c r="DJ485" s="116"/>
      <c r="DK485" s="116"/>
      <c r="DL485" s="116"/>
      <c r="DM485" s="116"/>
      <c r="DN485" s="116"/>
      <c r="DO485" s="116"/>
      <c r="DP485" s="116"/>
      <c r="DQ485" s="116"/>
      <c r="DR485" s="116"/>
      <c r="DS485" s="116"/>
      <c r="DT485" s="116"/>
      <c r="DU485" s="116"/>
      <c r="DV485" s="116"/>
      <c r="DW485" s="116"/>
      <c r="DX485" s="116"/>
      <c r="DY485" s="116"/>
      <c r="DZ485" s="116"/>
      <c r="EA485" s="116"/>
      <c r="EB485" s="116"/>
    </row>
    <row r="486" spans="36:132" ht="12.75" hidden="1" customHeight="1">
      <c r="AJ486" s="116"/>
      <c r="AK486" s="116"/>
      <c r="AL486" s="116"/>
      <c r="AM486" s="116"/>
      <c r="AN486" s="116"/>
      <c r="AO486" s="116"/>
      <c r="AP486" s="116"/>
      <c r="AS486" s="116"/>
      <c r="AT486" s="116"/>
      <c r="BQ486" s="116"/>
      <c r="BR486" s="116"/>
      <c r="BS486" s="116"/>
      <c r="BT486" s="116"/>
      <c r="BU486" s="116"/>
      <c r="BV486" s="116"/>
      <c r="BW486" s="116"/>
      <c r="BX486" s="116"/>
      <c r="BY486" s="116"/>
      <c r="BZ486" s="116"/>
      <c r="CA486" s="116"/>
      <c r="CB486" s="116"/>
      <c r="CC486" s="116"/>
      <c r="CD486" s="116"/>
      <c r="CE486" s="116"/>
      <c r="CF486" s="116"/>
      <c r="CG486" s="116"/>
      <c r="CH486" s="116"/>
      <c r="CI486" s="116"/>
      <c r="CJ486" s="116"/>
      <c r="CK486" s="116"/>
      <c r="CL486" s="116"/>
      <c r="CM486" s="116"/>
      <c r="CN486" s="116"/>
      <c r="CO486" s="116"/>
      <c r="CP486" s="116"/>
      <c r="CQ486" s="116"/>
      <c r="CR486" s="116"/>
      <c r="CS486" s="116"/>
      <c r="CT486" s="116"/>
      <c r="CU486" s="116"/>
      <c r="CV486" s="116"/>
      <c r="CW486" s="116"/>
      <c r="CX486" s="116"/>
      <c r="CY486" s="116"/>
      <c r="CZ486" s="116"/>
      <c r="DA486" s="116"/>
      <c r="DB486" s="116"/>
      <c r="DC486" s="116"/>
      <c r="DD486" s="116"/>
      <c r="DE486" s="116"/>
      <c r="DF486" s="116"/>
      <c r="DG486" s="116"/>
      <c r="DH486" s="116"/>
      <c r="DI486" s="116"/>
      <c r="DJ486" s="116"/>
      <c r="DK486" s="116"/>
      <c r="DL486" s="116"/>
      <c r="DM486" s="116"/>
      <c r="DN486" s="116"/>
      <c r="DO486" s="116"/>
      <c r="DP486" s="116"/>
      <c r="DQ486" s="116"/>
      <c r="DR486" s="116"/>
      <c r="DS486" s="116"/>
      <c r="DT486" s="116"/>
      <c r="DU486" s="116"/>
      <c r="DV486" s="116"/>
      <c r="DW486" s="116"/>
      <c r="DX486" s="116"/>
      <c r="DY486" s="116"/>
      <c r="DZ486" s="116"/>
      <c r="EA486" s="116"/>
      <c r="EB486" s="116"/>
    </row>
    <row r="487" spans="36:132" ht="12.75" hidden="1" customHeight="1">
      <c r="AJ487" s="116"/>
      <c r="AK487" s="116"/>
      <c r="AL487" s="116"/>
      <c r="AM487" s="116"/>
      <c r="AN487" s="116"/>
      <c r="AO487" s="116"/>
      <c r="AP487" s="116"/>
      <c r="AS487" s="116"/>
      <c r="AT487" s="116"/>
      <c r="BQ487" s="116"/>
      <c r="BR487" s="116"/>
      <c r="BS487" s="116"/>
      <c r="BT487" s="116"/>
      <c r="BU487" s="116"/>
      <c r="BV487" s="116"/>
      <c r="BW487" s="116"/>
      <c r="BX487" s="116"/>
      <c r="BY487" s="116"/>
      <c r="BZ487" s="116"/>
      <c r="CA487" s="116"/>
      <c r="CB487" s="116"/>
      <c r="CC487" s="116"/>
      <c r="CD487" s="116"/>
      <c r="CE487" s="116"/>
      <c r="CF487" s="116"/>
      <c r="CG487" s="116"/>
      <c r="CH487" s="116"/>
      <c r="CI487" s="116"/>
      <c r="CJ487" s="116"/>
      <c r="CK487" s="116"/>
      <c r="CL487" s="116"/>
      <c r="CM487" s="116"/>
      <c r="CN487" s="116"/>
      <c r="CO487" s="116"/>
      <c r="CP487" s="116"/>
      <c r="CQ487" s="116"/>
      <c r="CR487" s="116"/>
      <c r="CS487" s="116"/>
      <c r="CT487" s="116"/>
      <c r="CU487" s="116"/>
      <c r="CV487" s="116"/>
      <c r="CW487" s="116"/>
      <c r="CX487" s="116"/>
      <c r="CY487" s="116"/>
      <c r="CZ487" s="116"/>
      <c r="DA487" s="116"/>
      <c r="DB487" s="116"/>
      <c r="DC487" s="116"/>
      <c r="DD487" s="116"/>
      <c r="DE487" s="116"/>
      <c r="DF487" s="116"/>
      <c r="DG487" s="116"/>
      <c r="DH487" s="116"/>
      <c r="DI487" s="116"/>
      <c r="DJ487" s="116"/>
      <c r="DK487" s="116"/>
      <c r="DL487" s="116"/>
      <c r="DM487" s="116"/>
      <c r="DN487" s="116"/>
      <c r="DO487" s="116"/>
      <c r="DP487" s="116"/>
      <c r="DQ487" s="116"/>
      <c r="DR487" s="116"/>
      <c r="DS487" s="116"/>
      <c r="DT487" s="116"/>
      <c r="DU487" s="116"/>
      <c r="DV487" s="116"/>
      <c r="DW487" s="116"/>
      <c r="DX487" s="116"/>
      <c r="DY487" s="116"/>
      <c r="DZ487" s="116"/>
      <c r="EA487" s="116"/>
      <c r="EB487" s="116"/>
    </row>
    <row r="488" spans="36:132" ht="12.75" hidden="1" customHeight="1">
      <c r="AJ488" s="116"/>
      <c r="AK488" s="116"/>
      <c r="AL488" s="116"/>
      <c r="AM488" s="116"/>
      <c r="AN488" s="116"/>
      <c r="AO488" s="116"/>
      <c r="AP488" s="116"/>
      <c r="AS488" s="116"/>
      <c r="AT488" s="116"/>
      <c r="BQ488" s="116"/>
      <c r="BR488" s="116"/>
      <c r="BS488" s="116"/>
      <c r="BT488" s="116"/>
      <c r="BU488" s="116"/>
      <c r="BV488" s="116"/>
      <c r="BW488" s="116"/>
      <c r="BX488" s="116"/>
      <c r="BY488" s="116"/>
      <c r="BZ488" s="116"/>
      <c r="CA488" s="116"/>
      <c r="CB488" s="116"/>
      <c r="CC488" s="116"/>
      <c r="CD488" s="116"/>
      <c r="CE488" s="116"/>
      <c r="CF488" s="116"/>
      <c r="CG488" s="116"/>
      <c r="CH488" s="116"/>
      <c r="CI488" s="116"/>
      <c r="CJ488" s="116"/>
      <c r="CK488" s="116"/>
      <c r="CL488" s="116"/>
      <c r="CM488" s="116"/>
      <c r="CN488" s="116"/>
      <c r="CO488" s="116"/>
      <c r="CP488" s="116"/>
      <c r="CQ488" s="116"/>
      <c r="CR488" s="116"/>
      <c r="CS488" s="116"/>
      <c r="CT488" s="116"/>
      <c r="CU488" s="116"/>
      <c r="CV488" s="116"/>
      <c r="CW488" s="116"/>
      <c r="CX488" s="116"/>
      <c r="CY488" s="116"/>
      <c r="CZ488" s="116"/>
      <c r="DA488" s="116"/>
      <c r="DB488" s="116"/>
      <c r="DC488" s="116"/>
      <c r="DD488" s="116"/>
      <c r="DE488" s="116"/>
      <c r="DF488" s="116"/>
      <c r="DG488" s="116"/>
      <c r="DH488" s="116"/>
      <c r="DI488" s="116"/>
      <c r="DJ488" s="116"/>
      <c r="DK488" s="116"/>
      <c r="DL488" s="116"/>
      <c r="DM488" s="116"/>
      <c r="DN488" s="116"/>
      <c r="DO488" s="116"/>
      <c r="DP488" s="116"/>
      <c r="DQ488" s="116"/>
      <c r="DR488" s="116"/>
      <c r="DS488" s="116"/>
      <c r="DT488" s="116"/>
      <c r="DU488" s="116"/>
      <c r="DV488" s="116"/>
      <c r="DW488" s="116"/>
      <c r="DX488" s="116"/>
      <c r="DY488" s="116"/>
      <c r="DZ488" s="116"/>
      <c r="EA488" s="116"/>
      <c r="EB488" s="116"/>
    </row>
    <row r="489" spans="36:132" ht="12.75" hidden="1" customHeight="1">
      <c r="AJ489" s="116"/>
      <c r="AK489" s="116"/>
      <c r="AL489" s="116"/>
      <c r="AM489" s="116"/>
      <c r="AN489" s="116"/>
      <c r="AO489" s="116"/>
      <c r="AP489" s="116"/>
      <c r="AS489" s="116"/>
      <c r="AT489" s="116"/>
      <c r="BQ489" s="116"/>
      <c r="BR489" s="116"/>
      <c r="BS489" s="116"/>
      <c r="BT489" s="116"/>
      <c r="BU489" s="116"/>
      <c r="BV489" s="116"/>
      <c r="BW489" s="116"/>
      <c r="BX489" s="116"/>
      <c r="BY489" s="116"/>
      <c r="BZ489" s="116"/>
      <c r="CA489" s="116"/>
      <c r="CB489" s="116"/>
      <c r="CC489" s="116"/>
      <c r="CD489" s="116"/>
      <c r="CE489" s="116"/>
      <c r="CF489" s="116"/>
      <c r="CG489" s="116"/>
      <c r="CH489" s="116"/>
      <c r="CI489" s="116"/>
      <c r="CJ489" s="116"/>
      <c r="CK489" s="116"/>
      <c r="CL489" s="116"/>
      <c r="CM489" s="116"/>
      <c r="CN489" s="116"/>
      <c r="CO489" s="116"/>
      <c r="CP489" s="116"/>
      <c r="CQ489" s="116"/>
      <c r="CR489" s="116"/>
      <c r="CS489" s="116"/>
      <c r="CT489" s="116"/>
      <c r="CU489" s="116"/>
      <c r="CV489" s="116"/>
      <c r="CW489" s="116"/>
      <c r="CX489" s="116"/>
      <c r="CY489" s="116"/>
      <c r="CZ489" s="116"/>
      <c r="DA489" s="116"/>
      <c r="DB489" s="116"/>
      <c r="DC489" s="116"/>
      <c r="DD489" s="116"/>
      <c r="DE489" s="116"/>
      <c r="DF489" s="116"/>
      <c r="DG489" s="116"/>
      <c r="DH489" s="116"/>
      <c r="DI489" s="116"/>
      <c r="DJ489" s="116"/>
      <c r="DK489" s="116"/>
      <c r="DL489" s="116"/>
      <c r="DM489" s="116"/>
      <c r="DN489" s="116"/>
      <c r="DO489" s="116"/>
      <c r="DP489" s="116"/>
      <c r="DQ489" s="116"/>
      <c r="DR489" s="116"/>
      <c r="DS489" s="116"/>
      <c r="DT489" s="116"/>
      <c r="DU489" s="116"/>
      <c r="DV489" s="116"/>
      <c r="DW489" s="116"/>
      <c r="DX489" s="116"/>
      <c r="DY489" s="116"/>
      <c r="DZ489" s="116"/>
      <c r="EA489" s="116"/>
      <c r="EB489" s="116"/>
    </row>
    <row r="490" spans="36:132" ht="12.75" hidden="1" customHeight="1">
      <c r="AJ490" s="116"/>
      <c r="AK490" s="116"/>
      <c r="AL490" s="116"/>
      <c r="AM490" s="116"/>
      <c r="AN490" s="116"/>
      <c r="AO490" s="116"/>
      <c r="AP490" s="116"/>
      <c r="AS490" s="116"/>
      <c r="AT490" s="116"/>
      <c r="BQ490" s="116"/>
      <c r="BR490" s="116"/>
      <c r="BS490" s="116"/>
      <c r="BT490" s="116"/>
      <c r="BU490" s="116"/>
      <c r="BV490" s="116"/>
      <c r="BW490" s="116"/>
      <c r="BX490" s="116"/>
      <c r="BY490" s="116"/>
      <c r="BZ490" s="116"/>
      <c r="CA490" s="116"/>
      <c r="CB490" s="116"/>
      <c r="CC490" s="116"/>
      <c r="CD490" s="116"/>
      <c r="CE490" s="116"/>
      <c r="CF490" s="116"/>
      <c r="CG490" s="116"/>
      <c r="CH490" s="116"/>
      <c r="CI490" s="116"/>
      <c r="CJ490" s="116"/>
      <c r="CK490" s="116"/>
      <c r="CL490" s="116"/>
      <c r="CM490" s="116"/>
      <c r="CN490" s="116"/>
      <c r="CO490" s="116"/>
      <c r="CP490" s="116"/>
      <c r="CQ490" s="116"/>
      <c r="CR490" s="116"/>
      <c r="CS490" s="116"/>
      <c r="CT490" s="116"/>
      <c r="CU490" s="116"/>
      <c r="CV490" s="116"/>
      <c r="CW490" s="116"/>
      <c r="CX490" s="116"/>
      <c r="CY490" s="116"/>
      <c r="CZ490" s="116"/>
      <c r="DA490" s="116"/>
      <c r="DB490" s="116"/>
      <c r="DC490" s="116"/>
      <c r="DD490" s="116"/>
      <c r="DE490" s="116"/>
      <c r="DF490" s="116"/>
      <c r="DG490" s="116"/>
      <c r="DH490" s="116"/>
      <c r="DI490" s="116"/>
      <c r="DJ490" s="116"/>
      <c r="DK490" s="116"/>
      <c r="DL490" s="116"/>
      <c r="DM490" s="116"/>
      <c r="DN490" s="116"/>
      <c r="DO490" s="116"/>
      <c r="DP490" s="116"/>
      <c r="DQ490" s="116"/>
      <c r="DR490" s="116"/>
      <c r="DS490" s="116"/>
      <c r="DT490" s="116"/>
      <c r="DU490" s="116"/>
      <c r="DV490" s="116"/>
      <c r="DW490" s="116"/>
      <c r="DX490" s="116"/>
      <c r="DY490" s="116"/>
      <c r="DZ490" s="116"/>
      <c r="EA490" s="116"/>
      <c r="EB490" s="116"/>
    </row>
    <row r="491" spans="36:132" ht="12.75" hidden="1" customHeight="1">
      <c r="AJ491" s="116"/>
      <c r="AK491" s="116"/>
      <c r="AL491" s="116"/>
      <c r="AM491" s="116"/>
      <c r="AN491" s="116"/>
      <c r="AO491" s="116"/>
      <c r="AP491" s="116"/>
      <c r="AS491" s="116"/>
      <c r="AT491" s="116"/>
      <c r="BQ491" s="116"/>
      <c r="BR491" s="116"/>
      <c r="BS491" s="116"/>
      <c r="BT491" s="116"/>
      <c r="BU491" s="116"/>
      <c r="BV491" s="116"/>
      <c r="BW491" s="116"/>
      <c r="BX491" s="116"/>
      <c r="BY491" s="116"/>
      <c r="BZ491" s="116"/>
      <c r="CA491" s="116"/>
      <c r="CB491" s="116"/>
      <c r="CC491" s="116"/>
      <c r="CD491" s="116"/>
      <c r="CE491" s="116"/>
      <c r="CF491" s="116"/>
      <c r="CG491" s="116"/>
      <c r="CH491" s="116"/>
      <c r="CI491" s="116"/>
      <c r="CJ491" s="116"/>
      <c r="CK491" s="116"/>
      <c r="CL491" s="116"/>
      <c r="CM491" s="116"/>
      <c r="CN491" s="116"/>
      <c r="CO491" s="116"/>
      <c r="CP491" s="116"/>
      <c r="CQ491" s="116"/>
      <c r="CR491" s="116"/>
      <c r="CS491" s="116"/>
      <c r="CT491" s="116"/>
      <c r="CU491" s="116"/>
      <c r="CV491" s="116"/>
      <c r="CW491" s="116"/>
      <c r="CX491" s="116"/>
      <c r="CY491" s="116"/>
      <c r="CZ491" s="116"/>
      <c r="DA491" s="116"/>
      <c r="DB491" s="116"/>
      <c r="DC491" s="116"/>
      <c r="DD491" s="116"/>
      <c r="DE491" s="116"/>
      <c r="DF491" s="116"/>
      <c r="DG491" s="116"/>
      <c r="DH491" s="116"/>
      <c r="DI491" s="116"/>
      <c r="DJ491" s="116"/>
      <c r="DK491" s="116"/>
      <c r="DL491" s="116"/>
      <c r="DM491" s="116"/>
      <c r="DN491" s="116"/>
      <c r="DO491" s="116"/>
      <c r="DP491" s="116"/>
      <c r="DQ491" s="116"/>
      <c r="DR491" s="116"/>
      <c r="DS491" s="116"/>
      <c r="DT491" s="116"/>
      <c r="DU491" s="116"/>
      <c r="DV491" s="116"/>
      <c r="DW491" s="116"/>
      <c r="DX491" s="116"/>
      <c r="DY491" s="116"/>
      <c r="DZ491" s="116"/>
      <c r="EA491" s="116"/>
      <c r="EB491" s="116"/>
    </row>
    <row r="492" spans="36:132" ht="12.75" hidden="1" customHeight="1">
      <c r="AJ492" s="116"/>
      <c r="AK492" s="116"/>
      <c r="AL492" s="116"/>
      <c r="AM492" s="116"/>
      <c r="AN492" s="116"/>
      <c r="AO492" s="116"/>
      <c r="AP492" s="116"/>
      <c r="AS492" s="116"/>
      <c r="AT492" s="116"/>
      <c r="BQ492" s="116"/>
      <c r="BR492" s="116"/>
      <c r="BS492" s="116"/>
      <c r="BT492" s="116"/>
      <c r="BU492" s="116"/>
      <c r="BV492" s="116"/>
      <c r="BW492" s="116"/>
      <c r="BX492" s="116"/>
      <c r="BY492" s="116"/>
      <c r="BZ492" s="116"/>
      <c r="CA492" s="116"/>
      <c r="CB492" s="116"/>
      <c r="CC492" s="116"/>
      <c r="CD492" s="116"/>
      <c r="CE492" s="116"/>
      <c r="CF492" s="116"/>
      <c r="CG492" s="116"/>
      <c r="CH492" s="116"/>
      <c r="CI492" s="116"/>
      <c r="CJ492" s="116"/>
      <c r="CK492" s="116"/>
      <c r="CL492" s="116"/>
      <c r="CM492" s="116"/>
      <c r="CN492" s="116"/>
      <c r="CO492" s="116"/>
      <c r="CP492" s="116"/>
      <c r="CQ492" s="116"/>
      <c r="CR492" s="116"/>
      <c r="CS492" s="116"/>
      <c r="CT492" s="116"/>
      <c r="CU492" s="116"/>
      <c r="CV492" s="116"/>
      <c r="CW492" s="116"/>
      <c r="CX492" s="116"/>
      <c r="CY492" s="116"/>
      <c r="CZ492" s="116"/>
      <c r="DA492" s="116"/>
      <c r="DB492" s="116"/>
      <c r="DC492" s="116"/>
      <c r="DD492" s="116"/>
      <c r="DE492" s="116"/>
      <c r="DF492" s="116"/>
      <c r="DG492" s="116"/>
      <c r="DH492" s="116"/>
      <c r="DI492" s="116"/>
      <c r="DJ492" s="116"/>
      <c r="DK492" s="116"/>
      <c r="DL492" s="116"/>
      <c r="DM492" s="116"/>
      <c r="DN492" s="116"/>
      <c r="DO492" s="116"/>
      <c r="DP492" s="116"/>
      <c r="DQ492" s="116"/>
      <c r="DR492" s="116"/>
      <c r="DS492" s="116"/>
      <c r="DT492" s="116"/>
      <c r="DU492" s="116"/>
      <c r="DV492" s="116"/>
      <c r="DW492" s="116"/>
      <c r="DX492" s="116"/>
      <c r="DY492" s="116"/>
      <c r="DZ492" s="116"/>
      <c r="EA492" s="116"/>
      <c r="EB492" s="116"/>
    </row>
    <row r="493" spans="36:132" ht="12.75" hidden="1" customHeight="1">
      <c r="AJ493" s="116"/>
      <c r="AK493" s="116"/>
      <c r="AL493" s="116"/>
      <c r="AM493" s="116"/>
      <c r="AN493" s="116"/>
      <c r="AO493" s="116"/>
      <c r="AP493" s="116"/>
      <c r="AS493" s="116"/>
      <c r="AT493" s="116"/>
      <c r="BQ493" s="116"/>
      <c r="BR493" s="116"/>
      <c r="BS493" s="116"/>
      <c r="BT493" s="116"/>
      <c r="BU493" s="116"/>
      <c r="BV493" s="116"/>
      <c r="BW493" s="116"/>
      <c r="BX493" s="116"/>
      <c r="BY493" s="116"/>
      <c r="BZ493" s="116"/>
      <c r="CA493" s="116"/>
      <c r="CB493" s="116"/>
      <c r="CC493" s="116"/>
      <c r="CD493" s="116"/>
      <c r="CE493" s="116"/>
      <c r="CF493" s="116"/>
      <c r="CG493" s="116"/>
      <c r="CH493" s="116"/>
      <c r="CI493" s="116"/>
      <c r="CJ493" s="116"/>
      <c r="CK493" s="116"/>
      <c r="CL493" s="116"/>
      <c r="CM493" s="116"/>
      <c r="CN493" s="116"/>
      <c r="CO493" s="116"/>
      <c r="CP493" s="116"/>
      <c r="CQ493" s="116"/>
      <c r="CR493" s="116"/>
      <c r="CS493" s="116"/>
      <c r="CT493" s="116"/>
      <c r="CU493" s="116"/>
      <c r="CV493" s="116"/>
      <c r="CW493" s="116"/>
      <c r="CX493" s="116"/>
      <c r="CY493" s="116"/>
      <c r="CZ493" s="116"/>
      <c r="DA493" s="116"/>
      <c r="DB493" s="116"/>
      <c r="DC493" s="116"/>
      <c r="DD493" s="116"/>
      <c r="DE493" s="116"/>
      <c r="DF493" s="116"/>
      <c r="DG493" s="116"/>
      <c r="DH493" s="116"/>
      <c r="DI493" s="116"/>
      <c r="DJ493" s="116"/>
      <c r="DK493" s="116"/>
      <c r="DL493" s="116"/>
      <c r="DM493" s="116"/>
      <c r="DN493" s="116"/>
      <c r="DO493" s="116"/>
      <c r="DP493" s="116"/>
      <c r="DQ493" s="116"/>
      <c r="DR493" s="116"/>
      <c r="DS493" s="116"/>
      <c r="DT493" s="116"/>
      <c r="DU493" s="116"/>
      <c r="DV493" s="116"/>
      <c r="DW493" s="116"/>
      <c r="DX493" s="116"/>
      <c r="DY493" s="116"/>
      <c r="DZ493" s="116"/>
      <c r="EA493" s="116"/>
      <c r="EB493" s="116"/>
    </row>
    <row r="494" spans="36:132" ht="12.75" hidden="1" customHeight="1">
      <c r="AJ494" s="116"/>
      <c r="AK494" s="116"/>
      <c r="AL494" s="116"/>
      <c r="AM494" s="116"/>
      <c r="AN494" s="116"/>
      <c r="AO494" s="116"/>
      <c r="AP494" s="116"/>
      <c r="AS494" s="116"/>
      <c r="AT494" s="116"/>
      <c r="BQ494" s="116"/>
      <c r="BR494" s="116"/>
      <c r="BS494" s="116"/>
      <c r="BT494" s="116"/>
      <c r="BU494" s="116"/>
      <c r="BV494" s="116"/>
      <c r="BW494" s="116"/>
      <c r="BX494" s="116"/>
      <c r="BY494" s="116"/>
      <c r="BZ494" s="116"/>
      <c r="CA494" s="116"/>
      <c r="CB494" s="116"/>
      <c r="CC494" s="116"/>
      <c r="CD494" s="116"/>
      <c r="CE494" s="116"/>
      <c r="CF494" s="116"/>
      <c r="CG494" s="116"/>
      <c r="CH494" s="116"/>
      <c r="CI494" s="116"/>
      <c r="CJ494" s="116"/>
      <c r="CK494" s="116"/>
      <c r="CL494" s="116"/>
      <c r="CM494" s="116"/>
      <c r="CN494" s="116"/>
      <c r="CO494" s="116"/>
      <c r="CP494" s="116"/>
      <c r="CQ494" s="116"/>
      <c r="CR494" s="116"/>
      <c r="CS494" s="116"/>
      <c r="CT494" s="116"/>
      <c r="CU494" s="116"/>
      <c r="CV494" s="116"/>
      <c r="CW494" s="116"/>
      <c r="CX494" s="116"/>
      <c r="CY494" s="116"/>
      <c r="CZ494" s="116"/>
      <c r="DA494" s="116"/>
      <c r="DB494" s="116"/>
      <c r="DC494" s="116"/>
      <c r="DD494" s="116"/>
      <c r="DE494" s="116"/>
      <c r="DF494" s="116"/>
      <c r="DG494" s="116"/>
      <c r="DH494" s="116"/>
      <c r="DI494" s="116"/>
      <c r="DJ494" s="116"/>
      <c r="DK494" s="116"/>
      <c r="DL494" s="116"/>
      <c r="DM494" s="116"/>
      <c r="DN494" s="116"/>
      <c r="DO494" s="116"/>
      <c r="DP494" s="116"/>
      <c r="DQ494" s="116"/>
      <c r="DR494" s="116"/>
      <c r="DS494" s="116"/>
      <c r="DT494" s="116"/>
      <c r="DU494" s="116"/>
      <c r="DV494" s="116"/>
      <c r="DW494" s="116"/>
      <c r="DX494" s="116"/>
      <c r="DY494" s="116"/>
      <c r="DZ494" s="116"/>
      <c r="EA494" s="116"/>
      <c r="EB494" s="116"/>
    </row>
    <row r="495" spans="36:132" ht="12.75" hidden="1" customHeight="1">
      <c r="AJ495" s="116"/>
      <c r="AK495" s="116"/>
      <c r="AL495" s="116"/>
      <c r="AM495" s="116"/>
      <c r="AN495" s="116"/>
      <c r="AO495" s="116"/>
      <c r="AP495" s="116"/>
      <c r="AS495" s="116"/>
      <c r="AT495" s="116"/>
      <c r="BQ495" s="116"/>
      <c r="BR495" s="116"/>
      <c r="BS495" s="116"/>
      <c r="BT495" s="116"/>
      <c r="BU495" s="116"/>
      <c r="BV495" s="116"/>
      <c r="BW495" s="116"/>
      <c r="BX495" s="116"/>
      <c r="BY495" s="116"/>
      <c r="BZ495" s="116"/>
      <c r="CA495" s="116"/>
      <c r="CB495" s="116"/>
      <c r="CC495" s="116"/>
      <c r="CD495" s="116"/>
      <c r="CE495" s="116"/>
      <c r="CF495" s="116"/>
      <c r="CG495" s="116"/>
      <c r="CH495" s="116"/>
      <c r="CI495" s="116"/>
      <c r="CJ495" s="116"/>
      <c r="CK495" s="116"/>
      <c r="CL495" s="116"/>
      <c r="CM495" s="116"/>
      <c r="CN495" s="116"/>
      <c r="CO495" s="116"/>
      <c r="CP495" s="116"/>
      <c r="CQ495" s="116"/>
      <c r="CR495" s="116"/>
      <c r="CS495" s="116"/>
      <c r="CT495" s="116"/>
      <c r="CU495" s="116"/>
      <c r="CV495" s="116"/>
      <c r="CW495" s="116"/>
      <c r="CX495" s="116"/>
      <c r="CY495" s="116"/>
      <c r="CZ495" s="116"/>
      <c r="DA495" s="116"/>
      <c r="DB495" s="116"/>
      <c r="DC495" s="116"/>
      <c r="DD495" s="116"/>
      <c r="DE495" s="116"/>
      <c r="DF495" s="116"/>
      <c r="DG495" s="116"/>
      <c r="DH495" s="116"/>
      <c r="DI495" s="116"/>
      <c r="DJ495" s="116"/>
      <c r="DK495" s="116"/>
      <c r="DL495" s="116"/>
      <c r="DM495" s="116"/>
      <c r="DN495" s="116"/>
      <c r="DO495" s="116"/>
      <c r="DP495" s="116"/>
      <c r="DQ495" s="116"/>
      <c r="DR495" s="116"/>
      <c r="DS495" s="116"/>
      <c r="DT495" s="116"/>
      <c r="DU495" s="116"/>
      <c r="DV495" s="116"/>
      <c r="DW495" s="116"/>
      <c r="DX495" s="116"/>
      <c r="DY495" s="116"/>
      <c r="DZ495" s="116"/>
      <c r="EA495" s="116"/>
      <c r="EB495" s="116"/>
    </row>
    <row r="496" spans="36:132" ht="12.75" hidden="1" customHeight="1">
      <c r="AJ496" s="116"/>
      <c r="AK496" s="116"/>
      <c r="AL496" s="116"/>
      <c r="AM496" s="116"/>
      <c r="AN496" s="116"/>
      <c r="AO496" s="116"/>
      <c r="AP496" s="116"/>
      <c r="AS496" s="116"/>
      <c r="AT496" s="116"/>
      <c r="BQ496" s="116"/>
      <c r="BR496" s="116"/>
      <c r="BS496" s="116"/>
      <c r="BT496" s="116"/>
      <c r="BU496" s="116"/>
      <c r="BV496" s="116"/>
      <c r="BW496" s="116"/>
      <c r="BX496" s="116"/>
      <c r="BY496" s="116"/>
      <c r="BZ496" s="116"/>
      <c r="CA496" s="116"/>
      <c r="CB496" s="116"/>
      <c r="CC496" s="116"/>
      <c r="CD496" s="116"/>
      <c r="CE496" s="116"/>
      <c r="CF496" s="116"/>
      <c r="CG496" s="116"/>
      <c r="CH496" s="116"/>
      <c r="CI496" s="116"/>
      <c r="CJ496" s="116"/>
      <c r="CK496" s="116"/>
      <c r="CL496" s="116"/>
      <c r="CM496" s="116"/>
      <c r="CN496" s="116"/>
      <c r="CO496" s="116"/>
      <c r="CP496" s="116"/>
      <c r="CQ496" s="116"/>
      <c r="CR496" s="116"/>
      <c r="CS496" s="116"/>
      <c r="CT496" s="116"/>
      <c r="CU496" s="116"/>
      <c r="CV496" s="116"/>
      <c r="CW496" s="116"/>
      <c r="CX496" s="116"/>
      <c r="CY496" s="116"/>
      <c r="CZ496" s="116"/>
      <c r="DA496" s="116"/>
      <c r="DB496" s="116"/>
      <c r="DC496" s="116"/>
      <c r="DD496" s="116"/>
      <c r="DE496" s="116"/>
      <c r="DF496" s="116"/>
      <c r="DG496" s="116"/>
      <c r="DH496" s="116"/>
      <c r="DI496" s="116"/>
      <c r="DJ496" s="116"/>
      <c r="DK496" s="116"/>
      <c r="DL496" s="116"/>
      <c r="DM496" s="116"/>
      <c r="DN496" s="116"/>
      <c r="DO496" s="116"/>
      <c r="DP496" s="116"/>
      <c r="DQ496" s="116"/>
      <c r="DR496" s="116"/>
      <c r="DS496" s="116"/>
      <c r="DT496" s="116"/>
      <c r="DU496" s="116"/>
      <c r="DV496" s="116"/>
      <c r="DW496" s="116"/>
      <c r="DX496" s="116"/>
      <c r="DY496" s="116"/>
      <c r="DZ496" s="116"/>
      <c r="EA496" s="116"/>
      <c r="EB496" s="116"/>
    </row>
    <row r="497" spans="36:132" ht="12.75" hidden="1" customHeight="1">
      <c r="AJ497" s="116"/>
      <c r="AK497" s="116"/>
      <c r="AL497" s="116"/>
      <c r="AM497" s="116"/>
      <c r="AN497" s="116"/>
      <c r="AO497" s="116"/>
      <c r="AP497" s="116"/>
      <c r="AS497" s="116"/>
      <c r="AT497" s="116"/>
      <c r="BQ497" s="116"/>
      <c r="BR497" s="116"/>
      <c r="BS497" s="116"/>
      <c r="BT497" s="116"/>
      <c r="BU497" s="116"/>
      <c r="BV497" s="116"/>
      <c r="BW497" s="116"/>
      <c r="BX497" s="116"/>
      <c r="BY497" s="116"/>
      <c r="BZ497" s="116"/>
      <c r="CA497" s="116"/>
      <c r="CB497" s="116"/>
      <c r="CC497" s="116"/>
      <c r="CD497" s="116"/>
      <c r="CE497" s="116"/>
      <c r="CF497" s="116"/>
      <c r="CG497" s="116"/>
      <c r="CH497" s="116"/>
      <c r="CI497" s="116"/>
      <c r="CJ497" s="116"/>
      <c r="CK497" s="116"/>
      <c r="CL497" s="116"/>
      <c r="CM497" s="116"/>
      <c r="CN497" s="116"/>
      <c r="CO497" s="116"/>
      <c r="CP497" s="116"/>
      <c r="CQ497" s="116"/>
      <c r="CR497" s="116"/>
      <c r="CS497" s="116"/>
      <c r="CT497" s="116"/>
      <c r="CU497" s="116"/>
      <c r="CV497" s="116"/>
      <c r="CW497" s="116"/>
      <c r="CX497" s="116"/>
      <c r="CY497" s="116"/>
      <c r="CZ497" s="116"/>
      <c r="DA497" s="116"/>
      <c r="DB497" s="116"/>
      <c r="DC497" s="116"/>
      <c r="DD497" s="116"/>
      <c r="DE497" s="116"/>
      <c r="DF497" s="116"/>
      <c r="DG497" s="116"/>
      <c r="DH497" s="116"/>
      <c r="DI497" s="116"/>
      <c r="DJ497" s="116"/>
      <c r="DK497" s="116"/>
      <c r="DL497" s="116"/>
      <c r="DM497" s="116"/>
      <c r="DN497" s="116"/>
      <c r="DO497" s="116"/>
      <c r="DP497" s="116"/>
      <c r="DQ497" s="116"/>
      <c r="DR497" s="116"/>
      <c r="DS497" s="116"/>
      <c r="DT497" s="116"/>
      <c r="DU497" s="116"/>
      <c r="DV497" s="116"/>
      <c r="DW497" s="116"/>
      <c r="DX497" s="116"/>
      <c r="DY497" s="116"/>
      <c r="DZ497" s="116"/>
      <c r="EA497" s="116"/>
      <c r="EB497" s="116"/>
    </row>
    <row r="498" spans="36:132" ht="12.75" hidden="1" customHeight="1">
      <c r="AJ498" s="116"/>
      <c r="AK498" s="116"/>
      <c r="AL498" s="116"/>
      <c r="AM498" s="116"/>
      <c r="AN498" s="116"/>
      <c r="AO498" s="116"/>
      <c r="AP498" s="116"/>
      <c r="AS498" s="116"/>
      <c r="AT498" s="116"/>
      <c r="BQ498" s="116"/>
      <c r="BR498" s="116"/>
      <c r="BS498" s="116"/>
      <c r="BT498" s="116"/>
      <c r="BU498" s="116"/>
      <c r="BV498" s="116"/>
      <c r="BW498" s="116"/>
      <c r="BX498" s="116"/>
      <c r="BY498" s="116"/>
      <c r="BZ498" s="116"/>
      <c r="CA498" s="116"/>
      <c r="CB498" s="116"/>
      <c r="CC498" s="116"/>
      <c r="CD498" s="116"/>
      <c r="CE498" s="116"/>
      <c r="CF498" s="116"/>
      <c r="CG498" s="116"/>
      <c r="CH498" s="116"/>
      <c r="CI498" s="116"/>
      <c r="CJ498" s="116"/>
      <c r="CK498" s="116"/>
      <c r="CL498" s="116"/>
      <c r="CM498" s="116"/>
      <c r="CN498" s="116"/>
      <c r="CO498" s="116"/>
      <c r="CP498" s="116"/>
      <c r="CQ498" s="116"/>
      <c r="CR498" s="116"/>
      <c r="CS498" s="116"/>
      <c r="CT498" s="116"/>
      <c r="CU498" s="116"/>
      <c r="CV498" s="116"/>
      <c r="CW498" s="116"/>
      <c r="CX498" s="116"/>
      <c r="CY498" s="116"/>
      <c r="CZ498" s="116"/>
      <c r="DA498" s="116"/>
      <c r="DB498" s="116"/>
      <c r="DC498" s="116"/>
      <c r="DD498" s="116"/>
      <c r="DE498" s="116"/>
      <c r="DF498" s="116"/>
      <c r="DG498" s="116"/>
      <c r="DH498" s="116"/>
      <c r="DI498" s="116"/>
      <c r="DJ498" s="116"/>
      <c r="DK498" s="116"/>
      <c r="DL498" s="116"/>
      <c r="DM498" s="116"/>
      <c r="DN498" s="116"/>
      <c r="DO498" s="116"/>
      <c r="DP498" s="116"/>
      <c r="DQ498" s="116"/>
      <c r="DR498" s="116"/>
      <c r="DS498" s="116"/>
      <c r="DT498" s="116"/>
      <c r="DU498" s="116"/>
      <c r="DV498" s="116"/>
      <c r="DW498" s="116"/>
      <c r="DX498" s="116"/>
      <c r="DY498" s="116"/>
      <c r="DZ498" s="116"/>
      <c r="EA498" s="116"/>
      <c r="EB498" s="116"/>
    </row>
    <row r="499" spans="36:132" ht="12.75" hidden="1" customHeight="1">
      <c r="AJ499" s="116"/>
      <c r="AK499" s="116"/>
      <c r="AL499" s="116"/>
      <c r="AM499" s="116"/>
      <c r="AN499" s="116"/>
      <c r="AO499" s="116"/>
      <c r="AP499" s="116"/>
      <c r="AS499" s="116"/>
      <c r="AT499" s="116"/>
      <c r="BQ499" s="116"/>
      <c r="BR499" s="116"/>
      <c r="BS499" s="116"/>
      <c r="BT499" s="116"/>
      <c r="BU499" s="116"/>
      <c r="BV499" s="116"/>
      <c r="BW499" s="116"/>
      <c r="BX499" s="116"/>
      <c r="BY499" s="116"/>
      <c r="BZ499" s="116"/>
      <c r="CA499" s="116"/>
      <c r="CB499" s="116"/>
      <c r="CC499" s="116"/>
      <c r="CD499" s="116"/>
      <c r="CE499" s="116"/>
      <c r="CF499" s="116"/>
      <c r="CG499" s="116"/>
      <c r="CH499" s="116"/>
      <c r="CI499" s="116"/>
      <c r="CJ499" s="116"/>
      <c r="CK499" s="116"/>
      <c r="CL499" s="116"/>
      <c r="CM499" s="116"/>
      <c r="CN499" s="116"/>
      <c r="CO499" s="116"/>
      <c r="CP499" s="116"/>
      <c r="CQ499" s="116"/>
      <c r="CR499" s="116"/>
      <c r="CS499" s="116"/>
      <c r="CT499" s="116"/>
      <c r="CU499" s="116"/>
      <c r="CV499" s="116"/>
      <c r="CW499" s="116"/>
      <c r="CX499" s="116"/>
      <c r="CY499" s="116"/>
      <c r="CZ499" s="116"/>
      <c r="DA499" s="116"/>
      <c r="DB499" s="116"/>
      <c r="DC499" s="116"/>
      <c r="DD499" s="116"/>
      <c r="DE499" s="116"/>
      <c r="DF499" s="116"/>
      <c r="DG499" s="116"/>
      <c r="DH499" s="116"/>
      <c r="DI499" s="116"/>
      <c r="DJ499" s="116"/>
      <c r="DK499" s="116"/>
      <c r="DL499" s="116"/>
      <c r="DM499" s="116"/>
      <c r="DN499" s="116"/>
      <c r="DO499" s="116"/>
      <c r="DP499" s="116"/>
      <c r="DQ499" s="116"/>
      <c r="DR499" s="116"/>
      <c r="DS499" s="116"/>
      <c r="DT499" s="116"/>
      <c r="DU499" s="116"/>
      <c r="DV499" s="116"/>
      <c r="DW499" s="116"/>
      <c r="DX499" s="116"/>
      <c r="DY499" s="116"/>
      <c r="DZ499" s="116"/>
      <c r="EA499" s="116"/>
      <c r="EB499" s="116"/>
    </row>
    <row r="500" spans="36:132" ht="12.75" hidden="1" customHeight="1">
      <c r="AJ500" s="116"/>
      <c r="AK500" s="116"/>
      <c r="AL500" s="116"/>
      <c r="AM500" s="116"/>
      <c r="AN500" s="116"/>
      <c r="AO500" s="116"/>
      <c r="AP500" s="116"/>
      <c r="AS500" s="116"/>
      <c r="AT500" s="116"/>
      <c r="BQ500" s="116"/>
      <c r="BR500" s="116"/>
      <c r="BS500" s="116"/>
      <c r="BT500" s="116"/>
      <c r="BU500" s="116"/>
      <c r="BV500" s="116"/>
      <c r="BW500" s="116"/>
      <c r="BX500" s="116"/>
      <c r="BY500" s="116"/>
      <c r="BZ500" s="116"/>
      <c r="CA500" s="116"/>
      <c r="CB500" s="116"/>
      <c r="CC500" s="116"/>
      <c r="CD500" s="116"/>
      <c r="CE500" s="116"/>
      <c r="CF500" s="116"/>
      <c r="CG500" s="116"/>
      <c r="CH500" s="116"/>
      <c r="CI500" s="116"/>
      <c r="CJ500" s="116"/>
      <c r="CK500" s="116"/>
      <c r="CL500" s="116"/>
      <c r="CM500" s="116"/>
      <c r="CN500" s="116"/>
      <c r="CO500" s="116"/>
      <c r="CP500" s="116"/>
      <c r="CQ500" s="116"/>
      <c r="CR500" s="116"/>
      <c r="CS500" s="116"/>
      <c r="CT500" s="116"/>
      <c r="CU500" s="116"/>
      <c r="CV500" s="116"/>
      <c r="CW500" s="116"/>
      <c r="CX500" s="116"/>
      <c r="CY500" s="116"/>
      <c r="CZ500" s="116"/>
      <c r="DA500" s="116"/>
      <c r="DB500" s="116"/>
      <c r="DC500" s="116"/>
      <c r="DD500" s="116"/>
      <c r="DE500" s="116"/>
      <c r="DF500" s="116"/>
      <c r="DG500" s="116"/>
      <c r="DH500" s="116"/>
      <c r="DI500" s="116"/>
      <c r="DJ500" s="116"/>
      <c r="DK500" s="116"/>
      <c r="DL500" s="116"/>
      <c r="DM500" s="116"/>
      <c r="DN500" s="116"/>
      <c r="DO500" s="116"/>
      <c r="DP500" s="116"/>
      <c r="DQ500" s="116"/>
      <c r="DR500" s="116"/>
      <c r="DS500" s="116"/>
      <c r="DT500" s="116"/>
      <c r="DU500" s="116"/>
      <c r="DV500" s="116"/>
      <c r="DW500" s="116"/>
      <c r="DX500" s="116"/>
      <c r="DY500" s="116"/>
      <c r="DZ500" s="116"/>
      <c r="EA500" s="116"/>
      <c r="EB500" s="116"/>
    </row>
    <row r="501" spans="36:132" ht="12.75" hidden="1" customHeight="1">
      <c r="AJ501" s="116"/>
      <c r="AK501" s="116"/>
      <c r="AL501" s="116"/>
      <c r="AM501" s="116"/>
      <c r="AN501" s="116"/>
      <c r="AO501" s="116"/>
      <c r="AP501" s="116"/>
      <c r="AS501" s="116"/>
      <c r="AT501" s="116"/>
      <c r="BQ501" s="116"/>
      <c r="BR501" s="116"/>
      <c r="BS501" s="116"/>
      <c r="BT501" s="116"/>
      <c r="BU501" s="116"/>
      <c r="BV501" s="116"/>
      <c r="BW501" s="116"/>
      <c r="BX501" s="116"/>
      <c r="BY501" s="116"/>
      <c r="BZ501" s="116"/>
      <c r="CA501" s="116"/>
      <c r="CB501" s="116"/>
      <c r="CC501" s="116"/>
      <c r="CD501" s="116"/>
      <c r="CE501" s="116"/>
      <c r="CF501" s="116"/>
      <c r="CG501" s="116"/>
      <c r="CH501" s="116"/>
      <c r="CI501" s="116"/>
      <c r="CJ501" s="116"/>
      <c r="CK501" s="116"/>
      <c r="CL501" s="116"/>
      <c r="CM501" s="116"/>
      <c r="CN501" s="116"/>
      <c r="CO501" s="116"/>
      <c r="CP501" s="116"/>
      <c r="CQ501" s="116"/>
      <c r="CR501" s="116"/>
      <c r="CS501" s="116"/>
      <c r="CT501" s="116"/>
      <c r="CU501" s="116"/>
      <c r="CV501" s="116"/>
      <c r="CW501" s="116"/>
      <c r="CX501" s="116"/>
      <c r="CY501" s="116"/>
      <c r="CZ501" s="116"/>
      <c r="DA501" s="116"/>
      <c r="DB501" s="116"/>
      <c r="DC501" s="116"/>
      <c r="DD501" s="116"/>
      <c r="DE501" s="116"/>
      <c r="DF501" s="116"/>
      <c r="DG501" s="116"/>
      <c r="DH501" s="116"/>
      <c r="DI501" s="116"/>
      <c r="DJ501" s="116"/>
      <c r="DK501" s="116"/>
      <c r="DL501" s="116"/>
      <c r="DM501" s="116"/>
      <c r="DN501" s="116"/>
      <c r="DO501" s="116"/>
      <c r="DP501" s="116"/>
      <c r="DQ501" s="116"/>
      <c r="DR501" s="116"/>
      <c r="DS501" s="116"/>
      <c r="DT501" s="116"/>
      <c r="DU501" s="116"/>
      <c r="DV501" s="116"/>
      <c r="DW501" s="116"/>
      <c r="DX501" s="116"/>
      <c r="DY501" s="116"/>
      <c r="DZ501" s="116"/>
      <c r="EA501" s="116"/>
      <c r="EB501" s="116"/>
    </row>
    <row r="502" spans="36:132" ht="12.75" hidden="1" customHeight="1">
      <c r="AJ502" s="116"/>
      <c r="AK502" s="116"/>
      <c r="AL502" s="116"/>
      <c r="AM502" s="116"/>
      <c r="AN502" s="116"/>
      <c r="AO502" s="116"/>
      <c r="AP502" s="116"/>
      <c r="AS502" s="116"/>
      <c r="AT502" s="116"/>
      <c r="BQ502" s="116"/>
      <c r="BR502" s="116"/>
      <c r="BS502" s="116"/>
      <c r="BT502" s="116"/>
      <c r="BU502" s="116"/>
      <c r="BV502" s="116"/>
      <c r="BW502" s="116"/>
      <c r="BX502" s="116"/>
      <c r="BY502" s="116"/>
      <c r="BZ502" s="116"/>
      <c r="CA502" s="116"/>
      <c r="CB502" s="116"/>
      <c r="CC502" s="116"/>
      <c r="CD502" s="116"/>
      <c r="CE502" s="116"/>
      <c r="CF502" s="116"/>
      <c r="CG502" s="116"/>
      <c r="CH502" s="116"/>
      <c r="CI502" s="116"/>
      <c r="CJ502" s="116"/>
      <c r="CK502" s="116"/>
      <c r="CL502" s="116"/>
      <c r="CM502" s="116"/>
      <c r="CN502" s="116"/>
      <c r="CO502" s="116"/>
      <c r="CP502" s="116"/>
      <c r="CQ502" s="116"/>
      <c r="CR502" s="116"/>
      <c r="CS502" s="116"/>
      <c r="CT502" s="116"/>
      <c r="CU502" s="116"/>
      <c r="CV502" s="116"/>
      <c r="CW502" s="116"/>
      <c r="CX502" s="116"/>
      <c r="CY502" s="116"/>
      <c r="CZ502" s="116"/>
      <c r="DA502" s="116"/>
      <c r="DB502" s="116"/>
      <c r="DC502" s="116"/>
      <c r="DD502" s="116"/>
      <c r="DE502" s="116"/>
      <c r="DF502" s="116"/>
      <c r="DG502" s="116"/>
      <c r="DH502" s="116"/>
      <c r="DI502" s="116"/>
      <c r="DJ502" s="116"/>
      <c r="DK502" s="116"/>
      <c r="DL502" s="116"/>
      <c r="DM502" s="116"/>
      <c r="DN502" s="116"/>
      <c r="DO502" s="116"/>
      <c r="DP502" s="116"/>
      <c r="DQ502" s="116"/>
      <c r="DR502" s="116"/>
      <c r="DS502" s="116"/>
      <c r="DT502" s="116"/>
      <c r="DU502" s="116"/>
      <c r="DV502" s="116"/>
      <c r="DW502" s="116"/>
      <c r="DX502" s="116"/>
      <c r="DY502" s="116"/>
      <c r="DZ502" s="116"/>
      <c r="EA502" s="116"/>
      <c r="EB502" s="116"/>
    </row>
    <row r="503" spans="36:132" ht="12.75" hidden="1" customHeight="1">
      <c r="AJ503" s="116"/>
      <c r="AK503" s="116"/>
      <c r="AL503" s="116"/>
      <c r="AM503" s="116"/>
      <c r="AN503" s="116"/>
      <c r="AO503" s="116"/>
      <c r="AP503" s="116"/>
      <c r="AS503" s="116"/>
      <c r="AT503" s="116"/>
      <c r="BQ503" s="116"/>
      <c r="BR503" s="116"/>
      <c r="BS503" s="116"/>
      <c r="BT503" s="116"/>
      <c r="BU503" s="116"/>
      <c r="BV503" s="116"/>
      <c r="BW503" s="116"/>
      <c r="BX503" s="116"/>
      <c r="BY503" s="116"/>
      <c r="BZ503" s="116"/>
      <c r="CA503" s="116"/>
      <c r="CB503" s="116"/>
      <c r="CC503" s="116"/>
      <c r="CD503" s="116"/>
      <c r="CE503" s="116"/>
      <c r="CF503" s="116"/>
      <c r="CG503" s="116"/>
      <c r="CH503" s="116"/>
      <c r="CI503" s="116"/>
      <c r="CJ503" s="116"/>
      <c r="CK503" s="116"/>
      <c r="CL503" s="116"/>
      <c r="CM503" s="116"/>
      <c r="CN503" s="116"/>
      <c r="CO503" s="116"/>
      <c r="CP503" s="116"/>
      <c r="CQ503" s="116"/>
      <c r="CR503" s="116"/>
      <c r="CS503" s="116"/>
      <c r="CT503" s="116"/>
      <c r="CU503" s="116"/>
      <c r="CV503" s="116"/>
      <c r="CW503" s="116"/>
      <c r="CX503" s="116"/>
      <c r="CY503" s="116"/>
      <c r="CZ503" s="116"/>
      <c r="DA503" s="116"/>
      <c r="DB503" s="116"/>
      <c r="DC503" s="116"/>
      <c r="DD503" s="116"/>
      <c r="DE503" s="116"/>
      <c r="DF503" s="116"/>
      <c r="DG503" s="116"/>
      <c r="DH503" s="116"/>
      <c r="DI503" s="116"/>
      <c r="DJ503" s="116"/>
      <c r="DK503" s="116"/>
      <c r="DL503" s="116"/>
      <c r="DM503" s="116"/>
      <c r="DN503" s="116"/>
      <c r="DO503" s="116"/>
      <c r="DP503" s="116"/>
      <c r="DQ503" s="116"/>
      <c r="DR503" s="116"/>
      <c r="DS503" s="116"/>
      <c r="DT503" s="116"/>
      <c r="DU503" s="116"/>
      <c r="DV503" s="116"/>
      <c r="DW503" s="116"/>
      <c r="DX503" s="116"/>
      <c r="DY503" s="116"/>
      <c r="DZ503" s="116"/>
      <c r="EA503" s="116"/>
      <c r="EB503" s="116"/>
    </row>
    <row r="504" spans="36:132" ht="12.75" hidden="1" customHeight="1">
      <c r="AJ504" s="116"/>
      <c r="AK504" s="116"/>
      <c r="AL504" s="116"/>
      <c r="AM504" s="116"/>
      <c r="AN504" s="116"/>
      <c r="AO504" s="116"/>
      <c r="AP504" s="116"/>
      <c r="AS504" s="116"/>
      <c r="AT504" s="116"/>
      <c r="BQ504" s="116"/>
      <c r="BR504" s="116"/>
      <c r="BS504" s="116"/>
      <c r="BT504" s="116"/>
      <c r="BU504" s="116"/>
      <c r="BV504" s="116"/>
      <c r="BW504" s="116"/>
      <c r="BX504" s="116"/>
      <c r="BY504" s="116"/>
      <c r="BZ504" s="116"/>
      <c r="CA504" s="116"/>
      <c r="CB504" s="116"/>
      <c r="CC504" s="116"/>
      <c r="CD504" s="116"/>
      <c r="CE504" s="116"/>
      <c r="CF504" s="116"/>
      <c r="CG504" s="116"/>
      <c r="CH504" s="116"/>
      <c r="CI504" s="116"/>
      <c r="CJ504" s="116"/>
      <c r="CK504" s="116"/>
      <c r="CL504" s="116"/>
      <c r="CM504" s="116"/>
      <c r="CN504" s="116"/>
      <c r="CO504" s="116"/>
      <c r="CP504" s="116"/>
      <c r="CQ504" s="116"/>
      <c r="CR504" s="116"/>
      <c r="CS504" s="116"/>
      <c r="CT504" s="116"/>
      <c r="CU504" s="116"/>
      <c r="CV504" s="116"/>
      <c r="CW504" s="116"/>
      <c r="CX504" s="116"/>
      <c r="CY504" s="116"/>
      <c r="CZ504" s="116"/>
      <c r="DA504" s="116"/>
      <c r="DB504" s="116"/>
      <c r="DC504" s="116"/>
      <c r="DD504" s="116"/>
      <c r="DE504" s="116"/>
      <c r="DF504" s="116"/>
      <c r="DG504" s="116"/>
      <c r="DH504" s="116"/>
      <c r="DI504" s="116"/>
      <c r="DJ504" s="116"/>
      <c r="DK504" s="116"/>
      <c r="DL504" s="116"/>
      <c r="DM504" s="116"/>
      <c r="DN504" s="116"/>
      <c r="DO504" s="116"/>
      <c r="DP504" s="116"/>
      <c r="DQ504" s="116"/>
      <c r="DR504" s="116"/>
      <c r="DS504" s="116"/>
      <c r="DT504" s="116"/>
      <c r="DU504" s="116"/>
      <c r="DV504" s="116"/>
      <c r="DW504" s="116"/>
      <c r="DX504" s="116"/>
      <c r="DY504" s="116"/>
      <c r="DZ504" s="116"/>
      <c r="EA504" s="116"/>
      <c r="EB504" s="116"/>
    </row>
    <row r="505" spans="36:132" ht="12.75" hidden="1" customHeight="1">
      <c r="AJ505" s="116"/>
      <c r="AK505" s="116"/>
      <c r="AL505" s="116"/>
      <c r="AM505" s="116"/>
      <c r="AN505" s="116"/>
      <c r="AO505" s="116"/>
      <c r="AP505" s="116"/>
      <c r="AS505" s="116"/>
      <c r="AT505" s="116"/>
      <c r="BQ505" s="116"/>
      <c r="BR505" s="116"/>
      <c r="BS505" s="116"/>
      <c r="BT505" s="116"/>
      <c r="BU505" s="116"/>
      <c r="BV505" s="116"/>
      <c r="BW505" s="116"/>
      <c r="BX505" s="116"/>
      <c r="BY505" s="116"/>
      <c r="BZ505" s="116"/>
      <c r="CA505" s="116"/>
      <c r="CB505" s="116"/>
      <c r="CC505" s="116"/>
      <c r="CD505" s="116"/>
      <c r="CE505" s="116"/>
      <c r="CF505" s="116"/>
      <c r="CG505" s="116"/>
      <c r="CH505" s="116"/>
      <c r="CI505" s="116"/>
      <c r="CJ505" s="116"/>
      <c r="CK505" s="116"/>
      <c r="CL505" s="116"/>
      <c r="CM505" s="116"/>
      <c r="CN505" s="116"/>
      <c r="CO505" s="116"/>
      <c r="CP505" s="116"/>
      <c r="CQ505" s="116"/>
      <c r="CR505" s="116"/>
      <c r="CS505" s="116"/>
      <c r="CT505" s="116"/>
      <c r="CU505" s="116"/>
      <c r="CV505" s="116"/>
      <c r="CW505" s="116"/>
      <c r="CX505" s="116"/>
      <c r="CY505" s="116"/>
      <c r="CZ505" s="116"/>
      <c r="DA505" s="116"/>
      <c r="DB505" s="116"/>
      <c r="DC505" s="116"/>
      <c r="DD505" s="116"/>
      <c r="DE505" s="116"/>
      <c r="DF505" s="116"/>
      <c r="DG505" s="116"/>
      <c r="DH505" s="116"/>
      <c r="DI505" s="116"/>
      <c r="DJ505" s="116"/>
      <c r="DK505" s="116"/>
      <c r="DL505" s="116"/>
      <c r="DM505" s="116"/>
      <c r="DN505" s="116"/>
      <c r="DO505" s="116"/>
      <c r="DP505" s="116"/>
      <c r="DQ505" s="116"/>
      <c r="DR505" s="116"/>
      <c r="DS505" s="116"/>
      <c r="DT505" s="116"/>
      <c r="DU505" s="116"/>
      <c r="DV505" s="116"/>
      <c r="DW505" s="116"/>
      <c r="DX505" s="116"/>
      <c r="DY505" s="116"/>
      <c r="DZ505" s="116"/>
      <c r="EA505" s="116"/>
      <c r="EB505" s="116"/>
    </row>
    <row r="506" spans="36:132" ht="12.75" hidden="1" customHeight="1">
      <c r="AJ506" s="116"/>
      <c r="AK506" s="116"/>
      <c r="AL506" s="116"/>
      <c r="AM506" s="116"/>
      <c r="AN506" s="116"/>
      <c r="AO506" s="116"/>
      <c r="AP506" s="116"/>
      <c r="AS506" s="116"/>
      <c r="AT506" s="116"/>
      <c r="BQ506" s="116"/>
      <c r="BR506" s="116"/>
      <c r="BS506" s="116"/>
      <c r="BT506" s="116"/>
      <c r="BU506" s="116"/>
      <c r="BV506" s="116"/>
      <c r="BW506" s="116"/>
      <c r="BX506" s="116"/>
      <c r="BY506" s="116"/>
      <c r="BZ506" s="116"/>
      <c r="CA506" s="116"/>
      <c r="CB506" s="116"/>
      <c r="CC506" s="116"/>
      <c r="CD506" s="116"/>
      <c r="CE506" s="116"/>
      <c r="CF506" s="116"/>
      <c r="CG506" s="116"/>
      <c r="CH506" s="116"/>
      <c r="CI506" s="116"/>
      <c r="CJ506" s="116"/>
      <c r="CK506" s="116"/>
      <c r="CL506" s="116"/>
      <c r="CM506" s="116"/>
      <c r="CN506" s="116"/>
      <c r="CO506" s="116"/>
      <c r="CP506" s="116"/>
      <c r="CQ506" s="116"/>
      <c r="CR506" s="116"/>
      <c r="CS506" s="116"/>
      <c r="CT506" s="116"/>
      <c r="CU506" s="116"/>
      <c r="CV506" s="116"/>
      <c r="CW506" s="116"/>
      <c r="CX506" s="116"/>
      <c r="CY506" s="116"/>
      <c r="CZ506" s="116"/>
      <c r="DA506" s="116"/>
      <c r="DB506" s="116"/>
      <c r="DC506" s="116"/>
      <c r="DD506" s="116"/>
      <c r="DE506" s="116"/>
      <c r="DF506" s="116"/>
      <c r="DG506" s="116"/>
      <c r="DH506" s="116"/>
      <c r="DI506" s="116"/>
      <c r="DJ506" s="116"/>
      <c r="DK506" s="116"/>
      <c r="DL506" s="116"/>
      <c r="DM506" s="116"/>
      <c r="DN506" s="116"/>
      <c r="DO506" s="116"/>
      <c r="DP506" s="116"/>
      <c r="DQ506" s="116"/>
      <c r="DR506" s="116"/>
      <c r="DS506" s="116"/>
      <c r="DT506" s="116"/>
      <c r="DU506" s="116"/>
      <c r="DV506" s="116"/>
      <c r="DW506" s="116"/>
      <c r="DX506" s="116"/>
      <c r="DY506" s="116"/>
      <c r="DZ506" s="116"/>
      <c r="EA506" s="116"/>
      <c r="EB506" s="116"/>
    </row>
    <row r="507" spans="36:132" ht="12.75" hidden="1" customHeight="1">
      <c r="AJ507" s="116"/>
      <c r="AK507" s="116"/>
      <c r="AL507" s="116"/>
      <c r="AM507" s="116"/>
      <c r="AN507" s="116"/>
      <c r="AO507" s="116"/>
      <c r="AP507" s="116"/>
      <c r="AS507" s="116"/>
      <c r="AT507" s="116"/>
      <c r="BQ507" s="116"/>
      <c r="BR507" s="116"/>
      <c r="BS507" s="116"/>
      <c r="BT507" s="116"/>
      <c r="BU507" s="116"/>
      <c r="BV507" s="116"/>
      <c r="BW507" s="116"/>
      <c r="BX507" s="116"/>
      <c r="BY507" s="116"/>
      <c r="BZ507" s="116"/>
      <c r="CA507" s="116"/>
      <c r="CB507" s="116"/>
      <c r="CC507" s="116"/>
      <c r="CD507" s="116"/>
      <c r="CE507" s="116"/>
      <c r="CF507" s="116"/>
      <c r="CG507" s="116"/>
      <c r="CH507" s="116"/>
      <c r="CI507" s="116"/>
      <c r="CJ507" s="116"/>
      <c r="CK507" s="116"/>
      <c r="CL507" s="116"/>
      <c r="CM507" s="116"/>
      <c r="CN507" s="116"/>
      <c r="CO507" s="116"/>
      <c r="CP507" s="116"/>
      <c r="CQ507" s="116"/>
      <c r="CR507" s="116"/>
      <c r="CS507" s="116"/>
      <c r="CT507" s="116"/>
      <c r="CU507" s="116"/>
      <c r="CV507" s="116"/>
      <c r="CW507" s="116"/>
      <c r="CX507" s="116"/>
      <c r="CY507" s="116"/>
      <c r="CZ507" s="116"/>
      <c r="DA507" s="116"/>
      <c r="DB507" s="116"/>
      <c r="DC507" s="116"/>
      <c r="DD507" s="116"/>
      <c r="DE507" s="116"/>
      <c r="DF507" s="116"/>
      <c r="DG507" s="116"/>
      <c r="DH507" s="116"/>
      <c r="DI507" s="116"/>
      <c r="DJ507" s="116"/>
      <c r="DK507" s="116"/>
      <c r="DL507" s="116"/>
      <c r="DM507" s="116"/>
      <c r="DN507" s="116"/>
      <c r="DO507" s="116"/>
      <c r="DP507" s="116"/>
      <c r="DQ507" s="116"/>
      <c r="DR507" s="116"/>
      <c r="DS507" s="116"/>
      <c r="DT507" s="116"/>
      <c r="DU507" s="116"/>
      <c r="DV507" s="116"/>
      <c r="DW507" s="116"/>
      <c r="DX507" s="116"/>
      <c r="DY507" s="116"/>
      <c r="DZ507" s="116"/>
      <c r="EA507" s="116"/>
      <c r="EB507" s="116"/>
    </row>
    <row r="508" spans="36:132" ht="12.75" hidden="1" customHeight="1">
      <c r="AJ508" s="116"/>
      <c r="AK508" s="116"/>
      <c r="AL508" s="116"/>
      <c r="AM508" s="116"/>
      <c r="AN508" s="116"/>
      <c r="AO508" s="116"/>
      <c r="AP508" s="116"/>
      <c r="AS508" s="116"/>
      <c r="AT508" s="116"/>
      <c r="BQ508" s="116"/>
      <c r="BR508" s="116"/>
      <c r="BS508" s="116"/>
      <c r="BT508" s="116"/>
      <c r="BU508" s="116"/>
      <c r="BV508" s="116"/>
      <c r="BW508" s="116"/>
      <c r="BX508" s="116"/>
      <c r="BY508" s="116"/>
      <c r="BZ508" s="116"/>
      <c r="CA508" s="116"/>
      <c r="CB508" s="116"/>
      <c r="CC508" s="116"/>
      <c r="CD508" s="116"/>
      <c r="CE508" s="116"/>
      <c r="CF508" s="116"/>
      <c r="CG508" s="116"/>
      <c r="CH508" s="116"/>
      <c r="CI508" s="116"/>
      <c r="CJ508" s="116"/>
      <c r="CK508" s="116"/>
      <c r="CL508" s="116"/>
      <c r="CM508" s="116"/>
      <c r="CN508" s="116"/>
      <c r="CO508" s="116"/>
      <c r="CP508" s="116"/>
      <c r="CQ508" s="116"/>
      <c r="CR508" s="116"/>
      <c r="CS508" s="116"/>
      <c r="CT508" s="116"/>
      <c r="CU508" s="116"/>
      <c r="CV508" s="116"/>
      <c r="CW508" s="116"/>
      <c r="CX508" s="116"/>
      <c r="CY508" s="116"/>
      <c r="CZ508" s="116"/>
      <c r="DA508" s="116"/>
      <c r="DB508" s="116"/>
      <c r="DC508" s="116"/>
      <c r="DD508" s="116"/>
      <c r="DE508" s="116"/>
      <c r="DF508" s="116"/>
      <c r="DG508" s="116"/>
      <c r="DH508" s="116"/>
      <c r="DI508" s="116"/>
      <c r="DJ508" s="116"/>
      <c r="DK508" s="116"/>
      <c r="DL508" s="116"/>
      <c r="DM508" s="116"/>
      <c r="DN508" s="116"/>
      <c r="DO508" s="116"/>
      <c r="DP508" s="116"/>
      <c r="DQ508" s="116"/>
      <c r="DR508" s="116"/>
      <c r="DS508" s="116"/>
      <c r="DT508" s="116"/>
      <c r="DU508" s="116"/>
      <c r="DV508" s="116"/>
      <c r="DW508" s="116"/>
      <c r="DX508" s="116"/>
      <c r="DY508" s="116"/>
      <c r="DZ508" s="116"/>
      <c r="EA508" s="116"/>
      <c r="EB508" s="116"/>
    </row>
    <row r="509" spans="36:132" ht="12.75" hidden="1" customHeight="1">
      <c r="AJ509" s="116"/>
      <c r="AK509" s="116"/>
      <c r="AL509" s="116"/>
      <c r="AM509" s="116"/>
      <c r="AN509" s="116"/>
      <c r="AO509" s="116"/>
      <c r="AP509" s="116"/>
      <c r="AS509" s="116"/>
      <c r="AT509" s="116"/>
      <c r="BQ509" s="116"/>
      <c r="BR509" s="116"/>
      <c r="BS509" s="116"/>
      <c r="BT509" s="116"/>
      <c r="BU509" s="116"/>
      <c r="BV509" s="116"/>
      <c r="BW509" s="116"/>
      <c r="BX509" s="116"/>
      <c r="BY509" s="116"/>
      <c r="BZ509" s="116"/>
      <c r="CA509" s="116"/>
      <c r="CB509" s="116"/>
      <c r="CC509" s="116"/>
      <c r="CD509" s="116"/>
      <c r="CE509" s="116"/>
      <c r="CF509" s="116"/>
      <c r="CG509" s="116"/>
      <c r="CH509" s="116"/>
      <c r="CI509" s="116"/>
      <c r="CJ509" s="116"/>
      <c r="CK509" s="116"/>
      <c r="CL509" s="116"/>
      <c r="CM509" s="116"/>
      <c r="CN509" s="116"/>
      <c r="CO509" s="116"/>
      <c r="CP509" s="116"/>
      <c r="CQ509" s="116"/>
      <c r="CR509" s="116"/>
      <c r="CS509" s="116"/>
      <c r="CT509" s="116"/>
      <c r="CU509" s="116"/>
      <c r="CV509" s="116"/>
      <c r="CW509" s="116"/>
      <c r="CX509" s="116"/>
      <c r="CY509" s="116"/>
      <c r="CZ509" s="116"/>
      <c r="DA509" s="116"/>
      <c r="DB509" s="116"/>
      <c r="DC509" s="116"/>
      <c r="DD509" s="116"/>
      <c r="DE509" s="116"/>
      <c r="DF509" s="116"/>
      <c r="DG509" s="116"/>
      <c r="DH509" s="116"/>
      <c r="DI509" s="116"/>
      <c r="DJ509" s="116"/>
      <c r="DK509" s="116"/>
      <c r="DL509" s="116"/>
      <c r="DM509" s="116"/>
      <c r="DN509" s="116"/>
      <c r="DO509" s="116"/>
      <c r="DP509" s="116"/>
      <c r="DQ509" s="116"/>
      <c r="DR509" s="116"/>
      <c r="DS509" s="116"/>
      <c r="DT509" s="116"/>
      <c r="DU509" s="116"/>
      <c r="DV509" s="116"/>
      <c r="DW509" s="116"/>
      <c r="DX509" s="116"/>
      <c r="DY509" s="116"/>
      <c r="DZ509" s="116"/>
      <c r="EA509" s="116"/>
      <c r="EB509" s="116"/>
    </row>
    <row r="510" spans="36:132" ht="12.75" hidden="1" customHeight="1">
      <c r="AJ510" s="116"/>
      <c r="AK510" s="116"/>
      <c r="AL510" s="116"/>
      <c r="AM510" s="116"/>
      <c r="AN510" s="116"/>
      <c r="AO510" s="116"/>
      <c r="AP510" s="116"/>
      <c r="AS510" s="116"/>
      <c r="AT510" s="116"/>
      <c r="BQ510" s="116"/>
      <c r="BR510" s="116"/>
      <c r="BS510" s="116"/>
      <c r="BT510" s="116"/>
      <c r="BU510" s="116"/>
      <c r="BV510" s="116"/>
      <c r="BW510" s="116"/>
      <c r="BX510" s="116"/>
      <c r="BY510" s="116"/>
      <c r="BZ510" s="116"/>
      <c r="CA510" s="116"/>
      <c r="CB510" s="116"/>
      <c r="CC510" s="116"/>
      <c r="CD510" s="116"/>
      <c r="CE510" s="116"/>
      <c r="CF510" s="116"/>
      <c r="CG510" s="116"/>
      <c r="CH510" s="116"/>
      <c r="CI510" s="116"/>
      <c r="CJ510" s="116"/>
      <c r="CK510" s="116"/>
      <c r="CL510" s="116"/>
      <c r="CM510" s="116"/>
      <c r="CN510" s="116"/>
      <c r="CO510" s="116"/>
      <c r="CP510" s="116"/>
      <c r="CQ510" s="116"/>
      <c r="CR510" s="116"/>
      <c r="CS510" s="116"/>
      <c r="CT510" s="116"/>
      <c r="CU510" s="116"/>
      <c r="CV510" s="116"/>
      <c r="CW510" s="116"/>
      <c r="CX510" s="116"/>
      <c r="CY510" s="116"/>
      <c r="CZ510" s="116"/>
      <c r="DA510" s="116"/>
      <c r="DB510" s="116"/>
      <c r="DC510" s="116"/>
      <c r="DD510" s="116"/>
      <c r="DE510" s="116"/>
      <c r="DF510" s="116"/>
      <c r="DG510" s="116"/>
      <c r="DH510" s="116"/>
      <c r="DI510" s="116"/>
      <c r="DJ510" s="116"/>
      <c r="DK510" s="116"/>
      <c r="DL510" s="116"/>
      <c r="DM510" s="116"/>
      <c r="DN510" s="116"/>
      <c r="DO510" s="116"/>
      <c r="DP510" s="116"/>
      <c r="DQ510" s="116"/>
      <c r="DR510" s="116"/>
      <c r="DS510" s="116"/>
      <c r="DT510" s="116"/>
      <c r="DU510" s="116"/>
      <c r="DV510" s="116"/>
      <c r="DW510" s="116"/>
      <c r="DX510" s="116"/>
      <c r="DY510" s="116"/>
      <c r="DZ510" s="116"/>
      <c r="EA510" s="116"/>
      <c r="EB510" s="116"/>
    </row>
    <row r="511" spans="36:132" ht="12.75" hidden="1" customHeight="1">
      <c r="AJ511" s="116"/>
      <c r="AK511" s="116"/>
      <c r="AL511" s="116"/>
      <c r="AM511" s="116"/>
      <c r="AN511" s="116"/>
      <c r="AO511" s="116"/>
      <c r="AP511" s="116"/>
      <c r="AS511" s="116"/>
      <c r="AT511" s="116"/>
      <c r="BQ511" s="116"/>
      <c r="BR511" s="116"/>
      <c r="BS511" s="116"/>
      <c r="BT511" s="116"/>
      <c r="BU511" s="116"/>
      <c r="BV511" s="116"/>
      <c r="BW511" s="116"/>
      <c r="BX511" s="116"/>
      <c r="BY511" s="116"/>
      <c r="BZ511" s="116"/>
      <c r="CA511" s="116"/>
      <c r="CB511" s="116"/>
      <c r="CC511" s="116"/>
      <c r="CD511" s="116"/>
      <c r="CE511" s="116"/>
      <c r="CF511" s="116"/>
      <c r="CG511" s="116"/>
      <c r="CH511" s="116"/>
      <c r="CI511" s="116"/>
      <c r="CJ511" s="116"/>
      <c r="CK511" s="116"/>
      <c r="CL511" s="116"/>
      <c r="CM511" s="116"/>
      <c r="CN511" s="116"/>
      <c r="CO511" s="116"/>
      <c r="CP511" s="116"/>
      <c r="CQ511" s="116"/>
      <c r="CR511" s="116"/>
      <c r="CS511" s="116"/>
      <c r="CT511" s="116"/>
      <c r="CU511" s="116"/>
      <c r="CV511" s="116"/>
      <c r="CW511" s="116"/>
      <c r="CX511" s="116"/>
      <c r="CY511" s="116"/>
      <c r="CZ511" s="116"/>
      <c r="DA511" s="116"/>
      <c r="DB511" s="116"/>
      <c r="DC511" s="116"/>
      <c r="DD511" s="116"/>
      <c r="DE511" s="116"/>
      <c r="DF511" s="116"/>
      <c r="DG511" s="116"/>
      <c r="DH511" s="116"/>
      <c r="DI511" s="116"/>
      <c r="DJ511" s="116"/>
      <c r="DK511" s="116"/>
      <c r="DL511" s="116"/>
      <c r="DM511" s="116"/>
      <c r="DN511" s="116"/>
      <c r="DO511" s="116"/>
      <c r="DP511" s="116"/>
      <c r="DQ511" s="116"/>
      <c r="DR511" s="116"/>
      <c r="DS511" s="116"/>
      <c r="DT511" s="116"/>
      <c r="DU511" s="116"/>
      <c r="DV511" s="116"/>
      <c r="DW511" s="116"/>
      <c r="DX511" s="116"/>
      <c r="DY511" s="116"/>
      <c r="DZ511" s="116"/>
      <c r="EA511" s="116"/>
      <c r="EB511" s="116"/>
    </row>
    <row r="512" spans="36:132" ht="12.75" hidden="1" customHeight="1">
      <c r="AJ512" s="116"/>
      <c r="AK512" s="116"/>
      <c r="AL512" s="116"/>
      <c r="AM512" s="116"/>
      <c r="AN512" s="116"/>
      <c r="AO512" s="116"/>
      <c r="AP512" s="116"/>
      <c r="AS512" s="116"/>
      <c r="AT512" s="116"/>
      <c r="BQ512" s="116"/>
      <c r="BR512" s="116"/>
      <c r="BS512" s="116"/>
      <c r="BT512" s="116"/>
      <c r="BU512" s="116"/>
      <c r="BV512" s="116"/>
      <c r="BW512" s="116"/>
      <c r="BX512" s="116"/>
      <c r="BY512" s="116"/>
      <c r="BZ512" s="116"/>
      <c r="CA512" s="116"/>
      <c r="CB512" s="116"/>
      <c r="CC512" s="116"/>
      <c r="CD512" s="116"/>
      <c r="CE512" s="116"/>
      <c r="CF512" s="116"/>
      <c r="CG512" s="116"/>
      <c r="CH512" s="116"/>
      <c r="CI512" s="116"/>
      <c r="CJ512" s="116"/>
      <c r="CK512" s="116"/>
      <c r="CL512" s="116"/>
      <c r="CM512" s="116"/>
      <c r="CN512" s="116"/>
      <c r="CO512" s="116"/>
      <c r="CP512" s="116"/>
      <c r="CQ512" s="116"/>
      <c r="CR512" s="116"/>
      <c r="CS512" s="116"/>
      <c r="CT512" s="116"/>
      <c r="CU512" s="116"/>
      <c r="CV512" s="116"/>
      <c r="CW512" s="116"/>
      <c r="CX512" s="116"/>
      <c r="CY512" s="116"/>
      <c r="CZ512" s="116"/>
      <c r="DA512" s="116"/>
      <c r="DB512" s="116"/>
      <c r="DC512" s="116"/>
      <c r="DD512" s="116"/>
      <c r="DE512" s="116"/>
      <c r="DF512" s="116"/>
      <c r="DG512" s="116"/>
      <c r="DH512" s="116"/>
      <c r="DI512" s="116"/>
      <c r="DJ512" s="116"/>
      <c r="DK512" s="116"/>
      <c r="DL512" s="116"/>
      <c r="DM512" s="116"/>
      <c r="DN512" s="116"/>
      <c r="DO512" s="116"/>
      <c r="DP512" s="116"/>
      <c r="DQ512" s="116"/>
      <c r="DR512" s="116"/>
      <c r="DS512" s="116"/>
      <c r="DT512" s="116"/>
      <c r="DU512" s="116"/>
      <c r="DV512" s="116"/>
      <c r="DW512" s="116"/>
      <c r="DX512" s="116"/>
      <c r="DY512" s="116"/>
      <c r="DZ512" s="116"/>
      <c r="EA512" s="116"/>
      <c r="EB512" s="116"/>
    </row>
    <row r="513" spans="36:132" ht="12.75" hidden="1" customHeight="1">
      <c r="AJ513" s="116"/>
      <c r="AK513" s="116"/>
      <c r="AL513" s="116"/>
      <c r="AM513" s="116"/>
      <c r="AN513" s="116"/>
      <c r="AO513" s="116"/>
      <c r="AP513" s="116"/>
      <c r="AS513" s="116"/>
      <c r="AT513" s="116"/>
      <c r="BQ513" s="116"/>
      <c r="BR513" s="116"/>
      <c r="BS513" s="116"/>
      <c r="BT513" s="116"/>
      <c r="BU513" s="116"/>
      <c r="BV513" s="116"/>
      <c r="BW513" s="116"/>
      <c r="BX513" s="116"/>
      <c r="BY513" s="116"/>
      <c r="BZ513" s="116"/>
      <c r="CA513" s="116"/>
      <c r="CB513" s="116"/>
      <c r="CC513" s="116"/>
      <c r="CD513" s="116"/>
      <c r="CE513" s="116"/>
      <c r="CF513" s="116"/>
      <c r="CG513" s="116"/>
      <c r="CH513" s="116"/>
      <c r="CI513" s="116"/>
      <c r="CJ513" s="116"/>
      <c r="CK513" s="116"/>
      <c r="CL513" s="116"/>
      <c r="CM513" s="116"/>
      <c r="CN513" s="116"/>
      <c r="CO513" s="116"/>
      <c r="CP513" s="116"/>
      <c r="CQ513" s="116"/>
      <c r="CR513" s="116"/>
      <c r="CS513" s="116"/>
      <c r="CT513" s="116"/>
      <c r="CU513" s="116"/>
      <c r="CV513" s="116"/>
      <c r="CW513" s="116"/>
      <c r="CX513" s="116"/>
      <c r="CY513" s="116"/>
      <c r="CZ513" s="116"/>
      <c r="DA513" s="116"/>
      <c r="DB513" s="116"/>
      <c r="DC513" s="116"/>
      <c r="DD513" s="116"/>
      <c r="DE513" s="116"/>
      <c r="DF513" s="116"/>
      <c r="DG513" s="116"/>
      <c r="DH513" s="116"/>
      <c r="DI513" s="116"/>
      <c r="DJ513" s="116"/>
      <c r="DK513" s="116"/>
      <c r="DL513" s="116"/>
      <c r="DM513" s="116"/>
      <c r="DN513" s="116"/>
      <c r="DO513" s="116"/>
      <c r="DP513" s="116"/>
      <c r="DQ513" s="116"/>
      <c r="DR513" s="116"/>
      <c r="DS513" s="116"/>
      <c r="DT513" s="116"/>
      <c r="DU513" s="116"/>
      <c r="DV513" s="116"/>
      <c r="DW513" s="116"/>
      <c r="DX513" s="116"/>
      <c r="DY513" s="116"/>
      <c r="DZ513" s="116"/>
      <c r="EA513" s="116"/>
      <c r="EB513" s="116"/>
    </row>
    <row r="514" spans="36:132" ht="12.75" hidden="1" customHeight="1">
      <c r="AJ514" s="116"/>
      <c r="AK514" s="116"/>
      <c r="AL514" s="116"/>
      <c r="AM514" s="116"/>
      <c r="AN514" s="116"/>
      <c r="AO514" s="116"/>
      <c r="AP514" s="116"/>
      <c r="AS514" s="116"/>
      <c r="AT514" s="116"/>
      <c r="BQ514" s="116"/>
      <c r="BR514" s="116"/>
      <c r="BS514" s="116"/>
      <c r="BT514" s="116"/>
      <c r="BU514" s="116"/>
      <c r="BV514" s="116"/>
      <c r="BW514" s="116"/>
      <c r="BX514" s="116"/>
      <c r="BY514" s="116"/>
      <c r="BZ514" s="116"/>
      <c r="CA514" s="116"/>
      <c r="CB514" s="116"/>
      <c r="CC514" s="116"/>
      <c r="CD514" s="116"/>
      <c r="CE514" s="116"/>
      <c r="CF514" s="116"/>
      <c r="CG514" s="116"/>
      <c r="CH514" s="116"/>
      <c r="CI514" s="116"/>
      <c r="CJ514" s="116"/>
      <c r="CK514" s="116"/>
      <c r="CL514" s="116"/>
      <c r="CM514" s="116"/>
      <c r="CN514" s="116"/>
      <c r="CO514" s="116"/>
      <c r="CP514" s="116"/>
      <c r="CQ514" s="116"/>
      <c r="CR514" s="116"/>
      <c r="CS514" s="116"/>
      <c r="CT514" s="116"/>
      <c r="CU514" s="116"/>
      <c r="CV514" s="116"/>
      <c r="CW514" s="116"/>
      <c r="CX514" s="116"/>
      <c r="CY514" s="116"/>
      <c r="CZ514" s="116"/>
      <c r="DA514" s="116"/>
      <c r="DB514" s="116"/>
      <c r="DC514" s="116"/>
      <c r="DD514" s="116"/>
      <c r="DE514" s="116"/>
      <c r="DF514" s="116"/>
      <c r="DG514" s="116"/>
      <c r="DH514" s="116"/>
      <c r="DI514" s="116"/>
      <c r="DJ514" s="116"/>
      <c r="DK514" s="116"/>
      <c r="DL514" s="116"/>
      <c r="DM514" s="116"/>
      <c r="DN514" s="116"/>
      <c r="DO514" s="116"/>
      <c r="DP514" s="116"/>
      <c r="DQ514" s="116"/>
      <c r="DR514" s="116"/>
      <c r="DS514" s="116"/>
      <c r="DT514" s="116"/>
      <c r="DU514" s="116"/>
      <c r="DV514" s="116"/>
      <c r="DW514" s="116"/>
      <c r="DX514" s="116"/>
      <c r="DY514" s="116"/>
      <c r="DZ514" s="116"/>
      <c r="EA514" s="116"/>
      <c r="EB514" s="116"/>
    </row>
    <row r="515" spans="36:132" ht="12.75" hidden="1" customHeight="1">
      <c r="AJ515" s="116"/>
      <c r="AK515" s="116"/>
      <c r="AL515" s="116"/>
      <c r="AM515" s="116"/>
      <c r="AN515" s="116"/>
      <c r="AO515" s="116"/>
      <c r="AP515" s="116"/>
      <c r="AS515" s="116"/>
      <c r="AT515" s="116"/>
      <c r="BQ515" s="116"/>
      <c r="BR515" s="116"/>
      <c r="BS515" s="116"/>
      <c r="BT515" s="116"/>
      <c r="BU515" s="116"/>
      <c r="BV515" s="116"/>
      <c r="BW515" s="116"/>
      <c r="BX515" s="116"/>
      <c r="BY515" s="116"/>
      <c r="BZ515" s="116"/>
      <c r="CA515" s="116"/>
      <c r="CB515" s="116"/>
      <c r="CC515" s="116"/>
      <c r="CD515" s="116"/>
      <c r="CE515" s="116"/>
      <c r="CF515" s="116"/>
      <c r="CG515" s="116"/>
      <c r="CH515" s="116"/>
      <c r="CI515" s="116"/>
      <c r="CJ515" s="116"/>
      <c r="CK515" s="116"/>
      <c r="CL515" s="116"/>
      <c r="CM515" s="116"/>
      <c r="CN515" s="116"/>
      <c r="CO515" s="116"/>
      <c r="CP515" s="116"/>
      <c r="CQ515" s="116"/>
      <c r="CR515" s="116"/>
      <c r="CS515" s="116"/>
      <c r="CT515" s="116"/>
      <c r="CU515" s="116"/>
      <c r="CV515" s="116"/>
      <c r="CW515" s="116"/>
      <c r="CX515" s="116"/>
      <c r="CY515" s="116"/>
      <c r="CZ515" s="116"/>
      <c r="DA515" s="116"/>
      <c r="DB515" s="116"/>
      <c r="DC515" s="116"/>
      <c r="DD515" s="116"/>
      <c r="DE515" s="116"/>
      <c r="DF515" s="116"/>
      <c r="DG515" s="116"/>
      <c r="DH515" s="116"/>
      <c r="DI515" s="116"/>
      <c r="DJ515" s="116"/>
      <c r="DK515" s="116"/>
      <c r="DL515" s="116"/>
      <c r="DM515" s="116"/>
      <c r="DN515" s="116"/>
      <c r="DO515" s="116"/>
      <c r="DP515" s="116"/>
      <c r="DQ515" s="116"/>
      <c r="DR515" s="116"/>
      <c r="DS515" s="116"/>
      <c r="DT515" s="116"/>
      <c r="DU515" s="116"/>
      <c r="DV515" s="116"/>
      <c r="DW515" s="116"/>
      <c r="DX515" s="116"/>
      <c r="DY515" s="116"/>
      <c r="DZ515" s="116"/>
      <c r="EA515" s="116"/>
      <c r="EB515" s="116"/>
    </row>
    <row r="516" spans="36:132" ht="12.75" hidden="1" customHeight="1">
      <c r="AJ516" s="116"/>
      <c r="AK516" s="116"/>
      <c r="AL516" s="116"/>
      <c r="AM516" s="116"/>
      <c r="AN516" s="116"/>
      <c r="AO516" s="116"/>
      <c r="AP516" s="116"/>
      <c r="AS516" s="116"/>
      <c r="AT516" s="116"/>
      <c r="BQ516" s="116"/>
      <c r="BR516" s="116"/>
      <c r="BS516" s="116"/>
      <c r="BT516" s="116"/>
      <c r="BU516" s="116"/>
      <c r="BV516" s="116"/>
      <c r="BW516" s="116"/>
      <c r="BX516" s="116"/>
      <c r="BY516" s="116"/>
      <c r="BZ516" s="116"/>
      <c r="CA516" s="116"/>
      <c r="CB516" s="116"/>
      <c r="CC516" s="116"/>
      <c r="CD516" s="116"/>
      <c r="CE516" s="116"/>
      <c r="CF516" s="116"/>
      <c r="CG516" s="116"/>
      <c r="CH516" s="116"/>
      <c r="CI516" s="116"/>
      <c r="CJ516" s="116"/>
      <c r="CK516" s="116"/>
      <c r="CL516" s="116"/>
      <c r="CM516" s="116"/>
      <c r="CN516" s="116"/>
      <c r="CO516" s="116"/>
      <c r="CP516" s="116"/>
      <c r="CQ516" s="116"/>
      <c r="CR516" s="116"/>
      <c r="CS516" s="116"/>
      <c r="CT516" s="116"/>
      <c r="CU516" s="116"/>
      <c r="CV516" s="116"/>
      <c r="CW516" s="116"/>
      <c r="CX516" s="116"/>
      <c r="CY516" s="116"/>
      <c r="CZ516" s="116"/>
      <c r="DA516" s="116"/>
      <c r="DB516" s="116"/>
      <c r="DC516" s="116"/>
      <c r="DD516" s="116"/>
      <c r="DE516" s="116"/>
      <c r="DF516" s="116"/>
      <c r="DG516" s="116"/>
      <c r="DH516" s="116"/>
      <c r="DI516" s="116"/>
      <c r="DJ516" s="116"/>
      <c r="DK516" s="116"/>
      <c r="DL516" s="116"/>
      <c r="DM516" s="116"/>
      <c r="DN516" s="116"/>
      <c r="DO516" s="116"/>
      <c r="DP516" s="116"/>
      <c r="DQ516" s="116"/>
      <c r="DR516" s="116"/>
      <c r="DS516" s="116"/>
      <c r="DT516" s="116"/>
      <c r="DU516" s="116"/>
      <c r="DV516" s="116"/>
      <c r="DW516" s="116"/>
      <c r="DX516" s="116"/>
      <c r="DY516" s="116"/>
      <c r="DZ516" s="116"/>
      <c r="EA516" s="116"/>
      <c r="EB516" s="116"/>
    </row>
    <row r="517" spans="36:132" ht="12.75" hidden="1" customHeight="1">
      <c r="AJ517" s="116"/>
      <c r="AK517" s="116"/>
      <c r="AL517" s="116"/>
      <c r="AM517" s="116"/>
      <c r="AN517" s="116"/>
      <c r="AO517" s="116"/>
      <c r="AP517" s="116"/>
      <c r="AS517" s="116"/>
      <c r="AT517" s="116"/>
      <c r="BQ517" s="116"/>
      <c r="BR517" s="116"/>
      <c r="BS517" s="116"/>
      <c r="BT517" s="116"/>
      <c r="BU517" s="116"/>
      <c r="BV517" s="116"/>
      <c r="BW517" s="116"/>
      <c r="BX517" s="116"/>
      <c r="BY517" s="116"/>
      <c r="BZ517" s="116"/>
      <c r="CA517" s="116"/>
      <c r="CB517" s="116"/>
      <c r="CC517" s="116"/>
      <c r="CD517" s="116"/>
      <c r="CE517" s="116"/>
      <c r="CF517" s="116"/>
      <c r="CG517" s="116"/>
      <c r="CH517" s="116"/>
      <c r="CI517" s="116"/>
      <c r="CJ517" s="116"/>
      <c r="CK517" s="116"/>
      <c r="CL517" s="116"/>
      <c r="CM517" s="116"/>
      <c r="CN517" s="116"/>
      <c r="CO517" s="116"/>
      <c r="CP517" s="116"/>
      <c r="CQ517" s="116"/>
      <c r="CR517" s="116"/>
      <c r="CS517" s="116"/>
      <c r="CT517" s="116"/>
      <c r="CU517" s="116"/>
      <c r="CV517" s="116"/>
      <c r="CW517" s="116"/>
      <c r="CX517" s="116"/>
      <c r="CY517" s="116"/>
      <c r="CZ517" s="116"/>
      <c r="DA517" s="116"/>
      <c r="DB517" s="116"/>
      <c r="DC517" s="116"/>
      <c r="DD517" s="116"/>
      <c r="DE517" s="116"/>
      <c r="DF517" s="116"/>
      <c r="DG517" s="116"/>
      <c r="DH517" s="116"/>
      <c r="DI517" s="116"/>
      <c r="DJ517" s="116"/>
      <c r="DK517" s="116"/>
      <c r="DL517" s="116"/>
      <c r="DM517" s="116"/>
      <c r="DN517" s="116"/>
      <c r="DO517" s="116"/>
      <c r="DP517" s="116"/>
      <c r="DQ517" s="116"/>
      <c r="DR517" s="116"/>
      <c r="DS517" s="116"/>
      <c r="DT517" s="116"/>
      <c r="DU517" s="116"/>
      <c r="DV517" s="116"/>
      <c r="DW517" s="116"/>
      <c r="DX517" s="116"/>
      <c r="DY517" s="116"/>
      <c r="DZ517" s="116"/>
      <c r="EA517" s="116"/>
      <c r="EB517" s="116"/>
    </row>
    <row r="518" spans="36:132" ht="12.75" hidden="1" customHeight="1">
      <c r="AJ518" s="116"/>
      <c r="AK518" s="116"/>
      <c r="AL518" s="116"/>
      <c r="AM518" s="116"/>
      <c r="AN518" s="116"/>
      <c r="AO518" s="116"/>
      <c r="AP518" s="116"/>
      <c r="AS518" s="116"/>
      <c r="AT518" s="116"/>
      <c r="BQ518" s="116"/>
      <c r="BR518" s="116"/>
      <c r="BS518" s="116"/>
      <c r="BT518" s="116"/>
      <c r="BU518" s="116"/>
      <c r="BV518" s="116"/>
      <c r="BW518" s="116"/>
      <c r="BX518" s="116"/>
      <c r="BY518" s="116"/>
      <c r="BZ518" s="116"/>
      <c r="CA518" s="116"/>
      <c r="CB518" s="116"/>
      <c r="CC518" s="116"/>
      <c r="CD518" s="116"/>
      <c r="CE518" s="116"/>
      <c r="CF518" s="116"/>
      <c r="CG518" s="116"/>
      <c r="CH518" s="116"/>
      <c r="CI518" s="116"/>
      <c r="CJ518" s="116"/>
      <c r="CK518" s="116"/>
      <c r="CL518" s="116"/>
      <c r="CM518" s="116"/>
      <c r="CN518" s="116"/>
      <c r="CO518" s="116"/>
      <c r="CP518" s="116"/>
      <c r="CQ518" s="116"/>
      <c r="CR518" s="116"/>
      <c r="CS518" s="116"/>
      <c r="CT518" s="116"/>
      <c r="CU518" s="116"/>
      <c r="CV518" s="116"/>
      <c r="CW518" s="116"/>
      <c r="CX518" s="116"/>
      <c r="CY518" s="116"/>
      <c r="CZ518" s="116"/>
      <c r="DA518" s="116"/>
      <c r="DB518" s="116"/>
      <c r="DC518" s="116"/>
      <c r="DD518" s="116"/>
      <c r="DE518" s="116"/>
      <c r="DF518" s="116"/>
      <c r="DG518" s="116"/>
      <c r="DH518" s="116"/>
      <c r="DI518" s="116"/>
      <c r="DJ518" s="116"/>
      <c r="DK518" s="116"/>
      <c r="DL518" s="116"/>
      <c r="DM518" s="116"/>
      <c r="DN518" s="116"/>
      <c r="DO518" s="116"/>
      <c r="DP518" s="116"/>
      <c r="DQ518" s="116"/>
      <c r="DR518" s="116"/>
      <c r="DS518" s="116"/>
      <c r="DT518" s="116"/>
      <c r="DU518" s="116"/>
      <c r="DV518" s="116"/>
      <c r="DW518" s="116"/>
      <c r="DX518" s="116"/>
      <c r="DY518" s="116"/>
      <c r="DZ518" s="116"/>
      <c r="EA518" s="116"/>
      <c r="EB518" s="116"/>
    </row>
    <row r="519" spans="36:132" ht="12.75" hidden="1" customHeight="1">
      <c r="AJ519" s="116"/>
      <c r="AK519" s="116"/>
      <c r="AL519" s="116"/>
      <c r="AM519" s="116"/>
      <c r="AN519" s="116"/>
      <c r="AO519" s="116"/>
      <c r="AP519" s="116"/>
      <c r="AS519" s="116"/>
      <c r="AT519" s="116"/>
      <c r="BQ519" s="116"/>
      <c r="BR519" s="116"/>
      <c r="BS519" s="116"/>
      <c r="BT519" s="116"/>
      <c r="BU519" s="116"/>
      <c r="BV519" s="116"/>
      <c r="BW519" s="116"/>
      <c r="BX519" s="116"/>
      <c r="BY519" s="116"/>
      <c r="BZ519" s="116"/>
      <c r="CA519" s="116"/>
      <c r="CB519" s="116"/>
      <c r="CC519" s="116"/>
      <c r="CD519" s="116"/>
      <c r="CE519" s="116"/>
      <c r="CF519" s="116"/>
      <c r="CG519" s="116"/>
      <c r="CH519" s="116"/>
      <c r="CI519" s="116"/>
      <c r="CJ519" s="116"/>
      <c r="CK519" s="116"/>
      <c r="CL519" s="116"/>
      <c r="CM519" s="116"/>
      <c r="CN519" s="116"/>
      <c r="CO519" s="116"/>
      <c r="CP519" s="116"/>
      <c r="CQ519" s="116"/>
      <c r="CR519" s="116"/>
      <c r="CS519" s="116"/>
      <c r="CT519" s="116"/>
      <c r="CU519" s="116"/>
      <c r="CV519" s="116"/>
      <c r="CW519" s="116"/>
      <c r="CX519" s="116"/>
      <c r="CY519" s="116"/>
      <c r="CZ519" s="116"/>
      <c r="DA519" s="116"/>
      <c r="DB519" s="116"/>
      <c r="DC519" s="116"/>
      <c r="DD519" s="116"/>
      <c r="DE519" s="116"/>
      <c r="DF519" s="116"/>
      <c r="DG519" s="116"/>
      <c r="DH519" s="116"/>
      <c r="DI519" s="116"/>
      <c r="DJ519" s="116"/>
      <c r="DK519" s="116"/>
      <c r="DL519" s="116"/>
      <c r="DM519" s="116"/>
      <c r="DN519" s="116"/>
      <c r="DO519" s="116"/>
      <c r="DP519" s="116"/>
      <c r="DQ519" s="116"/>
      <c r="DR519" s="116"/>
      <c r="DS519" s="116"/>
      <c r="DT519" s="116"/>
      <c r="DU519" s="116"/>
      <c r="DV519" s="116"/>
      <c r="DW519" s="116"/>
      <c r="DX519" s="116"/>
      <c r="DY519" s="116"/>
      <c r="DZ519" s="116"/>
      <c r="EA519" s="116"/>
      <c r="EB519" s="116"/>
    </row>
    <row r="520" spans="36:132" ht="12.75" hidden="1" customHeight="1">
      <c r="AJ520" s="116"/>
      <c r="AK520" s="116"/>
      <c r="AL520" s="116"/>
      <c r="AM520" s="116"/>
      <c r="AN520" s="116"/>
      <c r="AO520" s="116"/>
      <c r="AP520" s="116"/>
      <c r="AS520" s="116"/>
      <c r="AT520" s="116"/>
      <c r="BQ520" s="116"/>
      <c r="BR520" s="116"/>
      <c r="BS520" s="116"/>
      <c r="BT520" s="116"/>
      <c r="BU520" s="116"/>
      <c r="BV520" s="116"/>
      <c r="BW520" s="116"/>
      <c r="BX520" s="116"/>
      <c r="BY520" s="116"/>
      <c r="BZ520" s="116"/>
      <c r="CA520" s="116"/>
      <c r="CB520" s="116"/>
      <c r="CC520" s="116"/>
      <c r="CD520" s="116"/>
      <c r="CE520" s="116"/>
      <c r="CF520" s="116"/>
      <c r="CG520" s="116"/>
      <c r="CH520" s="116"/>
      <c r="CI520" s="116"/>
      <c r="CJ520" s="116"/>
      <c r="CK520" s="116"/>
      <c r="CL520" s="116"/>
      <c r="CM520" s="116"/>
      <c r="CN520" s="116"/>
      <c r="CO520" s="116"/>
      <c r="CP520" s="116"/>
      <c r="CQ520" s="116"/>
      <c r="CR520" s="116"/>
      <c r="CS520" s="116"/>
      <c r="CT520" s="116"/>
      <c r="CU520" s="116"/>
      <c r="CV520" s="116"/>
      <c r="CW520" s="116"/>
      <c r="CX520" s="116"/>
      <c r="CY520" s="116"/>
      <c r="CZ520" s="116"/>
      <c r="DA520" s="116"/>
      <c r="DB520" s="116"/>
      <c r="DC520" s="116"/>
      <c r="DD520" s="116"/>
      <c r="DE520" s="116"/>
      <c r="DF520" s="116"/>
      <c r="DG520" s="116"/>
      <c r="DH520" s="116"/>
      <c r="DI520" s="116"/>
      <c r="DJ520" s="116"/>
      <c r="DK520" s="116"/>
      <c r="DL520" s="116"/>
      <c r="DM520" s="116"/>
      <c r="DN520" s="116"/>
      <c r="DO520" s="116"/>
      <c r="DP520" s="116"/>
      <c r="DQ520" s="116"/>
      <c r="DR520" s="116"/>
      <c r="DS520" s="116"/>
      <c r="DT520" s="116"/>
      <c r="DU520" s="116"/>
      <c r="DV520" s="116"/>
      <c r="DW520" s="116"/>
      <c r="DX520" s="116"/>
      <c r="DY520" s="116"/>
      <c r="DZ520" s="116"/>
      <c r="EA520" s="116"/>
      <c r="EB520" s="116"/>
    </row>
    <row r="521" spans="36:132" ht="12.75" hidden="1" customHeight="1">
      <c r="AJ521" s="116"/>
      <c r="AK521" s="116"/>
      <c r="AL521" s="116"/>
      <c r="AM521" s="116"/>
      <c r="AN521" s="116"/>
      <c r="AO521" s="116"/>
      <c r="AP521" s="116"/>
      <c r="AS521" s="116"/>
      <c r="AT521" s="116"/>
      <c r="BQ521" s="116"/>
      <c r="BR521" s="116"/>
      <c r="BS521" s="116"/>
      <c r="BT521" s="116"/>
      <c r="BU521" s="116"/>
      <c r="BV521" s="116"/>
      <c r="BW521" s="116"/>
      <c r="BX521" s="116"/>
      <c r="BY521" s="116"/>
      <c r="BZ521" s="116"/>
      <c r="CA521" s="116"/>
      <c r="CB521" s="116"/>
      <c r="CC521" s="116"/>
      <c r="CD521" s="116"/>
      <c r="CE521" s="116"/>
      <c r="CF521" s="116"/>
      <c r="CG521" s="116"/>
      <c r="CH521" s="116"/>
      <c r="CI521" s="116"/>
      <c r="CJ521" s="116"/>
      <c r="CK521" s="116"/>
      <c r="CL521" s="116"/>
      <c r="CM521" s="116"/>
      <c r="CN521" s="116"/>
      <c r="CO521" s="116"/>
      <c r="CP521" s="116"/>
      <c r="CQ521" s="116"/>
      <c r="CR521" s="116"/>
      <c r="CS521" s="116"/>
      <c r="CT521" s="116"/>
      <c r="CU521" s="116"/>
      <c r="CV521" s="116"/>
      <c r="CW521" s="116"/>
      <c r="CX521" s="116"/>
      <c r="CY521" s="116"/>
      <c r="CZ521" s="116"/>
      <c r="DA521" s="116"/>
      <c r="DB521" s="116"/>
      <c r="DC521" s="116"/>
      <c r="DD521" s="116"/>
      <c r="DE521" s="116"/>
      <c r="DF521" s="116"/>
      <c r="DG521" s="116"/>
      <c r="DH521" s="116"/>
      <c r="DI521" s="116"/>
      <c r="DJ521" s="116"/>
      <c r="DK521" s="116"/>
      <c r="DL521" s="116"/>
      <c r="DM521" s="116"/>
      <c r="DN521" s="116"/>
      <c r="DO521" s="116"/>
      <c r="DP521" s="116"/>
      <c r="DQ521" s="116"/>
      <c r="DR521" s="116"/>
      <c r="DS521" s="116"/>
      <c r="DT521" s="116"/>
      <c r="DU521" s="116"/>
      <c r="DV521" s="116"/>
      <c r="DW521" s="116"/>
      <c r="DX521" s="116"/>
      <c r="DY521" s="116"/>
      <c r="DZ521" s="116"/>
      <c r="EA521" s="116"/>
      <c r="EB521" s="116"/>
    </row>
    <row r="522" spans="36:132" ht="12.75" hidden="1" customHeight="1">
      <c r="AJ522" s="116"/>
      <c r="AK522" s="116"/>
      <c r="AL522" s="116"/>
      <c r="AM522" s="116"/>
      <c r="AN522" s="116"/>
      <c r="AO522" s="116"/>
      <c r="AP522" s="116"/>
      <c r="AS522" s="116"/>
      <c r="AT522" s="116"/>
      <c r="BQ522" s="116"/>
      <c r="BR522" s="116"/>
      <c r="BS522" s="116"/>
      <c r="BT522" s="116"/>
      <c r="BU522" s="116"/>
      <c r="BV522" s="116"/>
      <c r="BW522" s="116"/>
      <c r="BX522" s="116"/>
      <c r="BY522" s="116"/>
      <c r="BZ522" s="116"/>
      <c r="CA522" s="116"/>
      <c r="CB522" s="116"/>
      <c r="CC522" s="116"/>
      <c r="CD522" s="116"/>
      <c r="CE522" s="116"/>
      <c r="CF522" s="116"/>
      <c r="CG522" s="116"/>
      <c r="CH522" s="116"/>
      <c r="CI522" s="116"/>
      <c r="CJ522" s="116"/>
      <c r="CK522" s="116"/>
      <c r="CL522" s="116"/>
      <c r="CM522" s="116"/>
      <c r="CN522" s="116"/>
      <c r="CO522" s="116"/>
      <c r="CP522" s="116"/>
      <c r="CQ522" s="116"/>
      <c r="CR522" s="116"/>
      <c r="CS522" s="116"/>
      <c r="CT522" s="116"/>
      <c r="CU522" s="116"/>
      <c r="CV522" s="116"/>
      <c r="CW522" s="116"/>
      <c r="CX522" s="116"/>
      <c r="CY522" s="116"/>
      <c r="CZ522" s="116"/>
      <c r="DA522" s="116"/>
      <c r="DB522" s="116"/>
      <c r="DC522" s="116"/>
      <c r="DD522" s="116"/>
      <c r="DE522" s="116"/>
      <c r="DF522" s="116"/>
      <c r="DG522" s="116"/>
      <c r="DH522" s="116"/>
      <c r="DI522" s="116"/>
      <c r="DJ522" s="116"/>
      <c r="DK522" s="116"/>
      <c r="DL522" s="116"/>
      <c r="DM522" s="116"/>
      <c r="DN522" s="116"/>
      <c r="DO522" s="116"/>
      <c r="DP522" s="116"/>
      <c r="DQ522" s="116"/>
      <c r="DR522" s="116"/>
      <c r="DS522" s="116"/>
      <c r="DT522" s="116"/>
      <c r="DU522" s="116"/>
      <c r="DV522" s="116"/>
      <c r="DW522" s="116"/>
      <c r="DX522" s="116"/>
      <c r="DY522" s="116"/>
      <c r="DZ522" s="116"/>
      <c r="EA522" s="116"/>
      <c r="EB522" s="116"/>
    </row>
    <row r="523" spans="36:132" ht="12.75" hidden="1" customHeight="1">
      <c r="AJ523" s="116"/>
      <c r="AK523" s="116"/>
      <c r="AL523" s="116"/>
      <c r="AM523" s="116"/>
      <c r="AN523" s="116"/>
      <c r="AO523" s="116"/>
      <c r="AP523" s="116"/>
      <c r="AS523" s="116"/>
      <c r="AT523" s="116"/>
      <c r="BQ523" s="116"/>
      <c r="BR523" s="116"/>
      <c r="BS523" s="116"/>
      <c r="BT523" s="116"/>
      <c r="BU523" s="116"/>
      <c r="BV523" s="116"/>
      <c r="BW523" s="116"/>
      <c r="BX523" s="116"/>
      <c r="BY523" s="116"/>
      <c r="BZ523" s="116"/>
      <c r="CA523" s="116"/>
      <c r="CB523" s="116"/>
      <c r="CC523" s="116"/>
      <c r="CD523" s="116"/>
      <c r="CE523" s="116"/>
      <c r="CF523" s="116"/>
      <c r="CG523" s="116"/>
      <c r="CH523" s="116"/>
      <c r="CI523" s="116"/>
      <c r="CJ523" s="116"/>
      <c r="CK523" s="116"/>
      <c r="CL523" s="116"/>
      <c r="CM523" s="116"/>
      <c r="CN523" s="116"/>
      <c r="CO523" s="116"/>
      <c r="CP523" s="116"/>
      <c r="CQ523" s="116"/>
      <c r="CR523" s="116"/>
      <c r="CS523" s="116"/>
      <c r="CT523" s="116"/>
      <c r="CU523" s="116"/>
      <c r="CV523" s="116"/>
      <c r="CW523" s="116"/>
      <c r="CX523" s="116"/>
      <c r="CY523" s="116"/>
      <c r="CZ523" s="116"/>
      <c r="DA523" s="116"/>
      <c r="DB523" s="116"/>
      <c r="DC523" s="116"/>
      <c r="DD523" s="116"/>
      <c r="DE523" s="116"/>
      <c r="DF523" s="116"/>
      <c r="DG523" s="116"/>
      <c r="DH523" s="116"/>
      <c r="DI523" s="116"/>
      <c r="DJ523" s="116"/>
      <c r="DK523" s="116"/>
      <c r="DL523" s="116"/>
      <c r="DM523" s="116"/>
      <c r="DN523" s="116"/>
      <c r="DO523" s="116"/>
      <c r="DP523" s="116"/>
      <c r="DQ523" s="116"/>
      <c r="DR523" s="116"/>
      <c r="DS523" s="116"/>
      <c r="DT523" s="116"/>
      <c r="DU523" s="116"/>
      <c r="DV523" s="116"/>
      <c r="DW523" s="116"/>
      <c r="DX523" s="116"/>
      <c r="DY523" s="116"/>
      <c r="DZ523" s="116"/>
      <c r="EA523" s="116"/>
      <c r="EB523" s="116"/>
    </row>
    <row r="524" spans="36:132" ht="12.75" hidden="1" customHeight="1">
      <c r="AJ524" s="116"/>
      <c r="AK524" s="116"/>
      <c r="AL524" s="116"/>
      <c r="AM524" s="116"/>
      <c r="AN524" s="116"/>
      <c r="AO524" s="116"/>
      <c r="AP524" s="116"/>
      <c r="AS524" s="116"/>
      <c r="AT524" s="116"/>
      <c r="BQ524" s="116"/>
      <c r="BR524" s="116"/>
      <c r="BS524" s="116"/>
      <c r="BT524" s="116"/>
      <c r="BU524" s="116"/>
      <c r="BV524" s="116"/>
      <c r="BW524" s="116"/>
      <c r="BX524" s="116"/>
      <c r="BY524" s="116"/>
      <c r="BZ524" s="116"/>
      <c r="CA524" s="116"/>
      <c r="CB524" s="116"/>
      <c r="CC524" s="116"/>
      <c r="CD524" s="116"/>
      <c r="CE524" s="116"/>
      <c r="CF524" s="116"/>
      <c r="CG524" s="116"/>
      <c r="CH524" s="116"/>
      <c r="CI524" s="116"/>
      <c r="CJ524" s="116"/>
      <c r="CK524" s="116"/>
      <c r="CL524" s="116"/>
      <c r="CM524" s="116"/>
      <c r="CN524" s="116"/>
      <c r="CO524" s="116"/>
      <c r="CP524" s="116"/>
      <c r="CQ524" s="116"/>
      <c r="CR524" s="116"/>
      <c r="CS524" s="116"/>
      <c r="CT524" s="116"/>
      <c r="CU524" s="116"/>
      <c r="CV524" s="116"/>
      <c r="CW524" s="116"/>
      <c r="CX524" s="116"/>
      <c r="CY524" s="116"/>
      <c r="CZ524" s="116"/>
      <c r="DA524" s="116"/>
      <c r="DB524" s="116"/>
      <c r="DC524" s="116"/>
      <c r="DD524" s="116"/>
      <c r="DE524" s="116"/>
      <c r="DF524" s="116"/>
      <c r="DG524" s="116"/>
      <c r="DH524" s="116"/>
      <c r="DI524" s="116"/>
      <c r="DJ524" s="116"/>
      <c r="DK524" s="116"/>
      <c r="DL524" s="116"/>
      <c r="DM524" s="116"/>
      <c r="DN524" s="116"/>
      <c r="DO524" s="116"/>
      <c r="DP524" s="116"/>
      <c r="DQ524" s="116"/>
      <c r="DR524" s="116"/>
      <c r="DS524" s="116"/>
      <c r="DT524" s="116"/>
      <c r="DU524" s="116"/>
      <c r="DV524" s="116"/>
      <c r="DW524" s="116"/>
      <c r="DX524" s="116"/>
      <c r="DY524" s="116"/>
      <c r="DZ524" s="116"/>
      <c r="EA524" s="116"/>
      <c r="EB524" s="116"/>
    </row>
    <row r="525" spans="36:132" ht="12.75" hidden="1" customHeight="1">
      <c r="AJ525" s="116"/>
      <c r="AK525" s="116"/>
      <c r="AL525" s="116"/>
      <c r="AM525" s="116"/>
      <c r="AN525" s="116"/>
      <c r="AO525" s="116"/>
      <c r="AP525" s="116"/>
      <c r="AS525" s="116"/>
      <c r="AT525" s="116"/>
      <c r="BQ525" s="116"/>
      <c r="BR525" s="116"/>
      <c r="BS525" s="116"/>
      <c r="BT525" s="116"/>
      <c r="BU525" s="116"/>
      <c r="BV525" s="116"/>
      <c r="BW525" s="116"/>
      <c r="BX525" s="116"/>
      <c r="BY525" s="116"/>
      <c r="BZ525" s="116"/>
      <c r="CA525" s="116"/>
      <c r="CB525" s="116"/>
      <c r="CC525" s="116"/>
      <c r="CD525" s="116"/>
      <c r="CE525" s="116"/>
      <c r="CF525" s="116"/>
      <c r="CG525" s="116"/>
      <c r="CH525" s="116"/>
      <c r="CI525" s="116"/>
      <c r="CJ525" s="116"/>
      <c r="CK525" s="116"/>
      <c r="CL525" s="116"/>
      <c r="CM525" s="116"/>
      <c r="CN525" s="116"/>
      <c r="CO525" s="116"/>
      <c r="CP525" s="116"/>
      <c r="CQ525" s="116"/>
      <c r="CR525" s="116"/>
      <c r="CS525" s="116"/>
      <c r="CT525" s="116"/>
      <c r="CU525" s="116"/>
      <c r="CV525" s="116"/>
      <c r="CW525" s="116"/>
      <c r="CX525" s="116"/>
      <c r="CY525" s="116"/>
      <c r="CZ525" s="116"/>
      <c r="DA525" s="116"/>
      <c r="DB525" s="116"/>
      <c r="DC525" s="116"/>
      <c r="DD525" s="116"/>
      <c r="DE525" s="116"/>
      <c r="DF525" s="116"/>
      <c r="DG525" s="116"/>
      <c r="DH525" s="116"/>
      <c r="DI525" s="116"/>
      <c r="DJ525" s="116"/>
      <c r="DK525" s="116"/>
      <c r="DL525" s="116"/>
      <c r="DM525" s="116"/>
      <c r="DN525" s="116"/>
      <c r="DO525" s="116"/>
      <c r="DP525" s="116"/>
      <c r="DQ525" s="116"/>
      <c r="DR525" s="116"/>
      <c r="DS525" s="116"/>
      <c r="DT525" s="116"/>
      <c r="DU525" s="116"/>
      <c r="DV525" s="116"/>
      <c r="DW525" s="116"/>
      <c r="DX525" s="116"/>
      <c r="DY525" s="116"/>
      <c r="DZ525" s="116"/>
      <c r="EA525" s="116"/>
      <c r="EB525" s="116"/>
    </row>
    <row r="526" spans="36:132" ht="12.75" hidden="1" customHeight="1">
      <c r="AJ526" s="116"/>
      <c r="AK526" s="116"/>
      <c r="AL526" s="116"/>
      <c r="AM526" s="116"/>
      <c r="AN526" s="116"/>
      <c r="AO526" s="116"/>
      <c r="AP526" s="116"/>
      <c r="AS526" s="116"/>
      <c r="AT526" s="116"/>
      <c r="BQ526" s="116"/>
      <c r="BR526" s="116"/>
      <c r="BS526" s="116"/>
      <c r="BT526" s="116"/>
      <c r="BU526" s="116"/>
      <c r="BV526" s="116"/>
      <c r="BW526" s="116"/>
      <c r="BX526" s="116"/>
      <c r="BY526" s="116"/>
      <c r="BZ526" s="116"/>
      <c r="CA526" s="116"/>
      <c r="CB526" s="116"/>
      <c r="CC526" s="116"/>
      <c r="CD526" s="116"/>
      <c r="CE526" s="116"/>
      <c r="CF526" s="116"/>
      <c r="CG526" s="116"/>
      <c r="CH526" s="116"/>
      <c r="CI526" s="116"/>
      <c r="CJ526" s="116"/>
      <c r="CK526" s="116"/>
      <c r="CL526" s="116"/>
      <c r="CM526" s="116"/>
      <c r="CN526" s="116"/>
      <c r="CO526" s="116"/>
      <c r="CP526" s="116"/>
      <c r="CQ526" s="116"/>
      <c r="CR526" s="116"/>
      <c r="CS526" s="116"/>
      <c r="CT526" s="116"/>
      <c r="CU526" s="116"/>
      <c r="CV526" s="116"/>
      <c r="CW526" s="116"/>
      <c r="CX526" s="116"/>
      <c r="CY526" s="116"/>
      <c r="CZ526" s="116"/>
      <c r="DA526" s="116"/>
      <c r="DB526" s="116"/>
      <c r="DC526" s="116"/>
      <c r="DD526" s="116"/>
      <c r="DE526" s="116"/>
      <c r="DF526" s="116"/>
      <c r="DG526" s="116"/>
      <c r="DH526" s="116"/>
      <c r="DI526" s="116"/>
      <c r="DJ526" s="116"/>
      <c r="DK526" s="116"/>
      <c r="DL526" s="116"/>
      <c r="DM526" s="116"/>
      <c r="DN526" s="116"/>
      <c r="DO526" s="116"/>
      <c r="DP526" s="116"/>
      <c r="DQ526" s="116"/>
      <c r="DR526" s="116"/>
      <c r="DS526" s="116"/>
      <c r="DT526" s="116"/>
      <c r="DU526" s="116"/>
      <c r="DV526" s="116"/>
      <c r="DW526" s="116"/>
      <c r="DX526" s="116"/>
      <c r="DY526" s="116"/>
      <c r="DZ526" s="116"/>
      <c r="EA526" s="116"/>
      <c r="EB526" s="116"/>
    </row>
    <row r="527" spans="36:132" ht="12.75" hidden="1" customHeight="1">
      <c r="AJ527" s="116"/>
      <c r="AK527" s="116"/>
      <c r="AL527" s="116"/>
      <c r="AM527" s="116"/>
      <c r="AN527" s="116"/>
      <c r="AO527" s="116"/>
      <c r="AP527" s="116"/>
      <c r="AS527" s="116"/>
      <c r="AT527" s="116"/>
      <c r="BQ527" s="116"/>
      <c r="BR527" s="116"/>
      <c r="BS527" s="116"/>
      <c r="BT527" s="116"/>
      <c r="BU527" s="116"/>
      <c r="BV527" s="116"/>
      <c r="BW527" s="116"/>
      <c r="BX527" s="116"/>
      <c r="BY527" s="116"/>
      <c r="BZ527" s="116"/>
      <c r="CA527" s="116"/>
      <c r="CB527" s="116"/>
      <c r="CC527" s="116"/>
      <c r="CD527" s="116"/>
      <c r="CE527" s="116"/>
      <c r="CF527" s="116"/>
      <c r="CG527" s="116"/>
      <c r="CH527" s="116"/>
      <c r="CI527" s="116"/>
      <c r="CJ527" s="116"/>
      <c r="CK527" s="116"/>
      <c r="CL527" s="116"/>
      <c r="CM527" s="116"/>
      <c r="CN527" s="116"/>
      <c r="CO527" s="116"/>
      <c r="CP527" s="116"/>
      <c r="CQ527" s="116"/>
      <c r="CR527" s="116"/>
      <c r="CS527" s="116"/>
      <c r="CT527" s="116"/>
      <c r="CU527" s="116"/>
      <c r="CV527" s="116"/>
      <c r="CW527" s="116"/>
      <c r="CX527" s="116"/>
      <c r="CY527" s="116"/>
      <c r="CZ527" s="116"/>
      <c r="DA527" s="116"/>
      <c r="DB527" s="116"/>
      <c r="DC527" s="116"/>
      <c r="DD527" s="116"/>
      <c r="DE527" s="116"/>
      <c r="DF527" s="116"/>
      <c r="DG527" s="116"/>
      <c r="DH527" s="116"/>
      <c r="DI527" s="116"/>
      <c r="DJ527" s="116"/>
      <c r="DK527" s="116"/>
      <c r="DL527" s="116"/>
      <c r="DM527" s="116"/>
      <c r="DN527" s="116"/>
      <c r="DO527" s="116"/>
      <c r="DP527" s="116"/>
      <c r="DQ527" s="116"/>
      <c r="DR527" s="116"/>
      <c r="DS527" s="116"/>
      <c r="DT527" s="116"/>
      <c r="DU527" s="116"/>
      <c r="DV527" s="116"/>
      <c r="DW527" s="116"/>
      <c r="DX527" s="116"/>
      <c r="DY527" s="116"/>
      <c r="DZ527" s="116"/>
      <c r="EA527" s="116"/>
      <c r="EB527" s="116"/>
    </row>
    <row r="528" spans="36:132" ht="12.75" hidden="1" customHeight="1">
      <c r="AJ528" s="116"/>
      <c r="AK528" s="116"/>
      <c r="AL528" s="116"/>
      <c r="AM528" s="116"/>
      <c r="AN528" s="116"/>
      <c r="AO528" s="116"/>
      <c r="AP528" s="116"/>
      <c r="AS528" s="116"/>
      <c r="AT528" s="116"/>
      <c r="BQ528" s="116"/>
      <c r="BR528" s="116"/>
      <c r="BS528" s="116"/>
      <c r="BT528" s="116"/>
      <c r="BU528" s="116"/>
      <c r="BV528" s="116"/>
      <c r="BW528" s="116"/>
      <c r="BX528" s="116"/>
      <c r="BY528" s="116"/>
      <c r="BZ528" s="116"/>
      <c r="CA528" s="116"/>
      <c r="CB528" s="116"/>
      <c r="CC528" s="116"/>
      <c r="CD528" s="116"/>
      <c r="CE528" s="116"/>
      <c r="CF528" s="116"/>
      <c r="CG528" s="116"/>
      <c r="CH528" s="116"/>
      <c r="CI528" s="116"/>
      <c r="CJ528" s="116"/>
      <c r="CK528" s="116"/>
      <c r="CL528" s="116"/>
      <c r="CM528" s="116"/>
      <c r="CN528" s="116"/>
      <c r="CO528" s="116"/>
      <c r="CP528" s="116"/>
      <c r="CQ528" s="116"/>
      <c r="CR528" s="116"/>
      <c r="CS528" s="116"/>
      <c r="CT528" s="116"/>
      <c r="CU528" s="116"/>
      <c r="CV528" s="116"/>
      <c r="CW528" s="116"/>
      <c r="CX528" s="116"/>
      <c r="CY528" s="116"/>
      <c r="CZ528" s="116"/>
      <c r="DA528" s="116"/>
      <c r="DB528" s="116"/>
      <c r="DC528" s="116"/>
      <c r="DD528" s="116"/>
      <c r="DE528" s="116"/>
      <c r="DF528" s="116"/>
      <c r="DG528" s="116"/>
      <c r="DH528" s="116"/>
      <c r="DI528" s="116"/>
      <c r="DJ528" s="116"/>
      <c r="DK528" s="116"/>
      <c r="DL528" s="116"/>
      <c r="DM528" s="116"/>
      <c r="DN528" s="116"/>
      <c r="DO528" s="116"/>
      <c r="DP528" s="116"/>
      <c r="DQ528" s="116"/>
      <c r="DR528" s="116"/>
      <c r="DS528" s="116"/>
      <c r="DT528" s="116"/>
      <c r="DU528" s="116"/>
      <c r="DV528" s="116"/>
      <c r="DW528" s="116"/>
      <c r="DX528" s="116"/>
      <c r="DY528" s="116"/>
      <c r="DZ528" s="116"/>
      <c r="EA528" s="116"/>
      <c r="EB528" s="116"/>
    </row>
    <row r="529" spans="36:132" ht="12.75" hidden="1" customHeight="1">
      <c r="AJ529" s="116"/>
      <c r="AK529" s="116"/>
      <c r="AL529" s="116"/>
      <c r="AM529" s="116"/>
      <c r="AN529" s="116"/>
      <c r="AO529" s="116"/>
      <c r="AP529" s="116"/>
      <c r="AS529" s="116"/>
      <c r="AT529" s="116"/>
      <c r="BQ529" s="116"/>
      <c r="BR529" s="116"/>
      <c r="BS529" s="116"/>
      <c r="BT529" s="116"/>
      <c r="BU529" s="116"/>
      <c r="BV529" s="116"/>
      <c r="BW529" s="116"/>
      <c r="BX529" s="116"/>
      <c r="BY529" s="116"/>
      <c r="BZ529" s="116"/>
      <c r="CA529" s="116"/>
      <c r="CB529" s="116"/>
      <c r="CC529" s="116"/>
      <c r="CD529" s="116"/>
      <c r="CE529" s="116"/>
      <c r="CF529" s="116"/>
      <c r="CG529" s="116"/>
      <c r="CH529" s="116"/>
      <c r="CI529" s="116"/>
      <c r="CJ529" s="116"/>
      <c r="CK529" s="116"/>
      <c r="CL529" s="116"/>
      <c r="CM529" s="116"/>
      <c r="CN529" s="116"/>
      <c r="CO529" s="116"/>
      <c r="CP529" s="116"/>
      <c r="CQ529" s="116"/>
      <c r="CR529" s="116"/>
      <c r="CS529" s="116"/>
      <c r="CT529" s="116"/>
      <c r="CU529" s="116"/>
      <c r="CV529" s="116"/>
      <c r="CW529" s="116"/>
      <c r="CX529" s="116"/>
      <c r="CY529" s="116"/>
      <c r="CZ529" s="116"/>
      <c r="DA529" s="116"/>
      <c r="DB529" s="116"/>
      <c r="DC529" s="116"/>
      <c r="DD529" s="116"/>
      <c r="DE529" s="116"/>
      <c r="DF529" s="116"/>
      <c r="DG529" s="116"/>
      <c r="DH529" s="116"/>
      <c r="DI529" s="116"/>
      <c r="DJ529" s="116"/>
      <c r="DK529" s="116"/>
      <c r="DL529" s="116"/>
      <c r="DM529" s="116"/>
      <c r="DN529" s="116"/>
      <c r="DO529" s="116"/>
      <c r="DP529" s="116"/>
      <c r="DQ529" s="116"/>
      <c r="DR529" s="116"/>
      <c r="DS529" s="116"/>
      <c r="DT529" s="116"/>
      <c r="DU529" s="116"/>
      <c r="DV529" s="116"/>
      <c r="DW529" s="116"/>
      <c r="DX529" s="116"/>
      <c r="DY529" s="116"/>
      <c r="DZ529" s="116"/>
      <c r="EA529" s="116"/>
      <c r="EB529" s="116"/>
    </row>
    <row r="530" spans="36:132" ht="12.75" hidden="1" customHeight="1">
      <c r="AJ530" s="116"/>
      <c r="AK530" s="116"/>
      <c r="AL530" s="116"/>
      <c r="AM530" s="116"/>
      <c r="AN530" s="116"/>
      <c r="AO530" s="116"/>
      <c r="AP530" s="116"/>
      <c r="AS530" s="116"/>
      <c r="AT530" s="116"/>
      <c r="BQ530" s="116"/>
      <c r="BR530" s="116"/>
      <c r="BS530" s="116"/>
      <c r="BT530" s="116"/>
      <c r="BU530" s="116"/>
      <c r="BV530" s="116"/>
      <c r="BW530" s="116"/>
      <c r="BX530" s="116"/>
      <c r="BY530" s="116"/>
      <c r="BZ530" s="116"/>
      <c r="CA530" s="116"/>
      <c r="CB530" s="116"/>
      <c r="CC530" s="116"/>
      <c r="CD530" s="116"/>
      <c r="CE530" s="116"/>
      <c r="CF530" s="116"/>
      <c r="CG530" s="116"/>
      <c r="CH530" s="116"/>
      <c r="CI530" s="116"/>
      <c r="CJ530" s="116"/>
      <c r="CK530" s="116"/>
      <c r="CL530" s="116"/>
      <c r="CM530" s="116"/>
      <c r="CN530" s="116"/>
      <c r="CO530" s="116"/>
      <c r="CP530" s="116"/>
      <c r="CQ530" s="116"/>
      <c r="CR530" s="116"/>
      <c r="CS530" s="116"/>
      <c r="CT530" s="116"/>
      <c r="CU530" s="116"/>
      <c r="CV530" s="116"/>
      <c r="CW530" s="116"/>
      <c r="CX530" s="116"/>
      <c r="CY530" s="116"/>
      <c r="CZ530" s="116"/>
      <c r="DA530" s="116"/>
      <c r="DB530" s="116"/>
      <c r="DC530" s="116"/>
      <c r="DD530" s="116"/>
      <c r="DE530" s="116"/>
      <c r="DF530" s="116"/>
      <c r="DG530" s="116"/>
      <c r="DH530" s="116"/>
      <c r="DI530" s="116"/>
      <c r="DJ530" s="116"/>
      <c r="DK530" s="116"/>
      <c r="DL530" s="116"/>
      <c r="DM530" s="116"/>
      <c r="DN530" s="116"/>
      <c r="DO530" s="116"/>
      <c r="DP530" s="116"/>
      <c r="DQ530" s="116"/>
      <c r="DR530" s="116"/>
      <c r="DS530" s="116"/>
      <c r="DT530" s="116"/>
      <c r="DU530" s="116"/>
      <c r="DV530" s="116"/>
      <c r="DW530" s="116"/>
      <c r="DX530" s="116"/>
      <c r="DY530" s="116"/>
      <c r="DZ530" s="116"/>
      <c r="EA530" s="116"/>
      <c r="EB530" s="116"/>
    </row>
    <row r="531" spans="36:132" ht="12.75" hidden="1" customHeight="1">
      <c r="AJ531" s="116"/>
      <c r="AK531" s="116"/>
      <c r="AL531" s="116"/>
      <c r="AM531" s="116"/>
      <c r="AN531" s="116"/>
      <c r="AO531" s="116"/>
      <c r="AP531" s="116"/>
      <c r="AS531" s="116"/>
      <c r="AT531" s="116"/>
      <c r="BQ531" s="116"/>
      <c r="BR531" s="116"/>
      <c r="BS531" s="116"/>
      <c r="BT531" s="116"/>
      <c r="BU531" s="116"/>
      <c r="BV531" s="116"/>
      <c r="BW531" s="116"/>
      <c r="BX531" s="116"/>
      <c r="BY531" s="116"/>
      <c r="BZ531" s="116"/>
      <c r="CA531" s="116"/>
      <c r="CB531" s="116"/>
      <c r="CC531" s="116"/>
      <c r="CD531" s="116"/>
      <c r="CE531" s="116"/>
      <c r="CF531" s="116"/>
      <c r="CG531" s="116"/>
      <c r="CH531" s="116"/>
      <c r="CI531" s="116"/>
      <c r="CJ531" s="116"/>
      <c r="CK531" s="116"/>
      <c r="CL531" s="116"/>
      <c r="CM531" s="116"/>
      <c r="CN531" s="116"/>
      <c r="CO531" s="116"/>
      <c r="CP531" s="116"/>
      <c r="CQ531" s="116"/>
      <c r="CR531" s="116"/>
      <c r="CS531" s="116"/>
      <c r="CT531" s="116"/>
      <c r="CU531" s="116"/>
      <c r="CV531" s="116"/>
      <c r="CW531" s="116"/>
      <c r="CX531" s="116"/>
      <c r="CY531" s="116"/>
      <c r="CZ531" s="116"/>
      <c r="DA531" s="116"/>
      <c r="DB531" s="116"/>
      <c r="DC531" s="116"/>
      <c r="DD531" s="116"/>
      <c r="DE531" s="116"/>
      <c r="DF531" s="116"/>
      <c r="DG531" s="116"/>
      <c r="DH531" s="116"/>
      <c r="DI531" s="116"/>
      <c r="DJ531" s="116"/>
      <c r="DK531" s="116"/>
      <c r="DL531" s="116"/>
      <c r="DM531" s="116"/>
      <c r="DN531" s="116"/>
      <c r="DO531" s="116"/>
      <c r="DP531" s="116"/>
      <c r="DQ531" s="116"/>
      <c r="DR531" s="116"/>
      <c r="DS531" s="116"/>
      <c r="DT531" s="116"/>
      <c r="DU531" s="116"/>
      <c r="DV531" s="116"/>
      <c r="DW531" s="116"/>
      <c r="DX531" s="116"/>
      <c r="DY531" s="116"/>
      <c r="DZ531" s="116"/>
      <c r="EA531" s="116"/>
      <c r="EB531" s="116"/>
    </row>
    <row r="532" spans="36:132" ht="12.75" hidden="1" customHeight="1">
      <c r="AJ532" s="116"/>
      <c r="AK532" s="116"/>
      <c r="AL532" s="116"/>
      <c r="AM532" s="116"/>
      <c r="AN532" s="116"/>
      <c r="AO532" s="116"/>
      <c r="AP532" s="116"/>
      <c r="AS532" s="116"/>
      <c r="AT532" s="116"/>
      <c r="BQ532" s="116"/>
      <c r="BR532" s="116"/>
      <c r="BS532" s="116"/>
      <c r="BT532" s="116"/>
      <c r="BU532" s="116"/>
      <c r="BV532" s="116"/>
      <c r="BW532" s="116"/>
      <c r="BX532" s="116"/>
      <c r="BY532" s="116"/>
      <c r="BZ532" s="116"/>
      <c r="CA532" s="116"/>
      <c r="CB532" s="116"/>
      <c r="CC532" s="116"/>
      <c r="CD532" s="116"/>
      <c r="CE532" s="116"/>
      <c r="CF532" s="116"/>
      <c r="CG532" s="116"/>
      <c r="CH532" s="116"/>
      <c r="CI532" s="116"/>
      <c r="CJ532" s="116"/>
      <c r="CK532" s="116"/>
      <c r="CL532" s="116"/>
      <c r="CM532" s="116"/>
      <c r="CN532" s="116"/>
      <c r="CO532" s="116"/>
      <c r="CP532" s="116"/>
      <c r="CQ532" s="116"/>
      <c r="CR532" s="116"/>
      <c r="CS532" s="116"/>
      <c r="CT532" s="116"/>
      <c r="CU532" s="116"/>
      <c r="CV532" s="116"/>
      <c r="CW532" s="116"/>
      <c r="CX532" s="116"/>
      <c r="CY532" s="116"/>
      <c r="CZ532" s="116"/>
      <c r="DA532" s="116"/>
      <c r="DB532" s="116"/>
      <c r="DC532" s="116"/>
      <c r="DD532" s="116"/>
      <c r="DE532" s="116"/>
      <c r="DF532" s="116"/>
      <c r="DG532" s="116"/>
      <c r="DH532" s="116"/>
      <c r="DI532" s="116"/>
      <c r="DJ532" s="116"/>
      <c r="DK532" s="116"/>
      <c r="DL532" s="116"/>
      <c r="DM532" s="116"/>
      <c r="DN532" s="116"/>
      <c r="DO532" s="116"/>
      <c r="DP532" s="116"/>
      <c r="DQ532" s="116"/>
      <c r="DR532" s="116"/>
      <c r="DS532" s="116"/>
      <c r="DT532" s="116"/>
      <c r="DU532" s="116"/>
      <c r="DV532" s="116"/>
      <c r="DW532" s="116"/>
      <c r="DX532" s="116"/>
      <c r="DY532" s="116"/>
      <c r="DZ532" s="116"/>
      <c r="EA532" s="116"/>
      <c r="EB532" s="116"/>
    </row>
    <row r="533" spans="36:132" ht="12.75" hidden="1" customHeight="1">
      <c r="AJ533" s="116"/>
      <c r="AK533" s="116"/>
      <c r="AL533" s="116"/>
      <c r="AM533" s="116"/>
      <c r="AN533" s="116"/>
      <c r="AO533" s="116"/>
      <c r="AP533" s="116"/>
      <c r="AS533" s="116"/>
      <c r="AT533" s="116"/>
      <c r="BQ533" s="116"/>
      <c r="BR533" s="116"/>
      <c r="BS533" s="116"/>
      <c r="BT533" s="116"/>
      <c r="BU533" s="116"/>
      <c r="BV533" s="116"/>
      <c r="BW533" s="116"/>
      <c r="BX533" s="116"/>
      <c r="BY533" s="116"/>
      <c r="BZ533" s="116"/>
      <c r="CA533" s="116"/>
      <c r="CB533" s="116"/>
      <c r="CC533" s="116"/>
      <c r="CD533" s="116"/>
      <c r="CE533" s="116"/>
      <c r="CF533" s="116"/>
      <c r="CG533" s="116"/>
      <c r="CH533" s="116"/>
      <c r="CI533" s="116"/>
      <c r="CJ533" s="116"/>
      <c r="CK533" s="116"/>
      <c r="CL533" s="116"/>
      <c r="CM533" s="116"/>
      <c r="CN533" s="116"/>
      <c r="CO533" s="116"/>
      <c r="CP533" s="116"/>
      <c r="CQ533" s="116"/>
      <c r="CR533" s="116"/>
      <c r="CS533" s="116"/>
      <c r="CT533" s="116"/>
      <c r="CU533" s="116"/>
      <c r="CV533" s="116"/>
      <c r="CW533" s="116"/>
      <c r="CX533" s="116"/>
      <c r="CY533" s="116"/>
      <c r="CZ533" s="116"/>
      <c r="DA533" s="116"/>
      <c r="DB533" s="116"/>
      <c r="DC533" s="116"/>
      <c r="DD533" s="116"/>
      <c r="DE533" s="116"/>
      <c r="DF533" s="116"/>
      <c r="DG533" s="116"/>
      <c r="DH533" s="116"/>
      <c r="DI533" s="116"/>
      <c r="DJ533" s="116"/>
      <c r="DK533" s="116"/>
      <c r="DL533" s="116"/>
      <c r="DM533" s="116"/>
      <c r="DN533" s="116"/>
      <c r="DO533" s="116"/>
      <c r="DP533" s="116"/>
      <c r="DQ533" s="116"/>
      <c r="DR533" s="116"/>
      <c r="DS533" s="116"/>
      <c r="DT533" s="116"/>
      <c r="DU533" s="116"/>
      <c r="DV533" s="116"/>
      <c r="DW533" s="116"/>
      <c r="DX533" s="116"/>
      <c r="DY533" s="116"/>
      <c r="DZ533" s="116"/>
      <c r="EA533" s="116"/>
      <c r="EB533" s="116"/>
    </row>
    <row r="534" spans="36:132" ht="12.75" hidden="1" customHeight="1">
      <c r="AJ534" s="116"/>
      <c r="AK534" s="116"/>
      <c r="AL534" s="116"/>
      <c r="AM534" s="116"/>
      <c r="AN534" s="116"/>
      <c r="AO534" s="116"/>
      <c r="AP534" s="116"/>
      <c r="AS534" s="116"/>
      <c r="AT534" s="116"/>
      <c r="BQ534" s="116"/>
      <c r="BR534" s="116"/>
      <c r="BS534" s="116"/>
      <c r="BT534" s="116"/>
      <c r="BU534" s="116"/>
      <c r="BV534" s="116"/>
      <c r="BW534" s="116"/>
      <c r="BX534" s="116"/>
      <c r="BY534" s="116"/>
      <c r="BZ534" s="116"/>
      <c r="CA534" s="116"/>
      <c r="CB534" s="116"/>
      <c r="CC534" s="116"/>
      <c r="CD534" s="116"/>
      <c r="CE534" s="116"/>
      <c r="CF534" s="116"/>
      <c r="CG534" s="116"/>
      <c r="CH534" s="116"/>
      <c r="CI534" s="116"/>
      <c r="CJ534" s="116"/>
      <c r="CK534" s="116"/>
      <c r="CL534" s="116"/>
      <c r="CM534" s="116"/>
      <c r="CN534" s="116"/>
      <c r="CO534" s="116"/>
      <c r="CP534" s="116"/>
      <c r="CQ534" s="116"/>
      <c r="CR534" s="116"/>
      <c r="CS534" s="116"/>
      <c r="CT534" s="116"/>
      <c r="CU534" s="116"/>
      <c r="CV534" s="116"/>
      <c r="CW534" s="116"/>
      <c r="CX534" s="116"/>
      <c r="CY534" s="116"/>
      <c r="CZ534" s="116"/>
      <c r="DA534" s="116"/>
      <c r="DB534" s="116"/>
      <c r="DC534" s="116"/>
      <c r="DD534" s="116"/>
      <c r="DE534" s="116"/>
      <c r="DF534" s="116"/>
      <c r="DG534" s="116"/>
      <c r="DH534" s="116"/>
      <c r="DI534" s="116"/>
      <c r="DJ534" s="116"/>
      <c r="DK534" s="116"/>
      <c r="DL534" s="116"/>
      <c r="DM534" s="116"/>
      <c r="DN534" s="116"/>
      <c r="DO534" s="116"/>
      <c r="DP534" s="116"/>
      <c r="DQ534" s="116"/>
      <c r="DR534" s="116"/>
      <c r="DS534" s="116"/>
      <c r="DT534" s="116"/>
      <c r="DU534" s="116"/>
      <c r="DV534" s="116"/>
      <c r="DW534" s="116"/>
      <c r="DX534" s="116"/>
      <c r="DY534" s="116"/>
      <c r="DZ534" s="116"/>
      <c r="EA534" s="116"/>
      <c r="EB534" s="116"/>
    </row>
    <row r="535" spans="36:132" ht="12.75" hidden="1" customHeight="1">
      <c r="AJ535" s="116"/>
      <c r="AK535" s="116"/>
      <c r="AL535" s="116"/>
      <c r="AM535" s="116"/>
      <c r="AN535" s="116"/>
      <c r="AO535" s="116"/>
      <c r="AP535" s="116"/>
      <c r="AS535" s="116"/>
      <c r="AT535" s="116"/>
      <c r="BQ535" s="116"/>
      <c r="BR535" s="116"/>
      <c r="BS535" s="116"/>
      <c r="BT535" s="116"/>
      <c r="BU535" s="116"/>
      <c r="BV535" s="116"/>
      <c r="BW535" s="116"/>
      <c r="BX535" s="116"/>
      <c r="BY535" s="116"/>
      <c r="BZ535" s="116"/>
      <c r="CA535" s="116"/>
      <c r="CB535" s="116"/>
      <c r="CC535" s="116"/>
      <c r="CD535" s="116"/>
      <c r="CE535" s="116"/>
      <c r="CF535" s="116"/>
      <c r="CG535" s="116"/>
      <c r="CH535" s="116"/>
      <c r="CI535" s="116"/>
      <c r="CJ535" s="116"/>
      <c r="CK535" s="116"/>
      <c r="CL535" s="116"/>
      <c r="CM535" s="116"/>
      <c r="CN535" s="116"/>
      <c r="CO535" s="116"/>
      <c r="CP535" s="116"/>
      <c r="CQ535" s="116"/>
      <c r="CR535" s="116"/>
      <c r="CS535" s="116"/>
      <c r="CT535" s="116"/>
      <c r="CU535" s="116"/>
      <c r="CV535" s="116"/>
      <c r="CW535" s="116"/>
      <c r="CX535" s="116"/>
      <c r="CY535" s="116"/>
      <c r="CZ535" s="116"/>
      <c r="DA535" s="116"/>
      <c r="DB535" s="116"/>
      <c r="DC535" s="116"/>
      <c r="DD535" s="116"/>
      <c r="DE535" s="116"/>
      <c r="DF535" s="116"/>
      <c r="DG535" s="116"/>
      <c r="DH535" s="116"/>
      <c r="DI535" s="116"/>
      <c r="DJ535" s="116"/>
      <c r="DK535" s="116"/>
      <c r="DL535" s="116"/>
      <c r="DM535" s="116"/>
      <c r="DN535" s="116"/>
      <c r="DO535" s="116"/>
      <c r="DP535" s="116"/>
      <c r="DQ535" s="116"/>
      <c r="DR535" s="116"/>
      <c r="DS535" s="116"/>
      <c r="DT535" s="116"/>
      <c r="DU535" s="116"/>
      <c r="DV535" s="116"/>
      <c r="DW535" s="116"/>
      <c r="DX535" s="116"/>
      <c r="DY535" s="116"/>
      <c r="DZ535" s="116"/>
      <c r="EA535" s="116"/>
      <c r="EB535" s="116"/>
    </row>
    <row r="536" spans="36:132" ht="12.75" hidden="1" customHeight="1">
      <c r="AJ536" s="116"/>
      <c r="AK536" s="116"/>
      <c r="AL536" s="116"/>
      <c r="AM536" s="116"/>
      <c r="AN536" s="116"/>
      <c r="AO536" s="116"/>
      <c r="AP536" s="116"/>
      <c r="AS536" s="116"/>
      <c r="AT536" s="116"/>
      <c r="BQ536" s="116"/>
      <c r="BR536" s="116"/>
      <c r="BS536" s="116"/>
      <c r="BT536" s="116"/>
      <c r="BU536" s="116"/>
      <c r="BV536" s="116"/>
      <c r="BW536" s="116"/>
      <c r="BX536" s="116"/>
      <c r="BY536" s="116"/>
      <c r="BZ536" s="116"/>
      <c r="CA536" s="116"/>
      <c r="CB536" s="116"/>
      <c r="CC536" s="116"/>
      <c r="CD536" s="116"/>
      <c r="CE536" s="116"/>
      <c r="CF536" s="116"/>
      <c r="CG536" s="116"/>
      <c r="CH536" s="116"/>
      <c r="CI536" s="116"/>
      <c r="CJ536" s="116"/>
      <c r="CK536" s="116"/>
      <c r="CL536" s="116"/>
      <c r="CM536" s="116"/>
      <c r="CN536" s="116"/>
      <c r="CO536" s="116"/>
      <c r="CP536" s="116"/>
      <c r="CQ536" s="116"/>
      <c r="CR536" s="116"/>
      <c r="CS536" s="116"/>
      <c r="CT536" s="116"/>
      <c r="CU536" s="116"/>
      <c r="CV536" s="116"/>
      <c r="CW536" s="116"/>
      <c r="CX536" s="116"/>
      <c r="CY536" s="116"/>
      <c r="CZ536" s="116"/>
      <c r="DA536" s="116"/>
      <c r="DB536" s="116"/>
      <c r="DC536" s="116"/>
      <c r="DD536" s="116"/>
      <c r="DE536" s="116"/>
      <c r="DF536" s="116"/>
      <c r="DG536" s="116"/>
      <c r="DH536" s="116"/>
      <c r="DI536" s="116"/>
      <c r="DJ536" s="116"/>
      <c r="DK536" s="116"/>
      <c r="DL536" s="116"/>
      <c r="DM536" s="116"/>
      <c r="DN536" s="116"/>
      <c r="DO536" s="116"/>
      <c r="DP536" s="116"/>
      <c r="DQ536" s="116"/>
      <c r="DR536" s="116"/>
      <c r="DS536" s="116"/>
      <c r="DT536" s="116"/>
      <c r="DU536" s="116"/>
      <c r="DV536" s="116"/>
      <c r="DW536" s="116"/>
      <c r="DX536" s="116"/>
      <c r="DY536" s="116"/>
      <c r="DZ536" s="116"/>
      <c r="EA536" s="116"/>
      <c r="EB536" s="116"/>
    </row>
    <row r="537" spans="36:132" ht="12.75" hidden="1" customHeight="1">
      <c r="AJ537" s="116"/>
      <c r="AK537" s="116"/>
      <c r="AL537" s="116"/>
      <c r="AM537" s="116"/>
      <c r="AN537" s="116"/>
      <c r="AO537" s="116"/>
      <c r="AP537" s="116"/>
      <c r="AS537" s="116"/>
      <c r="AT537" s="116"/>
      <c r="BQ537" s="116"/>
      <c r="BR537" s="116"/>
      <c r="BS537" s="116"/>
      <c r="BT537" s="116"/>
      <c r="BU537" s="116"/>
      <c r="BV537" s="116"/>
      <c r="BW537" s="116"/>
      <c r="BX537" s="116"/>
      <c r="BY537" s="116"/>
      <c r="BZ537" s="116"/>
      <c r="CA537" s="116"/>
      <c r="CB537" s="116"/>
      <c r="CC537" s="116"/>
      <c r="CD537" s="116"/>
      <c r="CE537" s="116"/>
      <c r="CF537" s="116"/>
      <c r="CG537" s="116"/>
      <c r="CH537" s="116"/>
      <c r="CI537" s="116"/>
      <c r="CJ537" s="116"/>
      <c r="CK537" s="116"/>
      <c r="CL537" s="116"/>
      <c r="CM537" s="116"/>
      <c r="CN537" s="116"/>
      <c r="CO537" s="116"/>
      <c r="CP537" s="116"/>
      <c r="CQ537" s="116"/>
      <c r="CR537" s="116"/>
      <c r="CS537" s="116"/>
      <c r="CT537" s="116"/>
      <c r="CU537" s="116"/>
      <c r="CV537" s="116"/>
      <c r="CW537" s="116"/>
      <c r="CX537" s="116"/>
      <c r="CY537" s="116"/>
      <c r="CZ537" s="116"/>
      <c r="DA537" s="116"/>
      <c r="DB537" s="116"/>
      <c r="DC537" s="116"/>
      <c r="DD537" s="116"/>
      <c r="DE537" s="116"/>
      <c r="DF537" s="116"/>
      <c r="DG537" s="116"/>
      <c r="DH537" s="116"/>
      <c r="DI537" s="116"/>
      <c r="DJ537" s="116"/>
      <c r="DK537" s="116"/>
      <c r="DL537" s="116"/>
      <c r="DM537" s="116"/>
      <c r="DN537" s="116"/>
      <c r="DO537" s="116"/>
      <c r="DP537" s="116"/>
      <c r="DQ537" s="116"/>
      <c r="DR537" s="116"/>
      <c r="DS537" s="116"/>
      <c r="DT537" s="116"/>
      <c r="DU537" s="116"/>
      <c r="DV537" s="116"/>
      <c r="DW537" s="116"/>
      <c r="DX537" s="116"/>
      <c r="DY537" s="116"/>
      <c r="DZ537" s="116"/>
      <c r="EA537" s="116"/>
      <c r="EB537" s="116"/>
    </row>
    <row r="538" spans="36:132" ht="12.75" hidden="1" customHeight="1">
      <c r="AJ538" s="116"/>
      <c r="AK538" s="116"/>
      <c r="AL538" s="116"/>
      <c r="AM538" s="116"/>
      <c r="AN538" s="116"/>
      <c r="AO538" s="116"/>
      <c r="AP538" s="116"/>
      <c r="AS538" s="116"/>
      <c r="AT538" s="116"/>
      <c r="BQ538" s="116"/>
      <c r="BR538" s="116"/>
      <c r="BS538" s="116"/>
      <c r="BT538" s="116"/>
      <c r="BU538" s="116"/>
      <c r="BV538" s="116"/>
      <c r="BW538" s="116"/>
      <c r="BX538" s="116"/>
      <c r="BY538" s="116"/>
      <c r="BZ538" s="116"/>
      <c r="CA538" s="116"/>
      <c r="CB538" s="116"/>
      <c r="CC538" s="116"/>
      <c r="CD538" s="116"/>
      <c r="CE538" s="116"/>
      <c r="CF538" s="116"/>
      <c r="CG538" s="116"/>
      <c r="CH538" s="116"/>
      <c r="CI538" s="116"/>
      <c r="CJ538" s="116"/>
      <c r="CK538" s="116"/>
      <c r="CL538" s="116"/>
      <c r="CM538" s="116"/>
      <c r="CN538" s="116"/>
      <c r="CO538" s="116"/>
      <c r="CP538" s="116"/>
      <c r="CQ538" s="116"/>
      <c r="CR538" s="116"/>
      <c r="CS538" s="116"/>
      <c r="CT538" s="116"/>
      <c r="CU538" s="116"/>
      <c r="CV538" s="116"/>
      <c r="CW538" s="116"/>
      <c r="CX538" s="116"/>
      <c r="CY538" s="116"/>
      <c r="CZ538" s="116"/>
      <c r="DA538" s="116"/>
      <c r="DB538" s="116"/>
      <c r="DC538" s="116"/>
      <c r="DD538" s="116"/>
      <c r="DE538" s="116"/>
      <c r="DF538" s="116"/>
      <c r="DG538" s="116"/>
      <c r="DH538" s="116"/>
      <c r="DI538" s="116"/>
      <c r="DJ538" s="116"/>
      <c r="DK538" s="116"/>
      <c r="DL538" s="116"/>
      <c r="DM538" s="116"/>
      <c r="DN538" s="116"/>
      <c r="DO538" s="116"/>
      <c r="DP538" s="116"/>
      <c r="DQ538" s="116"/>
      <c r="DR538" s="116"/>
      <c r="DS538" s="116"/>
      <c r="DT538" s="116"/>
      <c r="DU538" s="116"/>
      <c r="DV538" s="116"/>
      <c r="DW538" s="116"/>
      <c r="DX538" s="116"/>
      <c r="DY538" s="116"/>
      <c r="DZ538" s="116"/>
      <c r="EA538" s="116"/>
      <c r="EB538" s="116"/>
    </row>
    <row r="539" spans="36:132" ht="12.75" hidden="1" customHeight="1">
      <c r="AJ539" s="116"/>
      <c r="AK539" s="116"/>
      <c r="AL539" s="116"/>
      <c r="AM539" s="116"/>
      <c r="AN539" s="116"/>
      <c r="AO539" s="116"/>
      <c r="AP539" s="116"/>
      <c r="AS539" s="116"/>
      <c r="AT539" s="116"/>
      <c r="BQ539" s="116"/>
      <c r="BR539" s="116"/>
      <c r="BS539" s="116"/>
      <c r="BT539" s="116"/>
      <c r="BU539" s="116"/>
      <c r="BV539" s="116"/>
      <c r="BW539" s="116"/>
      <c r="BX539" s="116"/>
      <c r="BY539" s="116"/>
      <c r="BZ539" s="116"/>
      <c r="CA539" s="116"/>
      <c r="CB539" s="116"/>
      <c r="CC539" s="116"/>
      <c r="CD539" s="116"/>
      <c r="CE539" s="116"/>
      <c r="CF539" s="116"/>
      <c r="CG539" s="116"/>
      <c r="CH539" s="116"/>
      <c r="CI539" s="116"/>
      <c r="CJ539" s="116"/>
      <c r="CK539" s="116"/>
      <c r="CL539" s="116"/>
      <c r="CM539" s="116"/>
      <c r="CN539" s="116"/>
      <c r="CO539" s="116"/>
      <c r="CP539" s="116"/>
      <c r="CQ539" s="116"/>
      <c r="CR539" s="116"/>
      <c r="CS539" s="116"/>
      <c r="CT539" s="116"/>
      <c r="CU539" s="116"/>
      <c r="CV539" s="116"/>
      <c r="CW539" s="116"/>
      <c r="CX539" s="116"/>
      <c r="CY539" s="116"/>
      <c r="CZ539" s="116"/>
      <c r="DA539" s="116"/>
      <c r="DB539" s="116"/>
      <c r="DC539" s="116"/>
      <c r="DD539" s="116"/>
      <c r="DE539" s="116"/>
      <c r="DF539" s="116"/>
      <c r="DG539" s="116"/>
      <c r="DH539" s="116"/>
      <c r="DI539" s="116"/>
      <c r="DJ539" s="116"/>
      <c r="DK539" s="116"/>
      <c r="DL539" s="116"/>
      <c r="DM539" s="116"/>
      <c r="DN539" s="116"/>
      <c r="DO539" s="116"/>
      <c r="DP539" s="116"/>
      <c r="DQ539" s="116"/>
      <c r="DR539" s="116"/>
      <c r="DS539" s="116"/>
      <c r="DT539" s="116"/>
      <c r="DU539" s="116"/>
      <c r="DV539" s="116"/>
      <c r="DW539" s="116"/>
      <c r="DX539" s="116"/>
      <c r="DY539" s="116"/>
      <c r="DZ539" s="116"/>
      <c r="EA539" s="116"/>
      <c r="EB539" s="116"/>
    </row>
    <row r="540" spans="36:132" ht="12.75" hidden="1" customHeight="1">
      <c r="AJ540" s="116"/>
      <c r="AK540" s="116"/>
      <c r="AL540" s="116"/>
      <c r="AM540" s="116"/>
      <c r="AN540" s="116"/>
      <c r="AO540" s="116"/>
      <c r="AP540" s="116"/>
      <c r="AS540" s="116"/>
      <c r="AT540" s="116"/>
      <c r="BQ540" s="116"/>
      <c r="BR540" s="116"/>
      <c r="BS540" s="116"/>
      <c r="BT540" s="116"/>
      <c r="BU540" s="116"/>
      <c r="BV540" s="116"/>
      <c r="BW540" s="116"/>
      <c r="BX540" s="116"/>
      <c r="BY540" s="116"/>
      <c r="BZ540" s="116"/>
      <c r="CA540" s="116"/>
      <c r="CB540" s="116"/>
      <c r="CC540" s="116"/>
      <c r="CD540" s="116"/>
      <c r="CE540" s="116"/>
      <c r="CF540" s="116"/>
      <c r="CG540" s="116"/>
      <c r="CH540" s="116"/>
      <c r="CI540" s="116"/>
      <c r="CJ540" s="116"/>
      <c r="CK540" s="116"/>
      <c r="CL540" s="116"/>
      <c r="CM540" s="116"/>
      <c r="CN540" s="116"/>
      <c r="CO540" s="116"/>
      <c r="CP540" s="116"/>
      <c r="CQ540" s="116"/>
      <c r="CR540" s="116"/>
      <c r="CS540" s="116"/>
      <c r="CT540" s="116"/>
      <c r="CU540" s="116"/>
      <c r="CV540" s="116"/>
      <c r="CW540" s="116"/>
      <c r="CX540" s="116"/>
      <c r="CY540" s="116"/>
      <c r="CZ540" s="116"/>
      <c r="DA540" s="116"/>
      <c r="DB540" s="116"/>
      <c r="DC540" s="116"/>
      <c r="DD540" s="116"/>
      <c r="DE540" s="116"/>
      <c r="DF540" s="116"/>
      <c r="DG540" s="116"/>
      <c r="DH540" s="116"/>
      <c r="DI540" s="116"/>
      <c r="DJ540" s="116"/>
      <c r="DK540" s="116"/>
      <c r="DL540" s="116"/>
      <c r="DM540" s="116"/>
      <c r="DN540" s="116"/>
      <c r="DO540" s="116"/>
      <c r="DP540" s="116"/>
      <c r="DQ540" s="116"/>
      <c r="DR540" s="116"/>
      <c r="DS540" s="116"/>
      <c r="DT540" s="116"/>
      <c r="DU540" s="116"/>
      <c r="DV540" s="116"/>
      <c r="DW540" s="116"/>
      <c r="DX540" s="116"/>
      <c r="DY540" s="116"/>
      <c r="DZ540" s="116"/>
      <c r="EA540" s="116"/>
      <c r="EB540" s="116"/>
    </row>
    <row r="541" spans="36:132" ht="12.75" hidden="1" customHeight="1">
      <c r="AJ541" s="116"/>
      <c r="AK541" s="116"/>
      <c r="AL541" s="116"/>
      <c r="AM541" s="116"/>
      <c r="AN541" s="116"/>
      <c r="AO541" s="116"/>
      <c r="AP541" s="116"/>
      <c r="AS541" s="116"/>
      <c r="AT541" s="116"/>
      <c r="BQ541" s="116"/>
      <c r="BR541" s="116"/>
      <c r="BS541" s="116"/>
      <c r="BT541" s="116"/>
      <c r="BU541" s="116"/>
      <c r="BV541" s="116"/>
      <c r="BW541" s="116"/>
      <c r="BX541" s="116"/>
      <c r="BY541" s="116"/>
      <c r="BZ541" s="116"/>
      <c r="CA541" s="116"/>
      <c r="CB541" s="116"/>
      <c r="CC541" s="116"/>
      <c r="CD541" s="116"/>
      <c r="CE541" s="116"/>
      <c r="CF541" s="116"/>
      <c r="CG541" s="116"/>
      <c r="CH541" s="116"/>
      <c r="CI541" s="116"/>
      <c r="CJ541" s="116"/>
      <c r="CK541" s="116"/>
      <c r="CL541" s="116"/>
      <c r="CM541" s="116"/>
      <c r="CN541" s="116"/>
      <c r="CO541" s="116"/>
      <c r="CP541" s="116"/>
      <c r="CQ541" s="116"/>
      <c r="CR541" s="116"/>
      <c r="CS541" s="116"/>
      <c r="CT541" s="116"/>
      <c r="CU541" s="116"/>
      <c r="CV541" s="116"/>
      <c r="CW541" s="116"/>
      <c r="CX541" s="116"/>
      <c r="CY541" s="116"/>
      <c r="CZ541" s="116"/>
      <c r="DA541" s="116"/>
      <c r="DB541" s="116"/>
      <c r="DC541" s="116"/>
      <c r="DD541" s="116"/>
      <c r="DE541" s="116"/>
      <c r="DF541" s="116"/>
      <c r="DG541" s="116"/>
      <c r="DH541" s="116"/>
      <c r="DI541" s="116"/>
      <c r="DJ541" s="116"/>
      <c r="DK541" s="116"/>
      <c r="DL541" s="116"/>
      <c r="DM541" s="116"/>
      <c r="DN541" s="116"/>
      <c r="DO541" s="116"/>
      <c r="DP541" s="116"/>
      <c r="DQ541" s="116"/>
      <c r="DR541" s="116"/>
      <c r="DS541" s="116"/>
      <c r="DT541" s="116"/>
      <c r="DU541" s="116"/>
      <c r="DV541" s="116"/>
      <c r="DW541" s="116"/>
      <c r="DX541" s="116"/>
      <c r="DY541" s="116"/>
      <c r="DZ541" s="116"/>
      <c r="EA541" s="116"/>
      <c r="EB541" s="116"/>
    </row>
    <row r="542" spans="36:132" ht="12.75" hidden="1" customHeight="1">
      <c r="AJ542" s="116"/>
      <c r="AK542" s="116"/>
      <c r="AL542" s="116"/>
      <c r="AM542" s="116"/>
      <c r="AN542" s="116"/>
      <c r="AO542" s="116"/>
      <c r="AP542" s="116"/>
      <c r="AS542" s="116"/>
      <c r="AT542" s="116"/>
      <c r="BQ542" s="116"/>
      <c r="BR542" s="116"/>
      <c r="BS542" s="116"/>
      <c r="BT542" s="116"/>
      <c r="BU542" s="116"/>
      <c r="BV542" s="116"/>
      <c r="BW542" s="116"/>
      <c r="BX542" s="116"/>
      <c r="BY542" s="116"/>
      <c r="BZ542" s="116"/>
      <c r="CA542" s="116"/>
      <c r="CB542" s="116"/>
      <c r="CC542" s="116"/>
      <c r="CD542" s="116"/>
      <c r="CE542" s="116"/>
      <c r="CF542" s="116"/>
      <c r="CG542" s="116"/>
      <c r="CH542" s="116"/>
      <c r="CI542" s="116"/>
      <c r="CJ542" s="116"/>
      <c r="CK542" s="116"/>
      <c r="CL542" s="116"/>
      <c r="CM542" s="116"/>
      <c r="CN542" s="116"/>
      <c r="CO542" s="116"/>
      <c r="CP542" s="116"/>
      <c r="CQ542" s="116"/>
      <c r="CR542" s="116"/>
      <c r="CS542" s="116"/>
      <c r="CT542" s="116"/>
      <c r="CU542" s="116"/>
      <c r="CV542" s="116"/>
      <c r="CW542" s="116"/>
      <c r="CX542" s="116"/>
      <c r="CY542" s="116"/>
      <c r="CZ542" s="116"/>
      <c r="DA542" s="116"/>
      <c r="DB542" s="116"/>
      <c r="DC542" s="116"/>
      <c r="DD542" s="116"/>
      <c r="DE542" s="116"/>
      <c r="DF542" s="116"/>
      <c r="DG542" s="116"/>
      <c r="DH542" s="116"/>
      <c r="DI542" s="116"/>
      <c r="DJ542" s="116"/>
      <c r="DK542" s="116"/>
      <c r="DL542" s="116"/>
      <c r="DM542" s="116"/>
      <c r="DN542" s="116"/>
      <c r="DO542" s="116"/>
      <c r="DP542" s="116"/>
      <c r="DQ542" s="116"/>
      <c r="DR542" s="116"/>
      <c r="DS542" s="116"/>
      <c r="DT542" s="116"/>
      <c r="DU542" s="116"/>
      <c r="DV542" s="116"/>
      <c r="DW542" s="116"/>
      <c r="DX542" s="116"/>
      <c r="DY542" s="116"/>
      <c r="DZ542" s="116"/>
      <c r="EA542" s="116"/>
      <c r="EB542" s="116"/>
    </row>
    <row r="543" spans="36:132" ht="12.75" hidden="1" customHeight="1">
      <c r="AJ543" s="116"/>
      <c r="AK543" s="116"/>
      <c r="AL543" s="116"/>
      <c r="AM543" s="116"/>
      <c r="AN543" s="116"/>
      <c r="AO543" s="116"/>
      <c r="AP543" s="116"/>
      <c r="AS543" s="116"/>
      <c r="AT543" s="116"/>
      <c r="BQ543" s="116"/>
      <c r="BR543" s="116"/>
      <c r="BS543" s="116"/>
      <c r="BT543" s="116"/>
      <c r="BU543" s="116"/>
      <c r="BV543" s="116"/>
      <c r="BW543" s="116"/>
      <c r="BX543" s="116"/>
      <c r="BY543" s="116"/>
      <c r="BZ543" s="116"/>
      <c r="CA543" s="116"/>
      <c r="CB543" s="116"/>
      <c r="CC543" s="116"/>
      <c r="CD543" s="116"/>
      <c r="CE543" s="116"/>
      <c r="CF543" s="116"/>
      <c r="CG543" s="116"/>
      <c r="CH543" s="116"/>
      <c r="CI543" s="116"/>
      <c r="CJ543" s="116"/>
      <c r="CK543" s="116"/>
      <c r="CL543" s="116"/>
      <c r="CM543" s="116"/>
      <c r="CN543" s="116"/>
      <c r="CO543" s="116"/>
      <c r="CP543" s="116"/>
      <c r="CQ543" s="116"/>
      <c r="CR543" s="116"/>
      <c r="CS543" s="116"/>
      <c r="CT543" s="116"/>
      <c r="CU543" s="116"/>
      <c r="CV543" s="116"/>
      <c r="CW543" s="116"/>
      <c r="CX543" s="116"/>
      <c r="CY543" s="116"/>
      <c r="CZ543" s="116"/>
      <c r="DA543" s="116"/>
      <c r="DB543" s="116"/>
      <c r="DC543" s="116"/>
      <c r="DD543" s="116"/>
      <c r="DE543" s="116"/>
      <c r="DF543" s="116"/>
      <c r="DG543" s="116"/>
      <c r="DH543" s="116"/>
      <c r="DI543" s="116"/>
      <c r="DJ543" s="116"/>
      <c r="DK543" s="116"/>
      <c r="DL543" s="116"/>
      <c r="DM543" s="116"/>
      <c r="DN543" s="116"/>
      <c r="DO543" s="116"/>
      <c r="DP543" s="116"/>
      <c r="DQ543" s="116"/>
      <c r="DR543" s="116"/>
      <c r="DS543" s="116"/>
      <c r="DT543" s="116"/>
      <c r="DU543" s="116"/>
      <c r="DV543" s="116"/>
      <c r="DW543" s="116"/>
      <c r="DX543" s="116"/>
      <c r="DY543" s="116"/>
      <c r="DZ543" s="116"/>
      <c r="EA543" s="116"/>
      <c r="EB543" s="116"/>
    </row>
    <row r="544" spans="36:132" ht="12.75" hidden="1" customHeight="1">
      <c r="AJ544" s="116"/>
      <c r="AK544" s="116"/>
      <c r="AL544" s="116"/>
      <c r="AM544" s="116"/>
      <c r="AN544" s="116"/>
      <c r="AO544" s="116"/>
      <c r="AP544" s="116"/>
      <c r="AS544" s="116"/>
      <c r="AT544" s="116"/>
      <c r="BQ544" s="116"/>
      <c r="BR544" s="116"/>
      <c r="BS544" s="116"/>
      <c r="BT544" s="116"/>
      <c r="BU544" s="116"/>
      <c r="BV544" s="116"/>
      <c r="BW544" s="116"/>
      <c r="BX544" s="116"/>
      <c r="BY544" s="116"/>
      <c r="BZ544" s="116"/>
      <c r="CA544" s="116"/>
      <c r="CB544" s="116"/>
      <c r="CC544" s="116"/>
      <c r="CD544" s="116"/>
      <c r="CE544" s="116"/>
      <c r="CF544" s="116"/>
      <c r="CG544" s="116"/>
      <c r="CH544" s="116"/>
      <c r="CI544" s="116"/>
      <c r="CJ544" s="116"/>
      <c r="CK544" s="116"/>
      <c r="CL544" s="116"/>
      <c r="CM544" s="116"/>
      <c r="CN544" s="116"/>
      <c r="CO544" s="116"/>
      <c r="CP544" s="116"/>
      <c r="CQ544" s="116"/>
      <c r="CR544" s="116"/>
      <c r="CS544" s="116"/>
      <c r="CT544" s="116"/>
      <c r="CU544" s="116"/>
      <c r="CV544" s="116"/>
      <c r="CW544" s="116"/>
      <c r="CX544" s="116"/>
      <c r="CY544" s="116"/>
      <c r="CZ544" s="116"/>
      <c r="DA544" s="116"/>
      <c r="DB544" s="116"/>
      <c r="DC544" s="116"/>
      <c r="DD544" s="116"/>
      <c r="DE544" s="116"/>
      <c r="DF544" s="116"/>
      <c r="DG544" s="116"/>
      <c r="DH544" s="116"/>
      <c r="DI544" s="116"/>
      <c r="DJ544" s="116"/>
      <c r="DK544" s="116"/>
      <c r="DL544" s="116"/>
      <c r="DM544" s="116"/>
      <c r="DN544" s="116"/>
      <c r="DO544" s="116"/>
      <c r="DP544" s="116"/>
      <c r="DQ544" s="116"/>
      <c r="DR544" s="116"/>
      <c r="DS544" s="116"/>
      <c r="DT544" s="116"/>
      <c r="DU544" s="116"/>
      <c r="DV544" s="116"/>
      <c r="DW544" s="116"/>
      <c r="DX544" s="116"/>
      <c r="DY544" s="116"/>
      <c r="DZ544" s="116"/>
      <c r="EA544" s="116"/>
      <c r="EB544" s="116"/>
    </row>
    <row r="545" spans="36:132" ht="12.75" hidden="1" customHeight="1">
      <c r="AJ545" s="116"/>
      <c r="AK545" s="116"/>
      <c r="AL545" s="116"/>
      <c r="AM545" s="116"/>
      <c r="AN545" s="116"/>
      <c r="AO545" s="116"/>
      <c r="AP545" s="116"/>
      <c r="AS545" s="116"/>
      <c r="AT545" s="116"/>
      <c r="BQ545" s="116"/>
      <c r="BR545" s="116"/>
      <c r="BS545" s="116"/>
      <c r="BT545" s="116"/>
      <c r="BU545" s="116"/>
      <c r="BV545" s="116"/>
      <c r="BW545" s="116"/>
      <c r="BX545" s="116"/>
      <c r="BY545" s="116"/>
      <c r="BZ545" s="116"/>
      <c r="CA545" s="116"/>
      <c r="CB545" s="116"/>
      <c r="CC545" s="116"/>
      <c r="CD545" s="116"/>
      <c r="CE545" s="116"/>
      <c r="CF545" s="116"/>
      <c r="CG545" s="116"/>
      <c r="CH545" s="116"/>
      <c r="CI545" s="116"/>
      <c r="CJ545" s="116"/>
      <c r="CK545" s="116"/>
      <c r="CL545" s="116"/>
      <c r="CM545" s="116"/>
      <c r="CN545" s="116"/>
      <c r="CO545" s="116"/>
      <c r="CP545" s="116"/>
      <c r="CQ545" s="116"/>
      <c r="CR545" s="116"/>
      <c r="CS545" s="116"/>
      <c r="CT545" s="116"/>
      <c r="CU545" s="116"/>
      <c r="CV545" s="116"/>
      <c r="CW545" s="116"/>
      <c r="CX545" s="116"/>
      <c r="CY545" s="116"/>
      <c r="CZ545" s="116"/>
      <c r="DA545" s="116"/>
      <c r="DB545" s="116"/>
      <c r="DC545" s="116"/>
      <c r="DD545" s="116"/>
      <c r="DE545" s="116"/>
      <c r="DF545" s="116"/>
      <c r="DG545" s="116"/>
      <c r="DH545" s="116"/>
      <c r="DI545" s="116"/>
      <c r="DJ545" s="116"/>
      <c r="DK545" s="116"/>
      <c r="DL545" s="116"/>
      <c r="DM545" s="116"/>
      <c r="DN545" s="116"/>
      <c r="DO545" s="116"/>
      <c r="DP545" s="116"/>
      <c r="DQ545" s="116"/>
      <c r="DR545" s="116"/>
      <c r="DS545" s="116"/>
      <c r="DT545" s="116"/>
      <c r="DU545" s="116"/>
      <c r="DV545" s="116"/>
      <c r="DW545" s="116"/>
      <c r="DX545" s="116"/>
      <c r="DY545" s="116"/>
      <c r="DZ545" s="116"/>
      <c r="EA545" s="116"/>
      <c r="EB545" s="116"/>
    </row>
    <row r="546" spans="36:132" ht="12.75" hidden="1" customHeight="1">
      <c r="AJ546" s="116"/>
      <c r="AK546" s="116"/>
      <c r="AL546" s="116"/>
      <c r="AM546" s="116"/>
      <c r="AN546" s="116"/>
      <c r="AO546" s="116"/>
      <c r="AP546" s="116"/>
      <c r="AS546" s="116"/>
      <c r="AT546" s="116"/>
      <c r="BQ546" s="116"/>
      <c r="BR546" s="116"/>
      <c r="BS546" s="116"/>
      <c r="BT546" s="116"/>
      <c r="BU546" s="116"/>
      <c r="BV546" s="116"/>
      <c r="BW546" s="116"/>
      <c r="BX546" s="116"/>
      <c r="BY546" s="116"/>
      <c r="BZ546" s="116"/>
      <c r="CA546" s="116"/>
      <c r="CB546" s="116"/>
      <c r="CC546" s="116"/>
      <c r="CD546" s="116"/>
      <c r="CE546" s="116"/>
      <c r="CF546" s="116"/>
      <c r="CG546" s="116"/>
      <c r="CH546" s="116"/>
      <c r="CI546" s="116"/>
      <c r="CJ546" s="116"/>
      <c r="CK546" s="116"/>
      <c r="CL546" s="116"/>
      <c r="CM546" s="116"/>
      <c r="CN546" s="116"/>
      <c r="CO546" s="116"/>
      <c r="CP546" s="116"/>
      <c r="CQ546" s="116"/>
      <c r="CR546" s="116"/>
      <c r="CS546" s="116"/>
      <c r="CT546" s="116"/>
      <c r="CU546" s="116"/>
      <c r="CV546" s="116"/>
      <c r="CW546" s="116"/>
      <c r="CX546" s="116"/>
      <c r="CY546" s="116"/>
      <c r="CZ546" s="116"/>
      <c r="DA546" s="116"/>
      <c r="DB546" s="116"/>
      <c r="DC546" s="116"/>
      <c r="DD546" s="116"/>
      <c r="DE546" s="116"/>
      <c r="DF546" s="116"/>
      <c r="DG546" s="116"/>
      <c r="DH546" s="116"/>
      <c r="DI546" s="116"/>
      <c r="DJ546" s="116"/>
      <c r="DK546" s="116"/>
      <c r="DL546" s="116"/>
      <c r="DM546" s="116"/>
      <c r="DN546" s="116"/>
      <c r="DO546" s="116"/>
      <c r="DP546" s="116"/>
      <c r="DQ546" s="116"/>
      <c r="DR546" s="116"/>
      <c r="DS546" s="116"/>
      <c r="DT546" s="116"/>
      <c r="DU546" s="116"/>
      <c r="DV546" s="116"/>
      <c r="DW546" s="116"/>
      <c r="DX546" s="116"/>
      <c r="DY546" s="116"/>
      <c r="DZ546" s="116"/>
      <c r="EA546" s="116"/>
      <c r="EB546" s="116"/>
    </row>
    <row r="547" spans="36:132" ht="12.75" hidden="1" customHeight="1">
      <c r="AJ547" s="116"/>
      <c r="AK547" s="116"/>
      <c r="AL547" s="116"/>
      <c r="AM547" s="116"/>
      <c r="AN547" s="116"/>
      <c r="AO547" s="116"/>
      <c r="AP547" s="116"/>
      <c r="AS547" s="116"/>
      <c r="AT547" s="116"/>
      <c r="BQ547" s="116"/>
      <c r="BR547" s="116"/>
      <c r="BS547" s="116"/>
      <c r="BT547" s="116"/>
      <c r="BU547" s="116"/>
      <c r="BV547" s="116"/>
      <c r="BW547" s="116"/>
      <c r="BX547" s="116"/>
      <c r="BY547" s="116"/>
      <c r="BZ547" s="116"/>
      <c r="CA547" s="116"/>
      <c r="CB547" s="116"/>
      <c r="CC547" s="116"/>
      <c r="CD547" s="116"/>
      <c r="CE547" s="116"/>
      <c r="CF547" s="116"/>
      <c r="CG547" s="116"/>
      <c r="CH547" s="116"/>
      <c r="CI547" s="116"/>
      <c r="CJ547" s="116"/>
      <c r="CK547" s="116"/>
      <c r="CL547" s="116"/>
      <c r="CM547" s="116"/>
      <c r="CN547" s="116"/>
      <c r="CO547" s="116"/>
      <c r="CP547" s="116"/>
      <c r="CQ547" s="116"/>
      <c r="CR547" s="116"/>
      <c r="CS547" s="116"/>
      <c r="CT547" s="116"/>
      <c r="CU547" s="116"/>
      <c r="CV547" s="116"/>
      <c r="CW547" s="116"/>
      <c r="CX547" s="116"/>
      <c r="CY547" s="116"/>
      <c r="CZ547" s="116"/>
      <c r="DA547" s="116"/>
      <c r="DB547" s="116"/>
      <c r="DC547" s="116"/>
      <c r="DD547" s="116"/>
      <c r="DE547" s="116"/>
      <c r="DF547" s="116"/>
      <c r="DG547" s="116"/>
      <c r="DH547" s="116"/>
      <c r="DI547" s="116"/>
      <c r="DJ547" s="116"/>
      <c r="DK547" s="116"/>
      <c r="DL547" s="116"/>
      <c r="DM547" s="116"/>
      <c r="DN547" s="116"/>
      <c r="DO547" s="116"/>
      <c r="DP547" s="116"/>
      <c r="DQ547" s="116"/>
      <c r="DR547" s="116"/>
      <c r="DS547" s="116"/>
      <c r="DT547" s="116"/>
      <c r="DU547" s="116"/>
      <c r="DV547" s="116"/>
      <c r="DW547" s="116"/>
      <c r="DX547" s="116"/>
      <c r="DY547" s="116"/>
      <c r="DZ547" s="116"/>
      <c r="EA547" s="116"/>
      <c r="EB547" s="116"/>
    </row>
    <row r="548" spans="36:132" ht="12.75" hidden="1" customHeight="1">
      <c r="AJ548" s="116"/>
      <c r="AK548" s="116"/>
      <c r="AL548" s="116"/>
      <c r="AM548" s="116"/>
      <c r="AN548" s="116"/>
      <c r="AO548" s="116"/>
      <c r="AP548" s="116"/>
      <c r="AS548" s="116"/>
      <c r="AT548" s="116"/>
      <c r="BQ548" s="116"/>
      <c r="BR548" s="116"/>
      <c r="BS548" s="116"/>
      <c r="BT548" s="116"/>
      <c r="BU548" s="116"/>
      <c r="BV548" s="116"/>
      <c r="BW548" s="116"/>
      <c r="BX548" s="116"/>
      <c r="BY548" s="116"/>
      <c r="BZ548" s="116"/>
      <c r="CA548" s="116"/>
      <c r="CB548" s="116"/>
      <c r="CC548" s="116"/>
      <c r="CD548" s="116"/>
      <c r="CE548" s="116"/>
      <c r="CF548" s="116"/>
      <c r="CG548" s="116"/>
      <c r="CH548" s="116"/>
      <c r="CI548" s="116"/>
      <c r="CJ548" s="116"/>
      <c r="CK548" s="116"/>
      <c r="CL548" s="116"/>
      <c r="CM548" s="116"/>
      <c r="CN548" s="116"/>
      <c r="CO548" s="116"/>
      <c r="CP548" s="116"/>
      <c r="CQ548" s="116"/>
      <c r="CR548" s="116"/>
      <c r="CS548" s="116"/>
      <c r="CT548" s="116"/>
      <c r="CU548" s="116"/>
      <c r="CV548" s="116"/>
      <c r="CW548" s="116"/>
      <c r="CX548" s="116"/>
      <c r="CY548" s="116"/>
      <c r="CZ548" s="116"/>
      <c r="DA548" s="116"/>
      <c r="DB548" s="116"/>
      <c r="DC548" s="116"/>
      <c r="DD548" s="116"/>
      <c r="DE548" s="116"/>
      <c r="DF548" s="116"/>
      <c r="DG548" s="116"/>
      <c r="DH548" s="116"/>
      <c r="DI548" s="116"/>
      <c r="DJ548" s="116"/>
      <c r="DK548" s="116"/>
      <c r="DL548" s="116"/>
      <c r="DM548" s="116"/>
      <c r="DN548" s="116"/>
      <c r="DO548" s="116"/>
      <c r="DP548" s="116"/>
      <c r="DQ548" s="116"/>
      <c r="DR548" s="116"/>
      <c r="DS548" s="116"/>
      <c r="DT548" s="116"/>
      <c r="DU548" s="116"/>
      <c r="DV548" s="116"/>
      <c r="DW548" s="116"/>
      <c r="DX548" s="116"/>
      <c r="DY548" s="116"/>
      <c r="DZ548" s="116"/>
      <c r="EA548" s="116"/>
      <c r="EB548" s="116"/>
    </row>
    <row r="549" spans="36:132" ht="12.75" hidden="1" customHeight="1">
      <c r="AJ549" s="116"/>
      <c r="AK549" s="116"/>
      <c r="AL549" s="116"/>
      <c r="AM549" s="116"/>
      <c r="AN549" s="116"/>
      <c r="AO549" s="116"/>
      <c r="AP549" s="116"/>
      <c r="AS549" s="116"/>
      <c r="AT549" s="116"/>
      <c r="BQ549" s="116"/>
      <c r="BR549" s="116"/>
      <c r="BS549" s="116"/>
      <c r="BT549" s="116"/>
      <c r="BU549" s="116"/>
      <c r="BV549" s="116"/>
      <c r="BW549" s="116"/>
      <c r="BX549" s="116"/>
      <c r="BY549" s="116"/>
      <c r="BZ549" s="116"/>
      <c r="CA549" s="116"/>
      <c r="CB549" s="116"/>
      <c r="CC549" s="116"/>
      <c r="CD549" s="116"/>
      <c r="CE549" s="116"/>
      <c r="CF549" s="116"/>
      <c r="CG549" s="116"/>
      <c r="CH549" s="116"/>
      <c r="CI549" s="116"/>
      <c r="CJ549" s="116"/>
      <c r="CK549" s="116"/>
      <c r="CL549" s="116"/>
      <c r="CM549" s="116"/>
      <c r="CN549" s="116"/>
      <c r="CO549" s="116"/>
      <c r="CP549" s="116"/>
      <c r="CQ549" s="116"/>
      <c r="CR549" s="116"/>
      <c r="CS549" s="116"/>
      <c r="CT549" s="116"/>
      <c r="CU549" s="116"/>
      <c r="CV549" s="116"/>
      <c r="CW549" s="116"/>
      <c r="CX549" s="116"/>
      <c r="CY549" s="116"/>
      <c r="CZ549" s="116"/>
      <c r="DA549" s="116"/>
      <c r="DB549" s="116"/>
      <c r="DC549" s="116"/>
      <c r="DD549" s="116"/>
      <c r="DE549" s="116"/>
      <c r="DF549" s="116"/>
      <c r="DG549" s="116"/>
      <c r="DH549" s="116"/>
      <c r="DI549" s="116"/>
      <c r="DJ549" s="116"/>
      <c r="DK549" s="116"/>
      <c r="DL549" s="116"/>
      <c r="DM549" s="116"/>
      <c r="DN549" s="116"/>
      <c r="DO549" s="116"/>
      <c r="DP549" s="116"/>
      <c r="DQ549" s="116"/>
      <c r="DR549" s="116"/>
      <c r="DS549" s="116"/>
      <c r="DT549" s="116"/>
      <c r="DU549" s="116"/>
      <c r="DV549" s="116"/>
      <c r="DW549" s="116"/>
      <c r="DX549" s="116"/>
      <c r="DY549" s="116"/>
      <c r="DZ549" s="116"/>
      <c r="EA549" s="116"/>
      <c r="EB549" s="116"/>
    </row>
    <row r="550" spans="36:132" ht="12.75" hidden="1" customHeight="1">
      <c r="AJ550" s="116"/>
      <c r="AK550" s="116"/>
      <c r="AL550" s="116"/>
      <c r="AM550" s="116"/>
      <c r="AN550" s="116"/>
      <c r="AO550" s="116"/>
      <c r="AP550" s="116"/>
      <c r="AS550" s="116"/>
      <c r="AT550" s="116"/>
      <c r="BQ550" s="116"/>
      <c r="BR550" s="116"/>
      <c r="BS550" s="116"/>
      <c r="BT550" s="116"/>
      <c r="BU550" s="116"/>
      <c r="BV550" s="116"/>
      <c r="BW550" s="116"/>
      <c r="BX550" s="116"/>
      <c r="BY550" s="116"/>
      <c r="BZ550" s="116"/>
      <c r="CA550" s="116"/>
      <c r="CB550" s="116"/>
      <c r="CC550" s="116"/>
      <c r="CD550" s="116"/>
      <c r="CE550" s="116"/>
      <c r="CF550" s="116"/>
      <c r="CG550" s="116"/>
      <c r="CH550" s="116"/>
      <c r="CI550" s="116"/>
      <c r="CJ550" s="116"/>
      <c r="CK550" s="116"/>
      <c r="CL550" s="116"/>
      <c r="CM550" s="116"/>
      <c r="CN550" s="116"/>
      <c r="CO550" s="116"/>
      <c r="CP550" s="116"/>
      <c r="CQ550" s="116"/>
      <c r="CR550" s="116"/>
      <c r="CS550" s="116"/>
      <c r="CT550" s="116"/>
      <c r="CU550" s="116"/>
      <c r="CV550" s="116"/>
      <c r="CW550" s="116"/>
      <c r="CX550" s="116"/>
      <c r="CY550" s="116"/>
      <c r="CZ550" s="116"/>
      <c r="DA550" s="116"/>
      <c r="DB550" s="116"/>
      <c r="DC550" s="116"/>
      <c r="DD550" s="116"/>
      <c r="DE550" s="116"/>
      <c r="DF550" s="116"/>
      <c r="DG550" s="116"/>
      <c r="DH550" s="116"/>
      <c r="DI550" s="116"/>
      <c r="DJ550" s="116"/>
      <c r="DK550" s="116"/>
      <c r="DL550" s="116"/>
      <c r="DM550" s="116"/>
      <c r="DN550" s="116"/>
      <c r="DO550" s="116"/>
      <c r="DP550" s="116"/>
      <c r="DQ550" s="116"/>
      <c r="DR550" s="116"/>
      <c r="DS550" s="116"/>
      <c r="DT550" s="116"/>
      <c r="DU550" s="116"/>
      <c r="DV550" s="116"/>
      <c r="DW550" s="116"/>
      <c r="DX550" s="116"/>
      <c r="DY550" s="116"/>
      <c r="DZ550" s="116"/>
      <c r="EA550" s="116"/>
      <c r="EB550" s="116"/>
    </row>
    <row r="551" spans="36:132" ht="12.75" hidden="1" customHeight="1">
      <c r="AJ551" s="116"/>
      <c r="AK551" s="116"/>
      <c r="AL551" s="116"/>
      <c r="AM551" s="116"/>
      <c r="AN551" s="116"/>
      <c r="AO551" s="116"/>
      <c r="AP551" s="116"/>
      <c r="AS551" s="116"/>
      <c r="AT551" s="116"/>
      <c r="BQ551" s="116"/>
      <c r="BR551" s="116"/>
      <c r="BS551" s="116"/>
      <c r="BT551" s="116"/>
      <c r="BU551" s="116"/>
      <c r="BV551" s="116"/>
      <c r="BW551" s="116"/>
      <c r="BX551" s="116"/>
      <c r="BY551" s="116"/>
      <c r="BZ551" s="116"/>
      <c r="CA551" s="116"/>
      <c r="CB551" s="116"/>
      <c r="CC551" s="116"/>
      <c r="CD551" s="116"/>
      <c r="CE551" s="116"/>
      <c r="CF551" s="116"/>
      <c r="CG551" s="116"/>
      <c r="CH551" s="116"/>
      <c r="CI551" s="116"/>
      <c r="CJ551" s="116"/>
      <c r="CK551" s="116"/>
      <c r="CL551" s="116"/>
      <c r="CM551" s="116"/>
      <c r="CN551" s="116"/>
      <c r="CO551" s="116"/>
      <c r="CP551" s="116"/>
      <c r="CQ551" s="116"/>
      <c r="CR551" s="116"/>
      <c r="CS551" s="116"/>
      <c r="CT551" s="116"/>
      <c r="CU551" s="116"/>
      <c r="CV551" s="116"/>
      <c r="CW551" s="116"/>
      <c r="CX551" s="116"/>
      <c r="CY551" s="116"/>
      <c r="CZ551" s="116"/>
      <c r="DA551" s="116"/>
      <c r="DB551" s="116"/>
      <c r="DC551" s="116"/>
      <c r="DD551" s="116"/>
      <c r="DE551" s="116"/>
      <c r="DF551" s="116"/>
      <c r="DG551" s="116"/>
      <c r="DH551" s="116"/>
      <c r="DI551" s="116"/>
      <c r="DJ551" s="116"/>
      <c r="DK551" s="116"/>
      <c r="DL551" s="116"/>
      <c r="DM551" s="116"/>
      <c r="DN551" s="116"/>
      <c r="DO551" s="116"/>
      <c r="DP551" s="116"/>
      <c r="DQ551" s="116"/>
      <c r="DR551" s="116"/>
      <c r="DS551" s="116"/>
      <c r="DT551" s="116"/>
      <c r="DU551" s="116"/>
      <c r="DV551" s="116"/>
      <c r="DW551" s="116"/>
      <c r="DX551" s="116"/>
      <c r="DY551" s="116"/>
      <c r="DZ551" s="116"/>
      <c r="EA551" s="116"/>
      <c r="EB551" s="116"/>
    </row>
    <row r="552" spans="36:132" ht="12.75" hidden="1" customHeight="1">
      <c r="AJ552" s="116"/>
      <c r="AK552" s="116"/>
      <c r="AL552" s="116"/>
      <c r="AM552" s="116"/>
      <c r="AN552" s="116"/>
      <c r="AO552" s="116"/>
      <c r="AP552" s="116"/>
      <c r="AS552" s="116"/>
      <c r="AT552" s="116"/>
      <c r="BQ552" s="116"/>
      <c r="BR552" s="116"/>
      <c r="BS552" s="116"/>
      <c r="BT552" s="116"/>
      <c r="BU552" s="116"/>
      <c r="BV552" s="116"/>
      <c r="BW552" s="116"/>
      <c r="BX552" s="116"/>
      <c r="BY552" s="116"/>
      <c r="BZ552" s="116"/>
      <c r="CA552" s="116"/>
      <c r="CB552" s="116"/>
      <c r="CC552" s="116"/>
      <c r="CD552" s="116"/>
      <c r="CE552" s="116"/>
      <c r="CF552" s="116"/>
      <c r="CG552" s="116"/>
      <c r="CH552" s="116"/>
      <c r="CI552" s="116"/>
      <c r="CJ552" s="116"/>
      <c r="CK552" s="116"/>
      <c r="CL552" s="116"/>
      <c r="CM552" s="116"/>
      <c r="CN552" s="116"/>
      <c r="CO552" s="116"/>
      <c r="CP552" s="116"/>
      <c r="CQ552" s="116"/>
      <c r="CR552" s="116"/>
      <c r="CS552" s="116"/>
      <c r="CT552" s="116"/>
      <c r="CU552" s="116"/>
      <c r="CV552" s="116"/>
      <c r="CW552" s="116"/>
      <c r="CX552" s="116"/>
      <c r="CY552" s="116"/>
      <c r="CZ552" s="116"/>
      <c r="DA552" s="116"/>
      <c r="DB552" s="116"/>
      <c r="DC552" s="116"/>
      <c r="DD552" s="116"/>
      <c r="DE552" s="116"/>
      <c r="DF552" s="116"/>
      <c r="DG552" s="116"/>
      <c r="DH552" s="116"/>
      <c r="DI552" s="116"/>
      <c r="DJ552" s="116"/>
      <c r="DK552" s="116"/>
      <c r="DL552" s="116"/>
      <c r="DM552" s="116"/>
      <c r="DN552" s="116"/>
      <c r="DO552" s="116"/>
      <c r="DP552" s="116"/>
      <c r="DQ552" s="116"/>
      <c r="DR552" s="116"/>
      <c r="DS552" s="116"/>
      <c r="DT552" s="116"/>
      <c r="DU552" s="116"/>
      <c r="DV552" s="116"/>
      <c r="DW552" s="116"/>
      <c r="DX552" s="116"/>
      <c r="DY552" s="116"/>
      <c r="DZ552" s="116"/>
      <c r="EA552" s="116"/>
      <c r="EB552" s="116"/>
    </row>
    <row r="553" spans="36:132" ht="12.75" hidden="1" customHeight="1">
      <c r="AJ553" s="116"/>
      <c r="AK553" s="116"/>
      <c r="AL553" s="116"/>
      <c r="AM553" s="116"/>
      <c r="AN553" s="116"/>
      <c r="AO553" s="116"/>
      <c r="AP553" s="116"/>
      <c r="AS553" s="116"/>
      <c r="AT553" s="116"/>
      <c r="BQ553" s="116"/>
      <c r="BR553" s="116"/>
      <c r="BS553" s="116"/>
      <c r="BT553" s="116"/>
      <c r="BU553" s="116"/>
      <c r="BV553" s="116"/>
      <c r="BW553" s="116"/>
      <c r="BX553" s="116"/>
      <c r="BY553" s="116"/>
      <c r="BZ553" s="116"/>
      <c r="CA553" s="116"/>
      <c r="CB553" s="116"/>
      <c r="CC553" s="116"/>
      <c r="CD553" s="116"/>
      <c r="CE553" s="116"/>
      <c r="CF553" s="116"/>
      <c r="CG553" s="116"/>
      <c r="CH553" s="116"/>
      <c r="CI553" s="116"/>
      <c r="CJ553" s="116"/>
      <c r="CK553" s="116"/>
      <c r="CL553" s="116"/>
      <c r="CM553" s="116"/>
      <c r="CN553" s="116"/>
      <c r="CO553" s="116"/>
      <c r="CP553" s="116"/>
      <c r="CQ553" s="116"/>
      <c r="CR553" s="116"/>
      <c r="CS553" s="116"/>
      <c r="CT553" s="116"/>
      <c r="CU553" s="116"/>
      <c r="CV553" s="116"/>
      <c r="CW553" s="116"/>
      <c r="CX553" s="116"/>
      <c r="CY553" s="116"/>
      <c r="CZ553" s="116"/>
      <c r="DA553" s="116"/>
      <c r="DB553" s="116"/>
      <c r="DC553" s="116"/>
      <c r="DD553" s="116"/>
      <c r="DE553" s="116"/>
      <c r="DF553" s="116"/>
      <c r="DG553" s="116"/>
      <c r="DH553" s="116"/>
      <c r="DI553" s="116"/>
      <c r="DJ553" s="116"/>
      <c r="DK553" s="116"/>
      <c r="DL553" s="116"/>
      <c r="DM553" s="116"/>
      <c r="DN553" s="116"/>
      <c r="DO553" s="116"/>
      <c r="DP553" s="116"/>
      <c r="DQ553" s="116"/>
      <c r="DR553" s="116"/>
      <c r="DS553" s="116"/>
      <c r="DT553" s="116"/>
      <c r="DU553" s="116"/>
      <c r="DV553" s="116"/>
      <c r="DW553" s="116"/>
      <c r="DX553" s="116"/>
      <c r="DY553" s="116"/>
      <c r="DZ553" s="116"/>
      <c r="EA553" s="116"/>
      <c r="EB553" s="116"/>
    </row>
    <row r="554" spans="36:132" ht="12.75" hidden="1" customHeight="1">
      <c r="AJ554" s="116"/>
      <c r="AK554" s="116"/>
      <c r="AL554" s="116"/>
      <c r="AM554" s="116"/>
      <c r="AN554" s="116"/>
      <c r="AO554" s="116"/>
      <c r="AP554" s="116"/>
      <c r="AS554" s="116"/>
      <c r="AT554" s="116"/>
      <c r="BQ554" s="116"/>
      <c r="BR554" s="116"/>
      <c r="BS554" s="116"/>
      <c r="BT554" s="116"/>
      <c r="BU554" s="116"/>
      <c r="BV554" s="116"/>
      <c r="BW554" s="116"/>
      <c r="BX554" s="116"/>
      <c r="BY554" s="116"/>
      <c r="BZ554" s="116"/>
      <c r="CA554" s="116"/>
      <c r="CB554" s="116"/>
      <c r="CC554" s="116"/>
      <c r="CD554" s="116"/>
      <c r="CE554" s="116"/>
      <c r="CF554" s="116"/>
      <c r="CG554" s="116"/>
      <c r="CH554" s="116"/>
      <c r="CI554" s="116"/>
      <c r="CJ554" s="116"/>
      <c r="CK554" s="116"/>
      <c r="CL554" s="116"/>
      <c r="CM554" s="116"/>
      <c r="CN554" s="116"/>
      <c r="CO554" s="116"/>
      <c r="CP554" s="116"/>
      <c r="CQ554" s="116"/>
      <c r="CR554" s="116"/>
      <c r="CS554" s="116"/>
      <c r="CT554" s="116"/>
      <c r="CU554" s="116"/>
      <c r="CV554" s="116"/>
      <c r="CW554" s="116"/>
      <c r="CX554" s="116"/>
      <c r="CY554" s="116"/>
      <c r="CZ554" s="116"/>
      <c r="DA554" s="116"/>
      <c r="DB554" s="116"/>
      <c r="DC554" s="116"/>
      <c r="DD554" s="116"/>
      <c r="DE554" s="116"/>
      <c r="DF554" s="116"/>
      <c r="DG554" s="116"/>
      <c r="DH554" s="116"/>
      <c r="DI554" s="116"/>
      <c r="DJ554" s="116"/>
      <c r="DK554" s="116"/>
      <c r="DL554" s="116"/>
      <c r="DM554" s="116"/>
      <c r="DN554" s="116"/>
      <c r="DO554" s="116"/>
      <c r="DP554" s="116"/>
      <c r="DQ554" s="116"/>
      <c r="DR554" s="116"/>
      <c r="DS554" s="116"/>
      <c r="DT554" s="116"/>
      <c r="DU554" s="116"/>
      <c r="DV554" s="116"/>
      <c r="DW554" s="116"/>
      <c r="DX554" s="116"/>
      <c r="DY554" s="116"/>
      <c r="DZ554" s="116"/>
      <c r="EA554" s="116"/>
      <c r="EB554" s="116"/>
    </row>
    <row r="555" spans="36:132" ht="12.75" hidden="1" customHeight="1">
      <c r="AJ555" s="116"/>
      <c r="AK555" s="116"/>
      <c r="AL555" s="116"/>
      <c r="AM555" s="116"/>
      <c r="AN555" s="116"/>
      <c r="AO555" s="116"/>
      <c r="AP555" s="116"/>
      <c r="AS555" s="116"/>
      <c r="AT555" s="116"/>
      <c r="BQ555" s="116"/>
      <c r="BR555" s="116"/>
      <c r="BS555" s="116"/>
      <c r="BT555" s="116"/>
      <c r="BU555" s="116"/>
      <c r="BV555" s="116"/>
      <c r="BW555" s="116"/>
      <c r="BX555" s="116"/>
      <c r="BY555" s="116"/>
      <c r="BZ555" s="116"/>
      <c r="CA555" s="116"/>
      <c r="CB555" s="116"/>
      <c r="CC555" s="116"/>
      <c r="CD555" s="116"/>
      <c r="CE555" s="116"/>
      <c r="CF555" s="116"/>
      <c r="CG555" s="116"/>
      <c r="CH555" s="116"/>
      <c r="CI555" s="116"/>
      <c r="CJ555" s="116"/>
      <c r="CK555" s="116"/>
      <c r="CL555" s="116"/>
      <c r="CM555" s="116"/>
      <c r="CN555" s="116"/>
      <c r="CO555" s="116"/>
      <c r="CP555" s="116"/>
      <c r="CQ555" s="116"/>
      <c r="CR555" s="116"/>
      <c r="CS555" s="116"/>
      <c r="CT555" s="116"/>
      <c r="CU555" s="116"/>
      <c r="CV555" s="116"/>
      <c r="CW555" s="116"/>
      <c r="CX555" s="116"/>
      <c r="CY555" s="116"/>
      <c r="CZ555" s="116"/>
      <c r="DA555" s="116"/>
      <c r="DB555" s="116"/>
      <c r="DC555" s="116"/>
      <c r="DD555" s="116"/>
      <c r="DE555" s="116"/>
      <c r="DF555" s="116"/>
      <c r="DG555" s="116"/>
      <c r="DH555" s="116"/>
      <c r="DI555" s="116"/>
      <c r="DJ555" s="116"/>
      <c r="DK555" s="116"/>
      <c r="DL555" s="116"/>
      <c r="DM555" s="116"/>
      <c r="DN555" s="116"/>
      <c r="DO555" s="116"/>
      <c r="DP555" s="116"/>
      <c r="DQ555" s="116"/>
      <c r="DR555" s="116"/>
      <c r="DS555" s="116"/>
      <c r="DT555" s="116"/>
      <c r="DU555" s="116"/>
      <c r="DV555" s="116"/>
      <c r="DW555" s="116"/>
      <c r="DX555" s="116"/>
      <c r="DY555" s="116"/>
      <c r="DZ555" s="116"/>
      <c r="EA555" s="116"/>
      <c r="EB555" s="116"/>
    </row>
    <row r="556" spans="36:132" ht="12.75" hidden="1" customHeight="1">
      <c r="AJ556" s="116"/>
      <c r="AK556" s="116"/>
      <c r="AL556" s="116"/>
      <c r="AM556" s="116"/>
      <c r="AN556" s="116"/>
      <c r="AO556" s="116"/>
      <c r="AP556" s="116"/>
      <c r="AS556" s="116"/>
      <c r="AT556" s="116"/>
      <c r="BQ556" s="116"/>
      <c r="BR556" s="116"/>
      <c r="BS556" s="116"/>
      <c r="BT556" s="116"/>
      <c r="BU556" s="116"/>
      <c r="BV556" s="116"/>
      <c r="BW556" s="116"/>
      <c r="BX556" s="116"/>
      <c r="BY556" s="116"/>
      <c r="BZ556" s="116"/>
      <c r="CA556" s="116"/>
      <c r="CB556" s="116"/>
      <c r="CC556" s="116"/>
      <c r="CD556" s="116"/>
      <c r="CE556" s="116"/>
      <c r="CF556" s="116"/>
      <c r="CG556" s="116"/>
      <c r="CH556" s="116"/>
      <c r="CI556" s="116"/>
      <c r="CJ556" s="116"/>
      <c r="CK556" s="116"/>
      <c r="CL556" s="116"/>
      <c r="CM556" s="116"/>
      <c r="CN556" s="116"/>
      <c r="CO556" s="116"/>
      <c r="CP556" s="116"/>
      <c r="CQ556" s="116"/>
      <c r="CR556" s="116"/>
      <c r="CS556" s="116"/>
      <c r="CT556" s="116"/>
      <c r="CU556" s="116"/>
      <c r="CV556" s="116"/>
      <c r="CW556" s="116"/>
      <c r="CX556" s="116"/>
      <c r="CY556" s="116"/>
      <c r="CZ556" s="116"/>
      <c r="DA556" s="116"/>
      <c r="DB556" s="116"/>
      <c r="DC556" s="116"/>
      <c r="DD556" s="116"/>
      <c r="DE556" s="116"/>
      <c r="DF556" s="116"/>
      <c r="DG556" s="116"/>
      <c r="DH556" s="116"/>
      <c r="DI556" s="116"/>
      <c r="DJ556" s="116"/>
      <c r="DK556" s="116"/>
      <c r="DL556" s="116"/>
      <c r="DM556" s="116"/>
      <c r="DN556" s="116"/>
      <c r="DO556" s="116"/>
      <c r="DP556" s="116"/>
      <c r="DQ556" s="116"/>
      <c r="DR556" s="116"/>
      <c r="DS556" s="116"/>
      <c r="DT556" s="116"/>
      <c r="DU556" s="116"/>
      <c r="DV556" s="116"/>
      <c r="DW556" s="116"/>
      <c r="DX556" s="116"/>
      <c r="DY556" s="116"/>
      <c r="DZ556" s="116"/>
      <c r="EA556" s="116"/>
      <c r="EB556" s="116"/>
    </row>
    <row r="557" spans="36:132" ht="12.75" hidden="1" customHeight="1">
      <c r="AJ557" s="116"/>
      <c r="AK557" s="116"/>
      <c r="AL557" s="116"/>
      <c r="AM557" s="116"/>
      <c r="AN557" s="116"/>
      <c r="AO557" s="116"/>
      <c r="AP557" s="116"/>
      <c r="AS557" s="116"/>
      <c r="AT557" s="116"/>
      <c r="BQ557" s="116"/>
      <c r="BR557" s="116"/>
      <c r="BS557" s="116"/>
      <c r="BT557" s="116"/>
      <c r="BU557" s="116"/>
      <c r="BV557" s="116"/>
      <c r="BW557" s="116"/>
      <c r="BX557" s="116"/>
      <c r="BY557" s="116"/>
      <c r="BZ557" s="116"/>
      <c r="CA557" s="116"/>
      <c r="CB557" s="116"/>
      <c r="CC557" s="116"/>
      <c r="CD557" s="116"/>
      <c r="CE557" s="116"/>
      <c r="CF557" s="116"/>
      <c r="CG557" s="116"/>
      <c r="CH557" s="116"/>
      <c r="CI557" s="116"/>
      <c r="CJ557" s="116"/>
      <c r="CK557" s="116"/>
      <c r="CL557" s="116"/>
      <c r="CM557" s="116"/>
      <c r="CN557" s="116"/>
      <c r="CO557" s="116"/>
      <c r="CP557" s="116"/>
      <c r="CQ557" s="116"/>
      <c r="CR557" s="116"/>
      <c r="CS557" s="116"/>
      <c r="CT557" s="116"/>
      <c r="CU557" s="116"/>
      <c r="CV557" s="116"/>
      <c r="CW557" s="116"/>
      <c r="CX557" s="116"/>
      <c r="CY557" s="116"/>
      <c r="CZ557" s="116"/>
      <c r="DA557" s="116"/>
      <c r="DB557" s="116"/>
      <c r="DC557" s="116"/>
      <c r="DD557" s="116"/>
      <c r="DE557" s="116"/>
      <c r="DF557" s="116"/>
      <c r="DG557" s="116"/>
      <c r="DH557" s="116"/>
      <c r="DI557" s="116"/>
      <c r="DJ557" s="116"/>
      <c r="DK557" s="116"/>
      <c r="DL557" s="116"/>
      <c r="DM557" s="116"/>
      <c r="DN557" s="116"/>
      <c r="DO557" s="116"/>
      <c r="DP557" s="116"/>
      <c r="DQ557" s="116"/>
      <c r="DR557" s="116"/>
      <c r="DS557" s="116"/>
      <c r="DT557" s="116"/>
      <c r="DU557" s="116"/>
      <c r="DV557" s="116"/>
      <c r="DW557" s="116"/>
      <c r="DX557" s="116"/>
      <c r="DY557" s="116"/>
      <c r="DZ557" s="116"/>
      <c r="EA557" s="116"/>
      <c r="EB557" s="116"/>
    </row>
    <row r="558" spans="36:132" ht="12.75" hidden="1" customHeight="1">
      <c r="AJ558" s="116"/>
      <c r="AK558" s="116"/>
      <c r="AL558" s="116"/>
      <c r="AM558" s="116"/>
      <c r="AN558" s="116"/>
      <c r="AO558" s="116"/>
      <c r="AP558" s="116"/>
      <c r="AS558" s="116"/>
      <c r="AT558" s="116"/>
      <c r="BQ558" s="116"/>
      <c r="BR558" s="116"/>
      <c r="BS558" s="116"/>
      <c r="BT558" s="116"/>
      <c r="BU558" s="116"/>
      <c r="BV558" s="116"/>
      <c r="BW558" s="116"/>
      <c r="BX558" s="116"/>
      <c r="BY558" s="116"/>
      <c r="BZ558" s="116"/>
      <c r="CA558" s="116"/>
      <c r="CB558" s="116"/>
      <c r="CC558" s="116"/>
      <c r="CD558" s="116"/>
      <c r="CE558" s="116"/>
      <c r="CF558" s="116"/>
      <c r="CG558" s="116"/>
      <c r="CH558" s="116"/>
      <c r="CI558" s="116"/>
      <c r="CJ558" s="116"/>
      <c r="CK558" s="116"/>
      <c r="CL558" s="116"/>
      <c r="CM558" s="116"/>
      <c r="CN558" s="116"/>
      <c r="CO558" s="116"/>
      <c r="CP558" s="116"/>
      <c r="CQ558" s="116"/>
      <c r="CR558" s="116"/>
      <c r="CS558" s="116"/>
      <c r="CT558" s="116"/>
      <c r="CU558" s="116"/>
      <c r="CV558" s="116"/>
      <c r="CW558" s="116"/>
      <c r="CX558" s="116"/>
      <c r="CY558" s="116"/>
      <c r="CZ558" s="116"/>
      <c r="DA558" s="116"/>
      <c r="DB558" s="116"/>
      <c r="DC558" s="116"/>
      <c r="DD558" s="116"/>
      <c r="DE558" s="116"/>
      <c r="DF558" s="116"/>
      <c r="DG558" s="116"/>
      <c r="DH558" s="116"/>
      <c r="DI558" s="116"/>
      <c r="DJ558" s="116"/>
      <c r="DK558" s="116"/>
      <c r="DL558" s="116"/>
      <c r="DM558" s="116"/>
      <c r="DN558" s="116"/>
      <c r="DO558" s="116"/>
      <c r="DP558" s="116"/>
      <c r="DQ558" s="116"/>
      <c r="DR558" s="116"/>
      <c r="DS558" s="116"/>
      <c r="DT558" s="116"/>
      <c r="DU558" s="116"/>
      <c r="DV558" s="116"/>
      <c r="DW558" s="116"/>
      <c r="DX558" s="116"/>
      <c r="DY558" s="116"/>
      <c r="DZ558" s="116"/>
      <c r="EA558" s="116"/>
      <c r="EB558" s="116"/>
    </row>
    <row r="559" spans="36:132" ht="12.75" hidden="1" customHeight="1">
      <c r="AJ559" s="116"/>
      <c r="AK559" s="116"/>
      <c r="AL559" s="116"/>
      <c r="AM559" s="116"/>
      <c r="AN559" s="116"/>
      <c r="AO559" s="116"/>
      <c r="AP559" s="116"/>
      <c r="AS559" s="116"/>
      <c r="AT559" s="116"/>
      <c r="BQ559" s="116"/>
      <c r="BR559" s="116"/>
      <c r="BS559" s="116"/>
      <c r="BT559" s="116"/>
      <c r="BU559" s="116"/>
      <c r="BV559" s="116"/>
      <c r="BW559" s="116"/>
      <c r="BX559" s="116"/>
      <c r="BY559" s="116"/>
      <c r="BZ559" s="116"/>
      <c r="CA559" s="116"/>
      <c r="CB559" s="116"/>
      <c r="CC559" s="116"/>
      <c r="CD559" s="116"/>
      <c r="CE559" s="116"/>
      <c r="CF559" s="116"/>
      <c r="CG559" s="116"/>
      <c r="CH559" s="116"/>
      <c r="CI559" s="116"/>
      <c r="CJ559" s="116"/>
      <c r="CK559" s="116"/>
      <c r="CL559" s="116"/>
      <c r="CM559" s="116"/>
      <c r="CN559" s="116"/>
      <c r="CO559" s="116"/>
      <c r="CP559" s="116"/>
      <c r="CQ559" s="116"/>
      <c r="CR559" s="116"/>
      <c r="CS559" s="116"/>
      <c r="CT559" s="116"/>
      <c r="CU559" s="116"/>
      <c r="CV559" s="116"/>
      <c r="CW559" s="116"/>
      <c r="CX559" s="116"/>
      <c r="CY559" s="116"/>
      <c r="CZ559" s="116"/>
      <c r="DA559" s="116"/>
      <c r="DB559" s="116"/>
      <c r="DC559" s="116"/>
      <c r="DD559" s="116"/>
      <c r="DE559" s="116"/>
      <c r="DF559" s="116"/>
      <c r="DG559" s="116"/>
      <c r="DH559" s="116"/>
      <c r="DI559" s="116"/>
      <c r="DJ559" s="116"/>
      <c r="DK559" s="116"/>
      <c r="DL559" s="116"/>
      <c r="DM559" s="116"/>
      <c r="DN559" s="116"/>
      <c r="DO559" s="116"/>
      <c r="DP559" s="116"/>
      <c r="DQ559" s="116"/>
      <c r="DR559" s="116"/>
      <c r="DS559" s="116"/>
      <c r="DT559" s="116"/>
      <c r="DU559" s="116"/>
      <c r="DV559" s="116"/>
      <c r="DW559" s="116"/>
      <c r="DX559" s="116"/>
      <c r="DY559" s="116"/>
      <c r="DZ559" s="116"/>
      <c r="EA559" s="116"/>
      <c r="EB559" s="116"/>
    </row>
    <row r="560" spans="36:132" ht="12.75" hidden="1" customHeight="1">
      <c r="AJ560" s="116"/>
      <c r="AK560" s="116"/>
      <c r="AL560" s="116"/>
      <c r="AM560" s="116"/>
      <c r="AN560" s="116"/>
      <c r="AO560" s="116"/>
      <c r="AP560" s="116"/>
      <c r="AS560" s="116"/>
      <c r="AT560" s="116"/>
      <c r="BQ560" s="116"/>
      <c r="BR560" s="116"/>
      <c r="BS560" s="116"/>
      <c r="BT560" s="116"/>
      <c r="BU560" s="116"/>
      <c r="BV560" s="116"/>
      <c r="BW560" s="116"/>
      <c r="BX560" s="116"/>
      <c r="BY560" s="116"/>
      <c r="BZ560" s="116"/>
      <c r="CA560" s="116"/>
      <c r="CB560" s="116"/>
      <c r="CC560" s="116"/>
      <c r="CD560" s="116"/>
      <c r="CE560" s="116"/>
      <c r="CF560" s="116"/>
      <c r="CG560" s="116"/>
      <c r="CH560" s="116"/>
      <c r="CI560" s="116"/>
      <c r="CJ560" s="116"/>
      <c r="CK560" s="116"/>
      <c r="CL560" s="116"/>
      <c r="CM560" s="116"/>
      <c r="CN560" s="116"/>
      <c r="CO560" s="116"/>
      <c r="CP560" s="116"/>
      <c r="CQ560" s="116"/>
      <c r="CR560" s="116"/>
      <c r="CS560" s="116"/>
      <c r="CT560" s="116"/>
      <c r="CU560" s="116"/>
      <c r="CV560" s="116"/>
      <c r="CW560" s="116"/>
      <c r="CX560" s="116"/>
      <c r="CY560" s="116"/>
      <c r="CZ560" s="116"/>
      <c r="DA560" s="116"/>
      <c r="DB560" s="116"/>
      <c r="DC560" s="116"/>
      <c r="DD560" s="116"/>
      <c r="DE560" s="116"/>
      <c r="DF560" s="116"/>
      <c r="DG560" s="116"/>
      <c r="DH560" s="116"/>
      <c r="DI560" s="116"/>
      <c r="DJ560" s="116"/>
      <c r="DK560" s="116"/>
      <c r="DL560" s="116"/>
      <c r="DM560" s="116"/>
      <c r="DN560" s="116"/>
      <c r="DO560" s="116"/>
      <c r="DP560" s="116"/>
      <c r="DQ560" s="116"/>
      <c r="DR560" s="116"/>
      <c r="DS560" s="116"/>
      <c r="DT560" s="116"/>
      <c r="DU560" s="116"/>
      <c r="DV560" s="116"/>
      <c r="DW560" s="116"/>
      <c r="DX560" s="116"/>
      <c r="DY560" s="116"/>
      <c r="DZ560" s="116"/>
      <c r="EA560" s="116"/>
      <c r="EB560" s="116"/>
    </row>
    <row r="561" spans="36:132" ht="12.75" hidden="1" customHeight="1">
      <c r="AJ561" s="116"/>
      <c r="AK561" s="116"/>
      <c r="AL561" s="116"/>
      <c r="AM561" s="116"/>
      <c r="AN561" s="116"/>
      <c r="AO561" s="116"/>
      <c r="AP561" s="116"/>
      <c r="AS561" s="116"/>
      <c r="AT561" s="116"/>
      <c r="BQ561" s="116"/>
      <c r="BR561" s="116"/>
      <c r="BS561" s="116"/>
      <c r="BT561" s="116"/>
      <c r="BU561" s="116"/>
      <c r="BV561" s="116"/>
      <c r="BW561" s="116"/>
      <c r="BX561" s="116"/>
      <c r="BY561" s="116"/>
      <c r="BZ561" s="116"/>
      <c r="CA561" s="116"/>
      <c r="CB561" s="116"/>
      <c r="CC561" s="116"/>
      <c r="CD561" s="116"/>
      <c r="CE561" s="116"/>
      <c r="CF561" s="116"/>
      <c r="CG561" s="116"/>
      <c r="CH561" s="116"/>
      <c r="CI561" s="116"/>
      <c r="CJ561" s="116"/>
      <c r="CK561" s="116"/>
      <c r="CL561" s="116"/>
      <c r="CM561" s="116"/>
      <c r="CN561" s="116"/>
      <c r="CO561" s="116"/>
      <c r="CP561" s="116"/>
      <c r="CQ561" s="116"/>
      <c r="CR561" s="116"/>
      <c r="CS561" s="116"/>
      <c r="CT561" s="116"/>
      <c r="CU561" s="116"/>
      <c r="CV561" s="116"/>
      <c r="CW561" s="116"/>
      <c r="CX561" s="116"/>
      <c r="CY561" s="116"/>
      <c r="CZ561" s="116"/>
      <c r="DA561" s="116"/>
      <c r="DB561" s="116"/>
      <c r="DC561" s="116"/>
      <c r="DD561" s="116"/>
      <c r="DE561" s="116"/>
      <c r="DF561" s="116"/>
      <c r="DG561" s="116"/>
      <c r="DH561" s="116"/>
      <c r="DI561" s="116"/>
      <c r="DJ561" s="116"/>
      <c r="DK561" s="116"/>
      <c r="DL561" s="116"/>
      <c r="DM561" s="116"/>
      <c r="DN561" s="116"/>
      <c r="DO561" s="116"/>
      <c r="DP561" s="116"/>
      <c r="DQ561" s="116"/>
      <c r="DR561" s="116"/>
      <c r="DS561" s="116"/>
      <c r="DT561" s="116"/>
      <c r="DU561" s="116"/>
      <c r="DV561" s="116"/>
      <c r="DW561" s="116"/>
      <c r="DX561" s="116"/>
      <c r="DY561" s="116"/>
      <c r="DZ561" s="116"/>
      <c r="EA561" s="116"/>
      <c r="EB561" s="116"/>
    </row>
    <row r="562" spans="36:132" ht="12.75" hidden="1" customHeight="1">
      <c r="AJ562" s="116"/>
      <c r="AK562" s="116"/>
      <c r="AL562" s="116"/>
      <c r="AM562" s="116"/>
      <c r="AN562" s="116"/>
      <c r="AO562" s="116"/>
      <c r="AP562" s="116"/>
      <c r="AS562" s="116"/>
      <c r="AT562" s="116"/>
      <c r="BQ562" s="116"/>
      <c r="BR562" s="116"/>
      <c r="BS562" s="116"/>
      <c r="BT562" s="116"/>
      <c r="BU562" s="116"/>
      <c r="BV562" s="116"/>
      <c r="BW562" s="116"/>
      <c r="BX562" s="116"/>
      <c r="BY562" s="116"/>
      <c r="BZ562" s="116"/>
      <c r="CA562" s="116"/>
      <c r="CB562" s="116"/>
      <c r="CC562" s="116"/>
      <c r="CD562" s="116"/>
      <c r="CE562" s="116"/>
      <c r="CF562" s="116"/>
      <c r="CG562" s="116"/>
      <c r="CH562" s="116"/>
      <c r="CI562" s="116"/>
      <c r="CJ562" s="116"/>
      <c r="CK562" s="116"/>
      <c r="CL562" s="116"/>
      <c r="CM562" s="116"/>
      <c r="CN562" s="116"/>
      <c r="CO562" s="116"/>
      <c r="CP562" s="116"/>
      <c r="CQ562" s="116"/>
      <c r="CR562" s="116"/>
      <c r="CS562" s="116"/>
      <c r="CT562" s="116"/>
      <c r="CU562" s="116"/>
      <c r="CV562" s="116"/>
      <c r="CW562" s="116"/>
      <c r="CX562" s="116"/>
      <c r="CY562" s="116"/>
      <c r="CZ562" s="116"/>
      <c r="DA562" s="116"/>
      <c r="DB562" s="116"/>
      <c r="DC562" s="116"/>
      <c r="DD562" s="116"/>
      <c r="DE562" s="116"/>
      <c r="DF562" s="116"/>
      <c r="DG562" s="116"/>
      <c r="DH562" s="116"/>
      <c r="DI562" s="116"/>
      <c r="DJ562" s="116"/>
      <c r="DK562" s="116"/>
      <c r="DL562" s="116"/>
      <c r="DM562" s="116"/>
      <c r="DN562" s="116"/>
      <c r="DO562" s="116"/>
      <c r="DP562" s="116"/>
      <c r="DQ562" s="116"/>
      <c r="DR562" s="116"/>
      <c r="DS562" s="116"/>
      <c r="DT562" s="116"/>
      <c r="DU562" s="116"/>
      <c r="DV562" s="116"/>
      <c r="DW562" s="116"/>
      <c r="DX562" s="116"/>
      <c r="DY562" s="116"/>
      <c r="DZ562" s="116"/>
      <c r="EA562" s="116"/>
      <c r="EB562" s="116"/>
    </row>
    <row r="563" spans="36:132" ht="12.75" hidden="1" customHeight="1">
      <c r="AJ563" s="116"/>
      <c r="AK563" s="116"/>
      <c r="AL563" s="116"/>
      <c r="AM563" s="116"/>
      <c r="AN563" s="116"/>
      <c r="AO563" s="116"/>
      <c r="AP563" s="116"/>
      <c r="AS563" s="116"/>
      <c r="AT563" s="116"/>
      <c r="BQ563" s="116"/>
      <c r="BR563" s="116"/>
      <c r="BS563" s="116"/>
      <c r="BT563" s="116"/>
      <c r="BU563" s="116"/>
      <c r="BV563" s="116"/>
      <c r="BW563" s="116"/>
      <c r="BX563" s="116"/>
      <c r="BY563" s="116"/>
      <c r="BZ563" s="116"/>
      <c r="CA563" s="116"/>
      <c r="CB563" s="116"/>
      <c r="CC563" s="116"/>
      <c r="CD563" s="116"/>
      <c r="CE563" s="116"/>
      <c r="CF563" s="116"/>
      <c r="CG563" s="116"/>
      <c r="CH563" s="116"/>
      <c r="CI563" s="116"/>
      <c r="CJ563" s="116"/>
      <c r="CK563" s="116"/>
      <c r="CL563" s="116"/>
      <c r="CM563" s="116"/>
      <c r="CN563" s="116"/>
      <c r="CO563" s="116"/>
      <c r="CP563" s="116"/>
      <c r="CQ563" s="116"/>
      <c r="CR563" s="116"/>
      <c r="CS563" s="116"/>
      <c r="CT563" s="116"/>
      <c r="CU563" s="116"/>
      <c r="CV563" s="116"/>
      <c r="CW563" s="116"/>
      <c r="CX563" s="116"/>
      <c r="CY563" s="116"/>
      <c r="CZ563" s="116"/>
      <c r="DA563" s="116"/>
      <c r="DB563" s="116"/>
      <c r="DC563" s="116"/>
      <c r="DD563" s="116"/>
      <c r="DE563" s="116"/>
      <c r="DF563" s="116"/>
      <c r="DG563" s="116"/>
      <c r="DH563" s="116"/>
      <c r="DI563" s="116"/>
      <c r="DJ563" s="116"/>
      <c r="DK563" s="116"/>
      <c r="DL563" s="116"/>
      <c r="DM563" s="116"/>
      <c r="DN563" s="116"/>
      <c r="DO563" s="116"/>
      <c r="DP563" s="116"/>
      <c r="DQ563" s="116"/>
      <c r="DR563" s="116"/>
      <c r="DS563" s="116"/>
      <c r="DT563" s="116"/>
      <c r="DU563" s="116"/>
      <c r="DV563" s="116"/>
      <c r="DW563" s="116"/>
      <c r="DX563" s="116"/>
      <c r="DY563" s="116"/>
      <c r="DZ563" s="116"/>
      <c r="EA563" s="116"/>
      <c r="EB563" s="116"/>
    </row>
    <row r="564" spans="36:132" ht="12.75" hidden="1" customHeight="1">
      <c r="AJ564" s="116"/>
      <c r="AK564" s="116"/>
      <c r="AL564" s="116"/>
      <c r="AM564" s="116"/>
      <c r="AN564" s="116"/>
      <c r="AO564" s="116"/>
      <c r="AP564" s="116"/>
      <c r="AS564" s="116"/>
      <c r="AT564" s="116"/>
      <c r="BQ564" s="116"/>
      <c r="BR564" s="116"/>
      <c r="BS564" s="116"/>
      <c r="BT564" s="116"/>
      <c r="BU564" s="116"/>
      <c r="BV564" s="116"/>
      <c r="BW564" s="116"/>
      <c r="BX564" s="116"/>
      <c r="BY564" s="116"/>
      <c r="BZ564" s="116"/>
      <c r="CA564" s="116"/>
      <c r="CB564" s="116"/>
      <c r="CC564" s="116"/>
      <c r="CD564" s="116"/>
      <c r="CE564" s="116"/>
      <c r="CF564" s="116"/>
      <c r="CG564" s="116"/>
      <c r="CH564" s="116"/>
      <c r="CI564" s="116"/>
      <c r="CJ564" s="116"/>
      <c r="CK564" s="116"/>
      <c r="CL564" s="116"/>
      <c r="CM564" s="116"/>
      <c r="CN564" s="116"/>
      <c r="CO564" s="116"/>
      <c r="CP564" s="116"/>
      <c r="CQ564" s="116"/>
      <c r="CR564" s="116"/>
      <c r="CS564" s="116"/>
      <c r="CT564" s="116"/>
      <c r="CU564" s="116"/>
      <c r="CV564" s="116"/>
      <c r="CW564" s="116"/>
      <c r="CX564" s="116"/>
      <c r="CY564" s="116"/>
      <c r="CZ564" s="116"/>
      <c r="DA564" s="116"/>
      <c r="DB564" s="116"/>
      <c r="DC564" s="116"/>
      <c r="DD564" s="116"/>
      <c r="DE564" s="116"/>
      <c r="DF564" s="116"/>
      <c r="DG564" s="116"/>
      <c r="DH564" s="116"/>
      <c r="DI564" s="116"/>
      <c r="DJ564" s="116"/>
      <c r="DK564" s="116"/>
      <c r="DL564" s="116"/>
      <c r="DM564" s="116"/>
      <c r="DN564" s="116"/>
      <c r="DO564" s="116"/>
      <c r="DP564" s="116"/>
      <c r="DQ564" s="116"/>
      <c r="DR564" s="116"/>
      <c r="DS564" s="116"/>
      <c r="DT564" s="116"/>
      <c r="DU564" s="116"/>
      <c r="DV564" s="116"/>
      <c r="DW564" s="116"/>
      <c r="DX564" s="116"/>
      <c r="DY564" s="116"/>
      <c r="DZ564" s="116"/>
      <c r="EA564" s="116"/>
      <c r="EB564" s="116"/>
    </row>
    <row r="565" spans="36:132" ht="12.75" hidden="1" customHeight="1">
      <c r="AJ565" s="116"/>
      <c r="AK565" s="116"/>
      <c r="AL565" s="116"/>
      <c r="AM565" s="116"/>
      <c r="AN565" s="116"/>
      <c r="AO565" s="116"/>
      <c r="AP565" s="116"/>
      <c r="AS565" s="116"/>
      <c r="AT565" s="116"/>
      <c r="BQ565" s="116"/>
      <c r="BR565" s="116"/>
      <c r="BS565" s="116"/>
      <c r="BT565" s="116"/>
      <c r="BU565" s="116"/>
      <c r="BV565" s="116"/>
      <c r="BW565" s="116"/>
      <c r="BX565" s="116"/>
      <c r="BY565" s="116"/>
      <c r="BZ565" s="116"/>
      <c r="CA565" s="116"/>
      <c r="CB565" s="116"/>
      <c r="CC565" s="116"/>
      <c r="CD565" s="116"/>
      <c r="CE565" s="116"/>
      <c r="CF565" s="116"/>
      <c r="CG565" s="116"/>
      <c r="CH565" s="116"/>
      <c r="CI565" s="116"/>
      <c r="CJ565" s="116"/>
      <c r="CK565" s="116"/>
      <c r="CL565" s="116"/>
      <c r="CM565" s="116"/>
      <c r="CN565" s="116"/>
      <c r="CO565" s="116"/>
      <c r="CP565" s="116"/>
      <c r="CQ565" s="116"/>
      <c r="CR565" s="116"/>
      <c r="CS565" s="116"/>
      <c r="CT565" s="116"/>
      <c r="CU565" s="116"/>
      <c r="CV565" s="116"/>
      <c r="CW565" s="116"/>
      <c r="CX565" s="116"/>
      <c r="CY565" s="116"/>
      <c r="CZ565" s="116"/>
      <c r="DA565" s="116"/>
      <c r="DB565" s="116"/>
      <c r="DC565" s="116"/>
      <c r="DD565" s="116"/>
      <c r="DE565" s="116"/>
      <c r="DF565" s="116"/>
      <c r="DG565" s="116"/>
      <c r="DH565" s="116"/>
      <c r="DI565" s="116"/>
      <c r="DJ565" s="116"/>
      <c r="DK565" s="116"/>
      <c r="DL565" s="116"/>
      <c r="DM565" s="116"/>
      <c r="DN565" s="116"/>
      <c r="DO565" s="116"/>
      <c r="DP565" s="116"/>
      <c r="DQ565" s="116"/>
      <c r="DR565" s="116"/>
      <c r="DS565" s="116"/>
      <c r="DT565" s="116"/>
      <c r="DU565" s="116"/>
      <c r="DV565" s="116"/>
      <c r="DW565" s="116"/>
      <c r="DX565" s="116"/>
      <c r="DY565" s="116"/>
      <c r="DZ565" s="116"/>
      <c r="EA565" s="116"/>
      <c r="EB565" s="116"/>
    </row>
    <row r="566" spans="36:132" ht="12.75" hidden="1" customHeight="1">
      <c r="AJ566" s="116"/>
      <c r="AK566" s="116"/>
      <c r="AL566" s="116"/>
      <c r="AM566" s="116"/>
      <c r="AN566" s="116"/>
      <c r="AO566" s="116"/>
      <c r="AP566" s="116"/>
      <c r="AS566" s="116"/>
      <c r="AT566" s="116"/>
      <c r="BQ566" s="116"/>
      <c r="BR566" s="116"/>
      <c r="BS566" s="116"/>
      <c r="BT566" s="116"/>
      <c r="BU566" s="116"/>
      <c r="BV566" s="116"/>
      <c r="BW566" s="116"/>
      <c r="BX566" s="116"/>
      <c r="BY566" s="116"/>
      <c r="BZ566" s="116"/>
      <c r="CA566" s="116"/>
      <c r="CB566" s="116"/>
      <c r="CC566" s="116"/>
      <c r="CD566" s="116"/>
      <c r="CE566" s="116"/>
      <c r="CF566" s="116"/>
      <c r="CG566" s="116"/>
      <c r="CH566" s="116"/>
      <c r="CI566" s="116"/>
      <c r="CJ566" s="116"/>
      <c r="CK566" s="116"/>
      <c r="CL566" s="116"/>
      <c r="CM566" s="116"/>
      <c r="CN566" s="116"/>
      <c r="CO566" s="116"/>
      <c r="CP566" s="116"/>
      <c r="CQ566" s="116"/>
      <c r="CR566" s="116"/>
      <c r="CS566" s="116"/>
      <c r="CT566" s="116"/>
      <c r="CU566" s="116"/>
      <c r="CV566" s="116"/>
      <c r="CW566" s="116"/>
      <c r="CX566" s="116"/>
      <c r="CY566" s="116"/>
      <c r="CZ566" s="116"/>
      <c r="DA566" s="116"/>
      <c r="DB566" s="116"/>
      <c r="DC566" s="116"/>
      <c r="DD566" s="116"/>
      <c r="DE566" s="116"/>
      <c r="DF566" s="116"/>
      <c r="DG566" s="116"/>
      <c r="DH566" s="116"/>
      <c r="DI566" s="116"/>
      <c r="DJ566" s="116"/>
      <c r="DK566" s="116"/>
      <c r="DL566" s="116"/>
      <c r="DM566" s="116"/>
      <c r="DN566" s="116"/>
      <c r="DO566" s="116"/>
      <c r="DP566" s="116"/>
      <c r="DQ566" s="116"/>
      <c r="DR566" s="116"/>
      <c r="DS566" s="116"/>
      <c r="DT566" s="116"/>
      <c r="DU566" s="116"/>
      <c r="DV566" s="116"/>
      <c r="DW566" s="116"/>
      <c r="DX566" s="116"/>
      <c r="DY566" s="116"/>
      <c r="DZ566" s="116"/>
      <c r="EA566" s="116"/>
      <c r="EB566" s="116"/>
    </row>
    <row r="567" spans="36:132" ht="12.75" hidden="1" customHeight="1">
      <c r="AJ567" s="116"/>
      <c r="AK567" s="116"/>
      <c r="AL567" s="116"/>
      <c r="AM567" s="116"/>
      <c r="AN567" s="116"/>
      <c r="AO567" s="116"/>
      <c r="AP567" s="116"/>
      <c r="AS567" s="116"/>
      <c r="AT567" s="116"/>
      <c r="BQ567" s="116"/>
      <c r="BR567" s="116"/>
      <c r="BS567" s="116"/>
      <c r="BT567" s="116"/>
      <c r="BU567" s="116"/>
      <c r="BV567" s="116"/>
      <c r="BW567" s="116"/>
      <c r="BX567" s="116"/>
      <c r="BY567" s="116"/>
      <c r="BZ567" s="116"/>
      <c r="CA567" s="116"/>
      <c r="CB567" s="116"/>
      <c r="CC567" s="116"/>
      <c r="CD567" s="116"/>
      <c r="CE567" s="116"/>
      <c r="CF567" s="116"/>
      <c r="CG567" s="116"/>
      <c r="CH567" s="116"/>
      <c r="CI567" s="116"/>
      <c r="CJ567" s="116"/>
      <c r="CK567" s="116"/>
      <c r="CL567" s="116"/>
      <c r="CM567" s="116"/>
      <c r="CN567" s="116"/>
      <c r="CO567" s="116"/>
      <c r="CP567" s="116"/>
      <c r="CQ567" s="116"/>
      <c r="CR567" s="116"/>
      <c r="CS567" s="116"/>
      <c r="CT567" s="116"/>
      <c r="CU567" s="116"/>
      <c r="CV567" s="116"/>
      <c r="CW567" s="116"/>
      <c r="CX567" s="116"/>
      <c r="CY567" s="116"/>
      <c r="CZ567" s="116"/>
      <c r="DA567" s="116"/>
      <c r="DB567" s="116"/>
      <c r="DC567" s="116"/>
      <c r="DD567" s="116"/>
      <c r="DE567" s="116"/>
      <c r="DF567" s="116"/>
      <c r="DG567" s="116"/>
      <c r="DH567" s="116"/>
      <c r="DI567" s="116"/>
      <c r="DJ567" s="116"/>
      <c r="DK567" s="116"/>
      <c r="DL567" s="116"/>
      <c r="DM567" s="116"/>
      <c r="DN567" s="116"/>
      <c r="DO567" s="116"/>
      <c r="DP567" s="116"/>
      <c r="DQ567" s="116"/>
      <c r="DR567" s="116"/>
      <c r="DS567" s="116"/>
      <c r="DT567" s="116"/>
      <c r="DU567" s="116"/>
      <c r="DV567" s="116"/>
      <c r="DW567" s="116"/>
      <c r="DX567" s="116"/>
      <c r="DY567" s="116"/>
      <c r="DZ567" s="116"/>
      <c r="EA567" s="116"/>
      <c r="EB567" s="116"/>
    </row>
    <row r="568" spans="36:132" ht="12.75" hidden="1" customHeight="1">
      <c r="AJ568" s="116"/>
      <c r="AK568" s="116"/>
      <c r="AL568" s="116"/>
      <c r="AM568" s="116"/>
      <c r="AN568" s="116"/>
      <c r="AO568" s="116"/>
      <c r="AP568" s="116"/>
      <c r="AS568" s="116"/>
      <c r="AT568" s="116"/>
      <c r="BQ568" s="116"/>
      <c r="BR568" s="116"/>
      <c r="BS568" s="116"/>
      <c r="BT568" s="116"/>
      <c r="BU568" s="116"/>
      <c r="BV568" s="116"/>
      <c r="BW568" s="116"/>
      <c r="BX568" s="116"/>
      <c r="BY568" s="116"/>
      <c r="BZ568" s="116"/>
      <c r="CA568" s="116"/>
      <c r="CB568" s="116"/>
      <c r="CC568" s="116"/>
      <c r="CD568" s="116"/>
      <c r="CE568" s="116"/>
      <c r="CF568" s="116"/>
      <c r="CG568" s="116"/>
      <c r="CH568" s="116"/>
      <c r="CI568" s="116"/>
      <c r="CJ568" s="116"/>
      <c r="CK568" s="116"/>
      <c r="CL568" s="116"/>
      <c r="CM568" s="116"/>
      <c r="CN568" s="116"/>
      <c r="CO568" s="116"/>
      <c r="CP568" s="116"/>
      <c r="CQ568" s="116"/>
      <c r="CR568" s="116"/>
      <c r="CS568" s="116"/>
      <c r="CT568" s="116"/>
      <c r="CU568" s="116"/>
      <c r="CV568" s="116"/>
      <c r="CW568" s="116"/>
      <c r="CX568" s="116"/>
      <c r="CY568" s="116"/>
      <c r="CZ568" s="116"/>
      <c r="DA568" s="116"/>
      <c r="DB568" s="116"/>
      <c r="DC568" s="116"/>
      <c r="DD568" s="116"/>
      <c r="DE568" s="116"/>
      <c r="DF568" s="116"/>
      <c r="DG568" s="116"/>
      <c r="DH568" s="116"/>
      <c r="DI568" s="116"/>
      <c r="DJ568" s="116"/>
      <c r="DK568" s="116"/>
      <c r="DL568" s="116"/>
      <c r="DM568" s="116"/>
      <c r="DN568" s="116"/>
      <c r="DO568" s="116"/>
      <c r="DP568" s="116"/>
      <c r="DQ568" s="116"/>
      <c r="DR568" s="116"/>
      <c r="DS568" s="116"/>
      <c r="DT568" s="116"/>
      <c r="DU568" s="116"/>
      <c r="DV568" s="116"/>
      <c r="DW568" s="116"/>
      <c r="DX568" s="116"/>
      <c r="DY568" s="116"/>
      <c r="DZ568" s="116"/>
      <c r="EA568" s="116"/>
      <c r="EB568" s="116"/>
    </row>
    <row r="569" spans="36:132" ht="12.75" hidden="1" customHeight="1">
      <c r="AJ569" s="116"/>
      <c r="AK569" s="116"/>
      <c r="AL569" s="116"/>
      <c r="AM569" s="116"/>
      <c r="AN569" s="116"/>
      <c r="AO569" s="116"/>
      <c r="AP569" s="116"/>
      <c r="AS569" s="116"/>
      <c r="AT569" s="116"/>
      <c r="BQ569" s="116"/>
      <c r="BR569" s="116"/>
      <c r="BS569" s="116"/>
      <c r="BT569" s="116"/>
      <c r="BU569" s="116"/>
      <c r="BV569" s="116"/>
      <c r="BW569" s="116"/>
      <c r="BX569" s="116"/>
      <c r="BY569" s="116"/>
      <c r="BZ569" s="116"/>
      <c r="CA569" s="116"/>
      <c r="CB569" s="116"/>
      <c r="CC569" s="116"/>
      <c r="CD569" s="116"/>
      <c r="CE569" s="116"/>
      <c r="CF569" s="116"/>
      <c r="CG569" s="116"/>
      <c r="CH569" s="116"/>
      <c r="CI569" s="116"/>
      <c r="CJ569" s="116"/>
      <c r="CK569" s="116"/>
      <c r="CL569" s="116"/>
      <c r="CM569" s="116"/>
      <c r="CN569" s="116"/>
      <c r="CO569" s="116"/>
      <c r="CP569" s="116"/>
      <c r="CQ569" s="116"/>
      <c r="CR569" s="116"/>
      <c r="CS569" s="116"/>
      <c r="CT569" s="116"/>
      <c r="CU569" s="116"/>
      <c r="CV569" s="116"/>
      <c r="CW569" s="116"/>
      <c r="CX569" s="116"/>
      <c r="CY569" s="116"/>
      <c r="CZ569" s="116"/>
      <c r="DA569" s="116"/>
      <c r="DB569" s="116"/>
      <c r="DC569" s="116"/>
      <c r="DD569" s="116"/>
      <c r="DE569" s="116"/>
      <c r="DF569" s="116"/>
      <c r="DG569" s="116"/>
      <c r="DH569" s="116"/>
      <c r="DI569" s="116"/>
      <c r="DJ569" s="116"/>
      <c r="DK569" s="116"/>
      <c r="DL569" s="116"/>
      <c r="DM569" s="116"/>
      <c r="DN569" s="116"/>
      <c r="DO569" s="116"/>
      <c r="DP569" s="116"/>
      <c r="DQ569" s="116"/>
      <c r="DR569" s="116"/>
      <c r="DS569" s="116"/>
      <c r="DT569" s="116"/>
      <c r="DU569" s="116"/>
      <c r="DV569" s="116"/>
      <c r="DW569" s="116"/>
      <c r="DX569" s="116"/>
      <c r="DY569" s="116"/>
      <c r="DZ569" s="116"/>
      <c r="EA569" s="116"/>
      <c r="EB569" s="116"/>
    </row>
    <row r="570" spans="36:132" ht="12.75" hidden="1" customHeight="1">
      <c r="AJ570" s="116"/>
      <c r="AK570" s="116"/>
      <c r="AL570" s="116"/>
      <c r="AM570" s="116"/>
      <c r="AN570" s="116"/>
      <c r="AO570" s="116"/>
      <c r="AP570" s="116"/>
      <c r="AS570" s="116"/>
      <c r="AT570" s="116"/>
      <c r="BQ570" s="116"/>
      <c r="BR570" s="116"/>
      <c r="BS570" s="116"/>
      <c r="BT570" s="116"/>
      <c r="BU570" s="116"/>
      <c r="BV570" s="116"/>
      <c r="BW570" s="116"/>
      <c r="BX570" s="116"/>
      <c r="BY570" s="116"/>
      <c r="BZ570" s="116"/>
      <c r="CA570" s="116"/>
      <c r="CB570" s="116"/>
      <c r="CC570" s="116"/>
      <c r="CD570" s="116"/>
      <c r="CE570" s="116"/>
      <c r="CF570" s="116"/>
      <c r="CG570" s="116"/>
      <c r="CH570" s="116"/>
      <c r="CI570" s="116"/>
      <c r="CJ570" s="116"/>
      <c r="CK570" s="116"/>
      <c r="CL570" s="116"/>
      <c r="CM570" s="116"/>
      <c r="CN570" s="116"/>
      <c r="CO570" s="116"/>
      <c r="CP570" s="116"/>
      <c r="CQ570" s="116"/>
      <c r="CR570" s="116"/>
      <c r="CS570" s="116"/>
      <c r="CT570" s="116"/>
      <c r="CU570" s="116"/>
      <c r="CV570" s="116"/>
      <c r="CW570" s="116"/>
      <c r="CX570" s="116"/>
      <c r="CY570" s="116"/>
      <c r="CZ570" s="116"/>
      <c r="DA570" s="116"/>
      <c r="DB570" s="116"/>
      <c r="DC570" s="116"/>
      <c r="DD570" s="116"/>
      <c r="DE570" s="116"/>
      <c r="DF570" s="116"/>
      <c r="DG570" s="116"/>
      <c r="DH570" s="116"/>
      <c r="DI570" s="116"/>
      <c r="DJ570" s="116"/>
      <c r="DK570" s="116"/>
      <c r="DL570" s="116"/>
      <c r="DM570" s="116"/>
      <c r="DN570" s="116"/>
      <c r="DO570" s="116"/>
      <c r="DP570" s="116"/>
      <c r="DQ570" s="116"/>
      <c r="DR570" s="116"/>
      <c r="DS570" s="116"/>
      <c r="DT570" s="116"/>
      <c r="DU570" s="116"/>
      <c r="DV570" s="116"/>
      <c r="DW570" s="116"/>
      <c r="DX570" s="116"/>
      <c r="DY570" s="116"/>
      <c r="DZ570" s="116"/>
      <c r="EA570" s="116"/>
      <c r="EB570" s="116"/>
    </row>
    <row r="571" spans="36:132" ht="12.75" hidden="1" customHeight="1">
      <c r="AJ571" s="116"/>
      <c r="AK571" s="116"/>
      <c r="AL571" s="116"/>
      <c r="AM571" s="116"/>
      <c r="AN571" s="116"/>
      <c r="AO571" s="116"/>
      <c r="AP571" s="116"/>
      <c r="AS571" s="116"/>
      <c r="AT571" s="116"/>
      <c r="BQ571" s="116"/>
      <c r="BR571" s="116"/>
      <c r="BS571" s="116"/>
      <c r="BT571" s="116"/>
      <c r="BU571" s="116"/>
      <c r="BV571" s="116"/>
      <c r="BW571" s="116"/>
      <c r="BX571" s="116"/>
      <c r="BY571" s="116"/>
      <c r="BZ571" s="116"/>
      <c r="CA571" s="116"/>
      <c r="CB571" s="116"/>
      <c r="CC571" s="116"/>
      <c r="CD571" s="116"/>
      <c r="CE571" s="116"/>
      <c r="CF571" s="116"/>
      <c r="CG571" s="116"/>
      <c r="CH571" s="116"/>
      <c r="CI571" s="116"/>
      <c r="CJ571" s="116"/>
      <c r="CK571" s="116"/>
      <c r="CL571" s="116"/>
      <c r="CM571" s="116"/>
      <c r="CN571" s="116"/>
      <c r="CO571" s="116"/>
      <c r="CP571" s="116"/>
      <c r="CQ571" s="116"/>
      <c r="CR571" s="116"/>
      <c r="CS571" s="116"/>
      <c r="CT571" s="116"/>
      <c r="CU571" s="116"/>
      <c r="CV571" s="116"/>
      <c r="CW571" s="116"/>
      <c r="CX571" s="116"/>
      <c r="CY571" s="116"/>
      <c r="CZ571" s="116"/>
      <c r="DA571" s="116"/>
      <c r="DB571" s="116"/>
      <c r="DC571" s="116"/>
      <c r="DD571" s="116"/>
      <c r="DE571" s="116"/>
      <c r="DF571" s="116"/>
      <c r="DG571" s="116"/>
      <c r="DH571" s="116"/>
      <c r="DI571" s="116"/>
      <c r="DJ571" s="116"/>
      <c r="DK571" s="116"/>
      <c r="DL571" s="116"/>
      <c r="DM571" s="116"/>
      <c r="DN571" s="116"/>
      <c r="DO571" s="116"/>
      <c r="DP571" s="116"/>
      <c r="DQ571" s="116"/>
      <c r="DR571" s="116"/>
      <c r="DS571" s="116"/>
      <c r="DT571" s="116"/>
      <c r="DU571" s="116"/>
      <c r="DV571" s="116"/>
      <c r="DW571" s="116"/>
      <c r="DX571" s="116"/>
      <c r="DY571" s="116"/>
      <c r="DZ571" s="116"/>
      <c r="EA571" s="116"/>
      <c r="EB571" s="116"/>
    </row>
    <row r="572" spans="36:132" ht="12.75" hidden="1" customHeight="1">
      <c r="AJ572" s="116"/>
      <c r="AK572" s="116"/>
      <c r="AL572" s="116"/>
      <c r="AM572" s="116"/>
      <c r="AN572" s="116"/>
      <c r="AO572" s="116"/>
      <c r="AP572" s="116"/>
      <c r="AS572" s="116"/>
      <c r="AT572" s="116"/>
      <c r="BQ572" s="116"/>
      <c r="BR572" s="116"/>
      <c r="BS572" s="116"/>
      <c r="BT572" s="116"/>
      <c r="BU572" s="116"/>
      <c r="BV572" s="116"/>
      <c r="BW572" s="116"/>
      <c r="BX572" s="116"/>
      <c r="BY572" s="116"/>
      <c r="BZ572" s="116"/>
      <c r="CA572" s="116"/>
      <c r="CB572" s="116"/>
      <c r="CC572" s="116"/>
      <c r="CD572" s="116"/>
      <c r="CE572" s="116"/>
      <c r="CF572" s="116"/>
      <c r="CG572" s="116"/>
      <c r="CH572" s="116"/>
      <c r="CI572" s="116"/>
      <c r="CJ572" s="116"/>
      <c r="CK572" s="116"/>
      <c r="CL572" s="116"/>
      <c r="CM572" s="116"/>
      <c r="CN572" s="116"/>
      <c r="CO572" s="116"/>
      <c r="CP572" s="116"/>
      <c r="CQ572" s="116"/>
      <c r="CR572" s="116"/>
      <c r="CS572" s="116"/>
      <c r="CT572" s="116"/>
      <c r="CU572" s="116"/>
      <c r="CV572" s="116"/>
      <c r="CW572" s="116"/>
      <c r="CX572" s="116"/>
      <c r="CY572" s="116"/>
      <c r="CZ572" s="116"/>
      <c r="DA572" s="116"/>
      <c r="DB572" s="116"/>
      <c r="DC572" s="116"/>
      <c r="DD572" s="116"/>
      <c r="DE572" s="116"/>
      <c r="DF572" s="116"/>
      <c r="DG572" s="116"/>
      <c r="DH572" s="116"/>
      <c r="DI572" s="116"/>
      <c r="DJ572" s="116"/>
      <c r="DK572" s="116"/>
      <c r="DL572" s="116"/>
      <c r="DM572" s="116"/>
      <c r="DN572" s="116"/>
      <c r="DO572" s="116"/>
      <c r="DP572" s="116"/>
      <c r="DQ572" s="116"/>
      <c r="DR572" s="116"/>
      <c r="DS572" s="116"/>
      <c r="DT572" s="116"/>
      <c r="DU572" s="116"/>
      <c r="DV572" s="116"/>
      <c r="DW572" s="116"/>
      <c r="DX572" s="116"/>
      <c r="DY572" s="116"/>
      <c r="DZ572" s="116"/>
      <c r="EA572" s="116"/>
      <c r="EB572" s="116"/>
    </row>
    <row r="573" spans="36:132" ht="12.75" hidden="1" customHeight="1">
      <c r="AJ573" s="116"/>
      <c r="AK573" s="116"/>
      <c r="AL573" s="116"/>
      <c r="AM573" s="116"/>
      <c r="AN573" s="116"/>
      <c r="AO573" s="116"/>
      <c r="AP573" s="116"/>
      <c r="AS573" s="116"/>
      <c r="AT573" s="116"/>
      <c r="BQ573" s="116"/>
      <c r="BR573" s="116"/>
      <c r="BS573" s="116"/>
      <c r="BT573" s="116"/>
      <c r="BU573" s="116"/>
      <c r="BV573" s="116"/>
      <c r="BW573" s="116"/>
      <c r="BX573" s="116"/>
      <c r="BY573" s="116"/>
      <c r="BZ573" s="116"/>
      <c r="CA573" s="116"/>
      <c r="CB573" s="116"/>
      <c r="CC573" s="116"/>
      <c r="CD573" s="116"/>
      <c r="CE573" s="116"/>
      <c r="CF573" s="116"/>
      <c r="CG573" s="116"/>
      <c r="CH573" s="116"/>
      <c r="CI573" s="116"/>
      <c r="CJ573" s="116"/>
      <c r="CK573" s="116"/>
      <c r="CL573" s="116"/>
      <c r="CM573" s="116"/>
      <c r="CN573" s="116"/>
      <c r="CO573" s="116"/>
      <c r="CP573" s="116"/>
      <c r="CQ573" s="116"/>
      <c r="CR573" s="116"/>
      <c r="CS573" s="116"/>
      <c r="CT573" s="116"/>
      <c r="CU573" s="116"/>
      <c r="CV573" s="116"/>
      <c r="CW573" s="116"/>
      <c r="CX573" s="116"/>
      <c r="CY573" s="116"/>
      <c r="CZ573" s="116"/>
      <c r="DA573" s="116"/>
      <c r="DB573" s="116"/>
      <c r="DC573" s="116"/>
      <c r="DD573" s="116"/>
      <c r="DE573" s="116"/>
      <c r="DF573" s="116"/>
      <c r="DG573" s="116"/>
      <c r="DH573" s="116"/>
      <c r="DI573" s="116"/>
      <c r="DJ573" s="116"/>
      <c r="DK573" s="116"/>
      <c r="DL573" s="116"/>
      <c r="DM573" s="116"/>
      <c r="DN573" s="116"/>
      <c r="DO573" s="116"/>
      <c r="DP573" s="116"/>
      <c r="DQ573" s="116"/>
      <c r="DR573" s="116"/>
      <c r="DS573" s="116"/>
      <c r="DT573" s="116"/>
      <c r="DU573" s="116"/>
      <c r="DV573" s="116"/>
      <c r="DW573" s="116"/>
      <c r="DX573" s="116"/>
      <c r="DY573" s="116"/>
      <c r="DZ573" s="116"/>
      <c r="EA573" s="116"/>
      <c r="EB573" s="116"/>
    </row>
    <row r="574" spans="36:132" ht="12.75" hidden="1" customHeight="1">
      <c r="AJ574" s="116"/>
      <c r="AK574" s="116"/>
      <c r="AL574" s="116"/>
      <c r="AM574" s="116"/>
      <c r="AN574" s="116"/>
      <c r="AO574" s="116"/>
      <c r="AP574" s="116"/>
      <c r="AS574" s="116"/>
      <c r="AT574" s="116"/>
      <c r="BQ574" s="116"/>
      <c r="BR574" s="116"/>
      <c r="BS574" s="116"/>
      <c r="BT574" s="116"/>
      <c r="BU574" s="116"/>
      <c r="BV574" s="116"/>
      <c r="BW574" s="116"/>
      <c r="BX574" s="116"/>
      <c r="BY574" s="116"/>
      <c r="BZ574" s="116"/>
      <c r="CA574" s="116"/>
      <c r="CB574" s="116"/>
      <c r="CC574" s="116"/>
      <c r="CD574" s="116"/>
      <c r="CE574" s="116"/>
      <c r="CF574" s="116"/>
      <c r="CG574" s="116"/>
      <c r="CH574" s="116"/>
      <c r="CI574" s="116"/>
      <c r="CJ574" s="116"/>
      <c r="CK574" s="116"/>
      <c r="CL574" s="116"/>
      <c r="CM574" s="116"/>
      <c r="CN574" s="116"/>
      <c r="CO574" s="116"/>
      <c r="CP574" s="116"/>
      <c r="CQ574" s="116"/>
      <c r="CR574" s="116"/>
      <c r="CS574" s="116"/>
      <c r="CT574" s="116"/>
      <c r="CU574" s="116"/>
      <c r="CV574" s="116"/>
      <c r="CW574" s="116"/>
      <c r="CX574" s="116"/>
      <c r="CY574" s="116"/>
      <c r="CZ574" s="116"/>
      <c r="DA574" s="116"/>
      <c r="DB574" s="116"/>
      <c r="DC574" s="116"/>
      <c r="DD574" s="116"/>
      <c r="DE574" s="116"/>
      <c r="DF574" s="116"/>
      <c r="DG574" s="116"/>
      <c r="DH574" s="116"/>
      <c r="DI574" s="116"/>
      <c r="DJ574" s="116"/>
      <c r="DK574" s="116"/>
      <c r="DL574" s="116"/>
      <c r="DM574" s="116"/>
      <c r="DN574" s="116"/>
      <c r="DO574" s="116"/>
      <c r="DP574" s="116"/>
      <c r="DQ574" s="116"/>
      <c r="DR574" s="116"/>
      <c r="DS574" s="116"/>
      <c r="DT574" s="116"/>
      <c r="DU574" s="116"/>
      <c r="DV574" s="116"/>
      <c r="DW574" s="116"/>
      <c r="DX574" s="116"/>
      <c r="DY574" s="116"/>
      <c r="DZ574" s="116"/>
      <c r="EA574" s="116"/>
      <c r="EB574" s="116"/>
    </row>
    <row r="575" spans="36:132" ht="12.75" hidden="1" customHeight="1">
      <c r="AJ575" s="116"/>
      <c r="AK575" s="116"/>
      <c r="AL575" s="116"/>
      <c r="AM575" s="116"/>
      <c r="AN575" s="116"/>
      <c r="AO575" s="116"/>
      <c r="AP575" s="116"/>
      <c r="AS575" s="116"/>
      <c r="AT575" s="116"/>
      <c r="BQ575" s="116"/>
      <c r="BR575" s="116"/>
      <c r="BS575" s="116"/>
      <c r="BT575" s="116"/>
      <c r="BU575" s="116"/>
      <c r="BV575" s="116"/>
      <c r="BW575" s="116"/>
      <c r="BX575" s="116"/>
      <c r="BY575" s="116"/>
      <c r="BZ575" s="116"/>
      <c r="CA575" s="116"/>
      <c r="CB575" s="116"/>
      <c r="CC575" s="116"/>
      <c r="CD575" s="116"/>
      <c r="CE575" s="116"/>
      <c r="CF575" s="116"/>
      <c r="CG575" s="116"/>
      <c r="CH575" s="116"/>
      <c r="CI575" s="116"/>
      <c r="CJ575" s="116"/>
      <c r="CK575" s="116"/>
      <c r="CL575" s="116"/>
      <c r="CM575" s="116"/>
      <c r="CN575" s="116"/>
      <c r="CO575" s="116"/>
      <c r="CP575" s="116"/>
      <c r="CQ575" s="116"/>
      <c r="CR575" s="116"/>
      <c r="CS575" s="116"/>
      <c r="CT575" s="116"/>
      <c r="CU575" s="116"/>
      <c r="CV575" s="116"/>
      <c r="CW575" s="116"/>
      <c r="CX575" s="116"/>
      <c r="CY575" s="116"/>
      <c r="CZ575" s="116"/>
      <c r="DA575" s="116"/>
      <c r="DB575" s="116"/>
      <c r="DC575" s="116"/>
      <c r="DD575" s="116"/>
      <c r="DE575" s="116"/>
      <c r="DF575" s="116"/>
      <c r="DG575" s="116"/>
      <c r="DH575" s="116"/>
      <c r="DI575" s="116"/>
      <c r="DJ575" s="116"/>
      <c r="DK575" s="116"/>
      <c r="DL575" s="116"/>
      <c r="DM575" s="116"/>
      <c r="DN575" s="116"/>
      <c r="DO575" s="116"/>
      <c r="DP575" s="116"/>
      <c r="DQ575" s="116"/>
      <c r="DR575" s="116"/>
      <c r="DS575" s="116"/>
      <c r="DT575" s="116"/>
      <c r="DU575" s="116"/>
      <c r="DV575" s="116"/>
      <c r="DW575" s="116"/>
      <c r="DX575" s="116"/>
      <c r="DY575" s="116"/>
      <c r="DZ575" s="116"/>
      <c r="EA575" s="116"/>
      <c r="EB575" s="116"/>
    </row>
    <row r="576" spans="36:132" ht="12.75" hidden="1" customHeight="1">
      <c r="AJ576" s="116"/>
      <c r="AK576" s="116"/>
      <c r="AL576" s="116"/>
      <c r="AM576" s="116"/>
      <c r="AN576" s="116"/>
      <c r="AO576" s="116"/>
      <c r="AP576" s="116"/>
      <c r="AS576" s="116"/>
      <c r="AT576" s="116"/>
      <c r="BQ576" s="116"/>
      <c r="BR576" s="116"/>
      <c r="BS576" s="116"/>
      <c r="BT576" s="116"/>
      <c r="BU576" s="116"/>
      <c r="BV576" s="116"/>
      <c r="BW576" s="116"/>
      <c r="BX576" s="116"/>
      <c r="BY576" s="116"/>
      <c r="BZ576" s="116"/>
      <c r="CA576" s="116"/>
      <c r="CB576" s="116"/>
      <c r="CC576" s="116"/>
      <c r="CD576" s="116"/>
      <c r="CE576" s="116"/>
      <c r="CF576" s="116"/>
      <c r="CG576" s="116"/>
      <c r="CH576" s="116"/>
      <c r="CI576" s="116"/>
      <c r="CJ576" s="116"/>
      <c r="CK576" s="116"/>
      <c r="CL576" s="116"/>
      <c r="CM576" s="116"/>
      <c r="CN576" s="116"/>
      <c r="CO576" s="116"/>
      <c r="CP576" s="116"/>
      <c r="CQ576" s="116"/>
      <c r="CR576" s="116"/>
      <c r="CS576" s="116"/>
      <c r="CT576" s="116"/>
      <c r="CU576" s="116"/>
      <c r="CV576" s="116"/>
      <c r="CW576" s="116"/>
      <c r="CX576" s="116"/>
      <c r="CY576" s="116"/>
      <c r="CZ576" s="116"/>
      <c r="DA576" s="116"/>
      <c r="DB576" s="116"/>
      <c r="DC576" s="116"/>
      <c r="DD576" s="116"/>
      <c r="DE576" s="116"/>
      <c r="DF576" s="116"/>
      <c r="DG576" s="116"/>
      <c r="DH576" s="116"/>
      <c r="DI576" s="116"/>
      <c r="DJ576" s="116"/>
      <c r="DK576" s="116"/>
      <c r="DL576" s="116"/>
      <c r="DM576" s="116"/>
      <c r="DN576" s="116"/>
      <c r="DO576" s="116"/>
      <c r="DP576" s="116"/>
      <c r="DQ576" s="116"/>
      <c r="DR576" s="116"/>
      <c r="DS576" s="116"/>
      <c r="DT576" s="116"/>
      <c r="DU576" s="116"/>
      <c r="DV576" s="116"/>
      <c r="DW576" s="116"/>
      <c r="DX576" s="116"/>
      <c r="DY576" s="116"/>
      <c r="DZ576" s="116"/>
      <c r="EA576" s="116"/>
      <c r="EB576" s="116"/>
    </row>
    <row r="577" spans="36:132" ht="12.75" hidden="1" customHeight="1">
      <c r="AJ577" s="116"/>
      <c r="AK577" s="116"/>
      <c r="AL577" s="116"/>
      <c r="AM577" s="116"/>
      <c r="AN577" s="116"/>
      <c r="AO577" s="116"/>
      <c r="AP577" s="116"/>
      <c r="AS577" s="116"/>
      <c r="AT577" s="116"/>
      <c r="BQ577" s="116"/>
      <c r="BR577" s="116"/>
      <c r="BS577" s="116"/>
      <c r="BT577" s="116"/>
      <c r="BU577" s="116"/>
      <c r="BV577" s="116"/>
      <c r="BW577" s="116"/>
      <c r="BX577" s="116"/>
      <c r="BY577" s="116"/>
      <c r="BZ577" s="116"/>
      <c r="CA577" s="116"/>
      <c r="CB577" s="116"/>
      <c r="CC577" s="116"/>
      <c r="CD577" s="116"/>
      <c r="CE577" s="116"/>
      <c r="CF577" s="116"/>
      <c r="CG577" s="116"/>
      <c r="CH577" s="116"/>
      <c r="CI577" s="116"/>
      <c r="CJ577" s="116"/>
      <c r="CK577" s="116"/>
      <c r="CL577" s="116"/>
      <c r="CM577" s="116"/>
      <c r="CN577" s="116"/>
      <c r="CO577" s="116"/>
      <c r="CP577" s="116"/>
      <c r="CQ577" s="116"/>
      <c r="CR577" s="116"/>
      <c r="CS577" s="116"/>
      <c r="CT577" s="116"/>
      <c r="CU577" s="116"/>
      <c r="CV577" s="116"/>
      <c r="CW577" s="116"/>
      <c r="CX577" s="116"/>
      <c r="CY577" s="116"/>
      <c r="CZ577" s="116"/>
      <c r="DA577" s="116"/>
      <c r="DB577" s="116"/>
      <c r="DC577" s="116"/>
      <c r="DD577" s="116"/>
      <c r="DE577" s="116"/>
      <c r="DF577" s="116"/>
      <c r="DG577" s="116"/>
      <c r="DH577" s="116"/>
      <c r="DI577" s="116"/>
      <c r="DJ577" s="116"/>
      <c r="DK577" s="116"/>
      <c r="DL577" s="116"/>
      <c r="DM577" s="116"/>
      <c r="DN577" s="116"/>
      <c r="DO577" s="116"/>
      <c r="DP577" s="116"/>
      <c r="DQ577" s="116"/>
      <c r="DR577" s="116"/>
      <c r="DS577" s="116"/>
      <c r="DT577" s="116"/>
      <c r="DU577" s="116"/>
      <c r="DV577" s="116"/>
      <c r="DW577" s="116"/>
      <c r="DX577" s="116"/>
      <c r="DY577" s="116"/>
      <c r="DZ577" s="116"/>
      <c r="EA577" s="116"/>
      <c r="EB577" s="116"/>
    </row>
    <row r="578" spans="36:132" ht="12.75" hidden="1" customHeight="1">
      <c r="AJ578" s="116"/>
      <c r="AK578" s="116"/>
      <c r="AL578" s="116"/>
      <c r="AM578" s="116"/>
      <c r="AN578" s="116"/>
      <c r="AO578" s="116"/>
      <c r="AP578" s="116"/>
      <c r="AS578" s="116"/>
      <c r="AT578" s="116"/>
      <c r="BQ578" s="116"/>
      <c r="BR578" s="116"/>
      <c r="BS578" s="116"/>
      <c r="BT578" s="116"/>
      <c r="BU578" s="116"/>
      <c r="BV578" s="116"/>
      <c r="BW578" s="116"/>
      <c r="BX578" s="116"/>
      <c r="BY578" s="116"/>
      <c r="BZ578" s="116"/>
      <c r="CA578" s="116"/>
      <c r="CB578" s="116"/>
      <c r="CC578" s="116"/>
      <c r="CD578" s="116"/>
      <c r="CE578" s="116"/>
      <c r="CF578" s="116"/>
      <c r="CG578" s="116"/>
      <c r="CH578" s="116"/>
      <c r="CI578" s="116"/>
      <c r="CJ578" s="116"/>
      <c r="CK578" s="116"/>
      <c r="CL578" s="116"/>
      <c r="CM578" s="116"/>
      <c r="CN578" s="116"/>
      <c r="CO578" s="116"/>
      <c r="CP578" s="116"/>
      <c r="CQ578" s="116"/>
      <c r="CR578" s="116"/>
      <c r="CS578" s="116"/>
      <c r="CT578" s="116"/>
      <c r="CU578" s="116"/>
      <c r="CV578" s="116"/>
      <c r="CW578" s="116"/>
      <c r="CX578" s="116"/>
      <c r="CY578" s="116"/>
      <c r="CZ578" s="116"/>
      <c r="DA578" s="116"/>
      <c r="DB578" s="116"/>
      <c r="DC578" s="116"/>
      <c r="DD578" s="116"/>
      <c r="DE578" s="116"/>
      <c r="DF578" s="116"/>
      <c r="DG578" s="116"/>
      <c r="DH578" s="116"/>
      <c r="DI578" s="116"/>
      <c r="DJ578" s="116"/>
      <c r="DK578" s="116"/>
      <c r="DL578" s="116"/>
      <c r="DM578" s="116"/>
      <c r="DN578" s="116"/>
      <c r="DO578" s="116"/>
      <c r="DP578" s="116"/>
      <c r="DQ578" s="116"/>
      <c r="DR578" s="116"/>
      <c r="DS578" s="116"/>
      <c r="DT578" s="116"/>
      <c r="DU578" s="116"/>
      <c r="DV578" s="116"/>
      <c r="DW578" s="116"/>
      <c r="DX578" s="116"/>
      <c r="DY578" s="116"/>
      <c r="DZ578" s="116"/>
      <c r="EA578" s="116"/>
      <c r="EB578" s="116"/>
    </row>
    <row r="579" spans="36:132" ht="12.75" hidden="1" customHeight="1">
      <c r="AJ579" s="116"/>
      <c r="AK579" s="116"/>
      <c r="AL579" s="116"/>
      <c r="AM579" s="116"/>
      <c r="AN579" s="116"/>
      <c r="AO579" s="116"/>
      <c r="AP579" s="116"/>
      <c r="AS579" s="116"/>
      <c r="AT579" s="116"/>
      <c r="BQ579" s="116"/>
      <c r="BR579" s="116"/>
      <c r="BS579" s="116"/>
      <c r="BT579" s="116"/>
      <c r="BU579" s="116"/>
      <c r="BV579" s="116"/>
      <c r="BW579" s="116"/>
      <c r="BX579" s="116"/>
      <c r="BY579" s="116"/>
      <c r="BZ579" s="116"/>
      <c r="CA579" s="116"/>
      <c r="CB579" s="116"/>
      <c r="CC579" s="116"/>
      <c r="CD579" s="116"/>
      <c r="CE579" s="116"/>
      <c r="CF579" s="116"/>
      <c r="CG579" s="116"/>
      <c r="CH579" s="116"/>
      <c r="CI579" s="116"/>
      <c r="CJ579" s="116"/>
      <c r="CK579" s="116"/>
      <c r="CL579" s="116"/>
      <c r="CM579" s="116"/>
      <c r="CN579" s="116"/>
      <c r="CO579" s="116"/>
      <c r="CP579" s="116"/>
      <c r="CQ579" s="116"/>
      <c r="CR579" s="116"/>
      <c r="CS579" s="116"/>
      <c r="CT579" s="116"/>
      <c r="CU579" s="116"/>
      <c r="CV579" s="116"/>
      <c r="CW579" s="116"/>
      <c r="CX579" s="116"/>
      <c r="CY579" s="116"/>
      <c r="CZ579" s="116"/>
      <c r="DA579" s="116"/>
      <c r="DB579" s="116"/>
      <c r="DC579" s="116"/>
      <c r="DD579" s="116"/>
      <c r="DE579" s="116"/>
      <c r="DF579" s="116"/>
      <c r="DG579" s="116"/>
      <c r="DH579" s="116"/>
      <c r="DI579" s="116"/>
      <c r="DJ579" s="116"/>
      <c r="DK579" s="116"/>
      <c r="DL579" s="116"/>
      <c r="DM579" s="116"/>
      <c r="DN579" s="116"/>
      <c r="DO579" s="116"/>
      <c r="DP579" s="116"/>
      <c r="DQ579" s="116"/>
      <c r="DR579" s="116"/>
      <c r="DS579" s="116"/>
      <c r="DT579" s="116"/>
      <c r="DU579" s="116"/>
      <c r="DV579" s="116"/>
      <c r="DW579" s="116"/>
      <c r="DX579" s="116"/>
      <c r="DY579" s="116"/>
      <c r="DZ579" s="116"/>
      <c r="EA579" s="116"/>
      <c r="EB579" s="116"/>
    </row>
    <row r="580" spans="36:132" ht="12.75" hidden="1" customHeight="1">
      <c r="AJ580" s="116"/>
      <c r="AK580" s="116"/>
      <c r="AL580" s="116"/>
      <c r="AM580" s="116"/>
      <c r="AN580" s="116"/>
      <c r="AO580" s="116"/>
      <c r="AP580" s="116"/>
      <c r="AS580" s="116"/>
      <c r="AT580" s="116"/>
      <c r="BQ580" s="116"/>
      <c r="BR580" s="116"/>
      <c r="BS580" s="116"/>
      <c r="BT580" s="116"/>
      <c r="BU580" s="116"/>
      <c r="BV580" s="116"/>
      <c r="BW580" s="116"/>
      <c r="BX580" s="116"/>
      <c r="BY580" s="116"/>
      <c r="BZ580" s="116"/>
      <c r="CA580" s="116"/>
      <c r="CB580" s="116"/>
      <c r="CC580" s="116"/>
      <c r="CD580" s="116"/>
      <c r="CE580" s="116"/>
      <c r="CF580" s="116"/>
      <c r="CG580" s="116"/>
      <c r="CH580" s="116"/>
      <c r="CI580" s="116"/>
      <c r="CJ580" s="116"/>
      <c r="CK580" s="116"/>
      <c r="CL580" s="116"/>
      <c r="CM580" s="116"/>
      <c r="CN580" s="116"/>
      <c r="CO580" s="116"/>
      <c r="CP580" s="116"/>
      <c r="CQ580" s="116"/>
      <c r="CR580" s="116"/>
      <c r="CS580" s="116"/>
      <c r="CT580" s="116"/>
      <c r="CU580" s="116"/>
      <c r="CV580" s="116"/>
      <c r="CW580" s="116"/>
      <c r="CX580" s="116"/>
      <c r="CY580" s="116"/>
      <c r="CZ580" s="116"/>
      <c r="DA580" s="116"/>
      <c r="DB580" s="116"/>
      <c r="DC580" s="116"/>
      <c r="DD580" s="116"/>
      <c r="DE580" s="116"/>
      <c r="DF580" s="116"/>
      <c r="DG580" s="116"/>
      <c r="DH580" s="116"/>
      <c r="DI580" s="116"/>
      <c r="DJ580" s="116"/>
      <c r="DK580" s="116"/>
      <c r="DL580" s="116"/>
      <c r="DM580" s="116"/>
      <c r="DN580" s="116"/>
      <c r="DO580" s="116"/>
      <c r="DP580" s="116"/>
      <c r="DQ580" s="116"/>
      <c r="DR580" s="116"/>
      <c r="DS580" s="116"/>
      <c r="DT580" s="116"/>
      <c r="DU580" s="116"/>
      <c r="DV580" s="116"/>
      <c r="DW580" s="116"/>
      <c r="DX580" s="116"/>
      <c r="DY580" s="116"/>
      <c r="DZ580" s="116"/>
      <c r="EA580" s="116"/>
      <c r="EB580" s="116"/>
    </row>
    <row r="581" spans="36:132" ht="12.75" hidden="1" customHeight="1">
      <c r="AJ581" s="116"/>
      <c r="AK581" s="116"/>
      <c r="AL581" s="116"/>
      <c r="AM581" s="116"/>
      <c r="AN581" s="116"/>
      <c r="AO581" s="116"/>
      <c r="AP581" s="116"/>
      <c r="AS581" s="116"/>
      <c r="AT581" s="116"/>
      <c r="BQ581" s="116"/>
      <c r="BR581" s="116"/>
      <c r="BS581" s="116"/>
      <c r="BT581" s="116"/>
      <c r="BU581" s="116"/>
      <c r="BV581" s="116"/>
      <c r="BW581" s="116"/>
      <c r="BX581" s="116"/>
      <c r="BY581" s="116"/>
      <c r="BZ581" s="116"/>
      <c r="CA581" s="116"/>
      <c r="CB581" s="116"/>
      <c r="CC581" s="116"/>
      <c r="CD581" s="116"/>
      <c r="CE581" s="116"/>
      <c r="CF581" s="116"/>
      <c r="CG581" s="116"/>
      <c r="CH581" s="116"/>
      <c r="CI581" s="116"/>
      <c r="CJ581" s="116"/>
      <c r="CK581" s="116"/>
      <c r="CL581" s="116"/>
      <c r="CM581" s="116"/>
      <c r="CN581" s="116"/>
      <c r="CO581" s="116"/>
      <c r="CP581" s="116"/>
      <c r="CQ581" s="116"/>
      <c r="CR581" s="116"/>
      <c r="CS581" s="116"/>
      <c r="CT581" s="116"/>
      <c r="CU581" s="116"/>
      <c r="CV581" s="116"/>
      <c r="CW581" s="116"/>
      <c r="CX581" s="116"/>
      <c r="CY581" s="116"/>
      <c r="CZ581" s="116"/>
      <c r="DA581" s="116"/>
      <c r="DB581" s="116"/>
      <c r="DC581" s="116"/>
      <c r="DD581" s="116"/>
      <c r="DE581" s="116"/>
      <c r="DF581" s="116"/>
      <c r="DG581" s="116"/>
      <c r="DH581" s="116"/>
      <c r="DI581" s="116"/>
      <c r="DJ581" s="116"/>
      <c r="DK581" s="116"/>
      <c r="DL581" s="116"/>
      <c r="DM581" s="116"/>
      <c r="DN581" s="116"/>
      <c r="DO581" s="116"/>
      <c r="DP581" s="116"/>
      <c r="DQ581" s="116"/>
      <c r="DR581" s="116"/>
      <c r="DS581" s="116"/>
      <c r="DT581" s="116"/>
      <c r="DU581" s="116"/>
      <c r="DV581" s="116"/>
      <c r="DW581" s="116"/>
      <c r="DX581" s="116"/>
      <c r="DY581" s="116"/>
      <c r="DZ581" s="116"/>
      <c r="EA581" s="116"/>
      <c r="EB581" s="116"/>
    </row>
    <row r="582" spans="36:132" ht="12.75" hidden="1" customHeight="1">
      <c r="AJ582" s="116"/>
      <c r="AK582" s="116"/>
      <c r="AL582" s="116"/>
      <c r="AM582" s="116"/>
      <c r="AN582" s="116"/>
      <c r="AO582" s="116"/>
      <c r="AP582" s="116"/>
      <c r="AS582" s="116"/>
      <c r="AT582" s="116"/>
      <c r="BQ582" s="116"/>
      <c r="BR582" s="116"/>
      <c r="BS582" s="116"/>
      <c r="BT582" s="116"/>
      <c r="BU582" s="116"/>
      <c r="BV582" s="116"/>
      <c r="BW582" s="116"/>
      <c r="BX582" s="116"/>
      <c r="BY582" s="116"/>
      <c r="BZ582" s="116"/>
      <c r="CA582" s="116"/>
      <c r="CB582" s="116"/>
      <c r="CC582" s="116"/>
      <c r="CD582" s="116"/>
      <c r="CE582" s="116"/>
      <c r="CF582" s="116"/>
      <c r="CG582" s="116"/>
      <c r="CH582" s="116"/>
      <c r="CI582" s="116"/>
      <c r="CJ582" s="116"/>
      <c r="CK582" s="116"/>
      <c r="CL582" s="116"/>
      <c r="CM582" s="116"/>
      <c r="CN582" s="116"/>
      <c r="CO582" s="116"/>
      <c r="CP582" s="116"/>
      <c r="CQ582" s="116"/>
      <c r="CR582" s="116"/>
      <c r="CS582" s="116"/>
      <c r="CT582" s="116"/>
      <c r="CU582" s="116"/>
      <c r="CV582" s="116"/>
      <c r="CW582" s="116"/>
      <c r="CX582" s="116"/>
      <c r="CY582" s="116"/>
      <c r="CZ582" s="116"/>
      <c r="DA582" s="116"/>
      <c r="DB582" s="116"/>
      <c r="DC582" s="116"/>
      <c r="DD582" s="116"/>
      <c r="DE582" s="116"/>
      <c r="DF582" s="116"/>
      <c r="DG582" s="116"/>
      <c r="DH582" s="116"/>
      <c r="DI582" s="116"/>
      <c r="DJ582" s="116"/>
      <c r="DK582" s="116"/>
      <c r="DL582" s="116"/>
      <c r="DM582" s="116"/>
      <c r="DN582" s="116"/>
      <c r="DO582" s="116"/>
      <c r="DP582" s="116"/>
      <c r="DQ582" s="116"/>
      <c r="DR582" s="116"/>
      <c r="DS582" s="116"/>
      <c r="DT582" s="116"/>
      <c r="DU582" s="116"/>
      <c r="DV582" s="116"/>
      <c r="DW582" s="116"/>
      <c r="DX582" s="116"/>
      <c r="DY582" s="116"/>
      <c r="DZ582" s="116"/>
      <c r="EA582" s="116"/>
      <c r="EB582" s="116"/>
    </row>
    <row r="583" spans="36:132" ht="12.75" hidden="1" customHeight="1">
      <c r="AJ583" s="116"/>
      <c r="AK583" s="116"/>
      <c r="AL583" s="116"/>
      <c r="AM583" s="116"/>
      <c r="AN583" s="116"/>
      <c r="AO583" s="116"/>
      <c r="AP583" s="116"/>
      <c r="AS583" s="116"/>
      <c r="AT583" s="116"/>
      <c r="BQ583" s="116"/>
      <c r="BR583" s="116"/>
      <c r="BS583" s="116"/>
      <c r="BT583" s="116"/>
      <c r="BU583" s="116"/>
      <c r="BV583" s="116"/>
      <c r="BW583" s="116"/>
      <c r="BX583" s="116"/>
      <c r="BY583" s="116"/>
      <c r="BZ583" s="116"/>
      <c r="CA583" s="116"/>
      <c r="CB583" s="116"/>
      <c r="CC583" s="116"/>
      <c r="CD583" s="116"/>
      <c r="CE583" s="116"/>
      <c r="CF583" s="116"/>
      <c r="CG583" s="116"/>
      <c r="CH583" s="116"/>
      <c r="CI583" s="116"/>
      <c r="CJ583" s="116"/>
      <c r="CK583" s="116"/>
      <c r="CL583" s="116"/>
      <c r="CM583" s="116"/>
      <c r="CN583" s="116"/>
      <c r="CO583" s="116"/>
      <c r="CP583" s="116"/>
      <c r="CQ583" s="116"/>
      <c r="CR583" s="116"/>
      <c r="CS583" s="116"/>
      <c r="CT583" s="116"/>
      <c r="CU583" s="116"/>
      <c r="CV583" s="116"/>
      <c r="CW583" s="116"/>
      <c r="CX583" s="116"/>
      <c r="CY583" s="116"/>
      <c r="CZ583" s="116"/>
      <c r="DA583" s="116"/>
      <c r="DB583" s="116"/>
      <c r="DC583" s="116"/>
      <c r="DD583" s="116"/>
      <c r="DE583" s="116"/>
      <c r="DF583" s="116"/>
      <c r="DG583" s="116"/>
      <c r="DH583" s="116"/>
      <c r="DI583" s="116"/>
      <c r="DJ583" s="116"/>
      <c r="DK583" s="116"/>
      <c r="DL583" s="116"/>
      <c r="DM583" s="116"/>
      <c r="DN583" s="116"/>
      <c r="DO583" s="116"/>
      <c r="DP583" s="116"/>
      <c r="DQ583" s="116"/>
      <c r="DR583" s="116"/>
      <c r="DS583" s="116"/>
      <c r="DT583" s="116"/>
      <c r="DU583" s="116"/>
      <c r="DV583" s="116"/>
      <c r="DW583" s="116"/>
      <c r="DX583" s="116"/>
      <c r="DY583" s="116"/>
      <c r="DZ583" s="116"/>
      <c r="EA583" s="116"/>
      <c r="EB583" s="116"/>
    </row>
    <row r="584" spans="36:132" ht="12.75" hidden="1" customHeight="1">
      <c r="AJ584" s="116"/>
      <c r="AK584" s="116"/>
      <c r="AL584" s="116"/>
      <c r="AM584" s="116"/>
      <c r="AN584" s="116"/>
      <c r="AO584" s="116"/>
      <c r="AP584" s="116"/>
      <c r="AS584" s="116"/>
      <c r="AT584" s="116"/>
      <c r="BQ584" s="116"/>
      <c r="BR584" s="116"/>
      <c r="BS584" s="116"/>
      <c r="BT584" s="116"/>
      <c r="BU584" s="116"/>
      <c r="BV584" s="116"/>
      <c r="BW584" s="116"/>
      <c r="BX584" s="116"/>
      <c r="BY584" s="116"/>
      <c r="BZ584" s="116"/>
      <c r="CA584" s="116"/>
      <c r="CB584" s="116"/>
      <c r="CC584" s="116"/>
      <c r="CD584" s="116"/>
      <c r="CE584" s="116"/>
      <c r="CF584" s="116"/>
      <c r="CG584" s="116"/>
      <c r="CH584" s="116"/>
      <c r="CI584" s="116"/>
      <c r="CJ584" s="116"/>
      <c r="CK584" s="116"/>
      <c r="CL584" s="116"/>
      <c r="CM584" s="116"/>
      <c r="CN584" s="116"/>
      <c r="CO584" s="116"/>
      <c r="CP584" s="116"/>
      <c r="CQ584" s="116"/>
      <c r="CR584" s="116"/>
      <c r="CS584" s="116"/>
      <c r="CT584" s="116"/>
      <c r="CU584" s="116"/>
      <c r="CV584" s="116"/>
      <c r="CW584" s="116"/>
      <c r="CX584" s="116"/>
      <c r="CY584" s="116"/>
      <c r="CZ584" s="116"/>
      <c r="DA584" s="116"/>
      <c r="DB584" s="116"/>
      <c r="DC584" s="116"/>
      <c r="DD584" s="116"/>
      <c r="DE584" s="116"/>
      <c r="DF584" s="116"/>
      <c r="DG584" s="116"/>
      <c r="DH584" s="116"/>
      <c r="DI584" s="116"/>
      <c r="DJ584" s="116"/>
      <c r="DK584" s="116"/>
      <c r="DL584" s="116"/>
      <c r="DM584" s="116"/>
      <c r="DN584" s="116"/>
      <c r="DO584" s="116"/>
      <c r="DP584" s="116"/>
      <c r="DQ584" s="116"/>
      <c r="DR584" s="116"/>
      <c r="DS584" s="116"/>
      <c r="DT584" s="116"/>
      <c r="DU584" s="116"/>
      <c r="DV584" s="116"/>
      <c r="DW584" s="116"/>
      <c r="DX584" s="116"/>
      <c r="DY584" s="116"/>
      <c r="DZ584" s="116"/>
      <c r="EA584" s="116"/>
      <c r="EB584" s="116"/>
    </row>
    <row r="585" spans="36:132" ht="12.75" hidden="1" customHeight="1">
      <c r="AJ585" s="116"/>
      <c r="AK585" s="116"/>
      <c r="AL585" s="116"/>
      <c r="AM585" s="116"/>
      <c r="AN585" s="116"/>
      <c r="AO585" s="116"/>
      <c r="AP585" s="116"/>
      <c r="AS585" s="116"/>
      <c r="AT585" s="116"/>
      <c r="BQ585" s="116"/>
      <c r="BR585" s="116"/>
      <c r="BS585" s="116"/>
      <c r="BT585" s="116"/>
      <c r="BU585" s="116"/>
      <c r="BV585" s="116"/>
      <c r="BW585" s="116"/>
      <c r="BX585" s="116"/>
      <c r="BY585" s="116"/>
      <c r="BZ585" s="116"/>
      <c r="CA585" s="116"/>
      <c r="CB585" s="116"/>
      <c r="CC585" s="116"/>
      <c r="CD585" s="116"/>
      <c r="CE585" s="116"/>
      <c r="CF585" s="116"/>
      <c r="CG585" s="116"/>
      <c r="CH585" s="116"/>
      <c r="CI585" s="116"/>
      <c r="CJ585" s="116"/>
      <c r="CK585" s="116"/>
      <c r="CL585" s="116"/>
      <c r="CM585" s="116"/>
      <c r="CN585" s="116"/>
      <c r="CO585" s="116"/>
      <c r="CP585" s="116"/>
      <c r="CQ585" s="116"/>
      <c r="CR585" s="116"/>
      <c r="CS585" s="116"/>
      <c r="CT585" s="116"/>
      <c r="CU585" s="116"/>
      <c r="CV585" s="116"/>
      <c r="CW585" s="116"/>
      <c r="CX585" s="116"/>
      <c r="CY585" s="116"/>
      <c r="CZ585" s="116"/>
      <c r="DA585" s="116"/>
      <c r="DB585" s="116"/>
      <c r="DC585" s="116"/>
      <c r="DD585" s="116"/>
      <c r="DE585" s="116"/>
      <c r="DF585" s="116"/>
      <c r="DG585" s="116"/>
      <c r="DH585" s="116"/>
      <c r="DI585" s="116"/>
      <c r="DJ585" s="116"/>
      <c r="DK585" s="116"/>
      <c r="DL585" s="116"/>
      <c r="DM585" s="116"/>
      <c r="DN585" s="116"/>
      <c r="DO585" s="116"/>
      <c r="DP585" s="116"/>
      <c r="DQ585" s="116"/>
      <c r="DR585" s="116"/>
      <c r="DS585" s="116"/>
      <c r="DT585" s="116"/>
      <c r="DU585" s="116"/>
      <c r="DV585" s="116"/>
      <c r="DW585" s="116"/>
      <c r="DX585" s="116"/>
      <c r="DY585" s="116"/>
      <c r="DZ585" s="116"/>
      <c r="EA585" s="116"/>
      <c r="EB585" s="116"/>
    </row>
    <row r="586" spans="36:132" ht="12.75" hidden="1" customHeight="1">
      <c r="AJ586" s="116"/>
      <c r="AK586" s="116"/>
      <c r="AL586" s="116"/>
      <c r="AM586" s="116"/>
      <c r="AN586" s="116"/>
      <c r="AO586" s="116"/>
      <c r="AP586" s="116"/>
      <c r="AS586" s="116"/>
      <c r="AT586" s="116"/>
      <c r="BQ586" s="116"/>
      <c r="BR586" s="116"/>
      <c r="BS586" s="116"/>
      <c r="BT586" s="116"/>
      <c r="BU586" s="116"/>
      <c r="BV586" s="116"/>
      <c r="BW586" s="116"/>
      <c r="BX586" s="116"/>
      <c r="BY586" s="116"/>
      <c r="BZ586" s="116"/>
      <c r="CA586" s="116"/>
      <c r="CB586" s="116"/>
      <c r="CC586" s="116"/>
      <c r="CD586" s="116"/>
      <c r="CE586" s="116"/>
      <c r="CF586" s="116"/>
      <c r="CG586" s="116"/>
      <c r="CH586" s="116"/>
      <c r="CI586" s="116"/>
      <c r="CJ586" s="116"/>
      <c r="CK586" s="116"/>
      <c r="CL586" s="116"/>
      <c r="CM586" s="116"/>
      <c r="CN586" s="116"/>
      <c r="CO586" s="116"/>
      <c r="CP586" s="116"/>
      <c r="CQ586" s="116"/>
      <c r="CR586" s="116"/>
      <c r="CS586" s="116"/>
      <c r="CT586" s="116"/>
      <c r="CU586" s="116"/>
      <c r="CV586" s="116"/>
      <c r="CW586" s="116"/>
      <c r="CX586" s="116"/>
      <c r="CY586" s="116"/>
      <c r="CZ586" s="116"/>
      <c r="DA586" s="116"/>
      <c r="DB586" s="116"/>
      <c r="DC586" s="116"/>
      <c r="DD586" s="116"/>
      <c r="DE586" s="116"/>
      <c r="DF586" s="116"/>
      <c r="DG586" s="116"/>
      <c r="DH586" s="116"/>
      <c r="DI586" s="116"/>
      <c r="DJ586" s="116"/>
      <c r="DK586" s="116"/>
      <c r="DL586" s="116"/>
      <c r="DM586" s="116"/>
      <c r="DN586" s="116"/>
      <c r="DO586" s="116"/>
      <c r="DP586" s="116"/>
      <c r="DQ586" s="116"/>
      <c r="DR586" s="116"/>
      <c r="DS586" s="116"/>
      <c r="DT586" s="116"/>
      <c r="DU586" s="116"/>
      <c r="DV586" s="116"/>
      <c r="DW586" s="116"/>
      <c r="DX586" s="116"/>
      <c r="DY586" s="116"/>
      <c r="DZ586" s="116"/>
      <c r="EA586" s="116"/>
      <c r="EB586" s="116"/>
    </row>
    <row r="587" spans="36:132" ht="12.75" hidden="1" customHeight="1">
      <c r="AJ587" s="116"/>
      <c r="AK587" s="116"/>
      <c r="AL587" s="116"/>
      <c r="AM587" s="116"/>
      <c r="AN587" s="116"/>
      <c r="AO587" s="116"/>
      <c r="AP587" s="116"/>
      <c r="AS587" s="116"/>
      <c r="AT587" s="116"/>
      <c r="BQ587" s="116"/>
      <c r="BR587" s="116"/>
      <c r="BS587" s="116"/>
      <c r="BT587" s="116"/>
      <c r="BU587" s="116"/>
      <c r="BV587" s="116"/>
      <c r="BW587" s="116"/>
      <c r="BX587" s="116"/>
      <c r="BY587" s="116"/>
      <c r="BZ587" s="116"/>
      <c r="CA587" s="116"/>
      <c r="CB587" s="116"/>
      <c r="CC587" s="116"/>
      <c r="CD587" s="116"/>
      <c r="CE587" s="116"/>
      <c r="CF587" s="116"/>
      <c r="CG587" s="116"/>
      <c r="CH587" s="116"/>
      <c r="CI587" s="116"/>
      <c r="CJ587" s="116"/>
      <c r="CK587" s="116"/>
      <c r="CL587" s="116"/>
      <c r="CM587" s="116"/>
      <c r="CN587" s="116"/>
      <c r="CO587" s="116"/>
      <c r="CP587" s="116"/>
      <c r="CQ587" s="116"/>
      <c r="CR587" s="116"/>
      <c r="CS587" s="116"/>
      <c r="CT587" s="116"/>
      <c r="CU587" s="116"/>
      <c r="CV587" s="116"/>
      <c r="CW587" s="116"/>
      <c r="CX587" s="116"/>
      <c r="CY587" s="116"/>
      <c r="CZ587" s="116"/>
      <c r="DA587" s="116"/>
      <c r="DB587" s="116"/>
      <c r="DC587" s="116"/>
      <c r="DD587" s="116"/>
      <c r="DE587" s="116"/>
      <c r="DF587" s="116"/>
      <c r="DG587" s="116"/>
      <c r="DH587" s="116"/>
      <c r="DI587" s="116"/>
      <c r="DJ587" s="116"/>
      <c r="DK587" s="116"/>
      <c r="DL587" s="116"/>
      <c r="DM587" s="116"/>
      <c r="DN587" s="116"/>
      <c r="DO587" s="116"/>
      <c r="DP587" s="116"/>
      <c r="DQ587" s="116"/>
      <c r="DR587" s="116"/>
      <c r="DS587" s="116"/>
      <c r="DT587" s="116"/>
      <c r="DU587" s="116"/>
      <c r="DV587" s="116"/>
      <c r="DW587" s="116"/>
      <c r="DX587" s="116"/>
      <c r="DY587" s="116"/>
      <c r="DZ587" s="116"/>
      <c r="EA587" s="116"/>
      <c r="EB587" s="116"/>
    </row>
    <row r="588" spans="36:132" ht="12.75" hidden="1" customHeight="1">
      <c r="AJ588" s="116"/>
      <c r="AK588" s="116"/>
      <c r="AL588" s="116"/>
      <c r="AM588" s="116"/>
      <c r="AN588" s="116"/>
      <c r="AO588" s="116"/>
      <c r="AP588" s="116"/>
      <c r="AS588" s="116"/>
      <c r="AT588" s="116"/>
      <c r="BQ588" s="116"/>
      <c r="BR588" s="116"/>
      <c r="BS588" s="116"/>
      <c r="BT588" s="116"/>
      <c r="BU588" s="116"/>
      <c r="BV588" s="116"/>
      <c r="BW588" s="116"/>
      <c r="BX588" s="116"/>
      <c r="BY588" s="116"/>
      <c r="BZ588" s="116"/>
      <c r="CA588" s="116"/>
      <c r="CB588" s="116"/>
      <c r="CC588" s="116"/>
      <c r="CD588" s="116"/>
      <c r="CE588" s="116"/>
      <c r="CF588" s="116"/>
      <c r="CG588" s="116"/>
      <c r="CH588" s="116"/>
      <c r="CI588" s="116"/>
      <c r="CJ588" s="116"/>
      <c r="CK588" s="116"/>
      <c r="CL588" s="116"/>
      <c r="CM588" s="116"/>
      <c r="CN588" s="116"/>
      <c r="CO588" s="116"/>
      <c r="CP588" s="116"/>
      <c r="CQ588" s="116"/>
      <c r="CR588" s="116"/>
      <c r="CS588" s="116"/>
      <c r="CT588" s="116"/>
      <c r="CU588" s="116"/>
      <c r="CV588" s="116"/>
      <c r="CW588" s="116"/>
      <c r="CX588" s="116"/>
      <c r="CY588" s="116"/>
      <c r="CZ588" s="116"/>
      <c r="DA588" s="116"/>
      <c r="DB588" s="116"/>
      <c r="DC588" s="116"/>
      <c r="DD588" s="116"/>
      <c r="DE588" s="116"/>
      <c r="DF588" s="116"/>
      <c r="DG588" s="116"/>
      <c r="DH588" s="116"/>
      <c r="DI588" s="116"/>
      <c r="DJ588" s="116"/>
      <c r="DK588" s="116"/>
      <c r="DL588" s="116"/>
      <c r="DM588" s="116"/>
      <c r="DN588" s="116"/>
      <c r="DO588" s="116"/>
      <c r="DP588" s="116"/>
      <c r="DQ588" s="116"/>
      <c r="DR588" s="116"/>
      <c r="DS588" s="116"/>
      <c r="DT588" s="116"/>
      <c r="DU588" s="116"/>
      <c r="DV588" s="116"/>
      <c r="DW588" s="116"/>
      <c r="DX588" s="116"/>
      <c r="DY588" s="116"/>
      <c r="DZ588" s="116"/>
      <c r="EA588" s="116"/>
      <c r="EB588" s="116"/>
    </row>
    <row r="589" spans="36:132" ht="12.75" hidden="1" customHeight="1">
      <c r="AJ589" s="116"/>
      <c r="AK589" s="116"/>
      <c r="AL589" s="116"/>
      <c r="AM589" s="116"/>
      <c r="AN589" s="116"/>
      <c r="AO589" s="116"/>
      <c r="AP589" s="116"/>
      <c r="AS589" s="116"/>
      <c r="AT589" s="116"/>
      <c r="BQ589" s="116"/>
      <c r="BR589" s="116"/>
      <c r="BS589" s="116"/>
      <c r="BT589" s="116"/>
      <c r="BU589" s="116"/>
      <c r="BV589" s="116"/>
      <c r="BW589" s="116"/>
      <c r="BX589" s="116"/>
      <c r="BY589" s="116"/>
      <c r="BZ589" s="116"/>
      <c r="CA589" s="116"/>
      <c r="CB589" s="116"/>
      <c r="CC589" s="116"/>
      <c r="CD589" s="116"/>
      <c r="CE589" s="116"/>
      <c r="CF589" s="116"/>
      <c r="CG589" s="116"/>
      <c r="CH589" s="116"/>
      <c r="CI589" s="116"/>
      <c r="CJ589" s="116"/>
      <c r="CK589" s="116"/>
      <c r="CL589" s="116"/>
      <c r="CM589" s="116"/>
      <c r="CN589" s="116"/>
      <c r="CO589" s="116"/>
      <c r="CP589" s="116"/>
      <c r="CQ589" s="116"/>
      <c r="CR589" s="116"/>
      <c r="CS589" s="116"/>
      <c r="CT589" s="116"/>
      <c r="CU589" s="116"/>
      <c r="CV589" s="116"/>
      <c r="CW589" s="116"/>
      <c r="CX589" s="116"/>
      <c r="CY589" s="116"/>
      <c r="CZ589" s="116"/>
      <c r="DA589" s="116"/>
      <c r="DB589" s="116"/>
      <c r="DC589" s="116"/>
      <c r="DD589" s="116"/>
      <c r="DE589" s="116"/>
      <c r="DF589" s="116"/>
      <c r="DG589" s="116"/>
      <c r="DH589" s="116"/>
      <c r="DI589" s="116"/>
      <c r="DJ589" s="116"/>
      <c r="DK589" s="116"/>
      <c r="DL589" s="116"/>
      <c r="DM589" s="116"/>
      <c r="DN589" s="116"/>
      <c r="DO589" s="116"/>
      <c r="DP589" s="116"/>
      <c r="DQ589" s="116"/>
      <c r="DR589" s="116"/>
      <c r="DS589" s="116"/>
      <c r="DT589" s="116"/>
      <c r="DU589" s="116"/>
      <c r="DV589" s="116"/>
      <c r="DW589" s="116"/>
      <c r="DX589" s="116"/>
      <c r="DY589" s="116"/>
      <c r="DZ589" s="116"/>
      <c r="EA589" s="116"/>
      <c r="EB589" s="116"/>
    </row>
    <row r="590" spans="36:132" ht="12.75" hidden="1" customHeight="1">
      <c r="AJ590" s="116"/>
      <c r="AK590" s="116"/>
      <c r="AL590" s="116"/>
      <c r="AM590" s="116"/>
      <c r="AN590" s="116"/>
      <c r="AO590" s="116"/>
      <c r="AP590" s="116"/>
      <c r="AS590" s="116"/>
      <c r="AT590" s="116"/>
      <c r="BQ590" s="116"/>
      <c r="BR590" s="116"/>
      <c r="BS590" s="116"/>
      <c r="BT590" s="116"/>
      <c r="BU590" s="116"/>
      <c r="BV590" s="116"/>
      <c r="BW590" s="116"/>
      <c r="BX590" s="116"/>
      <c r="BY590" s="116"/>
      <c r="BZ590" s="116"/>
      <c r="CA590" s="116"/>
      <c r="CB590" s="116"/>
      <c r="CC590" s="116"/>
      <c r="CD590" s="116"/>
      <c r="CE590" s="116"/>
      <c r="CF590" s="116"/>
      <c r="CG590" s="116"/>
      <c r="CH590" s="116"/>
      <c r="CI590" s="116"/>
      <c r="CJ590" s="116"/>
      <c r="CK590" s="116"/>
      <c r="CL590" s="116"/>
      <c r="CM590" s="116"/>
      <c r="CN590" s="116"/>
      <c r="CO590" s="116"/>
      <c r="CP590" s="116"/>
      <c r="CQ590" s="116"/>
      <c r="CR590" s="116"/>
      <c r="CS590" s="116"/>
      <c r="CT590" s="116"/>
      <c r="CU590" s="116"/>
      <c r="CV590" s="116"/>
      <c r="CW590" s="116"/>
      <c r="CX590" s="116"/>
      <c r="CY590" s="116"/>
      <c r="CZ590" s="116"/>
      <c r="DA590" s="116"/>
      <c r="DB590" s="116"/>
      <c r="DC590" s="116"/>
      <c r="DD590" s="116"/>
      <c r="DE590" s="116"/>
      <c r="DF590" s="116"/>
      <c r="DG590" s="116"/>
      <c r="DH590" s="116"/>
      <c r="DI590" s="116"/>
      <c r="DJ590" s="116"/>
      <c r="DK590" s="116"/>
      <c r="DL590" s="116"/>
      <c r="DM590" s="116"/>
      <c r="DN590" s="116"/>
      <c r="DO590" s="116"/>
      <c r="DP590" s="116"/>
      <c r="DQ590" s="116"/>
      <c r="DR590" s="116"/>
      <c r="DS590" s="116"/>
      <c r="DT590" s="116"/>
      <c r="DU590" s="116"/>
      <c r="DV590" s="116"/>
      <c r="DW590" s="116"/>
      <c r="DX590" s="116"/>
      <c r="DY590" s="116"/>
      <c r="DZ590" s="116"/>
      <c r="EA590" s="116"/>
      <c r="EB590" s="116"/>
    </row>
    <row r="591" spans="36:132" ht="12.75" hidden="1" customHeight="1">
      <c r="AJ591" s="116"/>
      <c r="AK591" s="116"/>
      <c r="AL591" s="116"/>
      <c r="AM591" s="116"/>
      <c r="AN591" s="116"/>
      <c r="AO591" s="116"/>
      <c r="AP591" s="116"/>
      <c r="AS591" s="116"/>
      <c r="AT591" s="116"/>
      <c r="BQ591" s="116"/>
      <c r="BR591" s="116"/>
      <c r="BS591" s="116"/>
      <c r="BT591" s="116"/>
      <c r="BU591" s="116"/>
      <c r="BV591" s="116"/>
      <c r="BW591" s="116"/>
      <c r="BX591" s="116"/>
      <c r="BY591" s="116"/>
      <c r="BZ591" s="116"/>
      <c r="CA591" s="116"/>
      <c r="CB591" s="116"/>
      <c r="CC591" s="116"/>
      <c r="CD591" s="116"/>
      <c r="CE591" s="116"/>
      <c r="CF591" s="116"/>
      <c r="CG591" s="116"/>
      <c r="CH591" s="116"/>
      <c r="CI591" s="116"/>
      <c r="CJ591" s="116"/>
      <c r="CK591" s="116"/>
      <c r="CL591" s="116"/>
      <c r="CM591" s="116"/>
      <c r="CN591" s="116"/>
      <c r="CO591" s="116"/>
      <c r="CP591" s="116"/>
      <c r="CQ591" s="116"/>
      <c r="CR591" s="116"/>
      <c r="CS591" s="116"/>
      <c r="CT591" s="116"/>
      <c r="CU591" s="116"/>
      <c r="CV591" s="116"/>
      <c r="CW591" s="116"/>
      <c r="CX591" s="116"/>
      <c r="CY591" s="116"/>
      <c r="CZ591" s="116"/>
      <c r="DA591" s="116"/>
      <c r="DB591" s="116"/>
      <c r="DC591" s="116"/>
      <c r="DD591" s="116"/>
      <c r="DE591" s="116"/>
      <c r="DF591" s="116"/>
      <c r="DG591" s="116"/>
      <c r="DH591" s="116"/>
      <c r="DI591" s="116"/>
      <c r="DJ591" s="116"/>
      <c r="DK591" s="116"/>
      <c r="DL591" s="116"/>
      <c r="DM591" s="116"/>
      <c r="DN591" s="116"/>
      <c r="DO591" s="116"/>
      <c r="DP591" s="116"/>
      <c r="DQ591" s="116"/>
      <c r="DR591" s="116"/>
      <c r="DS591" s="116"/>
      <c r="DT591" s="116"/>
      <c r="DU591" s="116"/>
      <c r="DV591" s="116"/>
      <c r="DW591" s="116"/>
      <c r="DX591" s="116"/>
      <c r="DY591" s="116"/>
      <c r="DZ591" s="116"/>
      <c r="EA591" s="116"/>
      <c r="EB591" s="116"/>
    </row>
    <row r="592" spans="36:132" ht="12.75" hidden="1" customHeight="1">
      <c r="AJ592" s="116"/>
      <c r="AK592" s="116"/>
      <c r="AL592" s="116"/>
      <c r="AM592" s="116"/>
      <c r="AN592" s="116"/>
      <c r="AO592" s="116"/>
      <c r="AP592" s="116"/>
      <c r="AS592" s="116"/>
      <c r="AT592" s="116"/>
      <c r="BQ592" s="116"/>
      <c r="BR592" s="116"/>
      <c r="BS592" s="116"/>
      <c r="BT592" s="116"/>
      <c r="BU592" s="116"/>
      <c r="BV592" s="116"/>
      <c r="BW592" s="116"/>
      <c r="BX592" s="116"/>
      <c r="BY592" s="116"/>
      <c r="BZ592" s="116"/>
      <c r="CA592" s="116"/>
      <c r="CB592" s="116"/>
      <c r="CC592" s="116"/>
      <c r="CD592" s="116"/>
      <c r="CE592" s="116"/>
      <c r="CF592" s="116"/>
      <c r="CG592" s="116"/>
      <c r="CH592" s="116"/>
      <c r="CI592" s="116"/>
      <c r="CJ592" s="116"/>
      <c r="CK592" s="116"/>
      <c r="CL592" s="116"/>
      <c r="CM592" s="116"/>
      <c r="CN592" s="116"/>
      <c r="CO592" s="116"/>
      <c r="CP592" s="116"/>
      <c r="CQ592" s="116"/>
      <c r="CR592" s="116"/>
      <c r="CS592" s="116"/>
      <c r="CT592" s="116"/>
      <c r="CU592" s="116"/>
      <c r="CV592" s="116"/>
      <c r="CW592" s="116"/>
      <c r="CX592" s="116"/>
      <c r="CY592" s="116"/>
      <c r="CZ592" s="116"/>
      <c r="DA592" s="116"/>
      <c r="DB592" s="116"/>
      <c r="DC592" s="116"/>
      <c r="DD592" s="116"/>
      <c r="DE592" s="116"/>
      <c r="DF592" s="116"/>
      <c r="DG592" s="116"/>
      <c r="DH592" s="116"/>
      <c r="DI592" s="116"/>
      <c r="DJ592" s="116"/>
      <c r="DK592" s="116"/>
      <c r="DL592" s="116"/>
      <c r="DM592" s="116"/>
      <c r="DN592" s="116"/>
      <c r="DO592" s="116"/>
      <c r="DP592" s="116"/>
      <c r="DQ592" s="116"/>
      <c r="DR592" s="116"/>
      <c r="DS592" s="116"/>
      <c r="DT592" s="116"/>
      <c r="DU592" s="116"/>
      <c r="DV592" s="116"/>
      <c r="DW592" s="116"/>
      <c r="DX592" s="116"/>
      <c r="DY592" s="116"/>
      <c r="DZ592" s="116"/>
      <c r="EA592" s="116"/>
      <c r="EB592" s="116"/>
    </row>
    <row r="593" spans="36:132" ht="12.75" hidden="1" customHeight="1">
      <c r="AJ593" s="116"/>
      <c r="AK593" s="116"/>
      <c r="AL593" s="116"/>
      <c r="AM593" s="116"/>
      <c r="AN593" s="116"/>
      <c r="AO593" s="116"/>
      <c r="AP593" s="116"/>
      <c r="AS593" s="116"/>
      <c r="AT593" s="116"/>
      <c r="BQ593" s="116"/>
      <c r="BR593" s="116"/>
      <c r="BS593" s="116"/>
      <c r="BT593" s="116"/>
      <c r="BU593" s="116"/>
      <c r="BV593" s="116"/>
      <c r="BW593" s="116"/>
      <c r="BX593" s="116"/>
      <c r="BY593" s="116"/>
      <c r="BZ593" s="116"/>
      <c r="CA593" s="116"/>
      <c r="CB593" s="116"/>
      <c r="CC593" s="116"/>
      <c r="CD593" s="116"/>
      <c r="CE593" s="116"/>
      <c r="CF593" s="116"/>
      <c r="CG593" s="116"/>
      <c r="CH593" s="116"/>
      <c r="CI593" s="116"/>
      <c r="CJ593" s="116"/>
      <c r="CK593" s="116"/>
      <c r="CL593" s="116"/>
      <c r="CM593" s="116"/>
      <c r="CN593" s="116"/>
      <c r="CO593" s="116"/>
      <c r="CP593" s="116"/>
      <c r="CQ593" s="116"/>
      <c r="CR593" s="116"/>
      <c r="CS593" s="116"/>
      <c r="CT593" s="116"/>
      <c r="CU593" s="116"/>
      <c r="CV593" s="116"/>
      <c r="CW593" s="116"/>
      <c r="CX593" s="116"/>
      <c r="CY593" s="116"/>
      <c r="CZ593" s="116"/>
      <c r="DA593" s="116"/>
      <c r="DB593" s="116"/>
      <c r="DC593" s="116"/>
      <c r="DD593" s="116"/>
      <c r="DE593" s="116"/>
      <c r="DF593" s="116"/>
      <c r="DG593" s="116"/>
      <c r="DH593" s="116"/>
      <c r="DI593" s="116"/>
      <c r="DJ593" s="116"/>
      <c r="DK593" s="116"/>
      <c r="DL593" s="116"/>
      <c r="DM593" s="116"/>
      <c r="DN593" s="116"/>
      <c r="DO593" s="116"/>
      <c r="DP593" s="116"/>
      <c r="DQ593" s="116"/>
      <c r="DR593" s="116"/>
      <c r="DS593" s="116"/>
      <c r="DT593" s="116"/>
      <c r="DU593" s="116"/>
      <c r="DV593" s="116"/>
      <c r="DW593" s="116"/>
      <c r="DX593" s="116"/>
      <c r="DY593" s="116"/>
      <c r="DZ593" s="116"/>
      <c r="EA593" s="116"/>
      <c r="EB593" s="116"/>
    </row>
    <row r="594" spans="36:132" ht="12.75" hidden="1" customHeight="1">
      <c r="AJ594" s="116"/>
      <c r="AK594" s="116"/>
      <c r="AL594" s="116"/>
      <c r="AM594" s="116"/>
      <c r="AN594" s="116"/>
      <c r="AO594" s="116"/>
      <c r="AP594" s="116"/>
      <c r="AS594" s="116"/>
      <c r="AT594" s="116"/>
      <c r="BQ594" s="116"/>
      <c r="BR594" s="116"/>
      <c r="BS594" s="116"/>
      <c r="BT594" s="116"/>
      <c r="BU594" s="116"/>
      <c r="BV594" s="116"/>
      <c r="BW594" s="116"/>
      <c r="BX594" s="116"/>
      <c r="BY594" s="116"/>
      <c r="BZ594" s="116"/>
      <c r="CA594" s="116"/>
      <c r="CB594" s="116"/>
      <c r="CC594" s="116"/>
      <c r="CD594" s="116"/>
      <c r="CE594" s="116"/>
      <c r="CF594" s="116"/>
      <c r="CG594" s="116"/>
      <c r="CH594" s="116"/>
      <c r="CI594" s="116"/>
      <c r="CJ594" s="116"/>
      <c r="CK594" s="116"/>
      <c r="CL594" s="116"/>
      <c r="CM594" s="116"/>
      <c r="CN594" s="116"/>
      <c r="CO594" s="116"/>
      <c r="CP594" s="116"/>
      <c r="CQ594" s="116"/>
      <c r="CR594" s="116"/>
      <c r="CS594" s="116"/>
      <c r="CT594" s="116"/>
      <c r="CU594" s="116"/>
      <c r="CV594" s="116"/>
      <c r="CW594" s="116"/>
      <c r="CX594" s="116"/>
      <c r="CY594" s="116"/>
      <c r="CZ594" s="116"/>
      <c r="DA594" s="116"/>
      <c r="DB594" s="116"/>
      <c r="DC594" s="116"/>
      <c r="DD594" s="116"/>
      <c r="DE594" s="116"/>
      <c r="DF594" s="116"/>
      <c r="DG594" s="116"/>
      <c r="DH594" s="116"/>
      <c r="DI594" s="116"/>
      <c r="DJ594" s="116"/>
      <c r="DK594" s="116"/>
      <c r="DL594" s="116"/>
      <c r="DM594" s="116"/>
      <c r="DN594" s="116"/>
      <c r="DO594" s="116"/>
      <c r="DP594" s="116"/>
      <c r="DQ594" s="116"/>
      <c r="DR594" s="116"/>
      <c r="DS594" s="116"/>
      <c r="DT594" s="116"/>
      <c r="DU594" s="116"/>
      <c r="DV594" s="116"/>
      <c r="DW594" s="116"/>
      <c r="DX594" s="116"/>
      <c r="DY594" s="116"/>
      <c r="DZ594" s="116"/>
      <c r="EA594" s="116"/>
      <c r="EB594" s="116"/>
    </row>
    <row r="595" spans="36:132" ht="12.75" hidden="1" customHeight="1">
      <c r="AJ595" s="116"/>
      <c r="AK595" s="116"/>
      <c r="AL595" s="116"/>
      <c r="AM595" s="116"/>
      <c r="AN595" s="116"/>
      <c r="AO595" s="116"/>
      <c r="AP595" s="116"/>
      <c r="AS595" s="116"/>
      <c r="AT595" s="116"/>
      <c r="BQ595" s="116"/>
      <c r="BR595" s="116"/>
      <c r="BS595" s="116"/>
      <c r="BT595" s="116"/>
      <c r="BU595" s="116"/>
      <c r="BV595" s="116"/>
      <c r="BW595" s="116"/>
      <c r="BX595" s="116"/>
      <c r="BY595" s="116"/>
      <c r="BZ595" s="116"/>
      <c r="CA595" s="116"/>
      <c r="CB595" s="116"/>
      <c r="CC595" s="116"/>
      <c r="CD595" s="116"/>
      <c r="CE595" s="116"/>
      <c r="CF595" s="116"/>
      <c r="CG595" s="116"/>
      <c r="CH595" s="116"/>
      <c r="CI595" s="116"/>
      <c r="CJ595" s="116"/>
      <c r="CK595" s="116"/>
      <c r="CL595" s="116"/>
      <c r="CM595" s="116"/>
      <c r="CN595" s="116"/>
      <c r="CO595" s="116"/>
      <c r="CP595" s="116"/>
      <c r="CQ595" s="116"/>
      <c r="CR595" s="116"/>
      <c r="CS595" s="116"/>
      <c r="CT595" s="116"/>
      <c r="CU595" s="116"/>
      <c r="CV595" s="116"/>
      <c r="CW595" s="116"/>
      <c r="CX595" s="116"/>
      <c r="CY595" s="116"/>
      <c r="CZ595" s="116"/>
      <c r="DA595" s="116"/>
      <c r="DB595" s="116"/>
      <c r="DC595" s="116"/>
      <c r="DD595" s="116"/>
      <c r="DE595" s="116"/>
      <c r="DF595" s="116"/>
      <c r="DG595" s="116"/>
      <c r="DH595" s="116"/>
      <c r="DI595" s="116"/>
      <c r="DJ595" s="116"/>
      <c r="DK595" s="116"/>
      <c r="DL595" s="116"/>
      <c r="DM595" s="116"/>
      <c r="DN595" s="116"/>
      <c r="DO595" s="116"/>
      <c r="DP595" s="116"/>
      <c r="DQ595" s="116"/>
      <c r="DR595" s="116"/>
      <c r="DS595" s="116"/>
      <c r="DT595" s="116"/>
      <c r="DU595" s="116"/>
      <c r="DV595" s="116"/>
      <c r="DW595" s="116"/>
      <c r="DX595" s="116"/>
      <c r="DY595" s="116"/>
      <c r="DZ595" s="116"/>
      <c r="EA595" s="116"/>
      <c r="EB595" s="116"/>
    </row>
    <row r="596" spans="36:132" ht="12.75" hidden="1" customHeight="1">
      <c r="AJ596" s="116"/>
      <c r="AK596" s="116"/>
      <c r="AL596" s="116"/>
      <c r="AM596" s="116"/>
      <c r="AN596" s="116"/>
      <c r="AO596" s="116"/>
      <c r="AP596" s="116"/>
      <c r="AS596" s="116"/>
      <c r="AT596" s="116"/>
      <c r="BQ596" s="116"/>
      <c r="BR596" s="116"/>
      <c r="BS596" s="116"/>
      <c r="BT596" s="116"/>
      <c r="BU596" s="116"/>
      <c r="BV596" s="116"/>
      <c r="BW596" s="116"/>
      <c r="BX596" s="116"/>
      <c r="BY596" s="116"/>
      <c r="BZ596" s="116"/>
      <c r="CA596" s="116"/>
      <c r="CB596" s="116"/>
      <c r="CC596" s="116"/>
      <c r="CD596" s="116"/>
      <c r="CE596" s="116"/>
      <c r="CF596" s="116"/>
      <c r="CG596" s="116"/>
      <c r="CH596" s="116"/>
      <c r="CI596" s="116"/>
      <c r="CJ596" s="116"/>
      <c r="CK596" s="116"/>
      <c r="CL596" s="116"/>
      <c r="CM596" s="116"/>
      <c r="CN596" s="116"/>
      <c r="CO596" s="116"/>
      <c r="CP596" s="116"/>
      <c r="CQ596" s="116"/>
      <c r="CR596" s="116"/>
      <c r="CS596" s="116"/>
      <c r="CT596" s="116"/>
      <c r="CU596" s="116"/>
      <c r="CV596" s="116"/>
      <c r="CW596" s="116"/>
      <c r="CX596" s="116"/>
      <c r="CY596" s="116"/>
      <c r="CZ596" s="116"/>
      <c r="DA596" s="116"/>
      <c r="DB596" s="116"/>
      <c r="DC596" s="116"/>
      <c r="DD596" s="116"/>
      <c r="DE596" s="116"/>
      <c r="DF596" s="116"/>
      <c r="DG596" s="116"/>
      <c r="DH596" s="116"/>
      <c r="DI596" s="116"/>
      <c r="DJ596" s="116"/>
      <c r="DK596" s="116"/>
      <c r="DL596" s="116"/>
      <c r="DM596" s="116"/>
      <c r="DN596" s="116"/>
      <c r="DO596" s="116"/>
      <c r="DP596" s="116"/>
      <c r="DQ596" s="116"/>
      <c r="DR596" s="116"/>
      <c r="DS596" s="116"/>
      <c r="DT596" s="116"/>
      <c r="DU596" s="116"/>
      <c r="DV596" s="116"/>
      <c r="DW596" s="116"/>
      <c r="DX596" s="116"/>
      <c r="DY596" s="116"/>
      <c r="DZ596" s="116"/>
      <c r="EA596" s="116"/>
      <c r="EB596" s="116"/>
    </row>
    <row r="597" spans="36:132" ht="12.75" hidden="1" customHeight="1">
      <c r="AJ597" s="116"/>
      <c r="AK597" s="116"/>
      <c r="AL597" s="116"/>
      <c r="AM597" s="116"/>
      <c r="AN597" s="116"/>
      <c r="AO597" s="116"/>
      <c r="AP597" s="116"/>
      <c r="AS597" s="116"/>
      <c r="AT597" s="116"/>
      <c r="BQ597" s="116"/>
      <c r="BR597" s="116"/>
      <c r="BS597" s="116"/>
      <c r="BT597" s="116"/>
      <c r="BU597" s="116"/>
      <c r="BV597" s="116"/>
      <c r="BW597" s="116"/>
      <c r="BX597" s="116"/>
      <c r="BY597" s="116"/>
      <c r="BZ597" s="116"/>
      <c r="CA597" s="116"/>
      <c r="CB597" s="116"/>
      <c r="CC597" s="116"/>
      <c r="CD597" s="116"/>
      <c r="CE597" s="116"/>
      <c r="CF597" s="116"/>
      <c r="CG597" s="116"/>
      <c r="CH597" s="116"/>
      <c r="CI597" s="116"/>
      <c r="CJ597" s="116"/>
      <c r="CK597" s="116"/>
      <c r="CL597" s="116"/>
      <c r="CM597" s="116"/>
      <c r="CN597" s="116"/>
      <c r="CO597" s="116"/>
      <c r="CP597" s="116"/>
      <c r="CQ597" s="116"/>
      <c r="CR597" s="116"/>
      <c r="CS597" s="116"/>
      <c r="CT597" s="116"/>
      <c r="CU597" s="116"/>
      <c r="CV597" s="116"/>
      <c r="CW597" s="116"/>
      <c r="CX597" s="116"/>
      <c r="CY597" s="116"/>
      <c r="CZ597" s="116"/>
      <c r="DA597" s="116"/>
      <c r="DB597" s="116"/>
      <c r="DC597" s="116"/>
      <c r="DD597" s="116"/>
      <c r="DE597" s="116"/>
      <c r="DF597" s="116"/>
      <c r="DG597" s="116"/>
      <c r="DH597" s="116"/>
      <c r="DI597" s="116"/>
      <c r="DJ597" s="116"/>
      <c r="DK597" s="116"/>
      <c r="DL597" s="116"/>
      <c r="DM597" s="116"/>
      <c r="DN597" s="116"/>
      <c r="DO597" s="116"/>
      <c r="DP597" s="116"/>
      <c r="DQ597" s="116"/>
      <c r="DR597" s="116"/>
      <c r="DS597" s="116"/>
      <c r="DT597" s="116"/>
      <c r="DU597" s="116"/>
      <c r="DV597" s="116"/>
      <c r="DW597" s="116"/>
      <c r="DX597" s="116"/>
      <c r="DY597" s="116"/>
      <c r="DZ597" s="116"/>
      <c r="EA597" s="116"/>
      <c r="EB597" s="116"/>
    </row>
    <row r="598" spans="36:132" ht="12.75" hidden="1" customHeight="1">
      <c r="AJ598" s="116"/>
      <c r="AK598" s="116"/>
      <c r="AL598" s="116"/>
      <c r="AM598" s="116"/>
      <c r="AN598" s="116"/>
      <c r="AO598" s="116"/>
      <c r="AP598" s="116"/>
      <c r="AS598" s="116"/>
      <c r="AT598" s="116"/>
      <c r="BQ598" s="116"/>
      <c r="BR598" s="116"/>
      <c r="BS598" s="116"/>
      <c r="BT598" s="116"/>
      <c r="BU598" s="116"/>
      <c r="BV598" s="116"/>
      <c r="BW598" s="116"/>
      <c r="BX598" s="116"/>
      <c r="BY598" s="116"/>
      <c r="BZ598" s="116"/>
      <c r="CA598" s="116"/>
      <c r="CB598" s="116"/>
      <c r="CC598" s="116"/>
      <c r="CD598" s="116"/>
      <c r="CE598" s="116"/>
      <c r="CF598" s="116"/>
      <c r="CG598" s="116"/>
      <c r="CH598" s="116"/>
      <c r="CI598" s="116"/>
      <c r="CJ598" s="116"/>
      <c r="CK598" s="116"/>
      <c r="CL598" s="116"/>
      <c r="CM598" s="116"/>
      <c r="CN598" s="116"/>
      <c r="CO598" s="116"/>
      <c r="CP598" s="116"/>
      <c r="CQ598" s="116"/>
      <c r="CR598" s="116"/>
      <c r="CS598" s="116"/>
      <c r="CT598" s="116"/>
      <c r="CU598" s="116"/>
      <c r="CV598" s="116"/>
      <c r="CW598" s="116"/>
      <c r="CX598" s="116"/>
      <c r="CY598" s="116"/>
      <c r="CZ598" s="116"/>
      <c r="DA598" s="116"/>
      <c r="DB598" s="116"/>
      <c r="DC598" s="116"/>
      <c r="DD598" s="116"/>
      <c r="DE598" s="116"/>
      <c r="DF598" s="116"/>
      <c r="DG598" s="116"/>
      <c r="DH598" s="116"/>
      <c r="DI598" s="116"/>
      <c r="DJ598" s="116"/>
      <c r="DK598" s="116"/>
      <c r="DL598" s="116"/>
      <c r="DM598" s="116"/>
      <c r="DN598" s="116"/>
      <c r="DO598" s="116"/>
      <c r="DP598" s="116"/>
      <c r="DQ598" s="116"/>
      <c r="DR598" s="116"/>
      <c r="DS598" s="116"/>
      <c r="DT598" s="116"/>
      <c r="DU598" s="116"/>
      <c r="DV598" s="116"/>
      <c r="DW598" s="116"/>
      <c r="DX598" s="116"/>
      <c r="DY598" s="116"/>
      <c r="DZ598" s="116"/>
      <c r="EA598" s="116"/>
      <c r="EB598" s="116"/>
    </row>
    <row r="599" spans="36:132" ht="12.75" hidden="1" customHeight="1">
      <c r="AJ599" s="116"/>
      <c r="AK599" s="116"/>
      <c r="AL599" s="116"/>
      <c r="AM599" s="116"/>
      <c r="AN599" s="116"/>
      <c r="AO599" s="116"/>
      <c r="AP599" s="116"/>
      <c r="AS599" s="116"/>
      <c r="AT599" s="116"/>
      <c r="BQ599" s="116"/>
      <c r="BR599" s="116"/>
      <c r="BS599" s="116"/>
      <c r="BT599" s="116"/>
      <c r="BU599" s="116"/>
      <c r="BV599" s="116"/>
      <c r="BW599" s="116"/>
      <c r="BX599" s="116"/>
      <c r="BY599" s="116"/>
      <c r="BZ599" s="116"/>
      <c r="CA599" s="116"/>
      <c r="CB599" s="116"/>
      <c r="CC599" s="116"/>
      <c r="CD599" s="116"/>
      <c r="CE599" s="116"/>
      <c r="CF599" s="116"/>
      <c r="CG599" s="116"/>
      <c r="CH599" s="116"/>
      <c r="CI599" s="116"/>
      <c r="CJ599" s="116"/>
      <c r="CK599" s="116"/>
      <c r="CL599" s="116"/>
      <c r="CM599" s="116"/>
      <c r="CN599" s="116"/>
      <c r="CO599" s="116"/>
      <c r="CP599" s="116"/>
      <c r="CQ599" s="116"/>
      <c r="CR599" s="116"/>
      <c r="CS599" s="116"/>
      <c r="CT599" s="116"/>
      <c r="CU599" s="116"/>
      <c r="CV599" s="116"/>
      <c r="CW599" s="116"/>
      <c r="CX599" s="116"/>
      <c r="CY599" s="116"/>
      <c r="CZ599" s="116"/>
      <c r="DA599" s="116"/>
      <c r="DB599" s="116"/>
      <c r="DC599" s="116"/>
      <c r="DD599" s="116"/>
      <c r="DE599" s="116"/>
      <c r="DF599" s="116"/>
      <c r="DG599" s="116"/>
      <c r="DH599" s="116"/>
      <c r="DI599" s="116"/>
      <c r="DJ599" s="116"/>
      <c r="DK599" s="116"/>
      <c r="DL599" s="116"/>
      <c r="DM599" s="116"/>
      <c r="DN599" s="116"/>
      <c r="DO599" s="116"/>
      <c r="DP599" s="116"/>
      <c r="DQ599" s="116"/>
      <c r="DR599" s="116"/>
      <c r="DS599" s="116"/>
      <c r="DT599" s="116"/>
      <c r="DU599" s="116"/>
      <c r="DV599" s="116"/>
      <c r="DW599" s="116"/>
      <c r="DX599" s="116"/>
      <c r="DY599" s="116"/>
      <c r="DZ599" s="116"/>
      <c r="EA599" s="116"/>
      <c r="EB599" s="116"/>
    </row>
    <row r="600" spans="36:132" ht="12.75" hidden="1" customHeight="1">
      <c r="AJ600" s="116"/>
      <c r="AK600" s="116"/>
      <c r="AL600" s="116"/>
      <c r="AM600" s="116"/>
      <c r="AN600" s="116"/>
      <c r="AO600" s="116"/>
      <c r="AP600" s="116"/>
      <c r="AS600" s="116"/>
      <c r="AT600" s="116"/>
      <c r="BQ600" s="116"/>
      <c r="BR600" s="116"/>
      <c r="BS600" s="116"/>
      <c r="BT600" s="116"/>
      <c r="BU600" s="116"/>
      <c r="BV600" s="116"/>
      <c r="BW600" s="116"/>
      <c r="BX600" s="116"/>
      <c r="BY600" s="116"/>
      <c r="BZ600" s="116"/>
      <c r="CA600" s="116"/>
      <c r="CB600" s="116"/>
      <c r="CC600" s="116"/>
      <c r="CD600" s="116"/>
      <c r="CE600" s="116"/>
      <c r="CF600" s="116"/>
      <c r="CG600" s="116"/>
      <c r="CH600" s="116"/>
      <c r="CI600" s="116"/>
      <c r="CJ600" s="116"/>
      <c r="CK600" s="116"/>
      <c r="CL600" s="116"/>
      <c r="CM600" s="116"/>
      <c r="CN600" s="116"/>
      <c r="CO600" s="116"/>
      <c r="CP600" s="116"/>
      <c r="CQ600" s="116"/>
      <c r="CR600" s="116"/>
      <c r="CS600" s="116"/>
      <c r="CT600" s="116"/>
      <c r="CU600" s="116"/>
      <c r="CV600" s="116"/>
      <c r="CW600" s="116"/>
      <c r="CX600" s="116"/>
      <c r="CY600" s="116"/>
      <c r="CZ600" s="116"/>
      <c r="DA600" s="116"/>
      <c r="DB600" s="116"/>
      <c r="DC600" s="116"/>
      <c r="DD600" s="116"/>
      <c r="DE600" s="116"/>
      <c r="DF600" s="116"/>
      <c r="DG600" s="116"/>
      <c r="DH600" s="116"/>
      <c r="DI600" s="116"/>
      <c r="DJ600" s="116"/>
      <c r="DK600" s="116"/>
      <c r="DL600" s="116"/>
      <c r="DM600" s="116"/>
      <c r="DN600" s="116"/>
      <c r="DO600" s="116"/>
      <c r="DP600" s="116"/>
      <c r="DQ600" s="116"/>
      <c r="DR600" s="116"/>
      <c r="DS600" s="116"/>
      <c r="DT600" s="116"/>
      <c r="DU600" s="116"/>
      <c r="DV600" s="116"/>
      <c r="DW600" s="116"/>
      <c r="DX600" s="116"/>
      <c r="DY600" s="116"/>
      <c r="DZ600" s="116"/>
      <c r="EA600" s="116"/>
      <c r="EB600" s="116"/>
    </row>
    <row r="601" spans="36:132" ht="12.75" hidden="1" customHeight="1">
      <c r="AJ601" s="116"/>
      <c r="AK601" s="116"/>
      <c r="AL601" s="116"/>
      <c r="AM601" s="116"/>
      <c r="AN601" s="116"/>
      <c r="AO601" s="116"/>
      <c r="AP601" s="116"/>
      <c r="AS601" s="116"/>
      <c r="AT601" s="116"/>
      <c r="BQ601" s="116"/>
      <c r="BR601" s="116"/>
      <c r="BS601" s="116"/>
      <c r="BT601" s="116"/>
      <c r="BU601" s="116"/>
      <c r="BV601" s="116"/>
      <c r="BW601" s="116"/>
      <c r="BX601" s="116"/>
      <c r="BY601" s="116"/>
      <c r="BZ601" s="116"/>
      <c r="CA601" s="116"/>
      <c r="CB601" s="116"/>
      <c r="CC601" s="116"/>
      <c r="CD601" s="116"/>
      <c r="CE601" s="116"/>
      <c r="CF601" s="116"/>
      <c r="CG601" s="116"/>
      <c r="CH601" s="116"/>
      <c r="CI601" s="116"/>
      <c r="CJ601" s="116"/>
      <c r="CK601" s="116"/>
      <c r="CL601" s="116"/>
      <c r="CM601" s="116"/>
      <c r="CN601" s="116"/>
      <c r="CO601" s="116"/>
      <c r="CP601" s="116"/>
      <c r="CQ601" s="116"/>
      <c r="CR601" s="116"/>
      <c r="CS601" s="116"/>
      <c r="CT601" s="116"/>
      <c r="CU601" s="116"/>
      <c r="CV601" s="116"/>
      <c r="CW601" s="116"/>
      <c r="CX601" s="116"/>
      <c r="CY601" s="116"/>
      <c r="CZ601" s="116"/>
      <c r="DA601" s="116"/>
      <c r="DB601" s="116"/>
      <c r="DC601" s="116"/>
      <c r="DD601" s="116"/>
      <c r="DE601" s="116"/>
      <c r="DF601" s="116"/>
      <c r="DG601" s="116"/>
      <c r="DH601" s="116"/>
      <c r="DI601" s="116"/>
      <c r="DJ601" s="116"/>
      <c r="DK601" s="116"/>
      <c r="DL601" s="116"/>
      <c r="DM601" s="116"/>
      <c r="DN601" s="116"/>
      <c r="DO601" s="116"/>
      <c r="DP601" s="116"/>
      <c r="DQ601" s="116"/>
      <c r="DR601" s="116"/>
      <c r="DS601" s="116"/>
      <c r="DT601" s="116"/>
      <c r="DU601" s="116"/>
      <c r="DV601" s="116"/>
      <c r="DW601" s="116"/>
      <c r="DX601" s="116"/>
      <c r="DY601" s="116"/>
      <c r="DZ601" s="116"/>
      <c r="EA601" s="116"/>
      <c r="EB601" s="116"/>
    </row>
    <row r="602" spans="36:132" ht="12.75" hidden="1" customHeight="1">
      <c r="AJ602" s="116"/>
      <c r="AK602" s="116"/>
      <c r="AL602" s="116"/>
      <c r="AM602" s="116"/>
      <c r="AN602" s="116"/>
      <c r="AO602" s="116"/>
      <c r="AP602" s="116"/>
      <c r="AS602" s="116"/>
      <c r="AT602" s="116"/>
      <c r="BQ602" s="116"/>
      <c r="BR602" s="116"/>
      <c r="BS602" s="116"/>
      <c r="BT602" s="116"/>
      <c r="BU602" s="116"/>
      <c r="BV602" s="116"/>
      <c r="BW602" s="116"/>
      <c r="BX602" s="116"/>
      <c r="BY602" s="116"/>
      <c r="BZ602" s="116"/>
      <c r="CA602" s="116"/>
      <c r="CB602" s="116"/>
      <c r="CC602" s="116"/>
      <c r="CD602" s="116"/>
      <c r="CE602" s="116"/>
      <c r="CF602" s="116"/>
      <c r="CG602" s="116"/>
      <c r="CH602" s="116"/>
      <c r="CI602" s="116"/>
      <c r="CJ602" s="116"/>
      <c r="CK602" s="116"/>
      <c r="CL602" s="116"/>
      <c r="CM602" s="116"/>
      <c r="CN602" s="116"/>
      <c r="CO602" s="116"/>
      <c r="CP602" s="116"/>
      <c r="CQ602" s="116"/>
      <c r="CR602" s="116"/>
      <c r="CS602" s="116"/>
      <c r="CT602" s="116"/>
      <c r="CU602" s="116"/>
      <c r="CV602" s="116"/>
      <c r="CW602" s="116"/>
      <c r="CX602" s="116"/>
      <c r="CY602" s="116"/>
      <c r="CZ602" s="116"/>
      <c r="DA602" s="116"/>
      <c r="DB602" s="116"/>
      <c r="DC602" s="116"/>
      <c r="DD602" s="116"/>
      <c r="DE602" s="116"/>
      <c r="DF602" s="116"/>
      <c r="DG602" s="116"/>
      <c r="DH602" s="116"/>
      <c r="DI602" s="116"/>
      <c r="DJ602" s="116"/>
      <c r="DK602" s="116"/>
      <c r="DL602" s="116"/>
      <c r="DM602" s="116"/>
      <c r="DN602" s="116"/>
      <c r="DO602" s="116"/>
      <c r="DP602" s="116"/>
      <c r="DQ602" s="116"/>
      <c r="DR602" s="116"/>
      <c r="DS602" s="116"/>
      <c r="DT602" s="116"/>
      <c r="DU602" s="116"/>
      <c r="DV602" s="116"/>
      <c r="DW602" s="116"/>
      <c r="DX602" s="116"/>
      <c r="DY602" s="116"/>
      <c r="DZ602" s="116"/>
      <c r="EA602" s="116"/>
      <c r="EB602" s="116"/>
    </row>
    <row r="603" spans="36:132" ht="12.75" hidden="1" customHeight="1">
      <c r="AJ603" s="116"/>
      <c r="AK603" s="116"/>
      <c r="AL603" s="116"/>
      <c r="AM603" s="116"/>
      <c r="AN603" s="116"/>
      <c r="AO603" s="116"/>
      <c r="AP603" s="116"/>
      <c r="AS603" s="116"/>
      <c r="AT603" s="116"/>
      <c r="BQ603" s="116"/>
      <c r="BR603" s="116"/>
      <c r="BS603" s="116"/>
      <c r="BT603" s="116"/>
      <c r="BU603" s="116"/>
      <c r="BV603" s="116"/>
      <c r="BW603" s="116"/>
      <c r="BX603" s="116"/>
      <c r="BY603" s="116"/>
      <c r="BZ603" s="116"/>
      <c r="CA603" s="116"/>
      <c r="CB603" s="116"/>
      <c r="CC603" s="116"/>
      <c r="CD603" s="116"/>
      <c r="CE603" s="116"/>
      <c r="CF603" s="116"/>
      <c r="CG603" s="116"/>
      <c r="CH603" s="116"/>
      <c r="CI603" s="116"/>
      <c r="CJ603" s="116"/>
      <c r="CK603" s="116"/>
      <c r="CL603" s="116"/>
      <c r="CM603" s="116"/>
      <c r="CN603" s="116"/>
      <c r="CO603" s="116"/>
      <c r="CP603" s="116"/>
      <c r="CQ603" s="116"/>
      <c r="CR603" s="116"/>
      <c r="CS603" s="116"/>
      <c r="CT603" s="116"/>
      <c r="CU603" s="116"/>
      <c r="CV603" s="116"/>
      <c r="CW603" s="116"/>
      <c r="CX603" s="116"/>
      <c r="CY603" s="116"/>
      <c r="CZ603" s="116"/>
      <c r="DA603" s="116"/>
      <c r="DB603" s="116"/>
      <c r="DC603" s="116"/>
      <c r="DD603" s="116"/>
      <c r="DE603" s="116"/>
      <c r="DF603" s="116"/>
      <c r="DG603" s="116"/>
      <c r="DH603" s="116"/>
      <c r="DI603" s="116"/>
      <c r="DJ603" s="116"/>
      <c r="DK603" s="116"/>
      <c r="DL603" s="116"/>
      <c r="DM603" s="116"/>
      <c r="DN603" s="116"/>
      <c r="DO603" s="116"/>
      <c r="DP603" s="116"/>
      <c r="DQ603" s="116"/>
      <c r="DR603" s="116"/>
      <c r="DS603" s="116"/>
      <c r="DT603" s="116"/>
      <c r="DU603" s="116"/>
      <c r="DV603" s="116"/>
      <c r="DW603" s="116"/>
      <c r="DX603" s="116"/>
      <c r="DY603" s="116"/>
      <c r="DZ603" s="116"/>
      <c r="EA603" s="116"/>
      <c r="EB603" s="116"/>
    </row>
    <row r="604" spans="36:132" ht="12.75" hidden="1" customHeight="1">
      <c r="AJ604" s="116"/>
      <c r="AK604" s="116"/>
      <c r="AL604" s="116"/>
      <c r="AM604" s="116"/>
      <c r="AN604" s="116"/>
      <c r="AO604" s="116"/>
      <c r="AP604" s="116"/>
      <c r="AS604" s="116"/>
      <c r="AT604" s="116"/>
      <c r="BQ604" s="116"/>
      <c r="BR604" s="116"/>
      <c r="BS604" s="116"/>
      <c r="BT604" s="116"/>
      <c r="BU604" s="116"/>
      <c r="BV604" s="116"/>
      <c r="BW604" s="116"/>
      <c r="BX604" s="116"/>
      <c r="BY604" s="116"/>
      <c r="BZ604" s="116"/>
      <c r="CA604" s="116"/>
      <c r="CB604" s="116"/>
      <c r="CC604" s="116"/>
      <c r="CD604" s="116"/>
      <c r="CE604" s="116"/>
      <c r="CF604" s="116"/>
      <c r="CG604" s="116"/>
      <c r="CH604" s="116"/>
      <c r="CI604" s="116"/>
      <c r="CJ604" s="116"/>
      <c r="CK604" s="116"/>
      <c r="CL604" s="116"/>
      <c r="CM604" s="116"/>
      <c r="CN604" s="116"/>
      <c r="CO604" s="116"/>
      <c r="CP604" s="116"/>
      <c r="CQ604" s="116"/>
      <c r="CR604" s="116"/>
      <c r="CS604" s="116"/>
      <c r="CT604" s="116"/>
      <c r="CU604" s="116"/>
      <c r="CV604" s="116"/>
      <c r="CW604" s="116"/>
      <c r="CX604" s="116"/>
      <c r="CY604" s="116"/>
      <c r="CZ604" s="116"/>
      <c r="DA604" s="116"/>
      <c r="DB604" s="116"/>
      <c r="DC604" s="116"/>
      <c r="DD604" s="116"/>
      <c r="DE604" s="116"/>
      <c r="DF604" s="116"/>
      <c r="DG604" s="116"/>
      <c r="DH604" s="116"/>
      <c r="DI604" s="116"/>
      <c r="DJ604" s="116"/>
      <c r="DK604" s="116"/>
      <c r="DL604" s="116"/>
      <c r="DM604" s="116"/>
      <c r="DN604" s="116"/>
      <c r="DO604" s="116"/>
      <c r="DP604" s="116"/>
      <c r="DQ604" s="116"/>
      <c r="DR604" s="116"/>
      <c r="DS604" s="116"/>
      <c r="DT604" s="116"/>
      <c r="DU604" s="116"/>
      <c r="DV604" s="116"/>
      <c r="DW604" s="116"/>
      <c r="DX604" s="116"/>
      <c r="DY604" s="116"/>
      <c r="DZ604" s="116"/>
      <c r="EA604" s="116"/>
      <c r="EB604" s="116"/>
    </row>
    <row r="605" spans="36:132" ht="12.75" hidden="1" customHeight="1">
      <c r="AJ605" s="116"/>
      <c r="AK605" s="116"/>
      <c r="AL605" s="116"/>
      <c r="AM605" s="116"/>
      <c r="AN605" s="116"/>
      <c r="AO605" s="116"/>
      <c r="AP605" s="116"/>
      <c r="AS605" s="116"/>
      <c r="AT605" s="116"/>
      <c r="BQ605" s="116"/>
      <c r="BR605" s="116"/>
      <c r="BS605" s="116"/>
      <c r="BT605" s="116"/>
      <c r="BU605" s="116"/>
      <c r="BV605" s="116"/>
      <c r="BW605" s="116"/>
      <c r="BX605" s="116"/>
      <c r="BY605" s="116"/>
      <c r="BZ605" s="116"/>
      <c r="CA605" s="116"/>
      <c r="CB605" s="116"/>
      <c r="CC605" s="116"/>
      <c r="CD605" s="116"/>
      <c r="CE605" s="116"/>
      <c r="CF605" s="116"/>
      <c r="CG605" s="116"/>
      <c r="CH605" s="116"/>
      <c r="CI605" s="116"/>
      <c r="CJ605" s="116"/>
      <c r="CK605" s="116"/>
      <c r="CL605" s="116"/>
      <c r="CM605" s="116"/>
      <c r="CN605" s="116"/>
      <c r="CO605" s="116"/>
      <c r="CP605" s="116"/>
      <c r="CQ605" s="116"/>
      <c r="CR605" s="116"/>
      <c r="CS605" s="116"/>
      <c r="CT605" s="116"/>
      <c r="CU605" s="116"/>
      <c r="CV605" s="116"/>
      <c r="CW605" s="116"/>
      <c r="CX605" s="116"/>
      <c r="CY605" s="116"/>
      <c r="CZ605" s="116"/>
      <c r="DA605" s="116"/>
      <c r="DB605" s="116"/>
      <c r="DC605" s="116"/>
      <c r="DD605" s="116"/>
      <c r="DE605" s="116"/>
      <c r="DF605" s="116"/>
      <c r="DG605" s="116"/>
      <c r="DH605" s="116"/>
      <c r="DI605" s="116"/>
      <c r="DJ605" s="116"/>
      <c r="DK605" s="116"/>
      <c r="DL605" s="116"/>
      <c r="DM605" s="116"/>
      <c r="DN605" s="116"/>
      <c r="DO605" s="116"/>
      <c r="DP605" s="116"/>
      <c r="DQ605" s="116"/>
      <c r="DR605" s="116"/>
      <c r="DS605" s="116"/>
      <c r="DT605" s="116"/>
      <c r="DU605" s="116"/>
      <c r="DV605" s="116"/>
      <c r="DW605" s="116"/>
      <c r="DX605" s="116"/>
      <c r="DY605" s="116"/>
      <c r="DZ605" s="116"/>
      <c r="EA605" s="116"/>
      <c r="EB605" s="116"/>
    </row>
    <row r="606" spans="36:132" ht="12.75" hidden="1" customHeight="1">
      <c r="AJ606" s="116"/>
      <c r="AK606" s="116"/>
      <c r="AL606" s="116"/>
      <c r="AM606" s="116"/>
      <c r="AN606" s="116"/>
      <c r="AO606" s="116"/>
      <c r="AP606" s="116"/>
      <c r="AS606" s="116"/>
      <c r="AT606" s="116"/>
      <c r="BQ606" s="116"/>
      <c r="BR606" s="116"/>
      <c r="BS606" s="116"/>
      <c r="BT606" s="116"/>
      <c r="BU606" s="116"/>
      <c r="BV606" s="116"/>
      <c r="BW606" s="116"/>
      <c r="BX606" s="116"/>
      <c r="BY606" s="116"/>
      <c r="BZ606" s="116"/>
      <c r="CA606" s="116"/>
      <c r="CB606" s="116"/>
      <c r="CC606" s="116"/>
      <c r="CD606" s="116"/>
      <c r="CE606" s="116"/>
      <c r="CF606" s="116"/>
      <c r="CG606" s="116"/>
      <c r="CH606" s="116"/>
      <c r="CI606" s="116"/>
      <c r="CJ606" s="116"/>
      <c r="CK606" s="116"/>
      <c r="CL606" s="116"/>
      <c r="CM606" s="116"/>
      <c r="CN606" s="116"/>
      <c r="CO606" s="116"/>
      <c r="CP606" s="116"/>
      <c r="CQ606" s="116"/>
      <c r="CR606" s="116"/>
      <c r="CS606" s="116"/>
      <c r="CT606" s="116"/>
      <c r="CU606" s="116"/>
      <c r="CV606" s="116"/>
      <c r="CW606" s="116"/>
      <c r="CX606" s="116"/>
      <c r="CY606" s="116"/>
      <c r="CZ606" s="116"/>
      <c r="DA606" s="116"/>
      <c r="DB606" s="116"/>
      <c r="DC606" s="116"/>
      <c r="DD606" s="116"/>
      <c r="DE606" s="116"/>
      <c r="DF606" s="116"/>
      <c r="DG606" s="116"/>
      <c r="DH606" s="116"/>
      <c r="DI606" s="116"/>
      <c r="DJ606" s="116"/>
      <c r="DK606" s="116"/>
      <c r="DL606" s="116"/>
      <c r="DM606" s="116"/>
      <c r="DN606" s="116"/>
      <c r="DO606" s="116"/>
      <c r="DP606" s="116"/>
      <c r="DQ606" s="116"/>
      <c r="DR606" s="116"/>
      <c r="DS606" s="116"/>
      <c r="DT606" s="116"/>
      <c r="DU606" s="116"/>
      <c r="DV606" s="116"/>
      <c r="DW606" s="116"/>
      <c r="DX606" s="116"/>
      <c r="DY606" s="116"/>
      <c r="DZ606" s="116"/>
      <c r="EA606" s="116"/>
      <c r="EB606" s="116"/>
    </row>
    <row r="607" spans="36:132" ht="12.75" hidden="1" customHeight="1">
      <c r="AJ607" s="116"/>
      <c r="AK607" s="116"/>
      <c r="AL607" s="116"/>
      <c r="AM607" s="116"/>
      <c r="AN607" s="116"/>
      <c r="AO607" s="116"/>
      <c r="AP607" s="116"/>
      <c r="AS607" s="116"/>
      <c r="AT607" s="116"/>
      <c r="BQ607" s="116"/>
      <c r="BR607" s="116"/>
      <c r="BS607" s="116"/>
      <c r="BT607" s="116"/>
      <c r="BU607" s="116"/>
      <c r="BV607" s="116"/>
      <c r="BW607" s="116"/>
      <c r="BX607" s="116"/>
      <c r="BY607" s="116"/>
      <c r="BZ607" s="116"/>
      <c r="CA607" s="116"/>
      <c r="CB607" s="116"/>
      <c r="CC607" s="116"/>
      <c r="CD607" s="116"/>
      <c r="CE607" s="116"/>
      <c r="CF607" s="116"/>
      <c r="CG607" s="116"/>
      <c r="CH607" s="116"/>
      <c r="CI607" s="116"/>
      <c r="CJ607" s="116"/>
      <c r="CK607" s="116"/>
      <c r="CL607" s="116"/>
      <c r="CM607" s="116"/>
      <c r="CN607" s="116"/>
      <c r="CO607" s="116"/>
      <c r="CP607" s="116"/>
      <c r="CQ607" s="116"/>
      <c r="CR607" s="116"/>
      <c r="CS607" s="116"/>
      <c r="CT607" s="116"/>
      <c r="CU607" s="116"/>
      <c r="CV607" s="116"/>
      <c r="CW607" s="116"/>
      <c r="CX607" s="116"/>
      <c r="CY607" s="116"/>
      <c r="CZ607" s="116"/>
      <c r="DA607" s="116"/>
      <c r="DB607" s="116"/>
      <c r="DC607" s="116"/>
      <c r="DD607" s="116"/>
      <c r="DE607" s="116"/>
      <c r="DF607" s="116"/>
      <c r="DG607" s="116"/>
      <c r="DH607" s="116"/>
      <c r="DI607" s="116"/>
      <c r="DJ607" s="116"/>
      <c r="DK607" s="116"/>
      <c r="DL607" s="116"/>
      <c r="DM607" s="116"/>
      <c r="DN607" s="116"/>
      <c r="DO607" s="116"/>
      <c r="DP607" s="116"/>
      <c r="DQ607" s="116"/>
      <c r="DR607" s="116"/>
      <c r="DS607" s="116"/>
      <c r="DT607" s="116"/>
      <c r="DU607" s="116"/>
      <c r="DV607" s="116"/>
      <c r="DW607" s="116"/>
      <c r="DX607" s="116"/>
      <c r="DY607" s="116"/>
      <c r="DZ607" s="116"/>
      <c r="EA607" s="116"/>
      <c r="EB607" s="116"/>
    </row>
    <row r="608" spans="36:132" ht="12.75" hidden="1" customHeight="1">
      <c r="AJ608" s="116"/>
      <c r="AK608" s="116"/>
      <c r="AL608" s="116"/>
      <c r="AM608" s="116"/>
      <c r="AN608" s="116"/>
      <c r="AO608" s="116"/>
      <c r="AP608" s="116"/>
      <c r="AS608" s="116"/>
      <c r="AT608" s="116"/>
      <c r="BQ608" s="116"/>
      <c r="BR608" s="116"/>
      <c r="BS608" s="116"/>
      <c r="BT608" s="116"/>
      <c r="BU608" s="116"/>
      <c r="BV608" s="116"/>
      <c r="BW608" s="116"/>
      <c r="BX608" s="116"/>
      <c r="BY608" s="116"/>
      <c r="BZ608" s="116"/>
      <c r="CA608" s="116"/>
      <c r="CB608" s="116"/>
      <c r="CC608" s="116"/>
      <c r="CD608" s="116"/>
      <c r="CE608" s="116"/>
      <c r="CF608" s="116"/>
      <c r="CG608" s="116"/>
      <c r="CH608" s="116"/>
      <c r="CI608" s="116"/>
      <c r="CJ608" s="116"/>
      <c r="CK608" s="116"/>
      <c r="CL608" s="116"/>
      <c r="CM608" s="116"/>
      <c r="CN608" s="116"/>
      <c r="CO608" s="116"/>
      <c r="CP608" s="116"/>
      <c r="CQ608" s="116"/>
      <c r="CR608" s="116"/>
      <c r="CS608" s="116"/>
      <c r="CT608" s="116"/>
      <c r="CU608" s="116"/>
      <c r="CV608" s="116"/>
      <c r="CW608" s="116"/>
      <c r="CX608" s="116"/>
      <c r="CY608" s="116"/>
      <c r="CZ608" s="116"/>
      <c r="DA608" s="116"/>
      <c r="DB608" s="116"/>
      <c r="DC608" s="116"/>
      <c r="DD608" s="116"/>
      <c r="DE608" s="116"/>
      <c r="DF608" s="116"/>
      <c r="DG608" s="116"/>
      <c r="DH608" s="116"/>
      <c r="DI608" s="116"/>
      <c r="DJ608" s="116"/>
      <c r="DK608" s="116"/>
      <c r="DL608" s="116"/>
      <c r="DM608" s="116"/>
      <c r="DN608" s="116"/>
      <c r="DO608" s="116"/>
      <c r="DP608" s="116"/>
      <c r="DQ608" s="116"/>
      <c r="DR608" s="116"/>
      <c r="DS608" s="116"/>
      <c r="DT608" s="116"/>
      <c r="DU608" s="116"/>
      <c r="DV608" s="116"/>
      <c r="DW608" s="116"/>
      <c r="DX608" s="116"/>
      <c r="DY608" s="116"/>
      <c r="DZ608" s="116"/>
      <c r="EA608" s="116"/>
      <c r="EB608" s="116"/>
    </row>
    <row r="609" spans="36:132" ht="12.75" hidden="1" customHeight="1">
      <c r="AJ609" s="116"/>
      <c r="AK609" s="116"/>
      <c r="AL609" s="116"/>
      <c r="AM609" s="116"/>
      <c r="AN609" s="116"/>
      <c r="AO609" s="116"/>
      <c r="AP609" s="116"/>
      <c r="AS609" s="116"/>
      <c r="AT609" s="116"/>
      <c r="BQ609" s="116"/>
      <c r="BR609" s="116"/>
      <c r="BS609" s="116"/>
      <c r="BT609" s="116"/>
      <c r="BU609" s="116"/>
      <c r="BV609" s="116"/>
      <c r="BW609" s="116"/>
      <c r="BX609" s="116"/>
      <c r="BY609" s="116"/>
      <c r="BZ609" s="116"/>
      <c r="CA609" s="116"/>
      <c r="CB609" s="116"/>
      <c r="CC609" s="116"/>
      <c r="CD609" s="116"/>
      <c r="CE609" s="116"/>
      <c r="CF609" s="116"/>
      <c r="CG609" s="116"/>
      <c r="CH609" s="116"/>
      <c r="CI609" s="116"/>
      <c r="CJ609" s="116"/>
      <c r="CK609" s="116"/>
      <c r="CL609" s="116"/>
      <c r="CM609" s="116"/>
      <c r="CN609" s="116"/>
      <c r="CO609" s="116"/>
      <c r="CP609" s="116"/>
      <c r="CQ609" s="116"/>
      <c r="CR609" s="116"/>
      <c r="CS609" s="116"/>
      <c r="CT609" s="116"/>
      <c r="CU609" s="116"/>
      <c r="CV609" s="116"/>
      <c r="CW609" s="116"/>
      <c r="CX609" s="116"/>
      <c r="CY609" s="116"/>
      <c r="CZ609" s="116"/>
      <c r="DA609" s="116"/>
      <c r="DB609" s="116"/>
      <c r="DC609" s="116"/>
      <c r="DD609" s="116"/>
      <c r="DE609" s="116"/>
      <c r="DF609" s="116"/>
      <c r="DG609" s="116"/>
      <c r="DH609" s="116"/>
      <c r="DI609" s="116"/>
      <c r="DJ609" s="116"/>
      <c r="DK609" s="116"/>
      <c r="DL609" s="116"/>
      <c r="DM609" s="116"/>
      <c r="DN609" s="116"/>
      <c r="DO609" s="116"/>
      <c r="DP609" s="116"/>
      <c r="DQ609" s="116"/>
      <c r="DR609" s="116"/>
      <c r="DS609" s="116"/>
      <c r="DT609" s="116"/>
      <c r="DU609" s="116"/>
      <c r="DV609" s="116"/>
      <c r="DW609" s="116"/>
      <c r="DX609" s="116"/>
      <c r="DY609" s="116"/>
      <c r="DZ609" s="116"/>
      <c r="EA609" s="116"/>
      <c r="EB609" s="116"/>
    </row>
    <row r="610" spans="36:132" ht="12.75" hidden="1" customHeight="1">
      <c r="AJ610" s="116"/>
      <c r="AK610" s="116"/>
      <c r="AL610" s="116"/>
      <c r="AM610" s="116"/>
      <c r="AN610" s="116"/>
      <c r="AO610" s="116"/>
      <c r="AP610" s="116"/>
      <c r="AS610" s="116"/>
      <c r="AT610" s="116"/>
      <c r="BQ610" s="116"/>
      <c r="BR610" s="116"/>
      <c r="BS610" s="116"/>
      <c r="BT610" s="116"/>
      <c r="BU610" s="116"/>
      <c r="BV610" s="116"/>
      <c r="BW610" s="116"/>
      <c r="BX610" s="116"/>
      <c r="BY610" s="116"/>
      <c r="BZ610" s="116"/>
      <c r="CA610" s="116"/>
      <c r="CB610" s="116"/>
      <c r="CC610" s="116"/>
      <c r="CD610" s="116"/>
      <c r="CE610" s="116"/>
      <c r="CF610" s="116"/>
      <c r="CG610" s="116"/>
      <c r="CH610" s="116"/>
      <c r="CI610" s="116"/>
      <c r="CJ610" s="116"/>
      <c r="CK610" s="116"/>
      <c r="CL610" s="116"/>
      <c r="CM610" s="116"/>
      <c r="CN610" s="116"/>
      <c r="CO610" s="116"/>
      <c r="CP610" s="116"/>
      <c r="CQ610" s="116"/>
      <c r="CR610" s="116"/>
      <c r="CS610" s="116"/>
      <c r="CT610" s="116"/>
      <c r="CU610" s="116"/>
      <c r="CV610" s="116"/>
      <c r="CW610" s="116"/>
      <c r="CX610" s="116"/>
      <c r="CY610" s="116"/>
      <c r="CZ610" s="116"/>
      <c r="DA610" s="116"/>
      <c r="DB610" s="116"/>
      <c r="DC610" s="116"/>
      <c r="DD610" s="116"/>
      <c r="DE610" s="116"/>
      <c r="DF610" s="116"/>
      <c r="DG610" s="116"/>
      <c r="DH610" s="116"/>
      <c r="DI610" s="116"/>
      <c r="DJ610" s="116"/>
      <c r="DK610" s="116"/>
      <c r="DL610" s="116"/>
      <c r="DM610" s="116"/>
      <c r="DN610" s="116"/>
      <c r="DO610" s="116"/>
      <c r="DP610" s="116"/>
      <c r="DQ610" s="116"/>
      <c r="DR610" s="116"/>
      <c r="DS610" s="116"/>
      <c r="DT610" s="116"/>
      <c r="DU610" s="116"/>
      <c r="DV610" s="116"/>
      <c r="DW610" s="116"/>
      <c r="DX610" s="116"/>
      <c r="DY610" s="116"/>
      <c r="DZ610" s="116"/>
      <c r="EA610" s="116"/>
      <c r="EB610" s="116"/>
    </row>
    <row r="611" spans="36:132" ht="12.75" hidden="1" customHeight="1">
      <c r="AJ611" s="116"/>
      <c r="AK611" s="116"/>
      <c r="AL611" s="116"/>
      <c r="AM611" s="116"/>
      <c r="AN611" s="116"/>
      <c r="AO611" s="116"/>
      <c r="AP611" s="116"/>
      <c r="AS611" s="116"/>
      <c r="AT611" s="116"/>
      <c r="BQ611" s="116"/>
      <c r="BR611" s="116"/>
      <c r="BS611" s="116"/>
      <c r="BT611" s="116"/>
      <c r="BU611" s="116"/>
      <c r="BV611" s="116"/>
      <c r="BW611" s="116"/>
      <c r="BX611" s="116"/>
      <c r="BY611" s="116"/>
      <c r="BZ611" s="116"/>
      <c r="CA611" s="116"/>
      <c r="CB611" s="116"/>
      <c r="CC611" s="116"/>
      <c r="CD611" s="116"/>
      <c r="CE611" s="116"/>
      <c r="CF611" s="116"/>
      <c r="CG611" s="116"/>
      <c r="CH611" s="116"/>
      <c r="CI611" s="116"/>
      <c r="CJ611" s="116"/>
      <c r="CK611" s="116"/>
      <c r="CL611" s="116"/>
      <c r="CM611" s="116"/>
      <c r="CN611" s="116"/>
      <c r="CO611" s="116"/>
      <c r="CP611" s="116"/>
      <c r="CQ611" s="116"/>
      <c r="CR611" s="116"/>
      <c r="CS611" s="116"/>
      <c r="CT611" s="116"/>
      <c r="CU611" s="116"/>
      <c r="CV611" s="116"/>
      <c r="CW611" s="116"/>
      <c r="CX611" s="116"/>
      <c r="CY611" s="116"/>
      <c r="CZ611" s="116"/>
      <c r="DA611" s="116"/>
      <c r="DB611" s="116"/>
      <c r="DC611" s="116"/>
      <c r="DD611" s="116"/>
      <c r="DE611" s="116"/>
      <c r="DF611" s="116"/>
      <c r="DG611" s="116"/>
      <c r="DH611" s="116"/>
      <c r="DI611" s="116"/>
      <c r="DJ611" s="116"/>
      <c r="DK611" s="116"/>
      <c r="DL611" s="116"/>
      <c r="DM611" s="116"/>
      <c r="DN611" s="116"/>
      <c r="DO611" s="116"/>
      <c r="DP611" s="116"/>
      <c r="DQ611" s="116"/>
      <c r="DR611" s="116"/>
      <c r="DS611" s="116"/>
      <c r="DT611" s="116"/>
      <c r="DU611" s="116"/>
      <c r="DV611" s="116"/>
      <c r="DW611" s="116"/>
      <c r="DX611" s="116"/>
      <c r="DY611" s="116"/>
      <c r="DZ611" s="116"/>
      <c r="EA611" s="116"/>
      <c r="EB611" s="116"/>
    </row>
    <row r="612" spans="36:132" ht="12.75" hidden="1" customHeight="1">
      <c r="AJ612" s="116"/>
      <c r="AK612" s="116"/>
      <c r="AL612" s="116"/>
      <c r="AM612" s="116"/>
      <c r="AN612" s="116"/>
      <c r="AO612" s="116"/>
      <c r="AP612" s="116"/>
      <c r="AS612" s="116"/>
      <c r="AT612" s="116"/>
      <c r="BQ612" s="116"/>
      <c r="BR612" s="116"/>
      <c r="BS612" s="116"/>
      <c r="BT612" s="116"/>
      <c r="BU612" s="116"/>
      <c r="BV612" s="116"/>
      <c r="BW612" s="116"/>
      <c r="BX612" s="116"/>
      <c r="BY612" s="116"/>
      <c r="BZ612" s="116"/>
      <c r="CA612" s="116"/>
      <c r="CB612" s="116"/>
      <c r="CC612" s="116"/>
      <c r="CD612" s="116"/>
      <c r="CE612" s="116"/>
      <c r="CF612" s="116"/>
      <c r="CG612" s="116"/>
      <c r="CH612" s="116"/>
      <c r="CI612" s="116"/>
      <c r="CJ612" s="116"/>
      <c r="CK612" s="116"/>
      <c r="CL612" s="116"/>
      <c r="CM612" s="116"/>
      <c r="CN612" s="116"/>
      <c r="CO612" s="116"/>
      <c r="CP612" s="116"/>
      <c r="CQ612" s="116"/>
      <c r="CR612" s="116"/>
      <c r="CS612" s="116"/>
      <c r="CT612" s="116"/>
      <c r="CU612" s="116"/>
      <c r="CV612" s="116"/>
      <c r="CW612" s="116"/>
      <c r="CX612" s="116"/>
      <c r="CY612" s="116"/>
      <c r="CZ612" s="116"/>
      <c r="DA612" s="116"/>
      <c r="DB612" s="116"/>
      <c r="DC612" s="116"/>
      <c r="DD612" s="116"/>
      <c r="DE612" s="116"/>
      <c r="DF612" s="116"/>
      <c r="DG612" s="116"/>
      <c r="DH612" s="116"/>
      <c r="DI612" s="116"/>
      <c r="DJ612" s="116"/>
      <c r="DK612" s="116"/>
      <c r="DL612" s="116"/>
      <c r="DM612" s="116"/>
      <c r="DN612" s="116"/>
      <c r="DO612" s="116"/>
      <c r="DP612" s="116"/>
      <c r="DQ612" s="116"/>
      <c r="DR612" s="116"/>
      <c r="DS612" s="116"/>
      <c r="DT612" s="116"/>
      <c r="DU612" s="116"/>
      <c r="DV612" s="116"/>
      <c r="DW612" s="116"/>
      <c r="DX612" s="116"/>
      <c r="DY612" s="116"/>
      <c r="DZ612" s="116"/>
      <c r="EA612" s="116"/>
      <c r="EB612" s="116"/>
    </row>
    <row r="613" spans="36:132" ht="12.75" hidden="1" customHeight="1">
      <c r="AJ613" s="116"/>
      <c r="AK613" s="116"/>
      <c r="AL613" s="116"/>
      <c r="AM613" s="116"/>
      <c r="AN613" s="116"/>
      <c r="AO613" s="116"/>
      <c r="AP613" s="116"/>
      <c r="AS613" s="116"/>
      <c r="AT613" s="116"/>
      <c r="BQ613" s="116"/>
      <c r="BR613" s="116"/>
      <c r="BS613" s="116"/>
      <c r="BT613" s="116"/>
      <c r="BU613" s="116"/>
      <c r="BV613" s="116"/>
      <c r="BW613" s="116"/>
      <c r="BX613" s="116"/>
      <c r="BY613" s="116"/>
      <c r="BZ613" s="116"/>
      <c r="CA613" s="116"/>
      <c r="CB613" s="116"/>
      <c r="CC613" s="116"/>
      <c r="CD613" s="116"/>
      <c r="CE613" s="116"/>
      <c r="CF613" s="116"/>
      <c r="CG613" s="116"/>
      <c r="CH613" s="116"/>
      <c r="CI613" s="116"/>
      <c r="CJ613" s="116"/>
      <c r="CK613" s="116"/>
      <c r="CL613" s="116"/>
      <c r="CM613" s="116"/>
      <c r="CN613" s="116"/>
      <c r="CO613" s="116"/>
      <c r="CP613" s="116"/>
      <c r="CQ613" s="116"/>
      <c r="CR613" s="116"/>
      <c r="CS613" s="116"/>
      <c r="CT613" s="116"/>
      <c r="CU613" s="116"/>
      <c r="CV613" s="116"/>
      <c r="CW613" s="116"/>
      <c r="CX613" s="116"/>
      <c r="CY613" s="116"/>
      <c r="CZ613" s="116"/>
      <c r="DA613" s="116"/>
      <c r="DB613" s="116"/>
      <c r="DC613" s="116"/>
      <c r="DD613" s="116"/>
      <c r="DE613" s="116"/>
      <c r="DF613" s="116"/>
      <c r="DG613" s="116"/>
      <c r="DH613" s="116"/>
      <c r="DI613" s="116"/>
      <c r="DJ613" s="116"/>
      <c r="DK613" s="116"/>
      <c r="DL613" s="116"/>
      <c r="DM613" s="116"/>
      <c r="DN613" s="116"/>
      <c r="DO613" s="116"/>
      <c r="DP613" s="116"/>
      <c r="DQ613" s="116"/>
      <c r="DR613" s="116"/>
      <c r="DS613" s="116"/>
      <c r="DT613" s="116"/>
      <c r="DU613" s="116"/>
      <c r="DV613" s="116"/>
      <c r="DW613" s="116"/>
      <c r="DX613" s="116"/>
      <c r="DY613" s="116"/>
      <c r="DZ613" s="116"/>
      <c r="EA613" s="116"/>
      <c r="EB613" s="116"/>
    </row>
    <row r="614" spans="36:132" ht="12.75" hidden="1" customHeight="1">
      <c r="AJ614" s="116"/>
      <c r="AK614" s="116"/>
      <c r="AL614" s="116"/>
      <c r="AM614" s="116"/>
      <c r="AN614" s="116"/>
      <c r="AO614" s="116"/>
      <c r="AP614" s="116"/>
      <c r="AS614" s="116"/>
      <c r="AT614" s="116"/>
      <c r="BQ614" s="116"/>
      <c r="BR614" s="116"/>
      <c r="BS614" s="116"/>
      <c r="BT614" s="116"/>
      <c r="BU614" s="116"/>
      <c r="BV614" s="116"/>
      <c r="BW614" s="116"/>
      <c r="BX614" s="116"/>
      <c r="BY614" s="116"/>
      <c r="BZ614" s="116"/>
      <c r="CA614" s="116"/>
      <c r="CB614" s="116"/>
      <c r="CC614" s="116"/>
      <c r="CD614" s="116"/>
      <c r="CE614" s="116"/>
      <c r="CF614" s="116"/>
      <c r="CG614" s="116"/>
      <c r="CH614" s="116"/>
      <c r="CI614" s="116"/>
      <c r="CJ614" s="116"/>
      <c r="CK614" s="116"/>
      <c r="CL614" s="116"/>
      <c r="CM614" s="116"/>
      <c r="CN614" s="116"/>
      <c r="CO614" s="116"/>
      <c r="CP614" s="116"/>
      <c r="CQ614" s="116"/>
      <c r="CR614" s="116"/>
      <c r="CS614" s="116"/>
      <c r="CT614" s="116"/>
      <c r="CU614" s="116"/>
      <c r="CV614" s="116"/>
      <c r="CW614" s="116"/>
      <c r="CX614" s="116"/>
      <c r="CY614" s="116"/>
      <c r="CZ614" s="116"/>
      <c r="DA614" s="116"/>
      <c r="DB614" s="116"/>
      <c r="DC614" s="116"/>
      <c r="DD614" s="116"/>
      <c r="DE614" s="116"/>
      <c r="DF614" s="116"/>
      <c r="DG614" s="116"/>
      <c r="DH614" s="116"/>
      <c r="DI614" s="116"/>
      <c r="DJ614" s="116"/>
      <c r="DK614" s="116"/>
      <c r="DL614" s="116"/>
      <c r="DM614" s="116"/>
      <c r="DN614" s="116"/>
      <c r="DO614" s="116"/>
      <c r="DP614" s="116"/>
      <c r="DQ614" s="116"/>
      <c r="DR614" s="116"/>
      <c r="DS614" s="116"/>
      <c r="DT614" s="116"/>
      <c r="DU614" s="116"/>
      <c r="DV614" s="116"/>
      <c r="DW614" s="116"/>
      <c r="DX614" s="116"/>
      <c r="DY614" s="116"/>
      <c r="DZ614" s="116"/>
      <c r="EA614" s="116"/>
      <c r="EB614" s="116"/>
    </row>
    <row r="615" spans="36:132" ht="12.75" hidden="1" customHeight="1">
      <c r="AJ615" s="116"/>
      <c r="AK615" s="116"/>
      <c r="AL615" s="116"/>
      <c r="AM615" s="116"/>
      <c r="AN615" s="116"/>
      <c r="AO615" s="116"/>
      <c r="AP615" s="116"/>
      <c r="AS615" s="116"/>
      <c r="AT615" s="116"/>
      <c r="BQ615" s="116"/>
      <c r="BR615" s="116"/>
      <c r="BS615" s="116"/>
      <c r="BT615" s="116"/>
      <c r="BU615" s="116"/>
      <c r="BV615" s="116"/>
      <c r="BW615" s="116"/>
      <c r="BX615" s="116"/>
      <c r="BY615" s="116"/>
      <c r="BZ615" s="116"/>
      <c r="CA615" s="116"/>
      <c r="CB615" s="116"/>
      <c r="CC615" s="116"/>
      <c r="CD615" s="116"/>
      <c r="CE615" s="116"/>
      <c r="CF615" s="116"/>
      <c r="CG615" s="116"/>
      <c r="CH615" s="116"/>
      <c r="CI615" s="116"/>
      <c r="CJ615" s="116"/>
      <c r="CK615" s="116"/>
      <c r="CL615" s="116"/>
      <c r="CM615" s="116"/>
      <c r="CN615" s="116"/>
      <c r="CO615" s="116"/>
      <c r="CP615" s="116"/>
      <c r="CQ615" s="116"/>
      <c r="CR615" s="116"/>
      <c r="CS615" s="116"/>
      <c r="CT615" s="116"/>
      <c r="CU615" s="116"/>
      <c r="CV615" s="116"/>
      <c r="CW615" s="116"/>
      <c r="CX615" s="116"/>
      <c r="CY615" s="116"/>
      <c r="CZ615" s="116"/>
      <c r="DA615" s="116"/>
      <c r="DB615" s="116"/>
      <c r="DC615" s="116"/>
      <c r="DD615" s="116"/>
      <c r="DE615" s="116"/>
      <c r="DF615" s="116"/>
      <c r="DG615" s="116"/>
      <c r="DH615" s="116"/>
      <c r="DI615" s="116"/>
      <c r="DJ615" s="116"/>
      <c r="DK615" s="116"/>
      <c r="DL615" s="116"/>
      <c r="DM615" s="116"/>
      <c r="DN615" s="116"/>
      <c r="DO615" s="116"/>
      <c r="DP615" s="116"/>
      <c r="DQ615" s="116"/>
      <c r="DR615" s="116"/>
      <c r="DS615" s="116"/>
      <c r="DT615" s="116"/>
      <c r="DU615" s="116"/>
      <c r="DV615" s="116"/>
      <c r="DW615" s="116"/>
      <c r="DX615" s="116"/>
      <c r="DY615" s="116"/>
      <c r="DZ615" s="116"/>
      <c r="EA615" s="116"/>
      <c r="EB615" s="116"/>
    </row>
    <row r="616" spans="36:132" ht="12.75" hidden="1" customHeight="1">
      <c r="AJ616" s="116"/>
      <c r="AK616" s="116"/>
      <c r="AL616" s="116"/>
      <c r="AM616" s="116"/>
      <c r="AN616" s="116"/>
      <c r="AO616" s="116"/>
      <c r="AP616" s="116"/>
      <c r="AS616" s="116"/>
      <c r="AT616" s="116"/>
      <c r="BQ616" s="116"/>
      <c r="BR616" s="116"/>
      <c r="BS616" s="116"/>
      <c r="BT616" s="116"/>
      <c r="BU616" s="116"/>
      <c r="BV616" s="116"/>
      <c r="BW616" s="116"/>
      <c r="BX616" s="116"/>
      <c r="BY616" s="116"/>
      <c r="BZ616" s="116"/>
      <c r="CA616" s="116"/>
      <c r="CB616" s="116"/>
      <c r="CC616" s="116"/>
      <c r="CD616" s="116"/>
      <c r="CE616" s="116"/>
      <c r="CF616" s="116"/>
      <c r="CG616" s="116"/>
      <c r="CH616" s="116"/>
      <c r="CI616" s="116"/>
      <c r="CJ616" s="116"/>
      <c r="CK616" s="116"/>
      <c r="CL616" s="116"/>
      <c r="CM616" s="116"/>
      <c r="CN616" s="116"/>
      <c r="CO616" s="116"/>
      <c r="CP616" s="116"/>
      <c r="CQ616" s="116"/>
      <c r="CR616" s="116"/>
      <c r="CS616" s="116"/>
      <c r="CT616" s="116"/>
      <c r="CU616" s="116"/>
      <c r="CV616" s="116"/>
      <c r="CW616" s="116"/>
      <c r="CX616" s="116"/>
      <c r="CY616" s="116"/>
      <c r="CZ616" s="116"/>
      <c r="DA616" s="116"/>
      <c r="DB616" s="116"/>
      <c r="DC616" s="116"/>
      <c r="DD616" s="116"/>
      <c r="DE616" s="116"/>
      <c r="DF616" s="116"/>
      <c r="DG616" s="116"/>
      <c r="DH616" s="116"/>
      <c r="DI616" s="116"/>
      <c r="DJ616" s="116"/>
      <c r="DK616" s="116"/>
      <c r="DL616" s="116"/>
      <c r="DM616" s="116"/>
      <c r="DN616" s="116"/>
      <c r="DO616" s="116"/>
      <c r="DP616" s="116"/>
      <c r="DQ616" s="116"/>
      <c r="DR616" s="116"/>
      <c r="DS616" s="116"/>
      <c r="DT616" s="116"/>
      <c r="DU616" s="116"/>
      <c r="DV616" s="116"/>
      <c r="DW616" s="116"/>
      <c r="DX616" s="116"/>
      <c r="DY616" s="116"/>
      <c r="DZ616" s="116"/>
      <c r="EA616" s="116"/>
      <c r="EB616" s="116"/>
    </row>
    <row r="617" spans="36:132" ht="12.75" hidden="1" customHeight="1">
      <c r="AJ617" s="116"/>
      <c r="AK617" s="116"/>
      <c r="AL617" s="116"/>
      <c r="AM617" s="116"/>
      <c r="AN617" s="116"/>
      <c r="AO617" s="116"/>
      <c r="AP617" s="116"/>
      <c r="AS617" s="116"/>
      <c r="AT617" s="116"/>
      <c r="BQ617" s="116"/>
      <c r="BR617" s="116"/>
      <c r="BS617" s="116"/>
      <c r="BT617" s="116"/>
      <c r="BU617" s="116"/>
      <c r="BV617" s="116"/>
      <c r="BW617" s="116"/>
      <c r="BX617" s="116"/>
      <c r="BY617" s="116"/>
      <c r="BZ617" s="116"/>
      <c r="CA617" s="116"/>
      <c r="CB617" s="116"/>
      <c r="CC617" s="116"/>
      <c r="CD617" s="116"/>
      <c r="CE617" s="116"/>
      <c r="CF617" s="116"/>
      <c r="CG617" s="116"/>
      <c r="CH617" s="116"/>
      <c r="CI617" s="116"/>
      <c r="CJ617" s="116"/>
      <c r="CK617" s="116"/>
      <c r="CL617" s="116"/>
      <c r="CM617" s="116"/>
      <c r="CN617" s="116"/>
      <c r="CO617" s="116"/>
      <c r="CP617" s="116"/>
      <c r="CQ617" s="116"/>
      <c r="CR617" s="116"/>
      <c r="CS617" s="116"/>
      <c r="CT617" s="116"/>
      <c r="CU617" s="116"/>
      <c r="CV617" s="116"/>
      <c r="CW617" s="116"/>
      <c r="CX617" s="116"/>
      <c r="CY617" s="116"/>
      <c r="CZ617" s="116"/>
      <c r="DA617" s="116"/>
      <c r="DB617" s="116"/>
      <c r="DC617" s="116"/>
      <c r="DD617" s="116"/>
      <c r="DE617" s="116"/>
      <c r="DF617" s="116"/>
      <c r="DG617" s="116"/>
      <c r="DH617" s="116"/>
      <c r="DI617" s="116"/>
      <c r="DJ617" s="116"/>
      <c r="DK617" s="116"/>
      <c r="DL617" s="116"/>
      <c r="DM617" s="116"/>
      <c r="DN617" s="116"/>
      <c r="DO617" s="116"/>
      <c r="DP617" s="116"/>
      <c r="DQ617" s="116"/>
      <c r="DR617" s="116"/>
      <c r="DS617" s="116"/>
      <c r="DT617" s="116"/>
      <c r="DU617" s="116"/>
      <c r="DV617" s="116"/>
      <c r="DW617" s="116"/>
      <c r="DX617" s="116"/>
      <c r="DY617" s="116"/>
      <c r="DZ617" s="116"/>
      <c r="EA617" s="116"/>
      <c r="EB617" s="116"/>
    </row>
    <row r="618" spans="36:132" ht="12.75" hidden="1" customHeight="1">
      <c r="AJ618" s="116"/>
      <c r="AK618" s="116"/>
      <c r="AL618" s="116"/>
      <c r="AM618" s="116"/>
      <c r="AN618" s="116"/>
      <c r="AO618" s="116"/>
      <c r="AP618" s="116"/>
      <c r="AS618" s="116"/>
      <c r="AT618" s="116"/>
      <c r="BQ618" s="116"/>
      <c r="BR618" s="116"/>
      <c r="BS618" s="116"/>
      <c r="BT618" s="116"/>
      <c r="BU618" s="116"/>
      <c r="BV618" s="116"/>
      <c r="BW618" s="116"/>
      <c r="BX618" s="116"/>
      <c r="BY618" s="116"/>
      <c r="BZ618" s="116"/>
      <c r="CA618" s="116"/>
      <c r="CB618" s="116"/>
      <c r="CC618" s="116"/>
      <c r="CD618" s="116"/>
      <c r="CE618" s="116"/>
      <c r="CF618" s="116"/>
      <c r="CG618" s="116"/>
      <c r="CH618" s="116"/>
      <c r="CI618" s="116"/>
      <c r="CJ618" s="116"/>
      <c r="CK618" s="116"/>
      <c r="CL618" s="116"/>
      <c r="CM618" s="116"/>
      <c r="CN618" s="116"/>
      <c r="CO618" s="116"/>
      <c r="CP618" s="116"/>
      <c r="CQ618" s="116"/>
      <c r="CR618" s="116"/>
      <c r="CS618" s="116"/>
      <c r="CT618" s="116"/>
      <c r="CU618" s="116"/>
      <c r="CV618" s="116"/>
      <c r="CW618" s="116"/>
      <c r="CX618" s="116"/>
      <c r="CY618" s="116"/>
      <c r="CZ618" s="116"/>
      <c r="DA618" s="116"/>
      <c r="DB618" s="116"/>
      <c r="DC618" s="116"/>
      <c r="DD618" s="116"/>
      <c r="DE618" s="116"/>
      <c r="DF618" s="116"/>
      <c r="DG618" s="116"/>
      <c r="DH618" s="116"/>
      <c r="DI618" s="116"/>
      <c r="DJ618" s="116"/>
      <c r="DK618" s="116"/>
      <c r="DL618" s="116"/>
      <c r="DM618" s="116"/>
      <c r="DN618" s="116"/>
      <c r="DO618" s="116"/>
      <c r="DP618" s="116"/>
      <c r="DQ618" s="116"/>
      <c r="DR618" s="116"/>
      <c r="DS618" s="116"/>
      <c r="DT618" s="116"/>
      <c r="DU618" s="116"/>
      <c r="DV618" s="116"/>
      <c r="DW618" s="116"/>
      <c r="DX618" s="116"/>
      <c r="DY618" s="116"/>
      <c r="DZ618" s="116"/>
      <c r="EA618" s="116"/>
      <c r="EB618" s="116"/>
    </row>
    <row r="619" spans="36:132" ht="12.75" hidden="1" customHeight="1">
      <c r="AJ619" s="116"/>
      <c r="AK619" s="116"/>
      <c r="AL619" s="116"/>
      <c r="AM619" s="116"/>
      <c r="AN619" s="116"/>
      <c r="AO619" s="116"/>
      <c r="AP619" s="116"/>
      <c r="AS619" s="116"/>
      <c r="AT619" s="116"/>
      <c r="BQ619" s="116"/>
      <c r="BR619" s="116"/>
      <c r="BS619" s="116"/>
      <c r="BT619" s="116"/>
      <c r="BU619" s="116"/>
      <c r="BV619" s="116"/>
      <c r="BW619" s="116"/>
      <c r="BX619" s="116"/>
      <c r="BY619" s="116"/>
      <c r="BZ619" s="116"/>
      <c r="CA619" s="116"/>
      <c r="CB619" s="116"/>
      <c r="CC619" s="116"/>
      <c r="CD619" s="116"/>
      <c r="CE619" s="116"/>
      <c r="CF619" s="116"/>
      <c r="CG619" s="116"/>
      <c r="CH619" s="116"/>
      <c r="CI619" s="116"/>
      <c r="CJ619" s="116"/>
      <c r="CK619" s="116"/>
      <c r="CL619" s="116"/>
      <c r="CM619" s="116"/>
      <c r="CN619" s="116"/>
      <c r="CO619" s="116"/>
      <c r="CP619" s="116"/>
      <c r="CQ619" s="116"/>
      <c r="CR619" s="116"/>
      <c r="CS619" s="116"/>
      <c r="CT619" s="116"/>
      <c r="CU619" s="116"/>
      <c r="CV619" s="116"/>
      <c r="CW619" s="116"/>
      <c r="CX619" s="116"/>
      <c r="CY619" s="116"/>
      <c r="CZ619" s="116"/>
      <c r="DA619" s="116"/>
      <c r="DB619" s="116"/>
      <c r="DC619" s="116"/>
      <c r="DD619" s="116"/>
      <c r="DE619" s="116"/>
      <c r="DF619" s="116"/>
      <c r="DG619" s="116"/>
      <c r="DH619" s="116"/>
      <c r="DI619" s="116"/>
      <c r="DJ619" s="116"/>
      <c r="DK619" s="116"/>
      <c r="DL619" s="116"/>
      <c r="DM619" s="116"/>
      <c r="DN619" s="116"/>
      <c r="DO619" s="116"/>
      <c r="DP619" s="116"/>
      <c r="DQ619" s="116"/>
      <c r="DR619" s="116"/>
      <c r="DS619" s="116"/>
      <c r="DT619" s="116"/>
      <c r="DU619" s="116"/>
      <c r="DV619" s="116"/>
      <c r="DW619" s="116"/>
      <c r="DX619" s="116"/>
      <c r="DY619" s="116"/>
      <c r="DZ619" s="116"/>
      <c r="EA619" s="116"/>
      <c r="EB619" s="116"/>
    </row>
    <row r="620" spans="36:132" ht="12.75" hidden="1" customHeight="1">
      <c r="AJ620" s="116"/>
      <c r="AK620" s="116"/>
      <c r="AL620" s="116"/>
      <c r="AM620" s="116"/>
      <c r="AN620" s="116"/>
      <c r="AO620" s="116"/>
      <c r="AP620" s="116"/>
      <c r="AS620" s="116"/>
      <c r="AT620" s="116"/>
      <c r="BQ620" s="116"/>
      <c r="BR620" s="116"/>
      <c r="BS620" s="116"/>
      <c r="BT620" s="116"/>
      <c r="BU620" s="116"/>
      <c r="BV620" s="116"/>
      <c r="BW620" s="116"/>
      <c r="BX620" s="116"/>
      <c r="BY620" s="116"/>
      <c r="BZ620" s="116"/>
      <c r="CA620" s="116"/>
      <c r="CB620" s="116"/>
      <c r="CC620" s="116"/>
      <c r="CD620" s="116"/>
      <c r="CE620" s="116"/>
      <c r="CF620" s="116"/>
      <c r="CG620" s="116"/>
      <c r="CH620" s="116"/>
      <c r="CI620" s="116"/>
      <c r="CJ620" s="116"/>
      <c r="CK620" s="116"/>
      <c r="CL620" s="116"/>
      <c r="CM620" s="116"/>
      <c r="CN620" s="116"/>
      <c r="CO620" s="116"/>
      <c r="CP620" s="116"/>
      <c r="CQ620" s="116"/>
      <c r="CR620" s="116"/>
      <c r="CS620" s="116"/>
      <c r="CT620" s="116"/>
      <c r="CU620" s="116"/>
      <c r="CV620" s="116"/>
      <c r="CW620" s="116"/>
      <c r="CX620" s="116"/>
      <c r="CY620" s="116"/>
      <c r="CZ620" s="116"/>
      <c r="DA620" s="116"/>
      <c r="DB620" s="116"/>
      <c r="DC620" s="116"/>
      <c r="DD620" s="116"/>
      <c r="DE620" s="116"/>
      <c r="DF620" s="116"/>
      <c r="DG620" s="116"/>
      <c r="DH620" s="116"/>
      <c r="DI620" s="116"/>
      <c r="DJ620" s="116"/>
      <c r="DK620" s="116"/>
      <c r="DL620" s="116"/>
      <c r="DM620" s="116"/>
      <c r="DN620" s="116"/>
      <c r="DO620" s="116"/>
      <c r="DP620" s="116"/>
      <c r="DQ620" s="116"/>
      <c r="DR620" s="116"/>
      <c r="DS620" s="116"/>
      <c r="DT620" s="116"/>
      <c r="DU620" s="116"/>
      <c r="DV620" s="116"/>
      <c r="DW620" s="116"/>
      <c r="DX620" s="116"/>
      <c r="DY620" s="116"/>
      <c r="DZ620" s="116"/>
      <c r="EA620" s="116"/>
      <c r="EB620" s="116"/>
    </row>
    <row r="621" spans="36:132" ht="12.75" hidden="1" customHeight="1">
      <c r="AJ621" s="116"/>
      <c r="AK621" s="116"/>
      <c r="AL621" s="116"/>
      <c r="AM621" s="116"/>
      <c r="AN621" s="116"/>
      <c r="AO621" s="116"/>
      <c r="AP621" s="116"/>
      <c r="AS621" s="116"/>
      <c r="AT621" s="116"/>
      <c r="BQ621" s="116"/>
      <c r="BR621" s="116"/>
      <c r="BS621" s="116"/>
      <c r="BT621" s="116"/>
      <c r="BU621" s="116"/>
      <c r="BV621" s="116"/>
      <c r="BW621" s="116"/>
      <c r="BX621" s="116"/>
      <c r="BY621" s="116"/>
      <c r="BZ621" s="116"/>
      <c r="CA621" s="116"/>
      <c r="CB621" s="116"/>
      <c r="CC621" s="116"/>
      <c r="CD621" s="116"/>
      <c r="CE621" s="116"/>
      <c r="CF621" s="116"/>
      <c r="CG621" s="116"/>
      <c r="CH621" s="116"/>
      <c r="CI621" s="116"/>
      <c r="CJ621" s="116"/>
      <c r="CK621" s="116"/>
      <c r="CL621" s="116"/>
      <c r="CM621" s="116"/>
      <c r="CN621" s="116"/>
      <c r="CO621" s="116"/>
      <c r="CP621" s="116"/>
      <c r="CQ621" s="116"/>
      <c r="CR621" s="116"/>
      <c r="CS621" s="116"/>
      <c r="CT621" s="116"/>
      <c r="CU621" s="116"/>
      <c r="CV621" s="116"/>
      <c r="CW621" s="116"/>
      <c r="CX621" s="116"/>
      <c r="CY621" s="116"/>
      <c r="CZ621" s="116"/>
      <c r="DA621" s="116"/>
      <c r="DB621" s="116"/>
      <c r="DC621" s="116"/>
      <c r="DD621" s="116"/>
      <c r="DE621" s="116"/>
      <c r="DF621" s="116"/>
      <c r="DG621" s="116"/>
      <c r="DH621" s="116"/>
      <c r="DI621" s="116"/>
      <c r="DJ621" s="116"/>
      <c r="DK621" s="116"/>
      <c r="DL621" s="116"/>
      <c r="DM621" s="116"/>
      <c r="DN621" s="116"/>
      <c r="DO621" s="116"/>
      <c r="DP621" s="116"/>
      <c r="DQ621" s="116"/>
      <c r="DR621" s="116"/>
      <c r="DS621" s="116"/>
      <c r="DT621" s="116"/>
      <c r="DU621" s="116"/>
      <c r="DV621" s="116"/>
      <c r="DW621" s="116"/>
      <c r="DX621" s="116"/>
      <c r="DY621" s="116"/>
      <c r="DZ621" s="116"/>
      <c r="EA621" s="116"/>
      <c r="EB621" s="116"/>
    </row>
    <row r="622" spans="36:132" ht="12.75" hidden="1" customHeight="1">
      <c r="AJ622" s="116"/>
      <c r="AK622" s="116"/>
      <c r="AL622" s="116"/>
      <c r="AM622" s="116"/>
      <c r="AN622" s="116"/>
      <c r="AO622" s="116"/>
      <c r="AP622" s="116"/>
      <c r="AS622" s="116"/>
      <c r="AT622" s="116"/>
      <c r="BQ622" s="116"/>
      <c r="BR622" s="116"/>
      <c r="BS622" s="116"/>
      <c r="BT622" s="116"/>
      <c r="BU622" s="116"/>
      <c r="BV622" s="116"/>
      <c r="BW622" s="116"/>
      <c r="BX622" s="116"/>
      <c r="BY622" s="116"/>
      <c r="BZ622" s="116"/>
      <c r="CA622" s="116"/>
      <c r="CB622" s="116"/>
      <c r="CC622" s="116"/>
      <c r="CD622" s="116"/>
      <c r="CE622" s="116"/>
      <c r="CF622" s="116"/>
      <c r="CG622" s="116"/>
      <c r="CH622" s="116"/>
      <c r="CI622" s="116"/>
      <c r="CJ622" s="116"/>
      <c r="CK622" s="116"/>
      <c r="CL622" s="116"/>
      <c r="CM622" s="116"/>
      <c r="CN622" s="116"/>
      <c r="CO622" s="116"/>
      <c r="CP622" s="116"/>
      <c r="CQ622" s="116"/>
      <c r="CR622" s="116"/>
      <c r="CS622" s="116"/>
      <c r="CT622" s="116"/>
      <c r="CU622" s="116"/>
      <c r="CV622" s="116"/>
      <c r="CW622" s="116"/>
      <c r="CX622" s="116"/>
      <c r="CY622" s="116"/>
      <c r="CZ622" s="116"/>
      <c r="DA622" s="116"/>
      <c r="DB622" s="116"/>
      <c r="DC622" s="116"/>
      <c r="DD622" s="116"/>
      <c r="DE622" s="116"/>
      <c r="DF622" s="116"/>
      <c r="DG622" s="116"/>
      <c r="DH622" s="116"/>
      <c r="DI622" s="116"/>
      <c r="DJ622" s="116"/>
      <c r="DK622" s="116"/>
      <c r="DL622" s="116"/>
      <c r="DM622" s="116"/>
      <c r="DN622" s="116"/>
      <c r="DO622" s="116"/>
      <c r="DP622" s="116"/>
      <c r="DQ622" s="116"/>
      <c r="DR622" s="116"/>
      <c r="DS622" s="116"/>
      <c r="DT622" s="116"/>
      <c r="DU622" s="116"/>
      <c r="DV622" s="116"/>
      <c r="DW622" s="116"/>
      <c r="DX622" s="116"/>
      <c r="DY622" s="116"/>
      <c r="DZ622" s="116"/>
      <c r="EA622" s="116"/>
      <c r="EB622" s="116"/>
    </row>
    <row r="623" spans="36:132" ht="12.75" hidden="1" customHeight="1">
      <c r="AJ623" s="116"/>
      <c r="AK623" s="116"/>
      <c r="AL623" s="116"/>
      <c r="AM623" s="116"/>
      <c r="AN623" s="116"/>
      <c r="AO623" s="116"/>
      <c r="AP623" s="116"/>
      <c r="AS623" s="116"/>
      <c r="AT623" s="116"/>
      <c r="BQ623" s="116"/>
      <c r="BR623" s="116"/>
      <c r="BS623" s="116"/>
      <c r="BT623" s="116"/>
      <c r="BU623" s="116"/>
      <c r="BV623" s="116"/>
      <c r="BW623" s="116"/>
      <c r="BX623" s="116"/>
      <c r="BY623" s="116"/>
      <c r="BZ623" s="116"/>
      <c r="CA623" s="116"/>
      <c r="CB623" s="116"/>
      <c r="CC623" s="116"/>
      <c r="CD623" s="116"/>
      <c r="CE623" s="116"/>
      <c r="CF623" s="116"/>
      <c r="CG623" s="116"/>
      <c r="CH623" s="116"/>
      <c r="CI623" s="116"/>
      <c r="CJ623" s="116"/>
      <c r="CK623" s="116"/>
      <c r="CL623" s="116"/>
      <c r="CM623" s="116"/>
      <c r="CN623" s="116"/>
      <c r="CO623" s="116"/>
      <c r="CP623" s="116"/>
      <c r="CQ623" s="116"/>
      <c r="CR623" s="116"/>
      <c r="CS623" s="116"/>
      <c r="CT623" s="116"/>
      <c r="CU623" s="116"/>
      <c r="CV623" s="116"/>
      <c r="CW623" s="116"/>
      <c r="CX623" s="116"/>
      <c r="CY623" s="116"/>
      <c r="CZ623" s="116"/>
      <c r="DA623" s="116"/>
      <c r="DB623" s="116"/>
      <c r="DC623" s="116"/>
      <c r="DD623" s="116"/>
      <c r="DE623" s="116"/>
      <c r="DF623" s="116"/>
      <c r="DG623" s="116"/>
      <c r="DH623" s="116"/>
      <c r="DI623" s="116"/>
      <c r="DJ623" s="116"/>
      <c r="DK623" s="116"/>
      <c r="DL623" s="116"/>
      <c r="DM623" s="116"/>
      <c r="DN623" s="116"/>
      <c r="DO623" s="116"/>
      <c r="DP623" s="116"/>
      <c r="DQ623" s="116"/>
      <c r="DR623" s="116"/>
      <c r="DS623" s="116"/>
      <c r="DT623" s="116"/>
      <c r="DU623" s="116"/>
      <c r="DV623" s="116"/>
      <c r="DW623" s="116"/>
      <c r="DX623" s="116"/>
      <c r="DY623" s="116"/>
      <c r="DZ623" s="116"/>
      <c r="EA623" s="116"/>
      <c r="EB623" s="116"/>
    </row>
    <row r="624" spans="36:132" ht="12.75" hidden="1" customHeight="1">
      <c r="AJ624" s="116"/>
      <c r="AK624" s="116"/>
      <c r="AL624" s="116"/>
      <c r="AM624" s="116"/>
      <c r="AN624" s="116"/>
      <c r="AO624" s="116"/>
      <c r="AP624" s="116"/>
      <c r="AS624" s="116"/>
      <c r="AT624" s="116"/>
      <c r="BQ624" s="116"/>
      <c r="BR624" s="116"/>
      <c r="BS624" s="116"/>
      <c r="BT624" s="116"/>
      <c r="BU624" s="116"/>
      <c r="BV624" s="116"/>
      <c r="BW624" s="116"/>
      <c r="BX624" s="116"/>
      <c r="BY624" s="116"/>
      <c r="BZ624" s="116"/>
      <c r="CA624" s="116"/>
      <c r="CB624" s="116"/>
      <c r="CC624" s="116"/>
      <c r="CD624" s="116"/>
      <c r="CE624" s="116"/>
      <c r="CF624" s="116"/>
      <c r="CG624" s="116"/>
      <c r="CH624" s="116"/>
      <c r="CI624" s="116"/>
      <c r="CJ624" s="116"/>
      <c r="CK624" s="116"/>
      <c r="CL624" s="116"/>
      <c r="CM624" s="116"/>
      <c r="CN624" s="116"/>
      <c r="CO624" s="116"/>
      <c r="CP624" s="116"/>
      <c r="CQ624" s="116"/>
      <c r="CR624" s="116"/>
      <c r="CS624" s="116"/>
      <c r="CT624" s="116"/>
      <c r="CU624" s="116"/>
      <c r="CV624" s="116"/>
      <c r="CW624" s="116"/>
      <c r="CX624" s="116"/>
      <c r="CY624" s="116"/>
      <c r="CZ624" s="116"/>
      <c r="DA624" s="116"/>
      <c r="DB624" s="116"/>
      <c r="DC624" s="116"/>
      <c r="DD624" s="116"/>
      <c r="DE624" s="116"/>
      <c r="DF624" s="116"/>
      <c r="DG624" s="116"/>
      <c r="DH624" s="116"/>
      <c r="DI624" s="116"/>
      <c r="DJ624" s="116"/>
      <c r="DK624" s="116"/>
      <c r="DL624" s="116"/>
      <c r="DM624" s="116"/>
      <c r="DN624" s="116"/>
      <c r="DO624" s="116"/>
      <c r="DP624" s="116"/>
      <c r="DQ624" s="116"/>
      <c r="DR624" s="116"/>
      <c r="DS624" s="116"/>
      <c r="DT624" s="116"/>
      <c r="DU624" s="116"/>
      <c r="DV624" s="116"/>
      <c r="DW624" s="116"/>
      <c r="DX624" s="116"/>
      <c r="DY624" s="116"/>
      <c r="DZ624" s="116"/>
      <c r="EA624" s="116"/>
      <c r="EB624" s="116"/>
    </row>
    <row r="625" spans="36:132" ht="12.75" hidden="1" customHeight="1">
      <c r="AJ625" s="116"/>
      <c r="AK625" s="116"/>
      <c r="AL625" s="116"/>
      <c r="AM625" s="116"/>
      <c r="AN625" s="116"/>
      <c r="AO625" s="116"/>
      <c r="AP625" s="116"/>
      <c r="AS625" s="116"/>
      <c r="AT625" s="116"/>
      <c r="BQ625" s="116"/>
      <c r="BR625" s="116"/>
      <c r="BS625" s="116"/>
      <c r="BT625" s="116"/>
      <c r="BU625" s="116"/>
      <c r="BV625" s="116"/>
      <c r="BW625" s="116"/>
      <c r="BX625" s="116"/>
      <c r="BY625" s="116"/>
      <c r="BZ625" s="116"/>
      <c r="CA625" s="116"/>
      <c r="CB625" s="116"/>
      <c r="CC625" s="116"/>
      <c r="CD625" s="116"/>
      <c r="CE625" s="116"/>
      <c r="CF625" s="116"/>
      <c r="CG625" s="116"/>
      <c r="CH625" s="116"/>
      <c r="CI625" s="116"/>
      <c r="CJ625" s="116"/>
      <c r="CK625" s="116"/>
      <c r="CL625" s="116"/>
      <c r="CM625" s="116"/>
      <c r="CN625" s="116"/>
      <c r="CO625" s="116"/>
      <c r="CP625" s="116"/>
      <c r="CQ625" s="116"/>
      <c r="CR625" s="116"/>
      <c r="CS625" s="116"/>
      <c r="CT625" s="116"/>
      <c r="CU625" s="116"/>
      <c r="CV625" s="116"/>
      <c r="CW625" s="116"/>
      <c r="CX625" s="116"/>
      <c r="CY625" s="116"/>
      <c r="CZ625" s="116"/>
      <c r="DA625" s="116"/>
      <c r="DB625" s="116"/>
      <c r="DC625" s="116"/>
      <c r="DD625" s="116"/>
      <c r="DE625" s="116"/>
      <c r="DF625" s="116"/>
      <c r="DG625" s="116"/>
      <c r="DH625" s="116"/>
      <c r="DI625" s="116"/>
      <c r="DJ625" s="116"/>
      <c r="DK625" s="116"/>
      <c r="DL625" s="116"/>
      <c r="DM625" s="116"/>
      <c r="DN625" s="116"/>
      <c r="DO625" s="116"/>
      <c r="DP625" s="116"/>
      <c r="DQ625" s="116"/>
      <c r="DR625" s="116"/>
      <c r="DS625" s="116"/>
      <c r="DT625" s="116"/>
      <c r="DU625" s="116"/>
      <c r="DV625" s="116"/>
      <c r="DW625" s="116"/>
      <c r="DX625" s="116"/>
      <c r="DY625" s="116"/>
      <c r="DZ625" s="116"/>
      <c r="EA625" s="116"/>
      <c r="EB625" s="116"/>
    </row>
    <row r="626" spans="36:132" ht="12.75" hidden="1" customHeight="1">
      <c r="AJ626" s="116"/>
      <c r="AK626" s="116"/>
      <c r="AL626" s="116"/>
      <c r="AM626" s="116"/>
      <c r="AN626" s="116"/>
      <c r="AO626" s="116"/>
      <c r="AP626" s="116"/>
      <c r="AS626" s="116"/>
      <c r="AT626" s="116"/>
      <c r="BQ626" s="116"/>
      <c r="BR626" s="116"/>
      <c r="BS626" s="116"/>
      <c r="BT626" s="116"/>
      <c r="BU626" s="116"/>
      <c r="BV626" s="116"/>
      <c r="BW626" s="116"/>
      <c r="BX626" s="116"/>
      <c r="BY626" s="116"/>
      <c r="BZ626" s="116"/>
      <c r="CA626" s="116"/>
      <c r="CB626" s="116"/>
      <c r="CC626" s="116"/>
      <c r="CD626" s="116"/>
      <c r="CE626" s="116"/>
      <c r="CF626" s="116"/>
      <c r="CG626" s="116"/>
      <c r="CH626" s="116"/>
      <c r="CI626" s="116"/>
      <c r="CJ626" s="116"/>
      <c r="CK626" s="116"/>
      <c r="CL626" s="116"/>
      <c r="CM626" s="116"/>
      <c r="CN626" s="116"/>
      <c r="CO626" s="116"/>
      <c r="CP626" s="116"/>
      <c r="CQ626" s="116"/>
      <c r="CR626" s="116"/>
      <c r="CS626" s="116"/>
      <c r="CT626" s="116"/>
      <c r="CU626" s="116"/>
      <c r="CV626" s="116"/>
      <c r="CW626" s="116"/>
      <c r="CX626" s="116"/>
      <c r="CY626" s="116"/>
      <c r="CZ626" s="116"/>
      <c r="DA626" s="116"/>
      <c r="DB626" s="116"/>
      <c r="DC626" s="116"/>
      <c r="DD626" s="116"/>
      <c r="DE626" s="116"/>
      <c r="DF626" s="116"/>
      <c r="DG626" s="116"/>
      <c r="DH626" s="116"/>
      <c r="DI626" s="116"/>
      <c r="DJ626" s="116"/>
      <c r="DK626" s="116"/>
      <c r="DL626" s="116"/>
      <c r="DM626" s="116"/>
      <c r="DN626" s="116"/>
      <c r="DO626" s="116"/>
      <c r="DP626" s="116"/>
      <c r="DQ626" s="116"/>
      <c r="DR626" s="116"/>
      <c r="DS626" s="116"/>
      <c r="DT626" s="116"/>
      <c r="DU626" s="116"/>
      <c r="DV626" s="116"/>
      <c r="DW626" s="116"/>
      <c r="DX626" s="116"/>
      <c r="DY626" s="116"/>
      <c r="DZ626" s="116"/>
      <c r="EA626" s="116"/>
      <c r="EB626" s="116"/>
    </row>
    <row r="627" spans="36:132" ht="12.75" hidden="1" customHeight="1">
      <c r="AJ627" s="116"/>
      <c r="AK627" s="116"/>
      <c r="AL627" s="116"/>
      <c r="AM627" s="116"/>
      <c r="AN627" s="116"/>
      <c r="AO627" s="116"/>
      <c r="AP627" s="116"/>
      <c r="AS627" s="116"/>
      <c r="AT627" s="116"/>
      <c r="BQ627" s="116"/>
      <c r="BR627" s="116"/>
      <c r="BS627" s="116"/>
      <c r="BT627" s="116"/>
      <c r="BU627" s="116"/>
      <c r="BV627" s="116"/>
      <c r="BW627" s="116"/>
      <c r="BX627" s="116"/>
      <c r="BY627" s="116"/>
      <c r="BZ627" s="116"/>
      <c r="CA627" s="116"/>
      <c r="CB627" s="116"/>
      <c r="CC627" s="116"/>
      <c r="CD627" s="116"/>
      <c r="CE627" s="116"/>
      <c r="CF627" s="116"/>
      <c r="CG627" s="116"/>
      <c r="CH627" s="116"/>
      <c r="CI627" s="116"/>
      <c r="CJ627" s="116"/>
      <c r="CK627" s="116"/>
      <c r="CL627" s="116"/>
      <c r="CM627" s="116"/>
      <c r="CN627" s="116"/>
      <c r="CO627" s="116"/>
      <c r="CP627" s="116"/>
      <c r="CQ627" s="116"/>
      <c r="CR627" s="116"/>
      <c r="CS627" s="116"/>
      <c r="CT627" s="116"/>
      <c r="CU627" s="116"/>
      <c r="CV627" s="116"/>
      <c r="CW627" s="116"/>
      <c r="CX627" s="116"/>
      <c r="CY627" s="116"/>
      <c r="CZ627" s="116"/>
      <c r="DA627" s="116"/>
      <c r="DB627" s="116"/>
      <c r="DC627" s="116"/>
      <c r="DD627" s="116"/>
      <c r="DE627" s="116"/>
      <c r="DF627" s="116"/>
      <c r="DG627" s="116"/>
      <c r="DH627" s="116"/>
      <c r="DI627" s="116"/>
      <c r="DJ627" s="116"/>
      <c r="DK627" s="116"/>
      <c r="DL627" s="116"/>
      <c r="DM627" s="116"/>
      <c r="DN627" s="116"/>
      <c r="DO627" s="116"/>
      <c r="DP627" s="116"/>
      <c r="DQ627" s="116"/>
      <c r="DR627" s="116"/>
      <c r="DS627" s="116"/>
      <c r="DT627" s="116"/>
      <c r="DU627" s="116"/>
      <c r="DV627" s="116"/>
      <c r="DW627" s="116"/>
      <c r="DX627" s="116"/>
      <c r="DY627" s="116"/>
      <c r="DZ627" s="116"/>
      <c r="EA627" s="116"/>
      <c r="EB627" s="116"/>
    </row>
    <row r="628" spans="36:132" ht="12.75" hidden="1" customHeight="1">
      <c r="AJ628" s="116"/>
      <c r="AK628" s="116"/>
      <c r="AL628" s="116"/>
      <c r="AM628" s="116"/>
      <c r="AN628" s="116"/>
      <c r="AO628" s="116"/>
      <c r="AP628" s="116"/>
      <c r="AS628" s="116"/>
      <c r="AT628" s="116"/>
      <c r="BQ628" s="116"/>
      <c r="BR628" s="116"/>
      <c r="BS628" s="116"/>
      <c r="BT628" s="116"/>
      <c r="BU628" s="116"/>
      <c r="BV628" s="116"/>
      <c r="BW628" s="116"/>
      <c r="BX628" s="116"/>
      <c r="BY628" s="116"/>
      <c r="BZ628" s="116"/>
      <c r="CA628" s="116"/>
      <c r="CB628" s="116"/>
      <c r="CC628" s="116"/>
      <c r="CD628" s="116"/>
      <c r="CE628" s="116"/>
      <c r="CF628" s="116"/>
      <c r="CG628" s="116"/>
      <c r="CH628" s="116"/>
      <c r="CI628" s="116"/>
      <c r="CJ628" s="116"/>
      <c r="CK628" s="116"/>
      <c r="CL628" s="116"/>
      <c r="CM628" s="116"/>
      <c r="CN628" s="116"/>
      <c r="CO628" s="116"/>
      <c r="CP628" s="116"/>
      <c r="CQ628" s="116"/>
      <c r="CR628" s="116"/>
      <c r="CS628" s="116"/>
      <c r="CT628" s="116"/>
      <c r="CU628" s="116"/>
      <c r="CV628" s="116"/>
      <c r="CW628" s="116"/>
      <c r="CX628" s="116"/>
      <c r="CY628" s="116"/>
      <c r="CZ628" s="116"/>
      <c r="DA628" s="116"/>
      <c r="DB628" s="116"/>
      <c r="DC628" s="116"/>
      <c r="DD628" s="116"/>
      <c r="DE628" s="116"/>
      <c r="DF628" s="116"/>
      <c r="DG628" s="116"/>
      <c r="DH628" s="116"/>
      <c r="DI628" s="116"/>
      <c r="DJ628" s="116"/>
      <c r="DK628" s="116"/>
      <c r="DL628" s="116"/>
      <c r="DM628" s="116"/>
      <c r="DN628" s="116"/>
      <c r="DO628" s="116"/>
      <c r="DP628" s="116"/>
      <c r="DQ628" s="116"/>
      <c r="DR628" s="116"/>
      <c r="DS628" s="116"/>
      <c r="DT628" s="116"/>
      <c r="DU628" s="116"/>
      <c r="DV628" s="116"/>
      <c r="DW628" s="116"/>
      <c r="DX628" s="116"/>
      <c r="DY628" s="116"/>
      <c r="DZ628" s="116"/>
      <c r="EA628" s="116"/>
      <c r="EB628" s="116"/>
    </row>
    <row r="629" spans="36:132" ht="12.75" hidden="1" customHeight="1">
      <c r="AJ629" s="116"/>
      <c r="AK629" s="116"/>
      <c r="AL629" s="116"/>
      <c r="AM629" s="116"/>
      <c r="AN629" s="116"/>
      <c r="AO629" s="116"/>
      <c r="AP629" s="116"/>
      <c r="AS629" s="116"/>
      <c r="AT629" s="116"/>
      <c r="BQ629" s="116"/>
      <c r="BR629" s="116"/>
      <c r="BS629" s="116"/>
      <c r="BT629" s="116"/>
      <c r="BU629" s="116"/>
      <c r="BV629" s="116"/>
      <c r="BW629" s="116"/>
      <c r="BX629" s="116"/>
      <c r="BY629" s="116"/>
      <c r="BZ629" s="116"/>
      <c r="CA629" s="116"/>
      <c r="CB629" s="116"/>
      <c r="CC629" s="116"/>
      <c r="CD629" s="116"/>
      <c r="CE629" s="116"/>
      <c r="CF629" s="116"/>
      <c r="CG629" s="116"/>
      <c r="CH629" s="116"/>
      <c r="CI629" s="116"/>
      <c r="CJ629" s="116"/>
      <c r="CK629" s="116"/>
      <c r="CL629" s="116"/>
      <c r="CM629" s="116"/>
      <c r="CN629" s="116"/>
      <c r="CO629" s="116"/>
      <c r="CP629" s="116"/>
      <c r="CQ629" s="116"/>
      <c r="CR629" s="116"/>
      <c r="CS629" s="116"/>
      <c r="CT629" s="116"/>
      <c r="CU629" s="116"/>
      <c r="CV629" s="116"/>
      <c r="CW629" s="116"/>
      <c r="CX629" s="116"/>
      <c r="CY629" s="116"/>
      <c r="CZ629" s="116"/>
      <c r="DA629" s="116"/>
      <c r="DB629" s="116"/>
      <c r="DC629" s="116"/>
      <c r="DD629" s="116"/>
      <c r="DE629" s="116"/>
      <c r="DF629" s="116"/>
      <c r="DG629" s="116"/>
      <c r="DH629" s="116"/>
      <c r="DI629" s="116"/>
      <c r="DJ629" s="116"/>
      <c r="DK629" s="116"/>
      <c r="DL629" s="116"/>
      <c r="DM629" s="116"/>
      <c r="DN629" s="116"/>
      <c r="DO629" s="116"/>
      <c r="DP629" s="116"/>
      <c r="DQ629" s="116"/>
      <c r="DR629" s="116"/>
      <c r="DS629" s="116"/>
      <c r="DT629" s="116"/>
      <c r="DU629" s="116"/>
      <c r="DV629" s="116"/>
      <c r="DW629" s="116"/>
      <c r="DX629" s="116"/>
      <c r="DY629" s="116"/>
      <c r="DZ629" s="116"/>
      <c r="EA629" s="116"/>
      <c r="EB629" s="116"/>
    </row>
    <row r="630" spans="36:132" ht="12.75" hidden="1" customHeight="1">
      <c r="AJ630" s="116"/>
      <c r="AK630" s="116"/>
      <c r="AL630" s="116"/>
      <c r="AM630" s="116"/>
      <c r="AN630" s="116"/>
      <c r="AO630" s="116"/>
      <c r="AP630" s="116"/>
      <c r="AS630" s="116"/>
      <c r="AT630" s="116"/>
      <c r="BQ630" s="116"/>
      <c r="BR630" s="116"/>
      <c r="BS630" s="116"/>
      <c r="BT630" s="116"/>
      <c r="BU630" s="116"/>
      <c r="BV630" s="116"/>
      <c r="BW630" s="116"/>
      <c r="BX630" s="116"/>
      <c r="BY630" s="116"/>
      <c r="BZ630" s="116"/>
      <c r="CA630" s="116"/>
      <c r="CB630" s="116"/>
      <c r="CC630" s="116"/>
      <c r="CD630" s="116"/>
      <c r="CE630" s="116"/>
      <c r="CF630" s="116"/>
      <c r="CG630" s="116"/>
      <c r="CH630" s="116"/>
      <c r="CI630" s="116"/>
      <c r="CJ630" s="116"/>
      <c r="CK630" s="116"/>
      <c r="CL630" s="116"/>
      <c r="CM630" s="116"/>
      <c r="CN630" s="116"/>
      <c r="CO630" s="116"/>
      <c r="CP630" s="116"/>
      <c r="CQ630" s="116"/>
      <c r="CR630" s="116"/>
      <c r="CS630" s="116"/>
      <c r="CT630" s="116"/>
      <c r="CU630" s="116"/>
      <c r="CV630" s="116"/>
      <c r="CW630" s="116"/>
      <c r="CX630" s="116"/>
      <c r="CY630" s="116"/>
      <c r="CZ630" s="116"/>
      <c r="DA630" s="116"/>
      <c r="DB630" s="116"/>
      <c r="DC630" s="116"/>
      <c r="DD630" s="116"/>
      <c r="DE630" s="116"/>
      <c r="DF630" s="116"/>
      <c r="DG630" s="116"/>
      <c r="DH630" s="116"/>
      <c r="DI630" s="116"/>
      <c r="DJ630" s="116"/>
      <c r="DK630" s="116"/>
      <c r="DL630" s="116"/>
      <c r="DM630" s="116"/>
      <c r="DN630" s="116"/>
      <c r="DO630" s="116"/>
      <c r="DP630" s="116"/>
      <c r="DQ630" s="116"/>
      <c r="DR630" s="116"/>
      <c r="DS630" s="116"/>
      <c r="DT630" s="116"/>
      <c r="DU630" s="116"/>
      <c r="DV630" s="116"/>
      <c r="DW630" s="116"/>
      <c r="DX630" s="116"/>
      <c r="DY630" s="116"/>
      <c r="DZ630" s="116"/>
      <c r="EA630" s="116"/>
      <c r="EB630" s="116"/>
    </row>
    <row r="631" spans="36:132" ht="12.75" hidden="1" customHeight="1">
      <c r="AJ631" s="116"/>
      <c r="AK631" s="116"/>
      <c r="AL631" s="116"/>
      <c r="AM631" s="116"/>
      <c r="AN631" s="116"/>
      <c r="AO631" s="116"/>
      <c r="AP631" s="116"/>
      <c r="AS631" s="116"/>
      <c r="AT631" s="116"/>
      <c r="BQ631" s="116"/>
      <c r="BR631" s="116"/>
      <c r="BS631" s="116"/>
      <c r="BT631" s="116"/>
      <c r="BU631" s="116"/>
      <c r="BV631" s="116"/>
      <c r="BW631" s="116"/>
      <c r="BX631" s="116"/>
      <c r="BY631" s="116"/>
      <c r="BZ631" s="116"/>
      <c r="CA631" s="116"/>
      <c r="CB631" s="116"/>
      <c r="CC631" s="116"/>
      <c r="CD631" s="116"/>
      <c r="CE631" s="116"/>
      <c r="CF631" s="116"/>
      <c r="CG631" s="116"/>
      <c r="CH631" s="116"/>
      <c r="CI631" s="116"/>
      <c r="CJ631" s="116"/>
      <c r="CK631" s="116"/>
      <c r="CL631" s="116"/>
      <c r="CM631" s="116"/>
      <c r="CN631" s="116"/>
      <c r="CO631" s="116"/>
      <c r="CP631" s="116"/>
      <c r="CQ631" s="116"/>
      <c r="CR631" s="116"/>
      <c r="CS631" s="116"/>
      <c r="CT631" s="116"/>
      <c r="CU631" s="116"/>
      <c r="CV631" s="116"/>
      <c r="CW631" s="116"/>
      <c r="CX631" s="116"/>
      <c r="CY631" s="116"/>
      <c r="CZ631" s="116"/>
      <c r="DA631" s="116"/>
      <c r="DB631" s="116"/>
      <c r="DC631" s="116"/>
      <c r="DD631" s="116"/>
      <c r="DE631" s="116"/>
      <c r="DF631" s="116"/>
      <c r="DG631" s="116"/>
      <c r="DH631" s="116"/>
      <c r="DI631" s="116"/>
      <c r="DJ631" s="116"/>
      <c r="DK631" s="116"/>
      <c r="DL631" s="116"/>
      <c r="DM631" s="116"/>
      <c r="DN631" s="116"/>
      <c r="DO631" s="116"/>
      <c r="DP631" s="116"/>
      <c r="DQ631" s="116"/>
      <c r="DR631" s="116"/>
      <c r="DS631" s="116"/>
      <c r="DT631" s="116"/>
      <c r="DU631" s="116"/>
      <c r="DV631" s="116"/>
      <c r="DW631" s="116"/>
      <c r="DX631" s="116"/>
      <c r="DY631" s="116"/>
      <c r="DZ631" s="116"/>
      <c r="EA631" s="116"/>
      <c r="EB631" s="116"/>
    </row>
    <row r="632" spans="36:132" ht="12.75" hidden="1" customHeight="1">
      <c r="AJ632" s="116"/>
      <c r="AK632" s="116"/>
      <c r="AL632" s="116"/>
      <c r="AM632" s="116"/>
      <c r="AN632" s="116"/>
      <c r="AO632" s="116"/>
      <c r="AP632" s="116"/>
      <c r="AS632" s="116"/>
      <c r="AT632" s="116"/>
      <c r="BQ632" s="116"/>
      <c r="BR632" s="116"/>
      <c r="BS632" s="116"/>
      <c r="BT632" s="116"/>
      <c r="BU632" s="116"/>
      <c r="BV632" s="116"/>
      <c r="BW632" s="116"/>
      <c r="BX632" s="116"/>
      <c r="BY632" s="116"/>
      <c r="BZ632" s="116"/>
      <c r="CA632" s="116"/>
      <c r="CB632" s="116"/>
      <c r="CC632" s="116"/>
      <c r="CD632" s="116"/>
      <c r="CE632" s="116"/>
      <c r="CF632" s="116"/>
      <c r="CG632" s="116"/>
      <c r="CH632" s="116"/>
      <c r="CI632" s="116"/>
      <c r="CJ632" s="116"/>
      <c r="CK632" s="116"/>
      <c r="CL632" s="116"/>
      <c r="CM632" s="116"/>
      <c r="CN632" s="116"/>
      <c r="CO632" s="116"/>
      <c r="CP632" s="116"/>
      <c r="CQ632" s="116"/>
      <c r="CR632" s="116"/>
      <c r="CS632" s="116"/>
      <c r="CT632" s="116"/>
      <c r="CU632" s="116"/>
      <c r="CV632" s="116"/>
      <c r="CW632" s="116"/>
      <c r="CX632" s="116"/>
      <c r="CY632" s="116"/>
      <c r="CZ632" s="116"/>
      <c r="DA632" s="116"/>
      <c r="DB632" s="116"/>
      <c r="DC632" s="116"/>
      <c r="DD632" s="116"/>
      <c r="DE632" s="116"/>
      <c r="DF632" s="116"/>
      <c r="DG632" s="116"/>
      <c r="DH632" s="116"/>
      <c r="DI632" s="116"/>
      <c r="DJ632" s="116"/>
      <c r="DK632" s="116"/>
      <c r="DL632" s="116"/>
      <c r="DM632" s="116"/>
      <c r="DN632" s="116"/>
      <c r="DO632" s="116"/>
      <c r="DP632" s="116"/>
      <c r="DQ632" s="116"/>
      <c r="DR632" s="116"/>
      <c r="DS632" s="116"/>
      <c r="DT632" s="116"/>
      <c r="DU632" s="116"/>
      <c r="DV632" s="116"/>
      <c r="DW632" s="116"/>
      <c r="DX632" s="116"/>
      <c r="DY632" s="116"/>
      <c r="DZ632" s="116"/>
      <c r="EA632" s="116"/>
      <c r="EB632" s="116"/>
    </row>
    <row r="633" spans="36:132" ht="12.75" hidden="1" customHeight="1">
      <c r="AJ633" s="116"/>
      <c r="AK633" s="116"/>
      <c r="AL633" s="116"/>
      <c r="AM633" s="116"/>
      <c r="AN633" s="116"/>
      <c r="AO633" s="116"/>
      <c r="AP633" s="116"/>
      <c r="AS633" s="116"/>
      <c r="AT633" s="116"/>
      <c r="BQ633" s="116"/>
      <c r="BR633" s="116"/>
      <c r="BS633" s="116"/>
      <c r="BT633" s="116"/>
      <c r="BU633" s="116"/>
      <c r="BV633" s="116"/>
      <c r="BW633" s="116"/>
      <c r="BX633" s="116"/>
      <c r="BY633" s="116"/>
      <c r="BZ633" s="116"/>
      <c r="CA633" s="116"/>
      <c r="CB633" s="116"/>
      <c r="CC633" s="116"/>
      <c r="CD633" s="116"/>
      <c r="CE633" s="116"/>
      <c r="CF633" s="116"/>
      <c r="CG633" s="116"/>
      <c r="CH633" s="116"/>
      <c r="CI633" s="116"/>
      <c r="CJ633" s="116"/>
      <c r="CK633" s="116"/>
      <c r="CL633" s="116"/>
      <c r="CM633" s="116"/>
      <c r="CN633" s="116"/>
      <c r="CO633" s="116"/>
      <c r="CP633" s="116"/>
      <c r="CQ633" s="116"/>
      <c r="CR633" s="116"/>
      <c r="CS633" s="116"/>
      <c r="CT633" s="116"/>
      <c r="CU633" s="116"/>
      <c r="CV633" s="116"/>
      <c r="CW633" s="116"/>
      <c r="CX633" s="116"/>
      <c r="CY633" s="116"/>
      <c r="CZ633" s="116"/>
      <c r="DA633" s="116"/>
      <c r="DB633" s="116"/>
      <c r="DC633" s="116"/>
      <c r="DD633" s="116"/>
      <c r="DE633" s="116"/>
      <c r="DF633" s="116"/>
      <c r="DG633" s="116"/>
      <c r="DH633" s="116"/>
      <c r="DI633" s="116"/>
      <c r="DJ633" s="116"/>
      <c r="DK633" s="116"/>
      <c r="DL633" s="116"/>
      <c r="DM633" s="116"/>
      <c r="DN633" s="116"/>
      <c r="DO633" s="116"/>
      <c r="DP633" s="116"/>
      <c r="DQ633" s="116"/>
      <c r="DR633" s="116"/>
      <c r="DS633" s="116"/>
      <c r="DT633" s="116"/>
      <c r="DU633" s="116"/>
      <c r="DV633" s="116"/>
      <c r="DW633" s="116"/>
      <c r="DX633" s="116"/>
      <c r="DY633" s="116"/>
      <c r="DZ633" s="116"/>
      <c r="EA633" s="116"/>
      <c r="EB633" s="116"/>
    </row>
    <row r="634" spans="36:132" ht="12.75" hidden="1" customHeight="1">
      <c r="AJ634" s="116"/>
      <c r="AK634" s="116"/>
      <c r="AL634" s="116"/>
      <c r="AM634" s="116"/>
      <c r="AN634" s="116"/>
      <c r="AO634" s="116"/>
      <c r="AP634" s="116"/>
      <c r="AS634" s="116"/>
      <c r="AT634" s="116"/>
      <c r="BQ634" s="116"/>
      <c r="BR634" s="116"/>
      <c r="BS634" s="116"/>
      <c r="BT634" s="116"/>
      <c r="BU634" s="116"/>
      <c r="BV634" s="116"/>
      <c r="BW634" s="116"/>
      <c r="BX634" s="116"/>
      <c r="BY634" s="116"/>
      <c r="BZ634" s="116"/>
      <c r="CA634" s="116"/>
      <c r="CB634" s="116"/>
      <c r="CC634" s="116"/>
      <c r="CD634" s="116"/>
      <c r="CE634" s="116"/>
      <c r="CF634" s="116"/>
      <c r="CG634" s="116"/>
      <c r="CH634" s="116"/>
      <c r="CI634" s="116"/>
      <c r="CJ634" s="116"/>
      <c r="CK634" s="116"/>
      <c r="CL634" s="116"/>
      <c r="CM634" s="116"/>
      <c r="CN634" s="116"/>
      <c r="CO634" s="116"/>
      <c r="CP634" s="116"/>
      <c r="CQ634" s="116"/>
      <c r="CR634" s="116"/>
      <c r="CS634" s="116"/>
      <c r="CT634" s="116"/>
      <c r="CU634" s="116"/>
      <c r="CV634" s="116"/>
      <c r="CW634" s="116"/>
      <c r="CX634" s="116"/>
      <c r="CY634" s="116"/>
      <c r="CZ634" s="116"/>
      <c r="DA634" s="116"/>
      <c r="DB634" s="116"/>
      <c r="DC634" s="116"/>
      <c r="DD634" s="116"/>
      <c r="DE634" s="116"/>
      <c r="DF634" s="116"/>
      <c r="DG634" s="116"/>
      <c r="DH634" s="116"/>
      <c r="DI634" s="116"/>
      <c r="DJ634" s="116"/>
      <c r="DK634" s="116"/>
      <c r="DL634" s="116"/>
      <c r="DM634" s="116"/>
      <c r="DN634" s="116"/>
      <c r="DO634" s="116"/>
      <c r="DP634" s="116"/>
      <c r="DQ634" s="116"/>
      <c r="DR634" s="116"/>
      <c r="DS634" s="116"/>
      <c r="DT634" s="116"/>
      <c r="DU634" s="116"/>
      <c r="DV634" s="116"/>
      <c r="DW634" s="116"/>
      <c r="DX634" s="116"/>
      <c r="DY634" s="116"/>
      <c r="DZ634" s="116"/>
      <c r="EA634" s="116"/>
      <c r="EB634" s="116"/>
    </row>
    <row r="635" spans="36:132" ht="12.75" hidden="1" customHeight="1">
      <c r="AJ635" s="116"/>
      <c r="AK635" s="116"/>
      <c r="AL635" s="116"/>
      <c r="AM635" s="116"/>
      <c r="AN635" s="116"/>
      <c r="AO635" s="116"/>
      <c r="AP635" s="116"/>
      <c r="AS635" s="116"/>
      <c r="AT635" s="116"/>
      <c r="BQ635" s="116"/>
      <c r="BR635" s="116"/>
      <c r="BS635" s="116"/>
      <c r="BT635" s="116"/>
      <c r="BU635" s="116"/>
      <c r="BV635" s="116"/>
      <c r="BW635" s="116"/>
      <c r="BX635" s="116"/>
      <c r="BY635" s="116"/>
      <c r="BZ635" s="116"/>
      <c r="CA635" s="116"/>
      <c r="CB635" s="116"/>
      <c r="CC635" s="116"/>
      <c r="CD635" s="116"/>
      <c r="CE635" s="116"/>
      <c r="CF635" s="116"/>
      <c r="CG635" s="116"/>
      <c r="CH635" s="116"/>
      <c r="CI635" s="116"/>
      <c r="CJ635" s="116"/>
      <c r="CK635" s="116"/>
      <c r="CL635" s="116"/>
      <c r="CM635" s="116"/>
      <c r="CN635" s="116"/>
      <c r="CO635" s="116"/>
      <c r="CP635" s="116"/>
      <c r="CQ635" s="116"/>
      <c r="CR635" s="116"/>
      <c r="CS635" s="116"/>
      <c r="CT635" s="116"/>
      <c r="CU635" s="116"/>
      <c r="CV635" s="116"/>
      <c r="CW635" s="116"/>
      <c r="CX635" s="116"/>
      <c r="CY635" s="116"/>
      <c r="CZ635" s="116"/>
      <c r="DA635" s="116"/>
      <c r="DB635" s="116"/>
      <c r="DC635" s="116"/>
      <c r="DD635" s="116"/>
      <c r="DE635" s="116"/>
      <c r="DF635" s="116"/>
      <c r="DG635" s="116"/>
      <c r="DH635" s="116"/>
      <c r="DI635" s="116"/>
      <c r="DJ635" s="116"/>
      <c r="DK635" s="116"/>
      <c r="DL635" s="116"/>
      <c r="DM635" s="116"/>
      <c r="DN635" s="116"/>
      <c r="DO635" s="116"/>
      <c r="DP635" s="116"/>
      <c r="DQ635" s="116"/>
      <c r="DR635" s="116"/>
      <c r="DS635" s="116"/>
      <c r="DT635" s="116"/>
      <c r="DU635" s="116"/>
      <c r="DV635" s="116"/>
      <c r="DW635" s="116"/>
      <c r="DX635" s="116"/>
      <c r="DY635" s="116"/>
      <c r="DZ635" s="116"/>
      <c r="EA635" s="116"/>
      <c r="EB635" s="116"/>
    </row>
    <row r="636" spans="36:132" ht="12.75" hidden="1" customHeight="1">
      <c r="AJ636" s="116"/>
      <c r="AK636" s="116"/>
      <c r="AL636" s="116"/>
      <c r="AM636" s="116"/>
      <c r="AN636" s="116"/>
      <c r="AO636" s="116"/>
      <c r="AP636" s="116"/>
      <c r="AS636" s="116"/>
      <c r="AT636" s="116"/>
      <c r="BQ636" s="116"/>
      <c r="BR636" s="116"/>
      <c r="BS636" s="116"/>
      <c r="BT636" s="116"/>
      <c r="BU636" s="116"/>
      <c r="BV636" s="116"/>
      <c r="BW636" s="116"/>
      <c r="BX636" s="116"/>
      <c r="BY636" s="116"/>
      <c r="BZ636" s="116"/>
      <c r="CA636" s="116"/>
      <c r="CB636" s="116"/>
      <c r="CC636" s="116"/>
      <c r="CD636" s="116"/>
      <c r="CE636" s="116"/>
      <c r="CF636" s="116"/>
      <c r="CG636" s="116"/>
      <c r="CH636" s="116"/>
      <c r="CI636" s="116"/>
      <c r="CJ636" s="116"/>
      <c r="CK636" s="116"/>
      <c r="CL636" s="116"/>
      <c r="CM636" s="116"/>
      <c r="CN636" s="116"/>
      <c r="CO636" s="116"/>
      <c r="CP636" s="116"/>
      <c r="CQ636" s="116"/>
      <c r="CR636" s="116"/>
      <c r="CS636" s="116"/>
      <c r="CT636" s="116"/>
      <c r="CU636" s="116"/>
      <c r="CV636" s="116"/>
      <c r="CW636" s="116"/>
      <c r="CX636" s="116"/>
      <c r="CY636" s="116"/>
      <c r="CZ636" s="116"/>
      <c r="DA636" s="116"/>
      <c r="DB636" s="116"/>
      <c r="DC636" s="116"/>
      <c r="DD636" s="116"/>
      <c r="DE636" s="116"/>
      <c r="DF636" s="116"/>
      <c r="DG636" s="116"/>
      <c r="DH636" s="116"/>
      <c r="DI636" s="116"/>
      <c r="DJ636" s="116"/>
      <c r="DK636" s="116"/>
      <c r="DL636" s="116"/>
      <c r="DM636" s="116"/>
      <c r="DN636" s="116"/>
      <c r="DO636" s="116"/>
      <c r="DP636" s="116"/>
      <c r="DQ636" s="116"/>
      <c r="DR636" s="116"/>
      <c r="DS636" s="116"/>
      <c r="DT636" s="116"/>
      <c r="DU636" s="116"/>
      <c r="DV636" s="116"/>
      <c r="DW636" s="116"/>
      <c r="DX636" s="116"/>
      <c r="DY636" s="116"/>
      <c r="DZ636" s="116"/>
      <c r="EA636" s="116"/>
      <c r="EB636" s="116"/>
    </row>
    <row r="637" spans="36:132" ht="12.75" hidden="1" customHeight="1">
      <c r="AJ637" s="116"/>
      <c r="AK637" s="116"/>
      <c r="AL637" s="116"/>
      <c r="AM637" s="116"/>
      <c r="AN637" s="116"/>
      <c r="AO637" s="116"/>
      <c r="AP637" s="116"/>
      <c r="AS637" s="116"/>
      <c r="AT637" s="116"/>
      <c r="BQ637" s="116"/>
      <c r="BR637" s="116"/>
      <c r="BS637" s="116"/>
      <c r="BT637" s="116"/>
      <c r="BU637" s="116"/>
      <c r="BV637" s="116"/>
      <c r="BW637" s="116"/>
      <c r="BX637" s="116"/>
      <c r="BY637" s="116"/>
      <c r="BZ637" s="116"/>
      <c r="CA637" s="116"/>
      <c r="CB637" s="116"/>
      <c r="CC637" s="116"/>
      <c r="CD637" s="116"/>
      <c r="CE637" s="116"/>
      <c r="CF637" s="116"/>
      <c r="CG637" s="116"/>
      <c r="CH637" s="116"/>
      <c r="CI637" s="116"/>
      <c r="CJ637" s="116"/>
      <c r="CK637" s="116"/>
      <c r="CL637" s="116"/>
      <c r="CM637" s="116"/>
      <c r="CN637" s="116"/>
      <c r="CO637" s="116"/>
      <c r="CP637" s="116"/>
      <c r="CQ637" s="116"/>
      <c r="CR637" s="116"/>
      <c r="CS637" s="116"/>
      <c r="CT637" s="116"/>
      <c r="CU637" s="116"/>
      <c r="CV637" s="116"/>
      <c r="CW637" s="116"/>
      <c r="CX637" s="116"/>
      <c r="CY637" s="116"/>
      <c r="CZ637" s="116"/>
      <c r="DA637" s="116"/>
      <c r="DB637" s="116"/>
      <c r="DC637" s="116"/>
      <c r="DD637" s="116"/>
      <c r="DE637" s="116"/>
      <c r="DF637" s="116"/>
      <c r="DG637" s="116"/>
      <c r="DH637" s="116"/>
      <c r="DI637" s="116"/>
      <c r="DJ637" s="116"/>
      <c r="DK637" s="116"/>
      <c r="DL637" s="116"/>
      <c r="DM637" s="116"/>
      <c r="DN637" s="116"/>
      <c r="DO637" s="116"/>
      <c r="DP637" s="116"/>
      <c r="DQ637" s="116"/>
      <c r="DR637" s="116"/>
      <c r="DS637" s="116"/>
      <c r="DT637" s="116"/>
      <c r="DU637" s="116"/>
      <c r="DV637" s="116"/>
      <c r="DW637" s="116"/>
      <c r="DX637" s="116"/>
      <c r="DY637" s="116"/>
      <c r="DZ637" s="116"/>
      <c r="EA637" s="116"/>
      <c r="EB637" s="116"/>
    </row>
    <row r="638" spans="36:132" ht="12.75" hidden="1" customHeight="1">
      <c r="AJ638" s="116"/>
      <c r="AK638" s="116"/>
      <c r="AL638" s="116"/>
      <c r="AM638" s="116"/>
      <c r="AN638" s="116"/>
      <c r="AO638" s="116"/>
      <c r="AP638" s="116"/>
      <c r="AS638" s="116"/>
      <c r="AT638" s="116"/>
      <c r="BQ638" s="116"/>
      <c r="BR638" s="116"/>
      <c r="BS638" s="116"/>
      <c r="BT638" s="116"/>
      <c r="BU638" s="116"/>
      <c r="BV638" s="116"/>
      <c r="BW638" s="116"/>
      <c r="BX638" s="116"/>
      <c r="BY638" s="116"/>
      <c r="BZ638" s="116"/>
      <c r="CA638" s="116"/>
      <c r="CB638" s="116"/>
      <c r="CC638" s="116"/>
      <c r="CD638" s="116"/>
      <c r="CE638" s="116"/>
      <c r="CF638" s="116"/>
      <c r="CG638" s="116"/>
      <c r="CH638" s="116"/>
      <c r="CI638" s="116"/>
      <c r="CJ638" s="116"/>
      <c r="CK638" s="116"/>
      <c r="CL638" s="116"/>
      <c r="CM638" s="116"/>
      <c r="CN638" s="116"/>
      <c r="CO638" s="116"/>
      <c r="CP638" s="116"/>
      <c r="CQ638" s="116"/>
      <c r="CR638" s="116"/>
      <c r="CS638" s="116"/>
      <c r="CT638" s="116"/>
      <c r="CU638" s="116"/>
      <c r="CV638" s="116"/>
      <c r="CW638" s="116"/>
      <c r="CX638" s="116"/>
      <c r="CY638" s="116"/>
      <c r="CZ638" s="116"/>
      <c r="DA638" s="116"/>
      <c r="DB638" s="116"/>
      <c r="DC638" s="116"/>
      <c r="DD638" s="116"/>
      <c r="DE638" s="116"/>
      <c r="DF638" s="116"/>
      <c r="DG638" s="116"/>
      <c r="DH638" s="116"/>
      <c r="DI638" s="116"/>
      <c r="DJ638" s="116"/>
      <c r="DK638" s="116"/>
      <c r="DL638" s="116"/>
      <c r="DM638" s="116"/>
      <c r="DN638" s="116"/>
      <c r="DO638" s="116"/>
      <c r="DP638" s="116"/>
      <c r="DQ638" s="116"/>
      <c r="DR638" s="116"/>
      <c r="DS638" s="116"/>
      <c r="DT638" s="116"/>
      <c r="DU638" s="116"/>
      <c r="DV638" s="116"/>
      <c r="DW638" s="116"/>
      <c r="DX638" s="116"/>
      <c r="DY638" s="116"/>
      <c r="DZ638" s="116"/>
      <c r="EA638" s="116"/>
      <c r="EB638" s="116"/>
    </row>
    <row r="639" spans="36:132" ht="12.75" hidden="1" customHeight="1">
      <c r="AJ639" s="116"/>
      <c r="AK639" s="116"/>
      <c r="AL639" s="116"/>
      <c r="AM639" s="116"/>
      <c r="AN639" s="116"/>
      <c r="AO639" s="116"/>
      <c r="AP639" s="116"/>
      <c r="AS639" s="116"/>
      <c r="AT639" s="116"/>
      <c r="BQ639" s="116"/>
      <c r="BR639" s="116"/>
      <c r="BS639" s="116"/>
      <c r="BT639" s="116"/>
      <c r="BU639" s="116"/>
      <c r="BV639" s="116"/>
      <c r="BW639" s="116"/>
      <c r="BX639" s="116"/>
      <c r="BY639" s="116"/>
      <c r="BZ639" s="116"/>
      <c r="CA639" s="116"/>
      <c r="CB639" s="116"/>
      <c r="CC639" s="116"/>
      <c r="CD639" s="116"/>
      <c r="CE639" s="116"/>
      <c r="CF639" s="116"/>
      <c r="CG639" s="116"/>
      <c r="CH639" s="116"/>
      <c r="CI639" s="116"/>
      <c r="CJ639" s="116"/>
      <c r="CK639" s="116"/>
      <c r="CL639" s="116"/>
      <c r="CM639" s="116"/>
      <c r="CN639" s="116"/>
      <c r="CO639" s="116"/>
      <c r="CP639" s="116"/>
      <c r="CQ639" s="116"/>
      <c r="CR639" s="116"/>
      <c r="CS639" s="116"/>
      <c r="CT639" s="116"/>
      <c r="CU639" s="116"/>
      <c r="CV639" s="116"/>
      <c r="CW639" s="116"/>
      <c r="CX639" s="116"/>
      <c r="CY639" s="116"/>
      <c r="CZ639" s="116"/>
      <c r="DA639" s="116"/>
      <c r="DB639" s="116"/>
      <c r="DC639" s="116"/>
      <c r="DD639" s="116"/>
      <c r="DE639" s="116"/>
      <c r="DF639" s="116"/>
      <c r="DG639" s="116"/>
      <c r="DH639" s="116"/>
      <c r="DI639" s="116"/>
      <c r="DJ639" s="116"/>
      <c r="DK639" s="116"/>
      <c r="DL639" s="116"/>
      <c r="DM639" s="116"/>
      <c r="DN639" s="116"/>
      <c r="DO639" s="116"/>
      <c r="DP639" s="116"/>
      <c r="DQ639" s="116"/>
      <c r="DR639" s="116"/>
      <c r="DS639" s="116"/>
      <c r="DT639" s="116"/>
      <c r="DU639" s="116"/>
      <c r="DV639" s="116"/>
      <c r="DW639" s="116"/>
      <c r="DX639" s="116"/>
      <c r="DY639" s="116"/>
      <c r="DZ639" s="116"/>
      <c r="EA639" s="116"/>
      <c r="EB639" s="116"/>
    </row>
    <row r="640" spans="36:132" ht="12.75" hidden="1" customHeight="1">
      <c r="AJ640" s="116"/>
      <c r="AK640" s="116"/>
      <c r="AL640" s="116"/>
      <c r="AM640" s="116"/>
      <c r="AN640" s="116"/>
      <c r="AO640" s="116"/>
      <c r="AP640" s="116"/>
      <c r="AS640" s="116"/>
      <c r="AT640" s="116"/>
      <c r="BQ640" s="116"/>
      <c r="BR640" s="116"/>
      <c r="BS640" s="116"/>
      <c r="BT640" s="116"/>
      <c r="BU640" s="116"/>
      <c r="BV640" s="116"/>
      <c r="BW640" s="116"/>
      <c r="BX640" s="116"/>
      <c r="BY640" s="116"/>
      <c r="BZ640" s="116"/>
      <c r="CA640" s="116"/>
      <c r="CB640" s="116"/>
      <c r="CC640" s="116"/>
      <c r="CD640" s="116"/>
      <c r="CE640" s="116"/>
      <c r="CF640" s="116"/>
      <c r="CG640" s="116"/>
      <c r="CH640" s="116"/>
      <c r="CI640" s="116"/>
      <c r="CJ640" s="116"/>
      <c r="CK640" s="116"/>
      <c r="CL640" s="116"/>
      <c r="CM640" s="116"/>
      <c r="CN640" s="116"/>
      <c r="CO640" s="116"/>
      <c r="CP640" s="116"/>
      <c r="CQ640" s="116"/>
      <c r="CR640" s="116"/>
      <c r="CS640" s="116"/>
      <c r="CT640" s="116"/>
      <c r="CU640" s="116"/>
      <c r="CV640" s="116"/>
      <c r="CW640" s="116"/>
      <c r="CX640" s="116"/>
      <c r="CY640" s="116"/>
      <c r="CZ640" s="116"/>
      <c r="DA640" s="116"/>
      <c r="DB640" s="116"/>
      <c r="DC640" s="116"/>
      <c r="DD640" s="116"/>
      <c r="DE640" s="116"/>
      <c r="DF640" s="116"/>
      <c r="DG640" s="116"/>
      <c r="DH640" s="116"/>
      <c r="DI640" s="116"/>
      <c r="DJ640" s="116"/>
      <c r="DK640" s="116"/>
      <c r="DL640" s="116"/>
      <c r="DM640" s="116"/>
      <c r="DN640" s="116"/>
      <c r="DO640" s="116"/>
      <c r="DP640" s="116"/>
      <c r="DQ640" s="116"/>
      <c r="DR640" s="116"/>
      <c r="DS640" s="116"/>
      <c r="DT640" s="116"/>
      <c r="DU640" s="116"/>
      <c r="DV640" s="116"/>
      <c r="DW640" s="116"/>
      <c r="DX640" s="116"/>
      <c r="DY640" s="116"/>
      <c r="DZ640" s="116"/>
      <c r="EA640" s="116"/>
      <c r="EB640" s="116"/>
    </row>
    <row r="641" spans="36:132" ht="12.75" hidden="1" customHeight="1">
      <c r="AJ641" s="116"/>
      <c r="AK641" s="116"/>
      <c r="AL641" s="116"/>
      <c r="AM641" s="116"/>
      <c r="AN641" s="116"/>
      <c r="AO641" s="116"/>
      <c r="AP641" s="116"/>
      <c r="AS641" s="116"/>
      <c r="AT641" s="116"/>
      <c r="BQ641" s="116"/>
      <c r="BR641" s="116"/>
      <c r="BS641" s="116"/>
      <c r="BT641" s="116"/>
      <c r="BU641" s="116"/>
      <c r="BV641" s="116"/>
      <c r="BW641" s="116"/>
      <c r="BX641" s="116"/>
      <c r="BY641" s="116"/>
      <c r="BZ641" s="116"/>
      <c r="CA641" s="116"/>
      <c r="CB641" s="116"/>
      <c r="CC641" s="116"/>
      <c r="CD641" s="116"/>
      <c r="CE641" s="116"/>
      <c r="CF641" s="116"/>
      <c r="CG641" s="116"/>
      <c r="CH641" s="116"/>
      <c r="CI641" s="116"/>
      <c r="CJ641" s="116"/>
      <c r="CK641" s="116"/>
      <c r="CL641" s="116"/>
      <c r="CM641" s="116"/>
      <c r="CN641" s="116"/>
      <c r="CO641" s="116"/>
      <c r="CP641" s="116"/>
      <c r="CQ641" s="116"/>
      <c r="CR641" s="116"/>
      <c r="CS641" s="116"/>
      <c r="CT641" s="116"/>
      <c r="CU641" s="116"/>
      <c r="CV641" s="116"/>
      <c r="CW641" s="116"/>
      <c r="CX641" s="116"/>
      <c r="CY641" s="116"/>
      <c r="CZ641" s="116"/>
      <c r="DA641" s="116"/>
      <c r="DB641" s="116"/>
      <c r="DC641" s="116"/>
      <c r="DD641" s="116"/>
      <c r="DE641" s="116"/>
      <c r="DF641" s="116"/>
      <c r="DG641" s="116"/>
      <c r="DH641" s="116"/>
      <c r="DI641" s="116"/>
      <c r="DJ641" s="116"/>
      <c r="DK641" s="116"/>
      <c r="DL641" s="116"/>
      <c r="DM641" s="116"/>
      <c r="DN641" s="116"/>
      <c r="DO641" s="116"/>
      <c r="DP641" s="116"/>
      <c r="DQ641" s="116"/>
      <c r="DR641" s="116"/>
      <c r="DS641" s="116"/>
      <c r="DT641" s="116"/>
      <c r="DU641" s="116"/>
      <c r="DV641" s="116"/>
      <c r="DW641" s="116"/>
      <c r="DX641" s="116"/>
      <c r="DY641" s="116"/>
      <c r="DZ641" s="116"/>
      <c r="EA641" s="116"/>
      <c r="EB641" s="116"/>
    </row>
    <row r="642" spans="36:132" ht="12.75" hidden="1" customHeight="1">
      <c r="AJ642" s="116"/>
      <c r="AK642" s="116"/>
      <c r="AL642" s="116"/>
      <c r="AM642" s="116"/>
      <c r="AN642" s="116"/>
      <c r="AO642" s="116"/>
      <c r="AP642" s="116"/>
      <c r="AS642" s="116"/>
      <c r="AT642" s="116"/>
      <c r="BQ642" s="116"/>
      <c r="BR642" s="116"/>
      <c r="BS642" s="116"/>
      <c r="BT642" s="116"/>
      <c r="BU642" s="116"/>
      <c r="BV642" s="116"/>
      <c r="BW642" s="116"/>
      <c r="BX642" s="116"/>
      <c r="BY642" s="116"/>
      <c r="BZ642" s="116"/>
      <c r="CA642" s="116"/>
      <c r="CB642" s="116"/>
      <c r="CC642" s="116"/>
      <c r="CD642" s="116"/>
      <c r="CE642" s="116"/>
      <c r="CF642" s="116"/>
      <c r="CG642" s="116"/>
      <c r="CH642" s="116"/>
      <c r="CI642" s="116"/>
      <c r="CJ642" s="116"/>
      <c r="CK642" s="116"/>
      <c r="CL642" s="116"/>
      <c r="CM642" s="116"/>
      <c r="CN642" s="116"/>
      <c r="CO642" s="116"/>
      <c r="CP642" s="116"/>
      <c r="CQ642" s="116"/>
      <c r="CR642" s="116"/>
      <c r="CS642" s="116"/>
      <c r="CT642" s="116"/>
      <c r="CU642" s="116"/>
      <c r="CV642" s="116"/>
      <c r="CW642" s="116"/>
      <c r="CX642" s="116"/>
      <c r="CY642" s="116"/>
      <c r="CZ642" s="116"/>
      <c r="DA642" s="116"/>
      <c r="DB642" s="116"/>
      <c r="DC642" s="116"/>
      <c r="DD642" s="116"/>
      <c r="DE642" s="116"/>
      <c r="DF642" s="116"/>
      <c r="DG642" s="116"/>
      <c r="DH642" s="116"/>
      <c r="DI642" s="116"/>
      <c r="DJ642" s="116"/>
      <c r="DK642" s="116"/>
      <c r="DL642" s="116"/>
      <c r="DM642" s="116"/>
      <c r="DN642" s="116"/>
      <c r="DO642" s="116"/>
      <c r="DP642" s="116"/>
      <c r="DQ642" s="116"/>
      <c r="DR642" s="116"/>
      <c r="DS642" s="116"/>
      <c r="DT642" s="116"/>
      <c r="DU642" s="116"/>
      <c r="DV642" s="116"/>
      <c r="DW642" s="116"/>
      <c r="DX642" s="116"/>
      <c r="DY642" s="116"/>
      <c r="DZ642" s="116"/>
      <c r="EA642" s="116"/>
      <c r="EB642" s="116"/>
    </row>
    <row r="643" spans="36:132" ht="12.75" hidden="1" customHeight="1">
      <c r="AJ643" s="116"/>
      <c r="AK643" s="116"/>
      <c r="AL643" s="116"/>
      <c r="AM643" s="116"/>
      <c r="AN643" s="116"/>
      <c r="AO643" s="116"/>
      <c r="AP643" s="116"/>
      <c r="AS643" s="116"/>
      <c r="AT643" s="116"/>
      <c r="BQ643" s="116"/>
      <c r="BR643" s="116"/>
      <c r="BS643" s="116"/>
      <c r="BT643" s="116"/>
      <c r="BU643" s="116"/>
      <c r="BV643" s="116"/>
      <c r="BW643" s="116"/>
      <c r="BX643" s="116"/>
      <c r="BY643" s="116"/>
      <c r="BZ643" s="116"/>
      <c r="CA643" s="116"/>
      <c r="CB643" s="116"/>
      <c r="CC643" s="116"/>
      <c r="CD643" s="116"/>
      <c r="CE643" s="116"/>
      <c r="CF643" s="116"/>
      <c r="CG643" s="116"/>
      <c r="CH643" s="116"/>
      <c r="CI643" s="116"/>
      <c r="CJ643" s="116"/>
      <c r="CK643" s="116"/>
      <c r="CL643" s="116"/>
      <c r="CM643" s="116"/>
      <c r="CN643" s="116"/>
      <c r="CO643" s="116"/>
      <c r="CP643" s="116"/>
      <c r="CQ643" s="116"/>
      <c r="CR643" s="116"/>
      <c r="CS643" s="116"/>
      <c r="CT643" s="116"/>
      <c r="CU643" s="116"/>
      <c r="CV643" s="116"/>
      <c r="CW643" s="116"/>
      <c r="CX643" s="116"/>
      <c r="CY643" s="116"/>
      <c r="CZ643" s="116"/>
      <c r="DA643" s="116"/>
      <c r="DB643" s="116"/>
      <c r="DC643" s="116"/>
      <c r="DD643" s="116"/>
      <c r="DE643" s="116"/>
      <c r="DF643" s="116"/>
      <c r="DG643" s="116"/>
      <c r="DH643" s="116"/>
      <c r="DI643" s="116"/>
      <c r="DJ643" s="116"/>
      <c r="DK643" s="116"/>
      <c r="DL643" s="116"/>
      <c r="DM643" s="116"/>
      <c r="DN643" s="116"/>
      <c r="DO643" s="116"/>
      <c r="DP643" s="116"/>
      <c r="DQ643" s="116"/>
      <c r="DR643" s="116"/>
      <c r="DS643" s="116"/>
      <c r="DT643" s="116"/>
      <c r="DU643" s="116"/>
      <c r="DV643" s="116"/>
      <c r="DW643" s="116"/>
      <c r="DX643" s="116"/>
      <c r="DY643" s="116"/>
      <c r="DZ643" s="116"/>
      <c r="EA643" s="116"/>
      <c r="EB643" s="116"/>
    </row>
    <row r="644" spans="36:132" ht="12.75" hidden="1" customHeight="1">
      <c r="AJ644" s="116"/>
      <c r="AK644" s="116"/>
      <c r="AL644" s="116"/>
      <c r="AM644" s="116"/>
      <c r="AN644" s="116"/>
      <c r="AO644" s="116"/>
      <c r="AP644" s="116"/>
      <c r="AS644" s="116"/>
      <c r="AT644" s="116"/>
      <c r="BQ644" s="116"/>
      <c r="BR644" s="116"/>
      <c r="BS644" s="116"/>
      <c r="BT644" s="116"/>
      <c r="BU644" s="116"/>
      <c r="BV644" s="116"/>
      <c r="BW644" s="116"/>
      <c r="BX644" s="116"/>
      <c r="BY644" s="116"/>
      <c r="BZ644" s="116"/>
      <c r="CA644" s="116"/>
      <c r="CB644" s="116"/>
      <c r="CC644" s="116"/>
      <c r="CD644" s="116"/>
      <c r="CE644" s="116"/>
      <c r="CF644" s="116"/>
      <c r="CG644" s="116"/>
      <c r="CH644" s="116"/>
      <c r="CI644" s="116"/>
      <c r="CJ644" s="116"/>
      <c r="CK644" s="116"/>
      <c r="CL644" s="116"/>
      <c r="CM644" s="116"/>
      <c r="CN644" s="116"/>
      <c r="CO644" s="116"/>
      <c r="CP644" s="116"/>
      <c r="CQ644" s="116"/>
      <c r="CR644" s="116"/>
      <c r="CS644" s="116"/>
      <c r="CT644" s="116"/>
      <c r="CU644" s="116"/>
      <c r="CV644" s="116"/>
      <c r="CW644" s="116"/>
      <c r="CX644" s="116"/>
      <c r="CY644" s="116"/>
      <c r="CZ644" s="116"/>
      <c r="DA644" s="116"/>
      <c r="DB644" s="116"/>
      <c r="DC644" s="116"/>
      <c r="DD644" s="116"/>
      <c r="DE644" s="116"/>
      <c r="DF644" s="116"/>
      <c r="DG644" s="116"/>
      <c r="DH644" s="116"/>
      <c r="DI644" s="116"/>
      <c r="DJ644" s="116"/>
      <c r="DK644" s="116"/>
      <c r="DL644" s="116"/>
      <c r="DM644" s="116"/>
      <c r="DN644" s="116"/>
      <c r="DO644" s="116"/>
      <c r="DP644" s="116"/>
      <c r="DQ644" s="116"/>
      <c r="DR644" s="116"/>
      <c r="DS644" s="116"/>
      <c r="DT644" s="116"/>
      <c r="DU644" s="116"/>
      <c r="DV644" s="116"/>
      <c r="DW644" s="116"/>
      <c r="DX644" s="116"/>
      <c r="DY644" s="116"/>
      <c r="DZ644" s="116"/>
      <c r="EA644" s="116"/>
      <c r="EB644" s="116"/>
    </row>
    <row r="645" spans="36:132" ht="12.75" hidden="1" customHeight="1">
      <c r="AJ645" s="116"/>
      <c r="AK645" s="116"/>
      <c r="AL645" s="116"/>
      <c r="AM645" s="116"/>
      <c r="AN645" s="116"/>
      <c r="AO645" s="116"/>
      <c r="AP645" s="116"/>
      <c r="AS645" s="116"/>
      <c r="AT645" s="116"/>
      <c r="BQ645" s="116"/>
      <c r="BR645" s="116"/>
      <c r="BS645" s="116"/>
      <c r="BT645" s="116"/>
      <c r="BU645" s="116"/>
      <c r="BV645" s="116"/>
      <c r="BW645" s="116"/>
      <c r="BX645" s="116"/>
      <c r="BY645" s="116"/>
      <c r="BZ645" s="116"/>
      <c r="CA645" s="116"/>
      <c r="CB645" s="116"/>
      <c r="CC645" s="116"/>
      <c r="CD645" s="116"/>
      <c r="CE645" s="116"/>
      <c r="CF645" s="116"/>
      <c r="CG645" s="116"/>
      <c r="CH645" s="116"/>
      <c r="CI645" s="116"/>
      <c r="CJ645" s="116"/>
      <c r="CK645" s="116"/>
      <c r="CL645" s="116"/>
      <c r="CM645" s="116"/>
      <c r="CN645" s="116"/>
      <c r="CO645" s="116"/>
      <c r="CP645" s="116"/>
      <c r="CQ645" s="116"/>
      <c r="CR645" s="116"/>
      <c r="CS645" s="116"/>
      <c r="CT645" s="116"/>
      <c r="CU645" s="116"/>
      <c r="CV645" s="116"/>
      <c r="CW645" s="116"/>
      <c r="CX645" s="116"/>
      <c r="CY645" s="116"/>
      <c r="CZ645" s="116"/>
      <c r="DA645" s="116"/>
      <c r="DB645" s="116"/>
      <c r="DC645" s="116"/>
      <c r="DD645" s="116"/>
      <c r="DE645" s="116"/>
      <c r="DF645" s="116"/>
      <c r="DG645" s="116"/>
      <c r="DH645" s="116"/>
      <c r="DI645" s="116"/>
      <c r="DJ645" s="116"/>
      <c r="DK645" s="116"/>
      <c r="DL645" s="116"/>
      <c r="DM645" s="116"/>
      <c r="DN645" s="116"/>
      <c r="DO645" s="116"/>
      <c r="DP645" s="116"/>
      <c r="DQ645" s="116"/>
      <c r="DR645" s="116"/>
      <c r="DS645" s="116"/>
      <c r="DT645" s="116"/>
      <c r="DU645" s="116"/>
      <c r="DV645" s="116"/>
      <c r="DW645" s="116"/>
      <c r="DX645" s="116"/>
      <c r="DY645" s="116"/>
      <c r="DZ645" s="116"/>
      <c r="EA645" s="116"/>
      <c r="EB645" s="116"/>
    </row>
    <row r="646" spans="36:132" ht="12.75" hidden="1" customHeight="1">
      <c r="AJ646" s="116"/>
      <c r="AK646" s="116"/>
      <c r="AL646" s="116"/>
      <c r="AM646" s="116"/>
      <c r="AN646" s="116"/>
      <c r="AO646" s="116"/>
      <c r="AP646" s="116"/>
      <c r="AS646" s="116"/>
      <c r="AT646" s="116"/>
      <c r="BQ646" s="116"/>
      <c r="BR646" s="116"/>
      <c r="BS646" s="116"/>
      <c r="BT646" s="116"/>
      <c r="BU646" s="116"/>
      <c r="BV646" s="116"/>
      <c r="BW646" s="116"/>
      <c r="BX646" s="116"/>
      <c r="BY646" s="116"/>
      <c r="BZ646" s="116"/>
      <c r="CA646" s="116"/>
      <c r="CB646" s="116"/>
      <c r="CC646" s="116"/>
      <c r="CD646" s="116"/>
      <c r="CE646" s="116"/>
      <c r="CF646" s="116"/>
      <c r="CG646" s="116"/>
      <c r="CH646" s="116"/>
      <c r="CI646" s="116"/>
      <c r="CJ646" s="116"/>
      <c r="CK646" s="116"/>
      <c r="CL646" s="116"/>
      <c r="CM646" s="116"/>
      <c r="CN646" s="116"/>
      <c r="CO646" s="116"/>
      <c r="CP646" s="116"/>
      <c r="CQ646" s="116"/>
      <c r="CR646" s="116"/>
      <c r="CS646" s="116"/>
      <c r="CT646" s="116"/>
      <c r="CU646" s="116"/>
      <c r="CV646" s="116"/>
      <c r="CW646" s="116"/>
      <c r="CX646" s="116"/>
      <c r="CY646" s="116"/>
      <c r="CZ646" s="116"/>
      <c r="DA646" s="116"/>
      <c r="DB646" s="116"/>
      <c r="DC646" s="116"/>
      <c r="DD646" s="116"/>
      <c r="DE646" s="116"/>
      <c r="DF646" s="116"/>
      <c r="DG646" s="116"/>
      <c r="DH646" s="116"/>
      <c r="DI646" s="116"/>
      <c r="DJ646" s="116"/>
      <c r="DK646" s="116"/>
      <c r="DL646" s="116"/>
      <c r="DM646" s="116"/>
      <c r="DN646" s="116"/>
      <c r="DO646" s="116"/>
      <c r="DP646" s="116"/>
      <c r="DQ646" s="116"/>
      <c r="DR646" s="116"/>
      <c r="DS646" s="116"/>
      <c r="DT646" s="116"/>
      <c r="DU646" s="116"/>
      <c r="DV646" s="116"/>
      <c r="DW646" s="116"/>
      <c r="DX646" s="116"/>
      <c r="DY646" s="116"/>
      <c r="DZ646" s="116"/>
      <c r="EA646" s="116"/>
      <c r="EB646" s="116"/>
    </row>
    <row r="647" spans="36:132" ht="12.75" hidden="1" customHeight="1">
      <c r="AJ647" s="116"/>
      <c r="AK647" s="116"/>
      <c r="AL647" s="116"/>
      <c r="AM647" s="116"/>
      <c r="AN647" s="116"/>
      <c r="AO647" s="116"/>
      <c r="AP647" s="116"/>
      <c r="AS647" s="116"/>
      <c r="AT647" s="116"/>
      <c r="BQ647" s="116"/>
      <c r="BR647" s="116"/>
      <c r="BS647" s="116"/>
      <c r="BT647" s="116"/>
      <c r="BU647" s="116"/>
      <c r="BV647" s="116"/>
      <c r="BW647" s="116"/>
      <c r="BX647" s="116"/>
      <c r="BY647" s="116"/>
      <c r="BZ647" s="116"/>
      <c r="CA647" s="116"/>
      <c r="CB647" s="116"/>
      <c r="CC647" s="116"/>
      <c r="CD647" s="116"/>
      <c r="CE647" s="116"/>
      <c r="CF647" s="116"/>
      <c r="CG647" s="116"/>
      <c r="CH647" s="116"/>
      <c r="CI647" s="116"/>
      <c r="CJ647" s="116"/>
      <c r="CK647" s="116"/>
      <c r="CL647" s="116"/>
      <c r="CM647" s="116"/>
      <c r="CN647" s="116"/>
      <c r="CO647" s="116"/>
      <c r="CP647" s="116"/>
      <c r="CQ647" s="116"/>
      <c r="CR647" s="116"/>
      <c r="CS647" s="116"/>
      <c r="CT647" s="116"/>
      <c r="CU647" s="116"/>
      <c r="CV647" s="116"/>
      <c r="CW647" s="116"/>
      <c r="CX647" s="116"/>
      <c r="CY647" s="116"/>
      <c r="CZ647" s="116"/>
      <c r="DA647" s="116"/>
      <c r="DB647" s="116"/>
      <c r="DC647" s="116"/>
      <c r="DD647" s="116"/>
      <c r="DE647" s="116"/>
      <c r="DF647" s="116"/>
      <c r="DG647" s="116"/>
      <c r="DH647" s="116"/>
      <c r="DI647" s="116"/>
      <c r="DJ647" s="116"/>
      <c r="DK647" s="116"/>
      <c r="DL647" s="116"/>
      <c r="DM647" s="116"/>
      <c r="DN647" s="116"/>
      <c r="DO647" s="116"/>
      <c r="DP647" s="116"/>
      <c r="DQ647" s="116"/>
      <c r="DR647" s="116"/>
      <c r="DS647" s="116"/>
      <c r="DT647" s="116"/>
      <c r="DU647" s="116"/>
      <c r="DV647" s="116"/>
      <c r="DW647" s="116"/>
      <c r="DX647" s="116"/>
      <c r="DY647" s="116"/>
      <c r="DZ647" s="116"/>
      <c r="EA647" s="116"/>
      <c r="EB647" s="116"/>
    </row>
    <row r="648" spans="36:132" ht="12.75" hidden="1" customHeight="1">
      <c r="AJ648" s="116"/>
      <c r="AK648" s="116"/>
      <c r="AL648" s="116"/>
      <c r="AM648" s="116"/>
      <c r="AN648" s="116"/>
      <c r="AO648" s="116"/>
      <c r="AP648" s="116"/>
      <c r="AS648" s="116"/>
      <c r="AT648" s="116"/>
      <c r="BQ648" s="116"/>
      <c r="BR648" s="116"/>
      <c r="BS648" s="116"/>
      <c r="BT648" s="116"/>
      <c r="BU648" s="116"/>
      <c r="BV648" s="116"/>
      <c r="BW648" s="116"/>
      <c r="BX648" s="116"/>
      <c r="BY648" s="116"/>
      <c r="BZ648" s="116"/>
      <c r="CA648" s="116"/>
      <c r="CB648" s="116"/>
      <c r="CC648" s="116"/>
      <c r="CD648" s="116"/>
      <c r="CE648" s="116"/>
      <c r="CF648" s="116"/>
      <c r="CG648" s="116"/>
      <c r="CH648" s="116"/>
      <c r="CI648" s="116"/>
      <c r="CJ648" s="116"/>
      <c r="CK648" s="116"/>
      <c r="CL648" s="116"/>
      <c r="CM648" s="116"/>
      <c r="CN648" s="116"/>
      <c r="CO648" s="116"/>
      <c r="CP648" s="116"/>
      <c r="CQ648" s="116"/>
      <c r="CR648" s="116"/>
      <c r="CS648" s="116"/>
      <c r="CT648" s="116"/>
      <c r="CU648" s="116"/>
      <c r="CV648" s="116"/>
      <c r="CW648" s="116"/>
      <c r="CX648" s="116"/>
      <c r="CY648" s="116"/>
      <c r="CZ648" s="116"/>
      <c r="DA648" s="116"/>
      <c r="DB648" s="116"/>
      <c r="DC648" s="116"/>
      <c r="DD648" s="116"/>
      <c r="DE648" s="116"/>
      <c r="DF648" s="116"/>
      <c r="DG648" s="116"/>
      <c r="DH648" s="116"/>
      <c r="DI648" s="116"/>
      <c r="DJ648" s="116"/>
      <c r="DK648" s="116"/>
      <c r="DL648" s="116"/>
      <c r="DM648" s="116"/>
      <c r="DN648" s="116"/>
      <c r="DO648" s="116"/>
      <c r="DP648" s="116"/>
      <c r="DQ648" s="116"/>
      <c r="DR648" s="116"/>
      <c r="DS648" s="116"/>
      <c r="DT648" s="116"/>
      <c r="DU648" s="116"/>
      <c r="DV648" s="116"/>
      <c r="DW648" s="116"/>
      <c r="DX648" s="116"/>
      <c r="DY648" s="116"/>
      <c r="DZ648" s="116"/>
      <c r="EA648" s="116"/>
      <c r="EB648" s="116"/>
    </row>
    <row r="649" spans="36:132" ht="12.75" hidden="1" customHeight="1">
      <c r="AJ649" s="116"/>
      <c r="AK649" s="116"/>
      <c r="AL649" s="116"/>
      <c r="AM649" s="116"/>
      <c r="AN649" s="116"/>
      <c r="AO649" s="116"/>
      <c r="AP649" s="116"/>
      <c r="AS649" s="116"/>
      <c r="AT649" s="116"/>
      <c r="BQ649" s="116"/>
      <c r="BR649" s="116"/>
      <c r="BS649" s="116"/>
      <c r="BT649" s="116"/>
      <c r="BU649" s="116"/>
      <c r="BV649" s="116"/>
      <c r="BW649" s="116"/>
      <c r="BX649" s="116"/>
      <c r="BY649" s="116"/>
      <c r="BZ649" s="116"/>
      <c r="CA649" s="116"/>
      <c r="CB649" s="116"/>
      <c r="CC649" s="116"/>
      <c r="CD649" s="116"/>
      <c r="CE649" s="116"/>
      <c r="CF649" s="116"/>
      <c r="CG649" s="116"/>
      <c r="CH649" s="116"/>
      <c r="CI649" s="116"/>
      <c r="CJ649" s="116"/>
      <c r="CK649" s="116"/>
      <c r="CL649" s="116"/>
      <c r="CM649" s="116"/>
      <c r="CN649" s="116"/>
      <c r="CO649" s="116"/>
      <c r="CP649" s="116"/>
      <c r="CQ649" s="116"/>
      <c r="CR649" s="116"/>
      <c r="CS649" s="116"/>
      <c r="CT649" s="116"/>
      <c r="CU649" s="116"/>
      <c r="CV649" s="116"/>
      <c r="CW649" s="116"/>
      <c r="CX649" s="116"/>
      <c r="CY649" s="116"/>
      <c r="CZ649" s="116"/>
      <c r="DA649" s="116"/>
      <c r="DB649" s="116"/>
      <c r="DC649" s="116"/>
      <c r="DD649" s="116"/>
      <c r="DE649" s="116"/>
      <c r="DF649" s="116"/>
      <c r="DG649" s="116"/>
      <c r="DH649" s="116"/>
      <c r="DI649" s="116"/>
      <c r="DJ649" s="116"/>
      <c r="DK649" s="116"/>
      <c r="DL649" s="116"/>
      <c r="DM649" s="116"/>
      <c r="DN649" s="116"/>
      <c r="DO649" s="116"/>
      <c r="DP649" s="116"/>
      <c r="DQ649" s="116"/>
      <c r="DR649" s="116"/>
      <c r="DS649" s="116"/>
      <c r="DT649" s="116"/>
      <c r="DU649" s="116"/>
      <c r="DV649" s="116"/>
      <c r="DW649" s="116"/>
      <c r="DX649" s="116"/>
      <c r="DY649" s="116"/>
      <c r="DZ649" s="116"/>
      <c r="EA649" s="116"/>
      <c r="EB649" s="116"/>
    </row>
    <row r="650" spans="36:132" ht="12.75" hidden="1" customHeight="1">
      <c r="AJ650" s="116"/>
      <c r="AK650" s="116"/>
      <c r="AL650" s="116"/>
      <c r="AM650" s="116"/>
      <c r="AN650" s="116"/>
      <c r="AO650" s="116"/>
      <c r="AP650" s="116"/>
      <c r="AS650" s="116"/>
      <c r="AT650" s="116"/>
      <c r="BQ650" s="116"/>
      <c r="BR650" s="116"/>
      <c r="BS650" s="116"/>
      <c r="BT650" s="116"/>
      <c r="BU650" s="116"/>
      <c r="BV650" s="116"/>
      <c r="BW650" s="116"/>
      <c r="BX650" s="116"/>
      <c r="BY650" s="116"/>
      <c r="BZ650" s="116"/>
      <c r="CA650" s="116"/>
      <c r="CB650" s="116"/>
      <c r="CC650" s="116"/>
      <c r="CD650" s="116"/>
      <c r="CE650" s="116"/>
      <c r="CF650" s="116"/>
      <c r="CG650" s="116"/>
      <c r="CH650" s="116"/>
      <c r="CI650" s="116"/>
      <c r="CJ650" s="116"/>
      <c r="CK650" s="116"/>
      <c r="CL650" s="116"/>
      <c r="CM650" s="116"/>
      <c r="CN650" s="116"/>
      <c r="CO650" s="116"/>
      <c r="CP650" s="116"/>
      <c r="CQ650" s="116"/>
      <c r="CR650" s="116"/>
      <c r="CS650" s="116"/>
      <c r="CT650" s="116"/>
      <c r="CU650" s="116"/>
      <c r="CV650" s="116"/>
      <c r="CW650" s="116"/>
      <c r="CX650" s="116"/>
      <c r="CY650" s="116"/>
      <c r="CZ650" s="116"/>
      <c r="DA650" s="116"/>
      <c r="DB650" s="116"/>
      <c r="DC650" s="116"/>
      <c r="DD650" s="116"/>
      <c r="DE650" s="116"/>
      <c r="DF650" s="116"/>
      <c r="DG650" s="116"/>
      <c r="DH650" s="116"/>
      <c r="DI650" s="116"/>
      <c r="DJ650" s="116"/>
      <c r="DK650" s="116"/>
      <c r="DL650" s="116"/>
      <c r="DM650" s="116"/>
      <c r="DN650" s="116"/>
      <c r="DO650" s="116"/>
      <c r="DP650" s="116"/>
      <c r="DQ650" s="116"/>
      <c r="DR650" s="116"/>
      <c r="DS650" s="116"/>
      <c r="DT650" s="116"/>
      <c r="DU650" s="116"/>
      <c r="DV650" s="116"/>
      <c r="DW650" s="116"/>
      <c r="DX650" s="116"/>
      <c r="DY650" s="116"/>
      <c r="DZ650" s="116"/>
      <c r="EA650" s="116"/>
      <c r="EB650" s="116"/>
    </row>
    <row r="651" spans="36:132" ht="12.75" hidden="1" customHeight="1">
      <c r="AJ651" s="116"/>
      <c r="AK651" s="116"/>
      <c r="AL651" s="116"/>
      <c r="AM651" s="116"/>
      <c r="AN651" s="116"/>
      <c r="AO651" s="116"/>
      <c r="AP651" s="116"/>
      <c r="AS651" s="116"/>
      <c r="AT651" s="116"/>
      <c r="BQ651" s="116"/>
      <c r="BR651" s="116"/>
      <c r="BS651" s="116"/>
      <c r="BT651" s="116"/>
      <c r="BU651" s="116"/>
      <c r="BV651" s="116"/>
      <c r="BW651" s="116"/>
      <c r="BX651" s="116"/>
      <c r="BY651" s="116"/>
      <c r="BZ651" s="116"/>
      <c r="CA651" s="116"/>
      <c r="CB651" s="116"/>
      <c r="CC651" s="116"/>
      <c r="CD651" s="116"/>
      <c r="CE651" s="116"/>
      <c r="CF651" s="116"/>
      <c r="CG651" s="116"/>
      <c r="CH651" s="116"/>
      <c r="CI651" s="116"/>
      <c r="CJ651" s="116"/>
      <c r="CK651" s="116"/>
      <c r="CL651" s="116"/>
      <c r="CM651" s="116"/>
      <c r="CN651" s="116"/>
      <c r="CO651" s="116"/>
      <c r="CP651" s="116"/>
      <c r="CQ651" s="116"/>
      <c r="CR651" s="116"/>
      <c r="CS651" s="116"/>
      <c r="CT651" s="116"/>
      <c r="CU651" s="116"/>
      <c r="CV651" s="116"/>
      <c r="CW651" s="116"/>
      <c r="CX651" s="116"/>
      <c r="CY651" s="116"/>
      <c r="CZ651" s="116"/>
      <c r="DA651" s="116"/>
      <c r="DB651" s="116"/>
      <c r="DC651" s="116"/>
      <c r="DD651" s="116"/>
      <c r="DE651" s="116"/>
      <c r="DF651" s="116"/>
      <c r="DG651" s="116"/>
      <c r="DH651" s="116"/>
      <c r="DI651" s="116"/>
      <c r="DJ651" s="116"/>
      <c r="DK651" s="116"/>
      <c r="DL651" s="116"/>
      <c r="DM651" s="116"/>
      <c r="DN651" s="116"/>
      <c r="DO651" s="116"/>
      <c r="DP651" s="116"/>
      <c r="DQ651" s="116"/>
      <c r="DR651" s="116"/>
      <c r="DS651" s="116"/>
      <c r="DT651" s="116"/>
      <c r="DU651" s="116"/>
      <c r="DV651" s="116"/>
      <c r="DW651" s="116"/>
      <c r="DX651" s="116"/>
      <c r="DY651" s="116"/>
      <c r="DZ651" s="116"/>
      <c r="EA651" s="116"/>
      <c r="EB651" s="116"/>
    </row>
    <row r="652" spans="36:132" ht="12.75" hidden="1" customHeight="1">
      <c r="AJ652" s="116"/>
      <c r="AK652" s="116"/>
      <c r="AL652" s="116"/>
      <c r="AM652" s="116"/>
      <c r="AN652" s="116"/>
      <c r="AO652" s="116"/>
      <c r="AP652" s="116"/>
      <c r="AS652" s="116"/>
      <c r="AT652" s="116"/>
      <c r="BQ652" s="116"/>
      <c r="BR652" s="116"/>
      <c r="BS652" s="116"/>
      <c r="BT652" s="116"/>
      <c r="BU652" s="116"/>
      <c r="BV652" s="116"/>
      <c r="BW652" s="116"/>
      <c r="BX652" s="116"/>
      <c r="BY652" s="116"/>
      <c r="BZ652" s="116"/>
      <c r="CA652" s="116"/>
      <c r="CB652" s="116"/>
      <c r="CC652" s="116"/>
      <c r="CD652" s="116"/>
      <c r="CE652" s="116"/>
      <c r="CF652" s="116"/>
      <c r="CG652" s="116"/>
      <c r="CH652" s="116"/>
      <c r="CI652" s="116"/>
      <c r="CJ652" s="116"/>
      <c r="CK652" s="116"/>
      <c r="CL652" s="116"/>
      <c r="CM652" s="116"/>
      <c r="CN652" s="116"/>
      <c r="CO652" s="116"/>
      <c r="CP652" s="116"/>
      <c r="CQ652" s="116"/>
      <c r="CR652" s="116"/>
      <c r="CS652" s="116"/>
      <c r="CT652" s="116"/>
      <c r="CU652" s="116"/>
      <c r="CV652" s="116"/>
      <c r="CW652" s="116"/>
      <c r="CX652" s="116"/>
      <c r="CY652" s="116"/>
      <c r="CZ652" s="116"/>
      <c r="DA652" s="116"/>
      <c r="DB652" s="116"/>
      <c r="DC652" s="116"/>
      <c r="DD652" s="116"/>
      <c r="DE652" s="116"/>
      <c r="DF652" s="116"/>
      <c r="DG652" s="116"/>
      <c r="DH652" s="116"/>
      <c r="DI652" s="116"/>
      <c r="DJ652" s="116"/>
      <c r="DK652" s="116"/>
      <c r="DL652" s="116"/>
      <c r="DM652" s="116"/>
      <c r="DN652" s="116"/>
      <c r="DO652" s="116"/>
      <c r="DP652" s="116"/>
      <c r="DQ652" s="116"/>
      <c r="DR652" s="116"/>
      <c r="DS652" s="116"/>
      <c r="DT652" s="116"/>
      <c r="DU652" s="116"/>
      <c r="DV652" s="116"/>
      <c r="DW652" s="116"/>
      <c r="DX652" s="116"/>
      <c r="DY652" s="116"/>
      <c r="DZ652" s="116"/>
      <c r="EA652" s="116"/>
      <c r="EB652" s="116"/>
    </row>
    <row r="653" spans="36:132" ht="12.75" hidden="1" customHeight="1">
      <c r="AJ653" s="116"/>
      <c r="AK653" s="116"/>
      <c r="AL653" s="116"/>
      <c r="AM653" s="116"/>
      <c r="AN653" s="116"/>
      <c r="AO653" s="116"/>
      <c r="AP653" s="116"/>
      <c r="AS653" s="116"/>
      <c r="AT653" s="116"/>
      <c r="BQ653" s="116"/>
      <c r="BR653" s="116"/>
      <c r="BS653" s="116"/>
      <c r="BT653" s="116"/>
      <c r="BU653" s="116"/>
      <c r="BV653" s="116"/>
      <c r="BW653" s="116"/>
      <c r="BX653" s="116"/>
      <c r="BY653" s="116"/>
      <c r="BZ653" s="116"/>
      <c r="CA653" s="116"/>
      <c r="CB653" s="116"/>
      <c r="CC653" s="116"/>
      <c r="CD653" s="116"/>
      <c r="CE653" s="116"/>
      <c r="CF653" s="116"/>
      <c r="CG653" s="116"/>
      <c r="CH653" s="116"/>
      <c r="CI653" s="116"/>
      <c r="CJ653" s="116"/>
      <c r="CK653" s="116"/>
      <c r="CL653" s="116"/>
      <c r="CM653" s="116"/>
      <c r="CN653" s="116"/>
      <c r="CO653" s="116"/>
      <c r="CP653" s="116"/>
      <c r="CQ653" s="116"/>
      <c r="CR653" s="116"/>
      <c r="CS653" s="116"/>
      <c r="CT653" s="116"/>
      <c r="CU653" s="116"/>
      <c r="CV653" s="116"/>
      <c r="CW653" s="116"/>
      <c r="CX653" s="116"/>
      <c r="CY653" s="116"/>
      <c r="CZ653" s="116"/>
      <c r="DA653" s="116"/>
      <c r="DB653" s="116"/>
      <c r="DC653" s="116"/>
      <c r="DD653" s="116"/>
      <c r="DE653" s="116"/>
      <c r="DF653" s="116"/>
      <c r="DG653" s="116"/>
      <c r="DH653" s="116"/>
      <c r="DI653" s="116"/>
      <c r="DJ653" s="116"/>
      <c r="DK653" s="116"/>
      <c r="DL653" s="116"/>
      <c r="DM653" s="116"/>
      <c r="DN653" s="116"/>
      <c r="DO653" s="116"/>
      <c r="DP653" s="116"/>
      <c r="DQ653" s="116"/>
      <c r="DR653" s="116"/>
      <c r="DS653" s="116"/>
      <c r="DT653" s="116"/>
      <c r="DU653" s="116"/>
      <c r="DV653" s="116"/>
      <c r="DW653" s="116"/>
      <c r="DX653" s="116"/>
      <c r="DY653" s="116"/>
      <c r="DZ653" s="116"/>
      <c r="EA653" s="116"/>
      <c r="EB653" s="116"/>
    </row>
    <row r="654" spans="36:132" ht="12.75" hidden="1" customHeight="1">
      <c r="AJ654" s="116"/>
      <c r="AK654" s="116"/>
      <c r="AL654" s="116"/>
      <c r="AM654" s="116"/>
      <c r="AN654" s="116"/>
      <c r="AO654" s="116"/>
      <c r="AP654" s="116"/>
      <c r="AS654" s="116"/>
      <c r="AT654" s="116"/>
      <c r="BQ654" s="116"/>
      <c r="BR654" s="116"/>
      <c r="BS654" s="116"/>
      <c r="BT654" s="116"/>
      <c r="BU654" s="116"/>
      <c r="BV654" s="116"/>
      <c r="BW654" s="116"/>
      <c r="BX654" s="116"/>
      <c r="BY654" s="116"/>
      <c r="BZ654" s="116"/>
      <c r="CA654" s="116"/>
      <c r="CB654" s="116"/>
      <c r="CC654" s="116"/>
      <c r="CD654" s="116"/>
      <c r="CE654" s="116"/>
      <c r="CF654" s="116"/>
      <c r="CG654" s="116"/>
      <c r="CH654" s="116"/>
      <c r="CI654" s="116"/>
      <c r="CJ654" s="116"/>
      <c r="CK654" s="116"/>
      <c r="CL654" s="116"/>
      <c r="CM654" s="116"/>
      <c r="CN654" s="116"/>
      <c r="CO654" s="116"/>
      <c r="CP654" s="116"/>
      <c r="CQ654" s="116"/>
      <c r="CR654" s="116"/>
      <c r="CS654" s="116"/>
      <c r="CT654" s="116"/>
      <c r="CU654" s="116"/>
      <c r="CV654" s="116"/>
      <c r="CW654" s="116"/>
      <c r="CX654" s="116"/>
      <c r="CY654" s="116"/>
      <c r="CZ654" s="116"/>
      <c r="DA654" s="116"/>
      <c r="DB654" s="116"/>
      <c r="DC654" s="116"/>
      <c r="DD654" s="116"/>
      <c r="DE654" s="116"/>
      <c r="DF654" s="116"/>
      <c r="DG654" s="116"/>
      <c r="DH654" s="116"/>
      <c r="DI654" s="116"/>
      <c r="DJ654" s="116"/>
      <c r="DK654" s="116"/>
      <c r="DL654" s="116"/>
      <c r="DM654" s="116"/>
      <c r="DN654" s="116"/>
      <c r="DO654" s="116"/>
      <c r="DP654" s="116"/>
      <c r="DQ654" s="116"/>
      <c r="DR654" s="116"/>
      <c r="DS654" s="116"/>
      <c r="DT654" s="116"/>
      <c r="DU654" s="116"/>
      <c r="DV654" s="116"/>
      <c r="DW654" s="116"/>
      <c r="DX654" s="116"/>
      <c r="DY654" s="116"/>
      <c r="DZ654" s="116"/>
      <c r="EA654" s="116"/>
      <c r="EB654" s="116"/>
    </row>
    <row r="655" spans="36:132" ht="12.75" hidden="1" customHeight="1">
      <c r="AJ655" s="116"/>
      <c r="AK655" s="116"/>
      <c r="AL655" s="116"/>
      <c r="AM655" s="116"/>
      <c r="AN655" s="116"/>
      <c r="AO655" s="116"/>
      <c r="AP655" s="116"/>
      <c r="AS655" s="116"/>
      <c r="AT655" s="116"/>
      <c r="BQ655" s="116"/>
      <c r="BR655" s="116"/>
      <c r="BS655" s="116"/>
      <c r="BT655" s="116"/>
      <c r="BU655" s="116"/>
      <c r="BV655" s="116"/>
      <c r="BW655" s="116"/>
      <c r="BX655" s="116"/>
      <c r="BY655" s="116"/>
      <c r="BZ655" s="116"/>
      <c r="CA655" s="116"/>
      <c r="CB655" s="116"/>
      <c r="CC655" s="116"/>
      <c r="CD655" s="116"/>
      <c r="CE655" s="116"/>
      <c r="CF655" s="116"/>
      <c r="CG655" s="116"/>
      <c r="CH655" s="116"/>
      <c r="CI655" s="116"/>
      <c r="CJ655" s="116"/>
      <c r="CK655" s="116"/>
      <c r="CL655" s="116"/>
      <c r="CM655" s="116"/>
      <c r="CN655" s="116"/>
      <c r="CO655" s="116"/>
      <c r="CP655" s="116"/>
      <c r="CQ655" s="116"/>
      <c r="CR655" s="116"/>
      <c r="CS655" s="116"/>
      <c r="CT655" s="116"/>
      <c r="CU655" s="116"/>
      <c r="CV655" s="116"/>
      <c r="CW655" s="116"/>
      <c r="CX655" s="116"/>
      <c r="CY655" s="116"/>
      <c r="CZ655" s="116"/>
      <c r="DA655" s="116"/>
      <c r="DB655" s="116"/>
      <c r="DC655" s="116"/>
      <c r="DD655" s="116"/>
      <c r="DE655" s="116"/>
      <c r="DF655" s="116"/>
      <c r="DG655" s="116"/>
      <c r="DH655" s="116"/>
      <c r="DI655" s="116"/>
      <c r="DJ655" s="116"/>
      <c r="DK655" s="116"/>
      <c r="DL655" s="116"/>
      <c r="DM655" s="116"/>
      <c r="DN655" s="116"/>
      <c r="DO655" s="116"/>
      <c r="DP655" s="116"/>
      <c r="DQ655" s="116"/>
      <c r="DR655" s="116"/>
      <c r="DS655" s="116"/>
      <c r="DT655" s="116"/>
      <c r="DU655" s="116"/>
      <c r="DV655" s="116"/>
      <c r="DW655" s="116"/>
      <c r="DX655" s="116"/>
      <c r="DY655" s="116"/>
      <c r="DZ655" s="116"/>
      <c r="EA655" s="116"/>
      <c r="EB655" s="116"/>
    </row>
    <row r="656" spans="36:132" ht="12.75" hidden="1" customHeight="1">
      <c r="AJ656" s="116"/>
      <c r="AK656" s="116"/>
      <c r="AL656" s="116"/>
      <c r="AM656" s="116"/>
      <c r="AN656" s="116"/>
      <c r="AO656" s="116"/>
      <c r="AP656" s="116"/>
      <c r="AS656" s="116"/>
      <c r="AT656" s="116"/>
      <c r="BQ656" s="116"/>
      <c r="BR656" s="116"/>
      <c r="BS656" s="116"/>
      <c r="BT656" s="116"/>
      <c r="BU656" s="116"/>
      <c r="BV656" s="116"/>
      <c r="BW656" s="116"/>
      <c r="BX656" s="116"/>
      <c r="BY656" s="116"/>
      <c r="BZ656" s="116"/>
      <c r="CA656" s="116"/>
      <c r="CB656" s="116"/>
      <c r="CC656" s="116"/>
      <c r="CD656" s="116"/>
      <c r="CE656" s="116"/>
      <c r="CF656" s="116"/>
      <c r="CG656" s="116"/>
      <c r="CH656" s="116"/>
      <c r="CI656" s="116"/>
      <c r="CJ656" s="116"/>
      <c r="CK656" s="116"/>
      <c r="CL656" s="116"/>
      <c r="CM656" s="116"/>
      <c r="CN656" s="116"/>
      <c r="CO656" s="116"/>
      <c r="CP656" s="116"/>
      <c r="CQ656" s="116"/>
      <c r="CR656" s="116"/>
      <c r="CS656" s="116"/>
      <c r="CT656" s="116"/>
      <c r="CU656" s="116"/>
      <c r="CV656" s="116"/>
      <c r="CW656" s="116"/>
      <c r="CX656" s="116"/>
      <c r="CY656" s="116"/>
      <c r="CZ656" s="116"/>
      <c r="DA656" s="116"/>
      <c r="DB656" s="116"/>
      <c r="DC656" s="116"/>
      <c r="DD656" s="116"/>
      <c r="DE656" s="116"/>
      <c r="DF656" s="116"/>
      <c r="DG656" s="116"/>
      <c r="DH656" s="116"/>
      <c r="DI656" s="116"/>
      <c r="DJ656" s="116"/>
      <c r="DK656" s="116"/>
      <c r="DL656" s="116"/>
      <c r="DM656" s="116"/>
      <c r="DN656" s="116"/>
      <c r="DO656" s="116"/>
      <c r="DP656" s="116"/>
      <c r="DQ656" s="116"/>
      <c r="DR656" s="116"/>
      <c r="DS656" s="116"/>
      <c r="DT656" s="116"/>
      <c r="DU656" s="116"/>
      <c r="DV656" s="116"/>
      <c r="DW656" s="116"/>
      <c r="DX656" s="116"/>
      <c r="DY656" s="116"/>
      <c r="DZ656" s="116"/>
      <c r="EA656" s="116"/>
      <c r="EB656" s="116"/>
    </row>
    <row r="657" spans="36:132" ht="12.75" hidden="1" customHeight="1">
      <c r="AJ657" s="116"/>
      <c r="AK657" s="116"/>
      <c r="AL657" s="116"/>
      <c r="AM657" s="116"/>
      <c r="AN657" s="116"/>
      <c r="AO657" s="116"/>
      <c r="AP657" s="116"/>
      <c r="AS657" s="116"/>
      <c r="AT657" s="116"/>
      <c r="BQ657" s="116"/>
      <c r="BR657" s="116"/>
      <c r="BS657" s="116"/>
      <c r="BT657" s="116"/>
      <c r="BU657" s="116"/>
      <c r="BV657" s="116"/>
      <c r="BW657" s="116"/>
      <c r="BX657" s="116"/>
      <c r="BY657" s="116"/>
      <c r="BZ657" s="116"/>
      <c r="CA657" s="116"/>
      <c r="CB657" s="116"/>
      <c r="CC657" s="116"/>
      <c r="CD657" s="116"/>
      <c r="CE657" s="116"/>
      <c r="CF657" s="116"/>
      <c r="CG657" s="116"/>
      <c r="CH657" s="116"/>
      <c r="CI657" s="116"/>
      <c r="CJ657" s="116"/>
      <c r="CK657" s="116"/>
      <c r="CL657" s="116"/>
      <c r="CM657" s="116"/>
      <c r="CN657" s="116"/>
      <c r="CO657" s="116"/>
      <c r="CP657" s="116"/>
      <c r="CQ657" s="116"/>
      <c r="CR657" s="116"/>
      <c r="CS657" s="116"/>
      <c r="CT657" s="116"/>
      <c r="CU657" s="116"/>
      <c r="CV657" s="116"/>
      <c r="CW657" s="116"/>
      <c r="CX657" s="116"/>
      <c r="CY657" s="116"/>
      <c r="CZ657" s="116"/>
      <c r="DA657" s="116"/>
      <c r="DB657" s="116"/>
      <c r="DC657" s="116"/>
      <c r="DD657" s="116"/>
      <c r="DE657" s="116"/>
      <c r="DF657" s="116"/>
      <c r="DG657" s="116"/>
      <c r="DH657" s="116"/>
      <c r="DI657" s="116"/>
      <c r="DJ657" s="116"/>
      <c r="DK657" s="116"/>
      <c r="DL657" s="116"/>
      <c r="DM657" s="116"/>
      <c r="DN657" s="116"/>
      <c r="DO657" s="116"/>
      <c r="DP657" s="116"/>
      <c r="DQ657" s="116"/>
      <c r="DR657" s="116"/>
      <c r="DS657" s="116"/>
      <c r="DT657" s="116"/>
      <c r="DU657" s="116"/>
      <c r="DV657" s="116"/>
      <c r="DW657" s="116"/>
      <c r="DX657" s="116"/>
      <c r="DY657" s="116"/>
      <c r="DZ657" s="116"/>
      <c r="EA657" s="116"/>
      <c r="EB657" s="116"/>
    </row>
    <row r="658" spans="36:132" ht="12.75" hidden="1" customHeight="1">
      <c r="AJ658" s="116"/>
      <c r="AK658" s="116"/>
      <c r="AL658" s="116"/>
      <c r="AM658" s="116"/>
      <c r="AN658" s="116"/>
      <c r="AO658" s="116"/>
      <c r="AP658" s="116"/>
      <c r="AS658" s="116"/>
      <c r="AT658" s="116"/>
      <c r="BQ658" s="116"/>
      <c r="BR658" s="116"/>
      <c r="BS658" s="116"/>
      <c r="BT658" s="116"/>
      <c r="BU658" s="116"/>
      <c r="BV658" s="116"/>
      <c r="BW658" s="116"/>
      <c r="BX658" s="116"/>
      <c r="BY658" s="116"/>
      <c r="BZ658" s="116"/>
      <c r="CA658" s="116"/>
      <c r="CB658" s="116"/>
      <c r="CC658" s="116"/>
      <c r="CD658" s="116"/>
      <c r="CE658" s="116"/>
      <c r="CF658" s="116"/>
      <c r="CG658" s="116"/>
      <c r="CH658" s="116"/>
      <c r="CI658" s="116"/>
      <c r="CJ658" s="116"/>
      <c r="CK658" s="116"/>
      <c r="CL658" s="116"/>
      <c r="CM658" s="116"/>
      <c r="CN658" s="116"/>
      <c r="CO658" s="116"/>
      <c r="CP658" s="116"/>
      <c r="CQ658" s="116"/>
      <c r="CR658" s="116"/>
      <c r="CS658" s="116"/>
      <c r="CT658" s="116"/>
      <c r="CU658" s="116"/>
      <c r="CV658" s="116"/>
      <c r="CW658" s="116"/>
      <c r="CX658" s="116"/>
      <c r="CY658" s="116"/>
      <c r="CZ658" s="116"/>
      <c r="DA658" s="116"/>
      <c r="DB658" s="116"/>
      <c r="DC658" s="116"/>
      <c r="DD658" s="116"/>
      <c r="DE658" s="116"/>
      <c r="DF658" s="116"/>
      <c r="DG658" s="116"/>
      <c r="DH658" s="116"/>
      <c r="DI658" s="116"/>
      <c r="DJ658" s="116"/>
      <c r="DK658" s="116"/>
      <c r="DL658" s="116"/>
      <c r="DM658" s="116"/>
      <c r="DN658" s="116"/>
      <c r="DO658" s="116"/>
      <c r="DP658" s="116"/>
      <c r="DQ658" s="116"/>
      <c r="DR658" s="116"/>
      <c r="DS658" s="116"/>
      <c r="DT658" s="116"/>
      <c r="DU658" s="116"/>
      <c r="DV658" s="116"/>
      <c r="DW658" s="116"/>
      <c r="DX658" s="116"/>
      <c r="DY658" s="116"/>
      <c r="DZ658" s="116"/>
      <c r="EA658" s="116"/>
      <c r="EB658" s="116"/>
    </row>
    <row r="659" spans="36:132" ht="12.75" hidden="1" customHeight="1">
      <c r="AJ659" s="116"/>
      <c r="AK659" s="116"/>
      <c r="AL659" s="116"/>
      <c r="AM659" s="116"/>
      <c r="AN659" s="116"/>
      <c r="AO659" s="116"/>
      <c r="AP659" s="116"/>
      <c r="AS659" s="116"/>
      <c r="AT659" s="116"/>
      <c r="BQ659" s="116"/>
      <c r="BR659" s="116"/>
      <c r="BS659" s="116"/>
      <c r="BT659" s="116"/>
      <c r="BU659" s="116"/>
      <c r="BV659" s="116"/>
      <c r="BW659" s="116"/>
      <c r="BX659" s="116"/>
      <c r="BY659" s="116"/>
      <c r="BZ659" s="116"/>
      <c r="CA659" s="116"/>
      <c r="CB659" s="116"/>
      <c r="CC659" s="116"/>
      <c r="CD659" s="116"/>
      <c r="CE659" s="116"/>
      <c r="CF659" s="116"/>
      <c r="CG659" s="116"/>
      <c r="CH659" s="116"/>
      <c r="CI659" s="116"/>
      <c r="CJ659" s="116"/>
      <c r="CK659" s="116"/>
      <c r="CL659" s="116"/>
      <c r="CM659" s="116"/>
      <c r="CN659" s="116"/>
      <c r="CO659" s="116"/>
      <c r="CP659" s="116"/>
      <c r="CQ659" s="116"/>
      <c r="CR659" s="116"/>
      <c r="CS659" s="116"/>
      <c r="CT659" s="116"/>
      <c r="CU659" s="116"/>
      <c r="CV659" s="116"/>
      <c r="CW659" s="116"/>
      <c r="CX659" s="116"/>
      <c r="CY659" s="116"/>
      <c r="CZ659" s="116"/>
      <c r="DA659" s="116"/>
      <c r="DB659" s="116"/>
      <c r="DC659" s="116"/>
      <c r="DD659" s="116"/>
      <c r="DE659" s="116"/>
      <c r="DF659" s="116"/>
      <c r="DG659" s="116"/>
      <c r="DH659" s="116"/>
      <c r="DI659" s="116"/>
      <c r="DJ659" s="116"/>
      <c r="DK659" s="116"/>
      <c r="DL659" s="116"/>
      <c r="DM659" s="116"/>
      <c r="DN659" s="116"/>
      <c r="DO659" s="116"/>
      <c r="DP659" s="116"/>
      <c r="DQ659" s="116"/>
      <c r="DR659" s="116"/>
      <c r="DS659" s="116"/>
      <c r="DT659" s="116"/>
      <c r="DU659" s="116"/>
      <c r="DV659" s="116"/>
      <c r="DW659" s="116"/>
      <c r="DX659" s="116"/>
      <c r="DY659" s="116"/>
      <c r="DZ659" s="116"/>
      <c r="EA659" s="116"/>
      <c r="EB659" s="116"/>
    </row>
    <row r="660" spans="36:132" ht="12.75" hidden="1" customHeight="1">
      <c r="AJ660" s="116"/>
      <c r="AK660" s="116"/>
      <c r="AL660" s="116"/>
      <c r="AM660" s="116"/>
      <c r="AN660" s="116"/>
      <c r="AO660" s="116"/>
      <c r="AP660" s="116"/>
      <c r="AS660" s="116"/>
      <c r="AT660" s="116"/>
      <c r="BQ660" s="116"/>
      <c r="BR660" s="116"/>
      <c r="BS660" s="116"/>
      <c r="BT660" s="116"/>
      <c r="BU660" s="116"/>
      <c r="BV660" s="116"/>
      <c r="BW660" s="116"/>
      <c r="BX660" s="116"/>
      <c r="BY660" s="116"/>
      <c r="BZ660" s="116"/>
      <c r="CA660" s="116"/>
      <c r="CB660" s="116"/>
      <c r="CC660" s="116"/>
      <c r="CD660" s="116"/>
      <c r="CE660" s="116"/>
      <c r="CF660" s="116"/>
      <c r="CG660" s="116"/>
      <c r="CH660" s="116"/>
      <c r="CI660" s="116"/>
      <c r="CJ660" s="116"/>
      <c r="CK660" s="116"/>
      <c r="CL660" s="116"/>
      <c r="CM660" s="116"/>
      <c r="CN660" s="116"/>
      <c r="CO660" s="116"/>
      <c r="CP660" s="116"/>
      <c r="CQ660" s="116"/>
      <c r="CR660" s="116"/>
      <c r="CS660" s="116"/>
      <c r="CT660" s="116"/>
      <c r="CU660" s="116"/>
      <c r="CV660" s="116"/>
      <c r="CW660" s="116"/>
      <c r="CX660" s="116"/>
      <c r="CY660" s="116"/>
      <c r="CZ660" s="116"/>
      <c r="DA660" s="116"/>
      <c r="DB660" s="116"/>
      <c r="DC660" s="116"/>
      <c r="DD660" s="116"/>
      <c r="DE660" s="116"/>
      <c r="DF660" s="116"/>
      <c r="DG660" s="116"/>
      <c r="DH660" s="116"/>
      <c r="DI660" s="116"/>
      <c r="DJ660" s="116"/>
      <c r="DK660" s="116"/>
      <c r="DL660" s="116"/>
      <c r="DM660" s="116"/>
      <c r="DN660" s="116"/>
      <c r="DO660" s="116"/>
      <c r="DP660" s="116"/>
      <c r="DQ660" s="116"/>
      <c r="DR660" s="116"/>
      <c r="DS660" s="116"/>
      <c r="DT660" s="116"/>
      <c r="DU660" s="116"/>
      <c r="DV660" s="116"/>
      <c r="DW660" s="116"/>
      <c r="DX660" s="116"/>
      <c r="DY660" s="116"/>
      <c r="DZ660" s="116"/>
      <c r="EA660" s="116"/>
      <c r="EB660" s="116"/>
    </row>
    <row r="661" spans="36:132" ht="12.75" hidden="1" customHeight="1">
      <c r="AJ661" s="116"/>
      <c r="AK661" s="116"/>
      <c r="AL661" s="116"/>
      <c r="AM661" s="116"/>
      <c r="AN661" s="116"/>
      <c r="AO661" s="116"/>
      <c r="AP661" s="116"/>
      <c r="AS661" s="116"/>
      <c r="AT661" s="116"/>
      <c r="BQ661" s="116"/>
      <c r="BR661" s="116"/>
      <c r="BS661" s="116"/>
      <c r="BT661" s="116"/>
      <c r="BU661" s="116"/>
      <c r="BV661" s="116"/>
      <c r="BW661" s="116"/>
      <c r="BX661" s="116"/>
      <c r="BY661" s="116"/>
      <c r="BZ661" s="116"/>
      <c r="CA661" s="116"/>
      <c r="CB661" s="116"/>
      <c r="CC661" s="116"/>
      <c r="CD661" s="116"/>
      <c r="CE661" s="116"/>
      <c r="CF661" s="116"/>
      <c r="CG661" s="116"/>
      <c r="CH661" s="116"/>
      <c r="CI661" s="116"/>
      <c r="CJ661" s="116"/>
      <c r="CK661" s="116"/>
      <c r="CL661" s="116"/>
      <c r="CM661" s="116"/>
      <c r="CN661" s="116"/>
      <c r="CO661" s="116"/>
      <c r="CP661" s="116"/>
      <c r="CQ661" s="116"/>
      <c r="CR661" s="116"/>
      <c r="CS661" s="116"/>
      <c r="CT661" s="116"/>
      <c r="CU661" s="116"/>
      <c r="CV661" s="116"/>
      <c r="CW661" s="116"/>
      <c r="CX661" s="116"/>
      <c r="CY661" s="116"/>
      <c r="CZ661" s="116"/>
      <c r="DA661" s="116"/>
      <c r="DB661" s="116"/>
      <c r="DC661" s="116"/>
      <c r="DD661" s="116"/>
      <c r="DE661" s="116"/>
      <c r="DF661" s="116"/>
      <c r="DG661" s="116"/>
      <c r="DH661" s="116"/>
      <c r="DI661" s="116"/>
      <c r="DJ661" s="116"/>
      <c r="DK661" s="116"/>
      <c r="DL661" s="116"/>
      <c r="DM661" s="116"/>
      <c r="DN661" s="116"/>
      <c r="DO661" s="116"/>
      <c r="DP661" s="116"/>
      <c r="DQ661" s="116"/>
      <c r="DR661" s="116"/>
      <c r="DS661" s="116"/>
      <c r="DT661" s="116"/>
      <c r="DU661" s="116"/>
      <c r="DV661" s="116"/>
      <c r="DW661" s="116"/>
      <c r="DX661" s="116"/>
      <c r="DY661" s="116"/>
      <c r="DZ661" s="116"/>
      <c r="EA661" s="116"/>
      <c r="EB661" s="116"/>
    </row>
    <row r="662" spans="36:132" ht="12.75" hidden="1" customHeight="1">
      <c r="AJ662" s="116"/>
      <c r="AK662" s="116"/>
      <c r="AL662" s="116"/>
      <c r="AM662" s="116"/>
      <c r="AN662" s="116"/>
      <c r="AO662" s="116"/>
      <c r="AP662" s="116"/>
      <c r="AS662" s="116"/>
      <c r="AT662" s="116"/>
      <c r="BQ662" s="116"/>
      <c r="BR662" s="116"/>
      <c r="BS662" s="116"/>
      <c r="BT662" s="116"/>
      <c r="BU662" s="116"/>
      <c r="BV662" s="116"/>
      <c r="BW662" s="116"/>
      <c r="BX662" s="116"/>
      <c r="BY662" s="116"/>
      <c r="BZ662" s="116"/>
      <c r="CA662" s="116"/>
      <c r="CB662" s="116"/>
      <c r="CC662" s="116"/>
      <c r="CD662" s="116"/>
      <c r="CE662" s="116"/>
      <c r="CF662" s="116"/>
      <c r="CG662" s="116"/>
      <c r="CH662" s="116"/>
      <c r="CI662" s="116"/>
      <c r="CJ662" s="116"/>
      <c r="CK662" s="116"/>
      <c r="CL662" s="116"/>
      <c r="CM662" s="116"/>
      <c r="CN662" s="116"/>
      <c r="CO662" s="116"/>
      <c r="CP662" s="116"/>
      <c r="CQ662" s="116"/>
      <c r="CR662" s="116"/>
      <c r="CS662" s="116"/>
      <c r="CT662" s="116"/>
      <c r="CU662" s="116"/>
      <c r="CV662" s="116"/>
      <c r="CW662" s="116"/>
      <c r="CX662" s="116"/>
      <c r="CY662" s="116"/>
      <c r="CZ662" s="116"/>
      <c r="DA662" s="116"/>
      <c r="DB662" s="116"/>
      <c r="DC662" s="116"/>
      <c r="DD662" s="116"/>
      <c r="DE662" s="116"/>
      <c r="DF662" s="116"/>
      <c r="DG662" s="116"/>
      <c r="DH662" s="116"/>
      <c r="DI662" s="116"/>
      <c r="DJ662" s="116"/>
      <c r="DK662" s="116"/>
      <c r="DL662" s="116"/>
      <c r="DM662" s="116"/>
      <c r="DN662" s="116"/>
      <c r="DO662" s="116"/>
      <c r="DP662" s="116"/>
      <c r="DQ662" s="116"/>
      <c r="DR662" s="116"/>
      <c r="DS662" s="116"/>
      <c r="DT662" s="116"/>
      <c r="DU662" s="116"/>
      <c r="DV662" s="116"/>
      <c r="DW662" s="116"/>
      <c r="DX662" s="116"/>
      <c r="DY662" s="116"/>
      <c r="DZ662" s="116"/>
      <c r="EA662" s="116"/>
      <c r="EB662" s="116"/>
    </row>
    <row r="663" spans="36:132" ht="12.75" hidden="1" customHeight="1">
      <c r="AJ663" s="116"/>
      <c r="AK663" s="116"/>
      <c r="AL663" s="116"/>
      <c r="AM663" s="116"/>
      <c r="AN663" s="116"/>
      <c r="AO663" s="116"/>
      <c r="AP663" s="116"/>
      <c r="AS663" s="116"/>
      <c r="AT663" s="116"/>
      <c r="BQ663" s="116"/>
      <c r="BR663" s="116"/>
      <c r="BS663" s="116"/>
      <c r="BT663" s="116"/>
      <c r="BU663" s="116"/>
      <c r="BV663" s="116"/>
      <c r="BW663" s="116"/>
      <c r="BX663" s="116"/>
      <c r="BY663" s="116"/>
      <c r="BZ663" s="116"/>
      <c r="CA663" s="116"/>
      <c r="CB663" s="116"/>
      <c r="CC663" s="116"/>
      <c r="CD663" s="116"/>
      <c r="CE663" s="116"/>
      <c r="CF663" s="116"/>
      <c r="CG663" s="116"/>
      <c r="CH663" s="116"/>
      <c r="CI663" s="116"/>
      <c r="CJ663" s="116"/>
      <c r="CK663" s="116"/>
      <c r="CL663" s="116"/>
      <c r="CM663" s="116"/>
      <c r="CN663" s="116"/>
      <c r="CO663" s="116"/>
      <c r="CP663" s="116"/>
      <c r="CQ663" s="116"/>
      <c r="CR663" s="116"/>
      <c r="CS663" s="116"/>
      <c r="CT663" s="116"/>
      <c r="CU663" s="116"/>
      <c r="CV663" s="116"/>
      <c r="CW663" s="116"/>
      <c r="CX663" s="116"/>
      <c r="CY663" s="116"/>
      <c r="CZ663" s="116"/>
      <c r="DA663" s="116"/>
      <c r="DB663" s="116"/>
      <c r="DC663" s="116"/>
      <c r="DD663" s="116"/>
      <c r="DE663" s="116"/>
      <c r="DF663" s="116"/>
      <c r="DG663" s="116"/>
      <c r="DH663" s="116"/>
      <c r="DI663" s="116"/>
      <c r="DJ663" s="116"/>
      <c r="DK663" s="116"/>
      <c r="DL663" s="116"/>
      <c r="DM663" s="116"/>
      <c r="DN663" s="116"/>
      <c r="DO663" s="116"/>
      <c r="DP663" s="116"/>
      <c r="DQ663" s="116"/>
      <c r="DR663" s="116"/>
      <c r="DS663" s="116"/>
      <c r="DT663" s="116"/>
      <c r="DU663" s="116"/>
      <c r="DV663" s="116"/>
      <c r="DW663" s="116"/>
      <c r="DX663" s="116"/>
      <c r="DY663" s="116"/>
      <c r="DZ663" s="116"/>
      <c r="EA663" s="116"/>
      <c r="EB663" s="116"/>
    </row>
    <row r="664" spans="36:132" ht="12.75" hidden="1" customHeight="1">
      <c r="AJ664" s="116"/>
      <c r="AK664" s="116"/>
      <c r="AL664" s="116"/>
      <c r="AM664" s="116"/>
      <c r="AN664" s="116"/>
      <c r="AO664" s="116"/>
      <c r="AP664" s="116"/>
      <c r="AS664" s="116"/>
      <c r="AT664" s="116"/>
      <c r="BQ664" s="116"/>
      <c r="BR664" s="116"/>
      <c r="BS664" s="116"/>
      <c r="BT664" s="116"/>
      <c r="BU664" s="116"/>
      <c r="BV664" s="116"/>
      <c r="BW664" s="116"/>
      <c r="BX664" s="116"/>
      <c r="BY664" s="116"/>
      <c r="BZ664" s="116"/>
      <c r="CA664" s="116"/>
      <c r="CB664" s="116"/>
      <c r="CC664" s="116"/>
      <c r="CD664" s="116"/>
      <c r="CE664" s="116"/>
      <c r="CF664" s="116"/>
      <c r="CG664" s="116"/>
      <c r="CH664" s="116"/>
      <c r="CI664" s="116"/>
      <c r="CJ664" s="116"/>
      <c r="CK664" s="116"/>
      <c r="CL664" s="116"/>
      <c r="CM664" s="116"/>
      <c r="CN664" s="116"/>
      <c r="CO664" s="116"/>
      <c r="CP664" s="116"/>
      <c r="CQ664" s="116"/>
      <c r="CR664" s="116"/>
      <c r="CS664" s="116"/>
      <c r="CT664" s="116"/>
      <c r="CU664" s="116"/>
      <c r="CV664" s="116"/>
      <c r="CW664" s="116"/>
      <c r="CX664" s="116"/>
      <c r="CY664" s="116"/>
      <c r="CZ664" s="116"/>
      <c r="DA664" s="116"/>
      <c r="DB664" s="116"/>
      <c r="DC664" s="116"/>
      <c r="DD664" s="116"/>
      <c r="DE664" s="116"/>
      <c r="DF664" s="116"/>
      <c r="DG664" s="116"/>
      <c r="DH664" s="116"/>
      <c r="DI664" s="116"/>
      <c r="DJ664" s="116"/>
      <c r="DK664" s="116"/>
      <c r="DL664" s="116"/>
      <c r="DM664" s="116"/>
      <c r="DN664" s="116"/>
      <c r="DO664" s="116"/>
      <c r="DP664" s="116"/>
      <c r="DQ664" s="116"/>
      <c r="DR664" s="116"/>
      <c r="DS664" s="116"/>
      <c r="DT664" s="116"/>
      <c r="DU664" s="116"/>
      <c r="DV664" s="116"/>
      <c r="DW664" s="116"/>
      <c r="DX664" s="116"/>
      <c r="DY664" s="116"/>
      <c r="DZ664" s="116"/>
      <c r="EA664" s="116"/>
      <c r="EB664" s="116"/>
    </row>
    <row r="665" spans="36:132" ht="12.75" hidden="1" customHeight="1">
      <c r="AJ665" s="116"/>
      <c r="AK665" s="116"/>
      <c r="AL665" s="116"/>
      <c r="AM665" s="116"/>
      <c r="AN665" s="116"/>
      <c r="AO665" s="116"/>
      <c r="AP665" s="116"/>
      <c r="AS665" s="116"/>
      <c r="AT665" s="116"/>
      <c r="BQ665" s="116"/>
      <c r="BR665" s="116"/>
      <c r="BS665" s="116"/>
      <c r="BT665" s="116"/>
      <c r="BU665" s="116"/>
      <c r="BV665" s="116"/>
      <c r="BW665" s="116"/>
      <c r="BX665" s="116"/>
      <c r="BY665" s="116"/>
      <c r="BZ665" s="116"/>
      <c r="CA665" s="116"/>
      <c r="CB665" s="116"/>
      <c r="CC665" s="116"/>
      <c r="CD665" s="116"/>
      <c r="CE665" s="116"/>
      <c r="CF665" s="116"/>
      <c r="CG665" s="116"/>
      <c r="CH665" s="116"/>
      <c r="CI665" s="116"/>
      <c r="CJ665" s="116"/>
      <c r="CK665" s="116"/>
      <c r="CL665" s="116"/>
      <c r="CM665" s="116"/>
      <c r="CN665" s="116"/>
      <c r="CO665" s="116"/>
      <c r="CP665" s="116"/>
      <c r="CQ665" s="116"/>
      <c r="CR665" s="116"/>
      <c r="CS665" s="116"/>
      <c r="CT665" s="116"/>
      <c r="CU665" s="116"/>
      <c r="CV665" s="116"/>
      <c r="CW665" s="116"/>
      <c r="CX665" s="116"/>
      <c r="CY665" s="116"/>
      <c r="CZ665" s="116"/>
      <c r="DA665" s="116"/>
      <c r="DB665" s="116"/>
      <c r="DC665" s="116"/>
      <c r="DD665" s="116"/>
      <c r="DE665" s="116"/>
      <c r="DF665" s="116"/>
      <c r="DG665" s="116"/>
      <c r="DH665" s="116"/>
      <c r="DI665" s="116"/>
      <c r="DJ665" s="116"/>
      <c r="DK665" s="116"/>
      <c r="DL665" s="116"/>
      <c r="DM665" s="116"/>
      <c r="DN665" s="116"/>
      <c r="DO665" s="116"/>
      <c r="DP665" s="116"/>
      <c r="DQ665" s="116"/>
      <c r="DR665" s="116"/>
      <c r="DS665" s="116"/>
      <c r="DT665" s="116"/>
      <c r="DU665" s="116"/>
      <c r="DV665" s="116"/>
      <c r="DW665" s="116"/>
      <c r="DX665" s="116"/>
      <c r="DY665" s="116"/>
      <c r="DZ665" s="116"/>
      <c r="EA665" s="116"/>
      <c r="EB665" s="116"/>
    </row>
    <row r="666" spans="36:132" ht="12.75" hidden="1" customHeight="1">
      <c r="AJ666" s="116"/>
      <c r="AK666" s="116"/>
      <c r="AL666" s="116"/>
      <c r="AM666" s="116"/>
      <c r="AN666" s="116"/>
      <c r="AO666" s="116"/>
      <c r="AP666" s="116"/>
      <c r="AS666" s="116"/>
      <c r="AT666" s="116"/>
      <c r="BQ666" s="116"/>
      <c r="BR666" s="116"/>
      <c r="BS666" s="116"/>
      <c r="BT666" s="116"/>
      <c r="BU666" s="116"/>
      <c r="BV666" s="116"/>
      <c r="BW666" s="116"/>
      <c r="BX666" s="116"/>
      <c r="BY666" s="116"/>
      <c r="BZ666" s="116"/>
      <c r="CA666" s="116"/>
      <c r="CB666" s="116"/>
      <c r="CC666" s="116"/>
      <c r="CD666" s="116"/>
      <c r="CE666" s="116"/>
      <c r="CF666" s="116"/>
      <c r="CG666" s="116"/>
      <c r="CH666" s="116"/>
      <c r="CI666" s="116"/>
      <c r="CJ666" s="116"/>
      <c r="CK666" s="116"/>
      <c r="CL666" s="116"/>
      <c r="CM666" s="116"/>
      <c r="CN666" s="116"/>
      <c r="CO666" s="116"/>
      <c r="CP666" s="116"/>
      <c r="CQ666" s="116"/>
      <c r="CR666" s="116"/>
      <c r="CS666" s="116"/>
      <c r="CT666" s="116"/>
      <c r="CU666" s="116"/>
      <c r="CV666" s="116"/>
      <c r="CW666" s="116"/>
      <c r="CX666" s="116"/>
      <c r="CY666" s="116"/>
      <c r="CZ666" s="116"/>
      <c r="DA666" s="116"/>
      <c r="DB666" s="116"/>
      <c r="DC666" s="116"/>
      <c r="DD666" s="116"/>
      <c r="DE666" s="116"/>
      <c r="DF666" s="116"/>
      <c r="DG666" s="116"/>
      <c r="DH666" s="116"/>
      <c r="DI666" s="116"/>
      <c r="DJ666" s="116"/>
      <c r="DK666" s="116"/>
      <c r="DL666" s="116"/>
      <c r="DM666" s="116"/>
      <c r="DN666" s="116"/>
      <c r="DO666" s="116"/>
      <c r="DP666" s="116"/>
      <c r="DQ666" s="116"/>
      <c r="DR666" s="116"/>
      <c r="DS666" s="116"/>
      <c r="DT666" s="116"/>
      <c r="DU666" s="116"/>
      <c r="DV666" s="116"/>
      <c r="DW666" s="116"/>
      <c r="DX666" s="116"/>
      <c r="DY666" s="116"/>
      <c r="DZ666" s="116"/>
      <c r="EA666" s="116"/>
      <c r="EB666" s="116"/>
    </row>
    <row r="667" spans="36:132" ht="12.75" hidden="1" customHeight="1">
      <c r="AJ667" s="116"/>
      <c r="AK667" s="116"/>
      <c r="AL667" s="116"/>
      <c r="AM667" s="116"/>
      <c r="AN667" s="116"/>
      <c r="AO667" s="116"/>
      <c r="AP667" s="116"/>
      <c r="AS667" s="116"/>
      <c r="AT667" s="116"/>
      <c r="BQ667" s="116"/>
      <c r="BR667" s="116"/>
      <c r="BS667" s="116"/>
      <c r="BT667" s="116"/>
      <c r="BU667" s="116"/>
      <c r="BV667" s="116"/>
      <c r="BW667" s="116"/>
      <c r="BX667" s="116"/>
      <c r="BY667" s="116"/>
      <c r="BZ667" s="116"/>
      <c r="CA667" s="116"/>
      <c r="CB667" s="116"/>
      <c r="CC667" s="116"/>
      <c r="CD667" s="116"/>
      <c r="CE667" s="116"/>
      <c r="CF667" s="116"/>
      <c r="CG667" s="116"/>
      <c r="CH667" s="116"/>
      <c r="CI667" s="116"/>
      <c r="CJ667" s="116"/>
      <c r="CK667" s="116"/>
      <c r="CL667" s="116"/>
      <c r="CM667" s="116"/>
      <c r="CN667" s="116"/>
      <c r="CO667" s="116"/>
      <c r="CP667" s="116"/>
      <c r="CQ667" s="116"/>
      <c r="CR667" s="116"/>
      <c r="CS667" s="116"/>
      <c r="CT667" s="116"/>
      <c r="CU667" s="116"/>
      <c r="CV667" s="116"/>
      <c r="CW667" s="116"/>
      <c r="CX667" s="116"/>
      <c r="CY667" s="116"/>
      <c r="CZ667" s="116"/>
      <c r="DA667" s="116"/>
      <c r="DB667" s="116"/>
      <c r="DC667" s="116"/>
      <c r="DD667" s="116"/>
      <c r="DE667" s="116"/>
      <c r="DF667" s="116"/>
      <c r="DG667" s="116"/>
      <c r="DH667" s="116"/>
      <c r="DI667" s="116"/>
      <c r="DJ667" s="116"/>
      <c r="DK667" s="116"/>
      <c r="DL667" s="116"/>
      <c r="DM667" s="116"/>
      <c r="DN667" s="116"/>
      <c r="DO667" s="116"/>
      <c r="DP667" s="116"/>
      <c r="DQ667" s="116"/>
      <c r="DR667" s="116"/>
      <c r="DS667" s="116"/>
      <c r="DT667" s="116"/>
      <c r="DU667" s="116"/>
      <c r="DV667" s="116"/>
      <c r="DW667" s="116"/>
      <c r="DX667" s="116"/>
      <c r="DY667" s="116"/>
      <c r="DZ667" s="116"/>
      <c r="EA667" s="116"/>
      <c r="EB667" s="116"/>
    </row>
    <row r="668" spans="36:132" ht="12.75" hidden="1" customHeight="1">
      <c r="AJ668" s="116"/>
      <c r="AK668" s="116"/>
      <c r="AL668" s="116"/>
      <c r="AM668" s="116"/>
      <c r="AN668" s="116"/>
      <c r="AO668" s="116"/>
      <c r="AP668" s="116"/>
      <c r="AS668" s="116"/>
      <c r="AT668" s="116"/>
      <c r="BQ668" s="116"/>
      <c r="BR668" s="116"/>
      <c r="BS668" s="116"/>
      <c r="BT668" s="116"/>
      <c r="BU668" s="116"/>
      <c r="BV668" s="116"/>
      <c r="BW668" s="116"/>
      <c r="BX668" s="116"/>
      <c r="BY668" s="116"/>
      <c r="BZ668" s="116"/>
      <c r="CA668" s="116"/>
      <c r="CB668" s="116"/>
      <c r="CC668" s="116"/>
      <c r="CD668" s="116"/>
      <c r="CE668" s="116"/>
      <c r="CF668" s="116"/>
      <c r="CG668" s="116"/>
      <c r="CH668" s="116"/>
      <c r="CI668" s="116"/>
      <c r="CJ668" s="116"/>
      <c r="CK668" s="116"/>
      <c r="CL668" s="116"/>
      <c r="CM668" s="116"/>
      <c r="CN668" s="116"/>
      <c r="CO668" s="116"/>
      <c r="CP668" s="116"/>
      <c r="CQ668" s="116"/>
      <c r="CR668" s="116"/>
      <c r="CS668" s="116"/>
      <c r="CT668" s="116"/>
      <c r="CU668" s="116"/>
      <c r="CV668" s="116"/>
      <c r="CW668" s="116"/>
      <c r="CX668" s="116"/>
      <c r="CY668" s="116"/>
      <c r="CZ668" s="116"/>
      <c r="DA668" s="116"/>
      <c r="DB668" s="116"/>
      <c r="DC668" s="116"/>
      <c r="DD668" s="116"/>
      <c r="DE668" s="116"/>
      <c r="DF668" s="116"/>
      <c r="DG668" s="116"/>
      <c r="DH668" s="116"/>
      <c r="DI668" s="116"/>
      <c r="DJ668" s="116"/>
      <c r="DK668" s="116"/>
      <c r="DL668" s="116"/>
      <c r="DM668" s="116"/>
      <c r="DN668" s="116"/>
      <c r="DO668" s="116"/>
      <c r="DP668" s="116"/>
      <c r="DQ668" s="116"/>
      <c r="DR668" s="116"/>
      <c r="DS668" s="116"/>
      <c r="DT668" s="116"/>
      <c r="DU668" s="116"/>
      <c r="DV668" s="116"/>
      <c r="DW668" s="116"/>
      <c r="DX668" s="116"/>
      <c r="DY668" s="116"/>
      <c r="DZ668" s="116"/>
      <c r="EA668" s="116"/>
      <c r="EB668" s="116"/>
    </row>
    <row r="669" spans="36:132" ht="12.75" hidden="1" customHeight="1">
      <c r="AJ669" s="116"/>
      <c r="AK669" s="116"/>
      <c r="AL669" s="116"/>
      <c r="AM669" s="116"/>
      <c r="AN669" s="116"/>
      <c r="AO669" s="116"/>
      <c r="AP669" s="116"/>
      <c r="AS669" s="116"/>
      <c r="AT669" s="116"/>
      <c r="BQ669" s="116"/>
      <c r="BR669" s="116"/>
      <c r="BS669" s="116"/>
      <c r="BT669" s="116"/>
      <c r="BU669" s="116"/>
      <c r="BV669" s="116"/>
      <c r="BW669" s="116"/>
      <c r="BX669" s="116"/>
      <c r="BY669" s="116"/>
      <c r="BZ669" s="116"/>
      <c r="CA669" s="116"/>
      <c r="CB669" s="116"/>
      <c r="CC669" s="116"/>
      <c r="CD669" s="116"/>
      <c r="CE669" s="116"/>
      <c r="CF669" s="116"/>
      <c r="CG669" s="116"/>
      <c r="CH669" s="116"/>
      <c r="CI669" s="116"/>
      <c r="CJ669" s="116"/>
      <c r="CK669" s="116"/>
      <c r="CL669" s="116"/>
      <c r="CM669" s="116"/>
      <c r="CN669" s="116"/>
      <c r="CO669" s="116"/>
      <c r="CP669" s="116"/>
      <c r="CQ669" s="116"/>
      <c r="CR669" s="116"/>
      <c r="CS669" s="116"/>
      <c r="CT669" s="116"/>
      <c r="CU669" s="116"/>
      <c r="CV669" s="116"/>
      <c r="CW669" s="116"/>
      <c r="CX669" s="116"/>
      <c r="CY669" s="116"/>
      <c r="CZ669" s="116"/>
      <c r="DA669" s="116"/>
      <c r="DB669" s="116"/>
      <c r="DC669" s="116"/>
      <c r="DD669" s="116"/>
      <c r="DE669" s="116"/>
      <c r="DF669" s="116"/>
      <c r="DG669" s="116"/>
      <c r="DH669" s="116"/>
      <c r="DI669" s="116"/>
      <c r="DJ669" s="116"/>
      <c r="DK669" s="116"/>
      <c r="DL669" s="116"/>
      <c r="DM669" s="116"/>
      <c r="DN669" s="116"/>
      <c r="DO669" s="116"/>
      <c r="DP669" s="116"/>
      <c r="DQ669" s="116"/>
      <c r="DR669" s="116"/>
      <c r="DS669" s="116"/>
      <c r="DT669" s="116"/>
      <c r="DU669" s="116"/>
      <c r="DV669" s="116"/>
      <c r="DW669" s="116"/>
      <c r="DX669" s="116"/>
      <c r="DY669" s="116"/>
      <c r="DZ669" s="116"/>
      <c r="EA669" s="116"/>
      <c r="EB669" s="116"/>
    </row>
    <row r="670" spans="36:132" ht="12.75" hidden="1" customHeight="1">
      <c r="AJ670" s="116"/>
      <c r="AK670" s="116"/>
      <c r="AL670" s="116"/>
      <c r="AM670" s="116"/>
      <c r="AN670" s="116"/>
      <c r="AO670" s="116"/>
      <c r="AP670" s="116"/>
      <c r="AS670" s="116"/>
      <c r="AT670" s="116"/>
      <c r="BQ670" s="116"/>
      <c r="BR670" s="116"/>
      <c r="BS670" s="116"/>
      <c r="BT670" s="116"/>
      <c r="BU670" s="116"/>
      <c r="BV670" s="116"/>
      <c r="BW670" s="116"/>
      <c r="BX670" s="116"/>
      <c r="BY670" s="116"/>
      <c r="BZ670" s="116"/>
      <c r="CA670" s="116"/>
      <c r="CB670" s="116"/>
      <c r="CC670" s="116"/>
      <c r="CD670" s="116"/>
      <c r="CE670" s="116"/>
      <c r="CF670" s="116"/>
      <c r="CG670" s="116"/>
      <c r="CH670" s="116"/>
      <c r="CI670" s="116"/>
      <c r="CJ670" s="116"/>
      <c r="CK670" s="116"/>
      <c r="CL670" s="116"/>
      <c r="CM670" s="116"/>
      <c r="CN670" s="116"/>
      <c r="CO670" s="116"/>
      <c r="CP670" s="116"/>
      <c r="CQ670" s="116"/>
      <c r="CR670" s="116"/>
      <c r="CS670" s="116"/>
      <c r="CT670" s="116"/>
      <c r="CU670" s="116"/>
      <c r="CV670" s="116"/>
      <c r="CW670" s="116"/>
      <c r="CX670" s="116"/>
      <c r="CY670" s="116"/>
      <c r="CZ670" s="116"/>
      <c r="DA670" s="116"/>
      <c r="DB670" s="116"/>
      <c r="DC670" s="116"/>
      <c r="DD670" s="116"/>
      <c r="DE670" s="116"/>
      <c r="DF670" s="116"/>
      <c r="DG670" s="116"/>
      <c r="DH670" s="116"/>
      <c r="DI670" s="116"/>
      <c r="DJ670" s="116"/>
      <c r="DK670" s="116"/>
      <c r="DL670" s="116"/>
      <c r="DM670" s="116"/>
      <c r="DN670" s="116"/>
      <c r="DO670" s="116"/>
      <c r="DP670" s="116"/>
      <c r="DQ670" s="116"/>
      <c r="DR670" s="116"/>
      <c r="DS670" s="116"/>
      <c r="DT670" s="116"/>
      <c r="DU670" s="116"/>
      <c r="DV670" s="116"/>
      <c r="DW670" s="116"/>
      <c r="DX670" s="116"/>
      <c r="DY670" s="116"/>
      <c r="DZ670" s="116"/>
      <c r="EA670" s="116"/>
      <c r="EB670" s="116"/>
    </row>
    <row r="671" spans="36:132" ht="12.75" hidden="1" customHeight="1">
      <c r="AJ671" s="116"/>
      <c r="AK671" s="116"/>
      <c r="AL671" s="116"/>
      <c r="AM671" s="116"/>
      <c r="AN671" s="116"/>
      <c r="AO671" s="116"/>
      <c r="AP671" s="116"/>
      <c r="AS671" s="116"/>
      <c r="AT671" s="116"/>
      <c r="BQ671" s="116"/>
      <c r="BR671" s="116"/>
      <c r="BS671" s="116"/>
      <c r="BT671" s="116"/>
      <c r="BU671" s="116"/>
      <c r="BV671" s="116"/>
      <c r="BW671" s="116"/>
      <c r="BX671" s="116"/>
      <c r="BY671" s="116"/>
      <c r="BZ671" s="116"/>
      <c r="CA671" s="116"/>
      <c r="CB671" s="116"/>
      <c r="CC671" s="116"/>
      <c r="CD671" s="116"/>
      <c r="CE671" s="116"/>
      <c r="CF671" s="116"/>
      <c r="CG671" s="116"/>
      <c r="CH671" s="116"/>
      <c r="CI671" s="116"/>
      <c r="CJ671" s="116"/>
      <c r="CK671" s="116"/>
      <c r="CL671" s="116"/>
      <c r="CM671" s="116"/>
      <c r="CN671" s="116"/>
      <c r="CO671" s="116"/>
      <c r="CP671" s="116"/>
      <c r="CQ671" s="116"/>
      <c r="CR671" s="116"/>
      <c r="CS671" s="116"/>
      <c r="CT671" s="116"/>
      <c r="CU671" s="116"/>
      <c r="CV671" s="116"/>
      <c r="CW671" s="116"/>
      <c r="CX671" s="116"/>
      <c r="CY671" s="116"/>
      <c r="CZ671" s="116"/>
      <c r="DA671" s="116"/>
      <c r="DB671" s="116"/>
      <c r="DC671" s="116"/>
      <c r="DD671" s="116"/>
      <c r="DE671" s="116"/>
      <c r="DF671" s="116"/>
      <c r="DG671" s="116"/>
      <c r="DH671" s="116"/>
      <c r="DI671" s="116"/>
      <c r="DJ671" s="116"/>
      <c r="DK671" s="116"/>
      <c r="DL671" s="116"/>
      <c r="DM671" s="116"/>
      <c r="DN671" s="116"/>
      <c r="DO671" s="116"/>
      <c r="DP671" s="116"/>
      <c r="DQ671" s="116"/>
      <c r="DR671" s="116"/>
      <c r="DS671" s="116"/>
      <c r="DT671" s="116"/>
      <c r="DU671" s="116"/>
      <c r="DV671" s="116"/>
      <c r="DW671" s="116"/>
      <c r="DX671" s="116"/>
      <c r="DY671" s="116"/>
      <c r="DZ671" s="116"/>
      <c r="EA671" s="116"/>
      <c r="EB671" s="116"/>
    </row>
    <row r="672" spans="36:132" ht="12.75" hidden="1" customHeight="1">
      <c r="AJ672" s="116"/>
      <c r="AK672" s="116"/>
      <c r="AL672" s="116"/>
      <c r="AM672" s="116"/>
      <c r="AN672" s="116"/>
      <c r="AO672" s="116"/>
      <c r="AP672" s="116"/>
      <c r="AS672" s="116"/>
      <c r="AT672" s="116"/>
      <c r="BQ672" s="116"/>
      <c r="BR672" s="116"/>
      <c r="BS672" s="116"/>
      <c r="BT672" s="116"/>
      <c r="BU672" s="116"/>
      <c r="BV672" s="116"/>
      <c r="BW672" s="116"/>
      <c r="BX672" s="116"/>
      <c r="BY672" s="116"/>
      <c r="BZ672" s="116"/>
      <c r="CA672" s="116"/>
      <c r="CB672" s="116"/>
      <c r="CC672" s="116"/>
      <c r="CD672" s="116"/>
      <c r="CE672" s="116"/>
      <c r="CF672" s="116"/>
      <c r="CG672" s="116"/>
      <c r="CH672" s="116"/>
      <c r="CI672" s="116"/>
      <c r="CJ672" s="116"/>
      <c r="CK672" s="116"/>
      <c r="CL672" s="116"/>
      <c r="CM672" s="116"/>
      <c r="CN672" s="116"/>
      <c r="CO672" s="116"/>
      <c r="CP672" s="116"/>
      <c r="CQ672" s="116"/>
      <c r="CR672" s="116"/>
      <c r="CS672" s="116"/>
      <c r="CT672" s="116"/>
      <c r="CU672" s="116"/>
      <c r="CV672" s="116"/>
      <c r="CW672" s="116"/>
      <c r="CX672" s="116"/>
      <c r="CY672" s="116"/>
      <c r="CZ672" s="116"/>
      <c r="DA672" s="116"/>
      <c r="DB672" s="116"/>
      <c r="DC672" s="116"/>
      <c r="DD672" s="116"/>
      <c r="DE672" s="116"/>
      <c r="DF672" s="116"/>
      <c r="DG672" s="116"/>
      <c r="DH672" s="116"/>
      <c r="DI672" s="116"/>
      <c r="DJ672" s="116"/>
      <c r="DK672" s="116"/>
      <c r="DL672" s="116"/>
      <c r="DM672" s="116"/>
      <c r="DN672" s="116"/>
      <c r="DO672" s="116"/>
      <c r="DP672" s="116"/>
      <c r="DQ672" s="116"/>
      <c r="DR672" s="116"/>
      <c r="DS672" s="116"/>
      <c r="DT672" s="116"/>
      <c r="DU672" s="116"/>
      <c r="DV672" s="116"/>
      <c r="DW672" s="116"/>
      <c r="DX672" s="116"/>
      <c r="DY672" s="116"/>
      <c r="DZ672" s="116"/>
      <c r="EA672" s="116"/>
      <c r="EB672" s="116"/>
    </row>
    <row r="673" spans="36:132" ht="12.75" hidden="1" customHeight="1">
      <c r="AJ673" s="116"/>
      <c r="AK673" s="116"/>
      <c r="AL673" s="116"/>
      <c r="AM673" s="116"/>
      <c r="AN673" s="116"/>
      <c r="AO673" s="116"/>
      <c r="AP673" s="116"/>
      <c r="AS673" s="116"/>
      <c r="AT673" s="116"/>
      <c r="BQ673" s="116"/>
      <c r="BR673" s="116"/>
      <c r="BS673" s="116"/>
      <c r="BT673" s="116"/>
      <c r="BU673" s="116"/>
      <c r="BV673" s="116"/>
      <c r="BW673" s="116"/>
      <c r="BX673" s="116"/>
      <c r="BY673" s="116"/>
      <c r="BZ673" s="116"/>
      <c r="CA673" s="116"/>
      <c r="CB673" s="116"/>
      <c r="CC673" s="116"/>
      <c r="CD673" s="116"/>
      <c r="CE673" s="116"/>
      <c r="CF673" s="116"/>
      <c r="CG673" s="116"/>
      <c r="CH673" s="116"/>
      <c r="CI673" s="116"/>
      <c r="CJ673" s="116"/>
      <c r="CK673" s="116"/>
      <c r="CL673" s="116"/>
      <c r="CM673" s="116"/>
      <c r="CN673" s="116"/>
      <c r="CO673" s="116"/>
      <c r="CP673" s="116"/>
      <c r="CQ673" s="116"/>
      <c r="CR673" s="116"/>
      <c r="CS673" s="116"/>
      <c r="CT673" s="116"/>
      <c r="CU673" s="116"/>
      <c r="CV673" s="116"/>
      <c r="CW673" s="116"/>
      <c r="CX673" s="116"/>
      <c r="CY673" s="116"/>
      <c r="CZ673" s="116"/>
      <c r="DA673" s="116"/>
      <c r="DB673" s="116"/>
      <c r="DC673" s="116"/>
      <c r="DD673" s="116"/>
      <c r="DE673" s="116"/>
      <c r="DF673" s="116"/>
      <c r="DG673" s="116"/>
      <c r="DH673" s="116"/>
      <c r="DI673" s="116"/>
      <c r="DJ673" s="116"/>
      <c r="DK673" s="116"/>
      <c r="DL673" s="116"/>
      <c r="DM673" s="116"/>
      <c r="DN673" s="116"/>
      <c r="DO673" s="116"/>
      <c r="DP673" s="116"/>
      <c r="DQ673" s="116"/>
      <c r="DR673" s="116"/>
      <c r="DS673" s="116"/>
      <c r="DT673" s="116"/>
      <c r="DU673" s="116"/>
      <c r="DV673" s="116"/>
      <c r="DW673" s="116"/>
      <c r="DX673" s="116"/>
      <c r="DY673" s="116"/>
      <c r="DZ673" s="116"/>
      <c r="EA673" s="116"/>
      <c r="EB673" s="116"/>
    </row>
    <row r="674" spans="36:132" ht="12.75" hidden="1" customHeight="1">
      <c r="AJ674" s="116"/>
      <c r="AK674" s="116"/>
      <c r="AL674" s="116"/>
      <c r="AM674" s="116"/>
      <c r="AN674" s="116"/>
      <c r="AO674" s="116"/>
      <c r="AP674" s="116"/>
      <c r="AS674" s="116"/>
      <c r="AT674" s="116"/>
      <c r="BQ674" s="116"/>
      <c r="BR674" s="116"/>
      <c r="BS674" s="116"/>
      <c r="BT674" s="116"/>
      <c r="BU674" s="116"/>
      <c r="BV674" s="116"/>
      <c r="BW674" s="116"/>
      <c r="BX674" s="116"/>
      <c r="BY674" s="116"/>
      <c r="BZ674" s="116"/>
      <c r="CA674" s="116"/>
      <c r="CB674" s="116"/>
      <c r="CC674" s="116"/>
      <c r="CD674" s="116"/>
      <c r="CE674" s="116"/>
      <c r="CF674" s="116"/>
      <c r="CG674" s="116"/>
      <c r="CH674" s="116"/>
      <c r="CI674" s="116"/>
      <c r="CJ674" s="116"/>
      <c r="CK674" s="116"/>
      <c r="CL674" s="116"/>
      <c r="CM674" s="116"/>
      <c r="CN674" s="116"/>
      <c r="CO674" s="116"/>
      <c r="CP674" s="116"/>
      <c r="CQ674" s="116"/>
      <c r="CR674" s="116"/>
      <c r="CS674" s="116"/>
      <c r="CT674" s="116"/>
      <c r="CU674" s="116"/>
      <c r="CV674" s="116"/>
      <c r="CW674" s="116"/>
      <c r="CX674" s="116"/>
      <c r="CY674" s="116"/>
      <c r="CZ674" s="116"/>
      <c r="DA674" s="116"/>
      <c r="DB674" s="116"/>
      <c r="DC674" s="116"/>
      <c r="DD674" s="116"/>
      <c r="DE674" s="116"/>
      <c r="DF674" s="116"/>
      <c r="DG674" s="116"/>
      <c r="DH674" s="116"/>
      <c r="DI674" s="116"/>
      <c r="DJ674" s="116"/>
      <c r="DK674" s="116"/>
      <c r="DL674" s="116"/>
      <c r="DM674" s="116"/>
      <c r="DN674" s="116"/>
      <c r="DO674" s="116"/>
      <c r="DP674" s="116"/>
      <c r="DQ674" s="116"/>
      <c r="DR674" s="116"/>
      <c r="DS674" s="116"/>
      <c r="DT674" s="116"/>
      <c r="DU674" s="116"/>
      <c r="DV674" s="116"/>
      <c r="DW674" s="116"/>
      <c r="DX674" s="116"/>
      <c r="DY674" s="116"/>
      <c r="DZ674" s="116"/>
      <c r="EA674" s="116"/>
      <c r="EB674" s="116"/>
    </row>
    <row r="675" spans="36:132" ht="12.75" hidden="1" customHeight="1">
      <c r="AJ675" s="116"/>
      <c r="AK675" s="116"/>
      <c r="AL675" s="116"/>
      <c r="AM675" s="116"/>
      <c r="AN675" s="116"/>
      <c r="AO675" s="116"/>
      <c r="AP675" s="116"/>
      <c r="AS675" s="116"/>
      <c r="AT675" s="116"/>
      <c r="BQ675" s="116"/>
      <c r="BR675" s="116"/>
      <c r="BS675" s="116"/>
      <c r="BT675" s="116"/>
      <c r="BU675" s="116"/>
      <c r="BV675" s="116"/>
      <c r="BW675" s="116"/>
      <c r="BX675" s="116"/>
      <c r="BY675" s="116"/>
      <c r="BZ675" s="116"/>
      <c r="CA675" s="116"/>
      <c r="CB675" s="116"/>
      <c r="CC675" s="116"/>
      <c r="CD675" s="116"/>
      <c r="CE675" s="116"/>
      <c r="CF675" s="116"/>
      <c r="CG675" s="116"/>
      <c r="CH675" s="116"/>
      <c r="CI675" s="116"/>
      <c r="CJ675" s="116"/>
      <c r="CK675" s="116"/>
      <c r="CL675" s="116"/>
      <c r="CM675" s="116"/>
      <c r="CN675" s="116"/>
      <c r="CO675" s="116"/>
      <c r="CP675" s="116"/>
      <c r="CQ675" s="116"/>
      <c r="CR675" s="116"/>
      <c r="CS675" s="116"/>
      <c r="CT675" s="116"/>
      <c r="CU675" s="116"/>
      <c r="CV675" s="116"/>
      <c r="CW675" s="116"/>
      <c r="CX675" s="116"/>
      <c r="CY675" s="116"/>
      <c r="CZ675" s="116"/>
      <c r="DA675" s="116"/>
      <c r="DB675" s="116"/>
      <c r="DC675" s="116"/>
      <c r="DD675" s="116"/>
      <c r="DE675" s="116"/>
      <c r="DF675" s="116"/>
      <c r="DG675" s="116"/>
      <c r="DH675" s="116"/>
      <c r="DI675" s="116"/>
      <c r="DJ675" s="116"/>
      <c r="DK675" s="116"/>
      <c r="DL675" s="116"/>
      <c r="DM675" s="116"/>
      <c r="DN675" s="116"/>
      <c r="DO675" s="116"/>
      <c r="DP675" s="116"/>
      <c r="DQ675" s="116"/>
      <c r="DR675" s="116"/>
      <c r="DS675" s="116"/>
      <c r="DT675" s="116"/>
      <c r="DU675" s="116"/>
      <c r="DV675" s="116"/>
      <c r="DW675" s="116"/>
      <c r="DX675" s="116"/>
      <c r="DY675" s="116"/>
      <c r="DZ675" s="116"/>
      <c r="EA675" s="116"/>
      <c r="EB675" s="116"/>
    </row>
    <row r="676" spans="36:132" ht="12.75" hidden="1" customHeight="1">
      <c r="AJ676" s="116"/>
      <c r="AK676" s="116"/>
      <c r="AL676" s="116"/>
      <c r="AM676" s="116"/>
      <c r="AN676" s="116"/>
      <c r="AO676" s="116"/>
      <c r="AP676" s="116"/>
      <c r="AS676" s="116"/>
      <c r="AT676" s="116"/>
      <c r="BQ676" s="116"/>
      <c r="BR676" s="116"/>
      <c r="BS676" s="116"/>
      <c r="BT676" s="116"/>
      <c r="BU676" s="116"/>
      <c r="BV676" s="116"/>
      <c r="BW676" s="116"/>
      <c r="BX676" s="116"/>
      <c r="BY676" s="116"/>
      <c r="BZ676" s="116"/>
      <c r="CA676" s="116"/>
      <c r="CB676" s="116"/>
      <c r="CC676" s="116"/>
      <c r="CD676" s="116"/>
      <c r="CE676" s="116"/>
      <c r="CF676" s="116"/>
      <c r="CG676" s="116"/>
      <c r="CH676" s="116"/>
      <c r="CI676" s="116"/>
      <c r="CJ676" s="116"/>
      <c r="CK676" s="116"/>
      <c r="CL676" s="116"/>
      <c r="CM676" s="116"/>
      <c r="CN676" s="116"/>
      <c r="CO676" s="116"/>
      <c r="CP676" s="116"/>
      <c r="CQ676" s="116"/>
      <c r="CR676" s="116"/>
      <c r="CS676" s="116"/>
      <c r="CT676" s="116"/>
      <c r="CU676" s="116"/>
      <c r="CV676" s="116"/>
      <c r="CW676" s="116"/>
      <c r="CX676" s="116"/>
      <c r="CY676" s="116"/>
      <c r="CZ676" s="116"/>
      <c r="DA676" s="116"/>
      <c r="DB676" s="116"/>
      <c r="DC676" s="116"/>
      <c r="DD676" s="116"/>
      <c r="DE676" s="116"/>
      <c r="DF676" s="116"/>
      <c r="DG676" s="116"/>
      <c r="DH676" s="116"/>
      <c r="DI676" s="116"/>
      <c r="DJ676" s="116"/>
      <c r="DK676" s="116"/>
      <c r="DL676" s="116"/>
      <c r="DM676" s="116"/>
      <c r="DN676" s="116"/>
      <c r="DO676" s="116"/>
      <c r="DP676" s="116"/>
      <c r="DQ676" s="116"/>
      <c r="DR676" s="116"/>
      <c r="DS676" s="116"/>
      <c r="DT676" s="116"/>
      <c r="DU676" s="116"/>
      <c r="DV676" s="116"/>
      <c r="DW676" s="116"/>
      <c r="DX676" s="116"/>
      <c r="DY676" s="116"/>
      <c r="DZ676" s="116"/>
      <c r="EA676" s="116"/>
      <c r="EB676" s="116"/>
    </row>
    <row r="677" spans="36:132" ht="12.75" hidden="1" customHeight="1">
      <c r="AJ677" s="116"/>
      <c r="AK677" s="116"/>
      <c r="AL677" s="116"/>
      <c r="AM677" s="116"/>
      <c r="AN677" s="116"/>
      <c r="AO677" s="116"/>
      <c r="AP677" s="116"/>
      <c r="AS677" s="116"/>
      <c r="AT677" s="116"/>
      <c r="BQ677" s="116"/>
      <c r="BR677" s="116"/>
      <c r="BS677" s="116"/>
      <c r="BT677" s="116"/>
      <c r="BU677" s="116"/>
      <c r="BV677" s="116"/>
      <c r="BW677" s="116"/>
      <c r="BX677" s="116"/>
      <c r="BY677" s="116"/>
      <c r="BZ677" s="116"/>
      <c r="CA677" s="116"/>
      <c r="CB677" s="116"/>
      <c r="CC677" s="116"/>
      <c r="CD677" s="116"/>
      <c r="CE677" s="116"/>
      <c r="CF677" s="116"/>
      <c r="CG677" s="116"/>
      <c r="CH677" s="116"/>
      <c r="CI677" s="116"/>
      <c r="CJ677" s="116"/>
      <c r="CK677" s="116"/>
      <c r="CL677" s="116"/>
      <c r="CM677" s="116"/>
      <c r="CN677" s="116"/>
      <c r="CO677" s="116"/>
      <c r="CP677" s="116"/>
      <c r="CQ677" s="116"/>
      <c r="CR677" s="116"/>
      <c r="CS677" s="116"/>
      <c r="CT677" s="116"/>
      <c r="CU677" s="116"/>
      <c r="CV677" s="116"/>
      <c r="CW677" s="116"/>
      <c r="CX677" s="116"/>
      <c r="CY677" s="116"/>
      <c r="CZ677" s="116"/>
      <c r="DA677" s="116"/>
      <c r="DB677" s="116"/>
      <c r="DC677" s="116"/>
      <c r="DD677" s="116"/>
      <c r="DE677" s="116"/>
      <c r="DF677" s="116"/>
      <c r="DG677" s="116"/>
      <c r="DH677" s="116"/>
      <c r="DI677" s="116"/>
      <c r="DJ677" s="116"/>
      <c r="DK677" s="116"/>
      <c r="DL677" s="116"/>
      <c r="DM677" s="116"/>
      <c r="DN677" s="116"/>
      <c r="DO677" s="116"/>
      <c r="DP677" s="116"/>
      <c r="DQ677" s="116"/>
      <c r="DR677" s="116"/>
      <c r="DS677" s="116"/>
      <c r="DT677" s="116"/>
      <c r="DU677" s="116"/>
      <c r="DV677" s="116"/>
      <c r="DW677" s="116"/>
      <c r="DX677" s="116"/>
      <c r="DY677" s="116"/>
      <c r="DZ677" s="116"/>
      <c r="EA677" s="116"/>
      <c r="EB677" s="116"/>
    </row>
    <row r="678" spans="36:132" ht="12.75" hidden="1" customHeight="1">
      <c r="AJ678" s="116"/>
      <c r="AK678" s="116"/>
      <c r="AL678" s="116"/>
      <c r="AM678" s="116"/>
      <c r="AN678" s="116"/>
      <c r="AO678" s="116"/>
      <c r="AP678" s="116"/>
      <c r="AS678" s="116"/>
      <c r="AT678" s="116"/>
      <c r="BQ678" s="116"/>
      <c r="BR678" s="116"/>
      <c r="BS678" s="116"/>
      <c r="BT678" s="116"/>
      <c r="BU678" s="116"/>
      <c r="BV678" s="116"/>
      <c r="BW678" s="116"/>
      <c r="BX678" s="116"/>
      <c r="BY678" s="116"/>
      <c r="BZ678" s="116"/>
      <c r="CA678" s="116"/>
      <c r="CB678" s="116"/>
      <c r="CC678" s="116"/>
      <c r="CD678" s="116"/>
      <c r="CE678" s="116"/>
      <c r="CF678" s="116"/>
      <c r="CG678" s="116"/>
      <c r="CH678" s="116"/>
      <c r="CI678" s="116"/>
      <c r="CJ678" s="116"/>
      <c r="CK678" s="116"/>
      <c r="CL678" s="116"/>
      <c r="CM678" s="116"/>
      <c r="CN678" s="116"/>
      <c r="CO678" s="116"/>
      <c r="CP678" s="116"/>
      <c r="CQ678" s="116"/>
      <c r="CR678" s="116"/>
      <c r="CS678" s="116"/>
      <c r="CT678" s="116"/>
      <c r="CU678" s="116"/>
      <c r="CV678" s="116"/>
      <c r="CW678" s="116"/>
      <c r="CX678" s="116"/>
      <c r="CY678" s="116"/>
      <c r="CZ678" s="116"/>
      <c r="DA678" s="116"/>
      <c r="DB678" s="116"/>
      <c r="DC678" s="116"/>
      <c r="DD678" s="116"/>
      <c r="DE678" s="116"/>
      <c r="DF678" s="116"/>
      <c r="DG678" s="116"/>
      <c r="DH678" s="116"/>
      <c r="DI678" s="116"/>
      <c r="DJ678" s="116"/>
      <c r="DK678" s="116"/>
      <c r="DL678" s="116"/>
      <c r="DM678" s="116"/>
      <c r="DN678" s="116"/>
      <c r="DO678" s="116"/>
      <c r="DP678" s="116"/>
      <c r="DQ678" s="116"/>
      <c r="DR678" s="116"/>
      <c r="DS678" s="116"/>
      <c r="DT678" s="116"/>
      <c r="DU678" s="116"/>
      <c r="DV678" s="116"/>
      <c r="DW678" s="116"/>
      <c r="DX678" s="116"/>
      <c r="DY678" s="116"/>
      <c r="DZ678" s="116"/>
      <c r="EA678" s="116"/>
      <c r="EB678" s="116"/>
    </row>
    <row r="679" spans="36:132" ht="12.75" hidden="1" customHeight="1">
      <c r="AJ679" s="116"/>
      <c r="AK679" s="116"/>
      <c r="AL679" s="116"/>
      <c r="AM679" s="116"/>
      <c r="AN679" s="116"/>
      <c r="AO679" s="116"/>
      <c r="AP679" s="116"/>
      <c r="AS679" s="116"/>
      <c r="AT679" s="116"/>
      <c r="BQ679" s="116"/>
      <c r="BR679" s="116"/>
      <c r="BS679" s="116"/>
      <c r="BT679" s="116"/>
      <c r="BU679" s="116"/>
      <c r="BV679" s="116"/>
      <c r="BW679" s="116"/>
      <c r="BX679" s="116"/>
      <c r="BY679" s="116"/>
      <c r="BZ679" s="116"/>
      <c r="CA679" s="116"/>
      <c r="CB679" s="116"/>
      <c r="CC679" s="116"/>
      <c r="CD679" s="116"/>
      <c r="CE679" s="116"/>
      <c r="CF679" s="116"/>
      <c r="CG679" s="116"/>
      <c r="CH679" s="116"/>
      <c r="CI679" s="116"/>
      <c r="CJ679" s="116"/>
      <c r="CK679" s="116"/>
      <c r="CL679" s="116"/>
      <c r="CM679" s="116"/>
      <c r="CN679" s="116"/>
      <c r="CO679" s="116"/>
      <c r="CP679" s="116"/>
      <c r="CQ679" s="116"/>
      <c r="CR679" s="116"/>
      <c r="CS679" s="116"/>
      <c r="CT679" s="116"/>
      <c r="CU679" s="116"/>
      <c r="CV679" s="116"/>
      <c r="CW679" s="116"/>
      <c r="CX679" s="116"/>
      <c r="CY679" s="116"/>
      <c r="CZ679" s="116"/>
      <c r="DA679" s="116"/>
      <c r="DB679" s="116"/>
      <c r="DC679" s="116"/>
      <c r="DD679" s="116"/>
      <c r="DE679" s="116"/>
      <c r="DF679" s="116"/>
      <c r="DG679" s="116"/>
      <c r="DH679" s="116"/>
      <c r="DI679" s="116"/>
      <c r="DJ679" s="116"/>
      <c r="DK679" s="116"/>
      <c r="DL679" s="116"/>
      <c r="DM679" s="116"/>
      <c r="DN679" s="116"/>
      <c r="DO679" s="116"/>
      <c r="DP679" s="116"/>
      <c r="DQ679" s="116"/>
      <c r="DR679" s="116"/>
      <c r="DS679" s="116"/>
      <c r="DT679" s="116"/>
      <c r="DU679" s="116"/>
      <c r="DV679" s="116"/>
      <c r="DW679" s="116"/>
      <c r="DX679" s="116"/>
      <c r="DY679" s="116"/>
      <c r="DZ679" s="116"/>
      <c r="EA679" s="116"/>
      <c r="EB679" s="116"/>
    </row>
    <row r="680" spans="36:132" ht="12.75" hidden="1" customHeight="1">
      <c r="AJ680" s="116"/>
      <c r="AK680" s="116"/>
      <c r="AL680" s="116"/>
      <c r="AM680" s="116"/>
      <c r="AN680" s="116"/>
      <c r="AO680" s="116"/>
      <c r="AP680" s="116"/>
      <c r="AS680" s="116"/>
      <c r="AT680" s="116"/>
      <c r="BQ680" s="116"/>
      <c r="BR680" s="116"/>
      <c r="BS680" s="116"/>
      <c r="BT680" s="116"/>
      <c r="BU680" s="116"/>
      <c r="BV680" s="116"/>
      <c r="BW680" s="116"/>
      <c r="BX680" s="116"/>
      <c r="BY680" s="116"/>
      <c r="BZ680" s="116"/>
      <c r="CA680" s="116"/>
      <c r="CB680" s="116"/>
      <c r="CC680" s="116"/>
      <c r="CD680" s="116"/>
      <c r="CE680" s="116"/>
      <c r="CF680" s="116"/>
      <c r="CG680" s="116"/>
      <c r="CH680" s="116"/>
      <c r="CI680" s="116"/>
      <c r="CJ680" s="116"/>
      <c r="CK680" s="116"/>
      <c r="CL680" s="116"/>
      <c r="CM680" s="116"/>
      <c r="CN680" s="116"/>
      <c r="CO680" s="116"/>
      <c r="CP680" s="116"/>
      <c r="CQ680" s="116"/>
      <c r="CR680" s="116"/>
      <c r="CS680" s="116"/>
      <c r="CT680" s="116"/>
      <c r="CU680" s="116"/>
      <c r="CV680" s="116"/>
      <c r="CW680" s="116"/>
      <c r="CX680" s="116"/>
      <c r="CY680" s="116"/>
      <c r="CZ680" s="116"/>
      <c r="DA680" s="116"/>
      <c r="DB680" s="116"/>
      <c r="DC680" s="116"/>
      <c r="DD680" s="116"/>
      <c r="DE680" s="116"/>
      <c r="DF680" s="116"/>
      <c r="DG680" s="116"/>
      <c r="DH680" s="116"/>
      <c r="DI680" s="116"/>
      <c r="DJ680" s="116"/>
      <c r="DK680" s="116"/>
      <c r="DL680" s="116"/>
      <c r="DM680" s="116"/>
      <c r="DN680" s="116"/>
      <c r="DO680" s="116"/>
      <c r="DP680" s="116"/>
      <c r="DQ680" s="116"/>
      <c r="DR680" s="116"/>
      <c r="DS680" s="116"/>
      <c r="DT680" s="116"/>
      <c r="DU680" s="116"/>
      <c r="DV680" s="116"/>
      <c r="DW680" s="116"/>
      <c r="DX680" s="116"/>
      <c r="DY680" s="116"/>
      <c r="DZ680" s="116"/>
      <c r="EA680" s="116"/>
      <c r="EB680" s="116"/>
    </row>
    <row r="681" spans="36:132" ht="12.75" hidden="1" customHeight="1">
      <c r="AJ681" s="116"/>
      <c r="AK681" s="116"/>
      <c r="AL681" s="116"/>
      <c r="AM681" s="116"/>
      <c r="AN681" s="116"/>
      <c r="AO681" s="116"/>
      <c r="AP681" s="116"/>
      <c r="AS681" s="116"/>
      <c r="AT681" s="116"/>
      <c r="BQ681" s="116"/>
      <c r="BR681" s="116"/>
      <c r="BS681" s="116"/>
      <c r="BT681" s="116"/>
      <c r="BU681" s="116"/>
      <c r="BV681" s="116"/>
      <c r="BW681" s="116"/>
      <c r="BX681" s="116"/>
      <c r="BY681" s="116"/>
      <c r="BZ681" s="116"/>
      <c r="CA681" s="116"/>
      <c r="CB681" s="116"/>
      <c r="CC681" s="116"/>
      <c r="CD681" s="116"/>
      <c r="CE681" s="116"/>
      <c r="CF681" s="116"/>
      <c r="CG681" s="116"/>
      <c r="CH681" s="116"/>
      <c r="CI681" s="116"/>
      <c r="CJ681" s="116"/>
      <c r="CK681" s="116"/>
      <c r="CL681" s="116"/>
      <c r="CM681" s="116"/>
      <c r="CN681" s="116"/>
      <c r="CO681" s="116"/>
      <c r="CP681" s="116"/>
      <c r="CQ681" s="116"/>
      <c r="CR681" s="116"/>
      <c r="CS681" s="116"/>
      <c r="CT681" s="116"/>
      <c r="CU681" s="116"/>
      <c r="CV681" s="116"/>
      <c r="CW681" s="116"/>
      <c r="CX681" s="116"/>
      <c r="CY681" s="116"/>
      <c r="CZ681" s="116"/>
      <c r="DA681" s="116"/>
      <c r="DB681" s="116"/>
      <c r="DC681" s="116"/>
      <c r="DD681" s="116"/>
      <c r="DE681" s="116"/>
      <c r="DF681" s="116"/>
      <c r="DG681" s="116"/>
      <c r="DH681" s="116"/>
      <c r="DI681" s="116"/>
      <c r="DJ681" s="116"/>
      <c r="DK681" s="116"/>
      <c r="DL681" s="116"/>
      <c r="DM681" s="116"/>
      <c r="DN681" s="116"/>
      <c r="DO681" s="116"/>
      <c r="DP681" s="116"/>
      <c r="DQ681" s="116"/>
      <c r="DR681" s="116"/>
      <c r="DS681" s="116"/>
      <c r="DT681" s="116"/>
      <c r="DU681" s="116"/>
      <c r="DV681" s="116"/>
      <c r="DW681" s="116"/>
      <c r="DX681" s="116"/>
      <c r="DY681" s="116"/>
      <c r="DZ681" s="116"/>
      <c r="EA681" s="116"/>
      <c r="EB681" s="116"/>
    </row>
    <row r="682" spans="36:132" ht="12.75" hidden="1" customHeight="1">
      <c r="AJ682" s="116"/>
      <c r="AK682" s="116"/>
      <c r="AL682" s="116"/>
      <c r="AM682" s="116"/>
      <c r="AN682" s="116"/>
      <c r="AO682" s="116"/>
      <c r="AP682" s="116"/>
      <c r="AS682" s="116"/>
      <c r="AT682" s="116"/>
      <c r="BQ682" s="116"/>
      <c r="BR682" s="116"/>
      <c r="BS682" s="116"/>
      <c r="BT682" s="116"/>
      <c r="BU682" s="116"/>
      <c r="BV682" s="116"/>
      <c r="BW682" s="116"/>
      <c r="BX682" s="116"/>
      <c r="BY682" s="116"/>
      <c r="BZ682" s="116"/>
      <c r="CA682" s="116"/>
      <c r="CB682" s="116"/>
      <c r="CC682" s="116"/>
      <c r="CD682" s="116"/>
      <c r="CE682" s="116"/>
      <c r="CF682" s="116"/>
      <c r="CG682" s="116"/>
      <c r="CH682" s="116"/>
      <c r="CI682" s="116"/>
      <c r="CJ682" s="116"/>
      <c r="CK682" s="116"/>
      <c r="CL682" s="116"/>
      <c r="CM682" s="116"/>
      <c r="CN682" s="116"/>
      <c r="CO682" s="116"/>
      <c r="CP682" s="116"/>
      <c r="CQ682" s="116"/>
      <c r="CR682" s="116"/>
      <c r="CS682" s="116"/>
      <c r="CT682" s="116"/>
      <c r="CU682" s="116"/>
      <c r="CV682" s="116"/>
      <c r="CW682" s="116"/>
      <c r="CX682" s="116"/>
      <c r="CY682" s="116"/>
      <c r="CZ682" s="116"/>
      <c r="DA682" s="116"/>
      <c r="DB682" s="116"/>
      <c r="DC682" s="116"/>
      <c r="DD682" s="116"/>
      <c r="DE682" s="116"/>
      <c r="DF682" s="116"/>
      <c r="DG682" s="116"/>
      <c r="DH682" s="116"/>
      <c r="DI682" s="116"/>
      <c r="DJ682" s="116"/>
      <c r="DK682" s="116"/>
      <c r="DL682" s="116"/>
      <c r="DM682" s="116"/>
      <c r="DN682" s="116"/>
      <c r="DO682" s="116"/>
      <c r="DP682" s="116"/>
      <c r="DQ682" s="116"/>
      <c r="DR682" s="116"/>
      <c r="DS682" s="116"/>
      <c r="DT682" s="116"/>
      <c r="DU682" s="116"/>
      <c r="DV682" s="116"/>
      <c r="DW682" s="116"/>
      <c r="DX682" s="116"/>
      <c r="DY682" s="116"/>
      <c r="DZ682" s="116"/>
      <c r="EA682" s="116"/>
      <c r="EB682" s="116"/>
    </row>
    <row r="683" spans="36:132" ht="12.75" hidden="1" customHeight="1">
      <c r="AJ683" s="116"/>
      <c r="AK683" s="116"/>
      <c r="AL683" s="116"/>
      <c r="AM683" s="116"/>
      <c r="AN683" s="116"/>
      <c r="AO683" s="116"/>
      <c r="AP683" s="116"/>
      <c r="AS683" s="116"/>
      <c r="AT683" s="116"/>
      <c r="BQ683" s="116"/>
      <c r="BR683" s="116"/>
      <c r="BS683" s="116"/>
      <c r="BT683" s="116"/>
      <c r="BU683" s="116"/>
      <c r="BV683" s="116"/>
      <c r="BW683" s="116"/>
      <c r="BX683" s="116"/>
      <c r="BY683" s="116"/>
      <c r="BZ683" s="116"/>
      <c r="CA683" s="116"/>
      <c r="CB683" s="116"/>
      <c r="CC683" s="116"/>
      <c r="CD683" s="116"/>
      <c r="CE683" s="116"/>
      <c r="CF683" s="116"/>
      <c r="CG683" s="116"/>
      <c r="CH683" s="116"/>
      <c r="CI683" s="116"/>
      <c r="CJ683" s="116"/>
      <c r="CK683" s="116"/>
      <c r="CL683" s="116"/>
      <c r="CM683" s="116"/>
      <c r="CN683" s="116"/>
      <c r="CO683" s="116"/>
      <c r="CP683" s="116"/>
      <c r="CQ683" s="116"/>
      <c r="CR683" s="116"/>
      <c r="CS683" s="116"/>
      <c r="CT683" s="116"/>
      <c r="CU683" s="116"/>
      <c r="CV683" s="116"/>
      <c r="CW683" s="116"/>
      <c r="CX683" s="116"/>
      <c r="CY683" s="116"/>
      <c r="CZ683" s="116"/>
      <c r="DA683" s="116"/>
      <c r="DB683" s="116"/>
      <c r="DC683" s="116"/>
      <c r="DD683" s="116"/>
      <c r="DE683" s="116"/>
      <c r="DF683" s="116"/>
      <c r="DG683" s="116"/>
      <c r="DH683" s="116"/>
      <c r="DI683" s="116"/>
      <c r="DJ683" s="116"/>
      <c r="DK683" s="116"/>
      <c r="DL683" s="116"/>
      <c r="DM683" s="116"/>
      <c r="DN683" s="116"/>
      <c r="DO683" s="116"/>
      <c r="DP683" s="116"/>
      <c r="DQ683" s="116"/>
      <c r="DR683" s="116"/>
      <c r="DS683" s="116"/>
      <c r="DT683" s="116"/>
      <c r="DU683" s="116"/>
      <c r="DV683" s="116"/>
      <c r="DW683" s="116"/>
      <c r="DX683" s="116"/>
      <c r="DY683" s="116"/>
      <c r="DZ683" s="116"/>
      <c r="EA683" s="116"/>
      <c r="EB683" s="116"/>
    </row>
    <row r="684" spans="36:132" ht="12.75" hidden="1" customHeight="1">
      <c r="AJ684" s="116"/>
      <c r="AK684" s="116"/>
      <c r="AL684" s="116"/>
      <c r="AM684" s="116"/>
      <c r="AN684" s="116"/>
      <c r="AO684" s="116"/>
      <c r="AP684" s="116"/>
      <c r="AS684" s="116"/>
      <c r="AT684" s="116"/>
      <c r="BQ684" s="116"/>
      <c r="BR684" s="116"/>
      <c r="BS684" s="116"/>
      <c r="BT684" s="116"/>
      <c r="BU684" s="116"/>
      <c r="BV684" s="116"/>
      <c r="BW684" s="116"/>
      <c r="BX684" s="116"/>
      <c r="BY684" s="116"/>
      <c r="BZ684" s="116"/>
      <c r="CA684" s="116"/>
      <c r="CB684" s="116"/>
      <c r="CC684" s="116"/>
      <c r="CD684" s="116"/>
      <c r="CE684" s="116"/>
      <c r="CF684" s="116"/>
      <c r="CG684" s="116"/>
      <c r="CH684" s="116"/>
      <c r="CI684" s="116"/>
      <c r="CJ684" s="116"/>
      <c r="CK684" s="116"/>
      <c r="CL684" s="116"/>
      <c r="CM684" s="116"/>
      <c r="CN684" s="116"/>
      <c r="CO684" s="116"/>
      <c r="CP684" s="116"/>
      <c r="CQ684" s="116"/>
      <c r="CR684" s="116"/>
      <c r="CS684" s="116"/>
      <c r="CT684" s="116"/>
      <c r="CU684" s="116"/>
      <c r="CV684" s="116"/>
      <c r="CW684" s="116"/>
      <c r="CX684" s="116"/>
      <c r="CY684" s="116"/>
      <c r="CZ684" s="116"/>
      <c r="DA684" s="116"/>
      <c r="DB684" s="116"/>
      <c r="DC684" s="116"/>
      <c r="DD684" s="116"/>
      <c r="DE684" s="116"/>
      <c r="DF684" s="116"/>
      <c r="DG684" s="116"/>
      <c r="DH684" s="116"/>
      <c r="DI684" s="116"/>
      <c r="DJ684" s="116"/>
      <c r="DK684" s="116"/>
      <c r="DL684" s="116"/>
      <c r="DM684" s="116"/>
      <c r="DN684" s="116"/>
      <c r="DO684" s="116"/>
      <c r="DP684" s="116"/>
      <c r="DQ684" s="116"/>
      <c r="DR684" s="116"/>
      <c r="DS684" s="116"/>
      <c r="DT684" s="116"/>
      <c r="DU684" s="116"/>
      <c r="DV684" s="116"/>
      <c r="DW684" s="116"/>
      <c r="DX684" s="116"/>
      <c r="DY684" s="116"/>
      <c r="DZ684" s="116"/>
      <c r="EA684" s="116"/>
      <c r="EB684" s="116"/>
    </row>
    <row r="685" spans="36:132" ht="12.75" hidden="1" customHeight="1">
      <c r="AJ685" s="116"/>
      <c r="AK685" s="116"/>
      <c r="AL685" s="116"/>
      <c r="AM685" s="116"/>
      <c r="AN685" s="116"/>
      <c r="AO685" s="116"/>
      <c r="AP685" s="116"/>
      <c r="AS685" s="116"/>
      <c r="AT685" s="116"/>
      <c r="BQ685" s="116"/>
      <c r="BR685" s="116"/>
      <c r="BS685" s="116"/>
      <c r="BT685" s="116"/>
      <c r="BU685" s="116"/>
      <c r="BV685" s="116"/>
      <c r="BW685" s="116"/>
      <c r="BX685" s="116"/>
      <c r="BY685" s="116"/>
      <c r="BZ685" s="116"/>
      <c r="CA685" s="116"/>
      <c r="CB685" s="116"/>
      <c r="CC685" s="116"/>
      <c r="CD685" s="116"/>
      <c r="CE685" s="116"/>
      <c r="CF685" s="116"/>
      <c r="CG685" s="116"/>
      <c r="CH685" s="116"/>
      <c r="CI685" s="116"/>
      <c r="CJ685" s="116"/>
      <c r="CK685" s="116"/>
      <c r="CL685" s="116"/>
      <c r="CM685" s="116"/>
      <c r="CN685" s="116"/>
      <c r="CO685" s="116"/>
      <c r="CP685" s="116"/>
      <c r="CQ685" s="116"/>
      <c r="CR685" s="116"/>
      <c r="CS685" s="116"/>
      <c r="CT685" s="116"/>
      <c r="CU685" s="116"/>
      <c r="CV685" s="116"/>
      <c r="CW685" s="116"/>
      <c r="CX685" s="116"/>
      <c r="CY685" s="116"/>
      <c r="CZ685" s="116"/>
      <c r="DA685" s="116"/>
      <c r="DB685" s="116"/>
      <c r="DC685" s="116"/>
      <c r="DD685" s="116"/>
      <c r="DE685" s="116"/>
      <c r="DF685" s="116"/>
      <c r="DG685" s="116"/>
      <c r="DH685" s="116"/>
      <c r="DI685" s="116"/>
      <c r="DJ685" s="116"/>
      <c r="DK685" s="116"/>
      <c r="DL685" s="116"/>
      <c r="DM685" s="116"/>
      <c r="DN685" s="116"/>
      <c r="DO685" s="116"/>
      <c r="DP685" s="116"/>
      <c r="DQ685" s="116"/>
      <c r="DR685" s="116"/>
      <c r="DS685" s="116"/>
      <c r="DT685" s="116"/>
      <c r="DU685" s="116"/>
      <c r="DV685" s="116"/>
      <c r="DW685" s="116"/>
      <c r="DX685" s="116"/>
      <c r="DY685" s="116"/>
      <c r="DZ685" s="116"/>
      <c r="EA685" s="116"/>
      <c r="EB685" s="116"/>
    </row>
    <row r="686" spans="36:132" ht="12.75" hidden="1" customHeight="1"/>
    <row r="687" spans="36:132" ht="12.75" hidden="1" customHeight="1"/>
    <row r="688" spans="36:132" ht="12.75" hidden="1" customHeight="1"/>
    <row r="689" spans="3:34" ht="12.75" hidden="1" customHeight="1"/>
    <row r="690" spans="3:34" ht="12.75" hidden="1" customHeight="1"/>
    <row r="691" spans="3:34" ht="12.75" hidden="1" customHeight="1"/>
    <row r="692" spans="3:34" ht="12.75" hidden="1" customHeight="1"/>
    <row r="693" spans="3:34" ht="12.75" hidden="1" customHeight="1"/>
    <row r="694" spans="3:34" ht="12.75" hidden="1" customHeight="1"/>
    <row r="695" spans="3:34" ht="12.75" hidden="1" customHeight="1"/>
    <row r="696" spans="3:34" ht="12.75" hidden="1" customHeight="1">
      <c r="C696" s="312"/>
      <c r="D696" s="312"/>
      <c r="E696" s="312"/>
      <c r="F696" s="312"/>
      <c r="G696" s="312"/>
      <c r="H696" s="312"/>
      <c r="I696" s="312"/>
      <c r="J696" s="312"/>
      <c r="K696" s="312"/>
      <c r="L696" s="312"/>
      <c r="M696" s="312"/>
      <c r="N696" s="312"/>
      <c r="O696" s="312"/>
      <c r="P696" s="312"/>
      <c r="Q696" s="312"/>
      <c r="R696" s="312"/>
      <c r="S696" s="312"/>
      <c r="T696" s="312"/>
      <c r="U696" s="312"/>
      <c r="V696" s="312"/>
      <c r="W696" s="312"/>
      <c r="X696" s="312"/>
      <c r="Y696" s="312"/>
      <c r="Z696" s="312"/>
      <c r="AA696" s="312"/>
      <c r="AB696" s="312"/>
      <c r="AC696" s="312"/>
      <c r="AD696" s="312"/>
      <c r="AE696" s="312"/>
      <c r="AF696" s="312"/>
      <c r="AG696" s="312"/>
    </row>
    <row r="697" spans="3:34" ht="12.75" hidden="1" customHeight="1">
      <c r="C697" s="312"/>
      <c r="D697" s="312"/>
      <c r="E697" s="312"/>
      <c r="F697" s="312"/>
      <c r="G697" s="312"/>
      <c r="H697" s="312"/>
      <c r="I697" s="312"/>
      <c r="J697" s="312"/>
      <c r="K697" s="312"/>
      <c r="L697" s="312"/>
      <c r="M697" s="312"/>
      <c r="N697" s="312"/>
      <c r="O697" s="312"/>
      <c r="P697" s="312"/>
      <c r="Q697" s="312"/>
      <c r="R697" s="312"/>
      <c r="S697" s="312"/>
      <c r="T697" s="312"/>
      <c r="U697" s="312"/>
      <c r="V697" s="312"/>
      <c r="W697" s="312"/>
      <c r="X697" s="312"/>
      <c r="Y697" s="312"/>
      <c r="Z697" s="312"/>
      <c r="AA697" s="312"/>
      <c r="AB697" s="312"/>
      <c r="AC697" s="312"/>
      <c r="AD697" s="312"/>
      <c r="AE697" s="312"/>
      <c r="AF697" s="312"/>
      <c r="AG697" s="312"/>
    </row>
    <row r="698" spans="3:34" ht="12.75" hidden="1" customHeight="1">
      <c r="C698" s="312"/>
      <c r="D698" s="312"/>
      <c r="E698" s="312"/>
      <c r="F698" s="312"/>
      <c r="G698" s="312"/>
      <c r="H698" s="312"/>
      <c r="I698" s="312"/>
      <c r="J698" s="312"/>
      <c r="K698" s="312"/>
      <c r="L698" s="312"/>
      <c r="M698" s="312"/>
      <c r="N698" s="312"/>
      <c r="O698" s="312"/>
      <c r="P698" s="312"/>
      <c r="Q698" s="312"/>
      <c r="R698" s="312"/>
      <c r="S698" s="312"/>
      <c r="T698" s="312"/>
      <c r="U698" s="312"/>
      <c r="V698" s="312"/>
      <c r="W698" s="312"/>
      <c r="X698" s="312"/>
      <c r="Y698" s="312"/>
      <c r="Z698" s="312"/>
      <c r="AA698" s="312"/>
      <c r="AB698" s="312"/>
      <c r="AC698" s="312"/>
      <c r="AD698" s="312"/>
      <c r="AE698" s="312"/>
      <c r="AF698" s="312"/>
      <c r="AG698" s="312"/>
    </row>
    <row r="699" spans="3:34" ht="12.75" hidden="1" customHeight="1">
      <c r="C699" s="312"/>
      <c r="D699" s="312"/>
      <c r="E699" s="312"/>
      <c r="F699" s="312"/>
      <c r="G699" s="312"/>
      <c r="H699" s="312"/>
      <c r="I699" s="312"/>
      <c r="J699" s="312"/>
      <c r="K699" s="312"/>
      <c r="L699" s="312"/>
      <c r="M699" s="312"/>
      <c r="N699" s="312"/>
      <c r="O699" s="312"/>
      <c r="P699" s="312"/>
      <c r="Q699" s="312"/>
      <c r="R699" s="312"/>
      <c r="S699" s="312"/>
      <c r="T699" s="312"/>
      <c r="U699" s="312"/>
      <c r="V699" s="312"/>
      <c r="W699" s="312"/>
      <c r="X699" s="312"/>
      <c r="Y699" s="312"/>
      <c r="Z699" s="312"/>
      <c r="AA699" s="312"/>
      <c r="AB699" s="312"/>
      <c r="AC699" s="312"/>
      <c r="AD699" s="312"/>
      <c r="AE699" s="312"/>
      <c r="AF699" s="312"/>
      <c r="AG699" s="312"/>
    </row>
    <row r="700" spans="3:34" ht="12.75" hidden="1" customHeight="1"/>
    <row r="701" spans="3:34" ht="12.75" hidden="1" customHeight="1">
      <c r="AH701" s="312"/>
    </row>
    <row r="702" spans="3:34" ht="12.75" hidden="1" customHeight="1">
      <c r="AH702" s="312"/>
    </row>
    <row r="703" spans="3:34" ht="12.75" hidden="1" customHeight="1">
      <c r="AH703" s="312"/>
    </row>
    <row r="704" spans="3:34" ht="12.75" hidden="1" customHeight="1">
      <c r="AH704" s="312"/>
    </row>
    <row r="705" ht="12.75" hidden="1" customHeight="1"/>
  </sheetData>
  <sheetProtection password="FDA0" sheet="1" objects="1" scenarios="1" selectLockedCells="1"/>
  <customSheetViews>
    <customSheetView guid="{ECC7F292-CCD5-4095-898F-E1B6A0658540}" showGridLines="0" fitToPage="1" hiddenRows="1" hiddenColumns="1" showRuler="0" topLeftCell="B6">
      <selection activeCell="J41" sqref="J41:Q41"/>
      <pageMargins left="0.19685039370078741" right="0.19685039370078741" top="0.19685039370078741" bottom="0.19685039370078741" header="0" footer="0"/>
      <printOptions horizontalCentered="1" verticalCentered="1"/>
      <pageSetup scale="68" orientation="portrait"/>
      <headerFooter alignWithMargins="0"/>
    </customSheetView>
  </customSheetViews>
  <mergeCells count="532">
    <mergeCell ref="AC55:AG55"/>
    <mergeCell ref="T11:W11"/>
    <mergeCell ref="T24:X24"/>
    <mergeCell ref="AA24:AE24"/>
    <mergeCell ref="AC50:AG50"/>
    <mergeCell ref="AC51:AG51"/>
    <mergeCell ref="AC34:AG34"/>
    <mergeCell ref="AC35:AG35"/>
    <mergeCell ref="T21:X21"/>
    <mergeCell ref="AC53:AG53"/>
    <mergeCell ref="AC46:AG46"/>
    <mergeCell ref="AC47:AG47"/>
    <mergeCell ref="AC48:AG48"/>
    <mergeCell ref="AC49:AG49"/>
    <mergeCell ref="AC42:AG42"/>
    <mergeCell ref="AC43:AG43"/>
    <mergeCell ref="X44:AB44"/>
    <mergeCell ref="X45:AB45"/>
    <mergeCell ref="X46:AB46"/>
    <mergeCell ref="AC52:AG52"/>
    <mergeCell ref="AA21:AE21"/>
    <mergeCell ref="AC38:AG38"/>
    <mergeCell ref="AC39:AG39"/>
    <mergeCell ref="X39:AB39"/>
    <mergeCell ref="X40:AB40"/>
    <mergeCell ref="X41:AB41"/>
    <mergeCell ref="X42:AB42"/>
    <mergeCell ref="AC40:AG40"/>
    <mergeCell ref="AC41:AG41"/>
    <mergeCell ref="AC44:AG44"/>
    <mergeCell ref="AC45:AG45"/>
    <mergeCell ref="T42:W42"/>
    <mergeCell ref="T43:W43"/>
    <mergeCell ref="P39:S39"/>
    <mergeCell ref="P40:S40"/>
    <mergeCell ref="P41:S41"/>
    <mergeCell ref="P42:S42"/>
    <mergeCell ref="X54:AB54"/>
    <mergeCell ref="X47:AB47"/>
    <mergeCell ref="X48:AB48"/>
    <mergeCell ref="X49:AB49"/>
    <mergeCell ref="X50:AB50"/>
    <mergeCell ref="X52:AB52"/>
    <mergeCell ref="X53:AB53"/>
    <mergeCell ref="T44:W44"/>
    <mergeCell ref="T45:W45"/>
    <mergeCell ref="T52:W52"/>
    <mergeCell ref="T53:W53"/>
    <mergeCell ref="T46:W46"/>
    <mergeCell ref="T47:W47"/>
    <mergeCell ref="T48:W48"/>
    <mergeCell ref="T49:W49"/>
    <mergeCell ref="T50:W50"/>
    <mergeCell ref="T51:W51"/>
    <mergeCell ref="X51:AB51"/>
    <mergeCell ref="P51:S51"/>
    <mergeCell ref="P52:S52"/>
    <mergeCell ref="P43:S43"/>
    <mergeCell ref="P44:S44"/>
    <mergeCell ref="P45:S45"/>
    <mergeCell ref="P46:S46"/>
    <mergeCell ref="K47:O47"/>
    <mergeCell ref="K57:O57"/>
    <mergeCell ref="K56:O56"/>
    <mergeCell ref="K50:O50"/>
    <mergeCell ref="K51:O51"/>
    <mergeCell ref="K52:O52"/>
    <mergeCell ref="K53:O53"/>
    <mergeCell ref="K48:O48"/>
    <mergeCell ref="K49:O49"/>
    <mergeCell ref="P53:S53"/>
    <mergeCell ref="P54:S54"/>
    <mergeCell ref="P47:S47"/>
    <mergeCell ref="P48:S48"/>
    <mergeCell ref="P49:S49"/>
    <mergeCell ref="P50:S50"/>
    <mergeCell ref="G52:J52"/>
    <mergeCell ref="G40:J40"/>
    <mergeCell ref="G41:J41"/>
    <mergeCell ref="G42:J42"/>
    <mergeCell ref="G43:J43"/>
    <mergeCell ref="G36:J36"/>
    <mergeCell ref="G37:J37"/>
    <mergeCell ref="G38:J38"/>
    <mergeCell ref="G39:J39"/>
    <mergeCell ref="G44:J44"/>
    <mergeCell ref="G48:J48"/>
    <mergeCell ref="G49:J49"/>
    <mergeCell ref="G50:J50"/>
    <mergeCell ref="G51:J51"/>
    <mergeCell ref="G46:J46"/>
    <mergeCell ref="G47:J47"/>
    <mergeCell ref="K41:O41"/>
    <mergeCell ref="K34:O34"/>
    <mergeCell ref="K35:O35"/>
    <mergeCell ref="K36:O36"/>
    <mergeCell ref="K37:O37"/>
    <mergeCell ref="G45:J45"/>
    <mergeCell ref="K42:O42"/>
    <mergeCell ref="K43:O43"/>
    <mergeCell ref="K44:O44"/>
    <mergeCell ref="K45:O45"/>
    <mergeCell ref="K46:O46"/>
    <mergeCell ref="K38:O38"/>
    <mergeCell ref="K39:O39"/>
    <mergeCell ref="K40:O40"/>
    <mergeCell ref="E41:F41"/>
    <mergeCell ref="C53:D53"/>
    <mergeCell ref="C46:D46"/>
    <mergeCell ref="C47:D47"/>
    <mergeCell ref="C48:D48"/>
    <mergeCell ref="C49:D49"/>
    <mergeCell ref="C50:D50"/>
    <mergeCell ref="C51:D51"/>
    <mergeCell ref="C52:D52"/>
    <mergeCell ref="C42:D42"/>
    <mergeCell ref="C43:D43"/>
    <mergeCell ref="C44:D44"/>
    <mergeCell ref="C45:D45"/>
    <mergeCell ref="C41:D41"/>
    <mergeCell ref="E53:F53"/>
    <mergeCell ref="E47:F47"/>
    <mergeCell ref="E48:F48"/>
    <mergeCell ref="E49:F49"/>
    <mergeCell ref="E50:F50"/>
    <mergeCell ref="E42:F42"/>
    <mergeCell ref="E51:F51"/>
    <mergeCell ref="C34:D34"/>
    <mergeCell ref="C35:D35"/>
    <mergeCell ref="E34:F34"/>
    <mergeCell ref="E35:F35"/>
    <mergeCell ref="G34:J34"/>
    <mergeCell ref="G35:J35"/>
    <mergeCell ref="E36:F36"/>
    <mergeCell ref="E40:F40"/>
    <mergeCell ref="E37:F37"/>
    <mergeCell ref="E38:F38"/>
    <mergeCell ref="E39:F39"/>
    <mergeCell ref="C36:D36"/>
    <mergeCell ref="C37:D37"/>
    <mergeCell ref="C38:D38"/>
    <mergeCell ref="C39:D39"/>
    <mergeCell ref="C40:D40"/>
    <mergeCell ref="C30:D30"/>
    <mergeCell ref="E30:F30"/>
    <mergeCell ref="G30:J30"/>
    <mergeCell ref="P33:S33"/>
    <mergeCell ref="K30:O30"/>
    <mergeCell ref="P30:S30"/>
    <mergeCell ref="C31:D31"/>
    <mergeCell ref="C32:D32"/>
    <mergeCell ref="C33:D33"/>
    <mergeCell ref="K31:O31"/>
    <mergeCell ref="E33:F33"/>
    <mergeCell ref="G31:J31"/>
    <mergeCell ref="G32:J32"/>
    <mergeCell ref="G33:J33"/>
    <mergeCell ref="E31:F31"/>
    <mergeCell ref="E32:F32"/>
    <mergeCell ref="P32:S32"/>
    <mergeCell ref="P31:S31"/>
    <mergeCell ref="K33:O33"/>
    <mergeCell ref="K32:O32"/>
    <mergeCell ref="C27:E27"/>
    <mergeCell ref="C26:E26"/>
    <mergeCell ref="F25:I25"/>
    <mergeCell ref="F26:I26"/>
    <mergeCell ref="F27:I27"/>
    <mergeCell ref="C21:E21"/>
    <mergeCell ref="C22:E22"/>
    <mergeCell ref="C23:E23"/>
    <mergeCell ref="C25:E25"/>
    <mergeCell ref="P37:S37"/>
    <mergeCell ref="P34:S34"/>
    <mergeCell ref="P35:S35"/>
    <mergeCell ref="AK12:AO12"/>
    <mergeCell ref="D13:H13"/>
    <mergeCell ref="D15:H15"/>
    <mergeCell ref="D16:H16"/>
    <mergeCell ref="T15:X15"/>
    <mergeCell ref="T16:X16"/>
    <mergeCell ref="K15:O15"/>
    <mergeCell ref="K16:O16"/>
    <mergeCell ref="T12:X12"/>
    <mergeCell ref="D12:H12"/>
    <mergeCell ref="D28:P28"/>
    <mergeCell ref="F21:I21"/>
    <mergeCell ref="N21:P21"/>
    <mergeCell ref="J27:M27"/>
    <mergeCell ref="N26:P26"/>
    <mergeCell ref="J23:M23"/>
    <mergeCell ref="N22:P22"/>
    <mergeCell ref="N23:P23"/>
    <mergeCell ref="J25:M25"/>
    <mergeCell ref="J26:M26"/>
    <mergeCell ref="N27:P27"/>
    <mergeCell ref="C109:E109"/>
    <mergeCell ref="C108:E108"/>
    <mergeCell ref="L108:O108"/>
    <mergeCell ref="T7:W7"/>
    <mergeCell ref="T8:W8"/>
    <mergeCell ref="D61:AF61"/>
    <mergeCell ref="D63:AF64"/>
    <mergeCell ref="T54:W54"/>
    <mergeCell ref="T55:W55"/>
    <mergeCell ref="X55:AB55"/>
    <mergeCell ref="K12:O12"/>
    <mergeCell ref="K13:O13"/>
    <mergeCell ref="D11:F11"/>
    <mergeCell ref="J20:M20"/>
    <mergeCell ref="N20:P20"/>
    <mergeCell ref="N25:P25"/>
    <mergeCell ref="D19:F19"/>
    <mergeCell ref="P38:S38"/>
    <mergeCell ref="F20:I20"/>
    <mergeCell ref="F23:I23"/>
    <mergeCell ref="F22:I22"/>
    <mergeCell ref="J21:M21"/>
    <mergeCell ref="J22:M22"/>
    <mergeCell ref="P36:S36"/>
    <mergeCell ref="F109:G109"/>
    <mergeCell ref="L109:O109"/>
    <mergeCell ref="F108:G108"/>
    <mergeCell ref="P108:S108"/>
    <mergeCell ref="F107:G107"/>
    <mergeCell ref="L111:O111"/>
    <mergeCell ref="C105:E105"/>
    <mergeCell ref="C104:E104"/>
    <mergeCell ref="F98:G100"/>
    <mergeCell ref="F102:G102"/>
    <mergeCell ref="C98:E100"/>
    <mergeCell ref="C103:E103"/>
    <mergeCell ref="F103:G103"/>
    <mergeCell ref="C110:E110"/>
    <mergeCell ref="C111:E111"/>
    <mergeCell ref="F111:G111"/>
    <mergeCell ref="I110:J110"/>
    <mergeCell ref="I111:J111"/>
    <mergeCell ref="P107:S107"/>
    <mergeCell ref="P109:S109"/>
    <mergeCell ref="C106:E106"/>
    <mergeCell ref="F106:G106"/>
    <mergeCell ref="F110:G110"/>
    <mergeCell ref="P110:S110"/>
    <mergeCell ref="C126:E126"/>
    <mergeCell ref="F126:G126"/>
    <mergeCell ref="L126:O126"/>
    <mergeCell ref="C124:E124"/>
    <mergeCell ref="F124:G124"/>
    <mergeCell ref="I123:J123"/>
    <mergeCell ref="I124:J124"/>
    <mergeCell ref="C123:E123"/>
    <mergeCell ref="F123:G123"/>
    <mergeCell ref="L123:O123"/>
    <mergeCell ref="I126:J126"/>
    <mergeCell ref="L124:O124"/>
    <mergeCell ref="L125:O125"/>
    <mergeCell ref="C120:E120"/>
    <mergeCell ref="F120:G120"/>
    <mergeCell ref="L120:O120"/>
    <mergeCell ref="F122:G122"/>
    <mergeCell ref="C125:E125"/>
    <mergeCell ref="F125:G125"/>
    <mergeCell ref="L121:O121"/>
    <mergeCell ref="C121:E121"/>
    <mergeCell ref="F121:G121"/>
    <mergeCell ref="L122:O122"/>
    <mergeCell ref="I125:J125"/>
    <mergeCell ref="C122:E122"/>
    <mergeCell ref="I122:J122"/>
    <mergeCell ref="F118:G118"/>
    <mergeCell ref="C119:E119"/>
    <mergeCell ref="F119:G119"/>
    <mergeCell ref="P119:S119"/>
    <mergeCell ref="L118:O118"/>
    <mergeCell ref="C118:E118"/>
    <mergeCell ref="C117:E117"/>
    <mergeCell ref="F117:G117"/>
    <mergeCell ref="P118:S118"/>
    <mergeCell ref="L117:O117"/>
    <mergeCell ref="L119:O119"/>
    <mergeCell ref="F115:G115"/>
    <mergeCell ref="P115:S115"/>
    <mergeCell ref="L115:O115"/>
    <mergeCell ref="I115:J115"/>
    <mergeCell ref="I113:J113"/>
    <mergeCell ref="I107:J107"/>
    <mergeCell ref="L116:O116"/>
    <mergeCell ref="I116:J116"/>
    <mergeCell ref="C113:E113"/>
    <mergeCell ref="F113:G113"/>
    <mergeCell ref="P113:S113"/>
    <mergeCell ref="C114:E114"/>
    <mergeCell ref="F114:G114"/>
    <mergeCell ref="I114:J114"/>
    <mergeCell ref="L113:O113"/>
    <mergeCell ref="L114:O114"/>
    <mergeCell ref="C116:E116"/>
    <mergeCell ref="F116:G116"/>
    <mergeCell ref="C107:E107"/>
    <mergeCell ref="C112:E112"/>
    <mergeCell ref="F112:G112"/>
    <mergeCell ref="P112:S112"/>
    <mergeCell ref="L112:O112"/>
    <mergeCell ref="I112:J112"/>
    <mergeCell ref="T39:W39"/>
    <mergeCell ref="T40:W40"/>
    <mergeCell ref="T41:W41"/>
    <mergeCell ref="F104:G104"/>
    <mergeCell ref="F105:G105"/>
    <mergeCell ref="I104:J104"/>
    <mergeCell ref="L104:O104"/>
    <mergeCell ref="L105:O105"/>
    <mergeCell ref="I102:J102"/>
    <mergeCell ref="I103:J103"/>
    <mergeCell ref="L103:O103"/>
    <mergeCell ref="T105:X105"/>
    <mergeCell ref="I105:J105"/>
    <mergeCell ref="V95:Z95"/>
    <mergeCell ref="P102:S102"/>
    <mergeCell ref="L102:O102"/>
    <mergeCell ref="E54:F54"/>
    <mergeCell ref="E52:F52"/>
    <mergeCell ref="E43:F43"/>
    <mergeCell ref="E44:F44"/>
    <mergeCell ref="E45:F45"/>
    <mergeCell ref="E46:F46"/>
    <mergeCell ref="G53:J53"/>
    <mergeCell ref="G54:J54"/>
    <mergeCell ref="BA90:BD90"/>
    <mergeCell ref="BE89:BH89"/>
    <mergeCell ref="T30:W30"/>
    <mergeCell ref="X30:AB30"/>
    <mergeCell ref="AC30:AG30"/>
    <mergeCell ref="AJ88:AJ90"/>
    <mergeCell ref="AK88:AK90"/>
    <mergeCell ref="T31:W31"/>
    <mergeCell ref="T32:W32"/>
    <mergeCell ref="T33:W33"/>
    <mergeCell ref="T38:W38"/>
    <mergeCell ref="X57:AB57"/>
    <mergeCell ref="X31:AB31"/>
    <mergeCell ref="X32:AB32"/>
    <mergeCell ref="X33:AB33"/>
    <mergeCell ref="X34:AB34"/>
    <mergeCell ref="X35:AB35"/>
    <mergeCell ref="X36:AB36"/>
    <mergeCell ref="X37:AB37"/>
    <mergeCell ref="X38:AB38"/>
    <mergeCell ref="T34:W34"/>
    <mergeCell ref="T35:W35"/>
    <mergeCell ref="T36:W36"/>
    <mergeCell ref="T37:W37"/>
    <mergeCell ref="BS89:BY89"/>
    <mergeCell ref="BS91:BY91"/>
    <mergeCell ref="BI91:BL91"/>
    <mergeCell ref="BE91:BH91"/>
    <mergeCell ref="BM91:BP91"/>
    <mergeCell ref="BM90:BP90"/>
    <mergeCell ref="BM89:BP89"/>
    <mergeCell ref="AC54:AG54"/>
    <mergeCell ref="C58:AG60"/>
    <mergeCell ref="C54:D54"/>
    <mergeCell ref="C55:D55"/>
    <mergeCell ref="P55:S55"/>
    <mergeCell ref="X56:AB56"/>
    <mergeCell ref="E55:F55"/>
    <mergeCell ref="K54:O54"/>
    <mergeCell ref="K55:O55"/>
    <mergeCell ref="G55:J55"/>
    <mergeCell ref="BE90:BH90"/>
    <mergeCell ref="BI89:BL89"/>
    <mergeCell ref="AM88:AM90"/>
    <mergeCell ref="BM88:BP88"/>
    <mergeCell ref="BE88:BH88"/>
    <mergeCell ref="BA89:BD89"/>
    <mergeCell ref="BI88:BL88"/>
    <mergeCell ref="H95:R96"/>
    <mergeCell ref="I97:R97"/>
    <mergeCell ref="T118:X118"/>
    <mergeCell ref="L107:O107"/>
    <mergeCell ref="L106:O106"/>
    <mergeCell ref="L98:O100"/>
    <mergeCell ref="P98:S100"/>
    <mergeCell ref="P103:S103"/>
    <mergeCell ref="T104:X104"/>
    <mergeCell ref="P104:S104"/>
    <mergeCell ref="I108:J108"/>
    <mergeCell ref="I109:J109"/>
    <mergeCell ref="T98:X100"/>
    <mergeCell ref="I106:J106"/>
    <mergeCell ref="T106:X106"/>
    <mergeCell ref="T109:X109"/>
    <mergeCell ref="L110:O110"/>
    <mergeCell ref="T102:X102"/>
    <mergeCell ref="P114:S114"/>
    <mergeCell ref="Z113:AC113"/>
    <mergeCell ref="Z112:AC112"/>
    <mergeCell ref="P111:S111"/>
    <mergeCell ref="P106:S106"/>
    <mergeCell ref="Z104:AC104"/>
    <mergeCell ref="Z103:AC103"/>
    <mergeCell ref="T103:X103"/>
    <mergeCell ref="P105:S105"/>
    <mergeCell ref="T108:X108"/>
    <mergeCell ref="T114:X114"/>
    <mergeCell ref="T113:X113"/>
    <mergeCell ref="T111:X111"/>
    <mergeCell ref="T112:X112"/>
    <mergeCell ref="T110:X110"/>
    <mergeCell ref="T107:X107"/>
    <mergeCell ref="P132:S132"/>
    <mergeCell ref="U128:Y128"/>
    <mergeCell ref="T126:X126"/>
    <mergeCell ref="T125:X125"/>
    <mergeCell ref="Z125:AC125"/>
    <mergeCell ref="T123:X123"/>
    <mergeCell ref="T122:X122"/>
    <mergeCell ref="AD125:AG125"/>
    <mergeCell ref="Z126:AC126"/>
    <mergeCell ref="AD126:AG126"/>
    <mergeCell ref="AD128:AG128"/>
    <mergeCell ref="AD124:AG124"/>
    <mergeCell ref="AD123:AG123"/>
    <mergeCell ref="Z124:AC124"/>
    <mergeCell ref="P123:S123"/>
    <mergeCell ref="P124:S124"/>
    <mergeCell ref="P125:S125"/>
    <mergeCell ref="AD120:AG120"/>
    <mergeCell ref="Z118:AC118"/>
    <mergeCell ref="T115:X115"/>
    <mergeCell ref="Z119:AC119"/>
    <mergeCell ref="P120:S120"/>
    <mergeCell ref="P116:S116"/>
    <mergeCell ref="T124:X124"/>
    <mergeCell ref="Z122:AC122"/>
    <mergeCell ref="Z123:AC123"/>
    <mergeCell ref="AD121:AG121"/>
    <mergeCell ref="Z117:AC117"/>
    <mergeCell ref="Z110:AC110"/>
    <mergeCell ref="AD110:AG110"/>
    <mergeCell ref="Z111:AC111"/>
    <mergeCell ref="AF130:AG130"/>
    <mergeCell ref="D143:AG146"/>
    <mergeCell ref="D137:AG142"/>
    <mergeCell ref="AF132:AG132"/>
    <mergeCell ref="AF133:AG133"/>
    <mergeCell ref="U134:AE134"/>
    <mergeCell ref="U132:AE132"/>
    <mergeCell ref="P133:S133"/>
    <mergeCell ref="AF134:AG134"/>
    <mergeCell ref="AF131:AG131"/>
    <mergeCell ref="P131:S131"/>
    <mergeCell ref="U131:AE131"/>
    <mergeCell ref="P130:S130"/>
    <mergeCell ref="U130:AE130"/>
    <mergeCell ref="P134:S134"/>
    <mergeCell ref="U133:AE133"/>
    <mergeCell ref="C115:E115"/>
    <mergeCell ref="AD118:AG118"/>
    <mergeCell ref="AD122:AG122"/>
    <mergeCell ref="AD119:AG119"/>
    <mergeCell ref="I98:J100"/>
    <mergeCell ref="AD103:AG103"/>
    <mergeCell ref="C102:E102"/>
    <mergeCell ref="AD104:AG104"/>
    <mergeCell ref="T121:X121"/>
    <mergeCell ref="T119:X119"/>
    <mergeCell ref="Z114:AC114"/>
    <mergeCell ref="Z121:AC121"/>
    <mergeCell ref="T120:X120"/>
    <mergeCell ref="Z115:AC115"/>
    <mergeCell ref="T116:X116"/>
    <mergeCell ref="T117:X117"/>
    <mergeCell ref="Z120:AC120"/>
    <mergeCell ref="AD105:AG105"/>
    <mergeCell ref="AD116:AG116"/>
    <mergeCell ref="AD117:AG117"/>
    <mergeCell ref="AD106:AG106"/>
    <mergeCell ref="Z107:AC107"/>
    <mergeCell ref="AD108:AG108"/>
    <mergeCell ref="Z106:AC106"/>
    <mergeCell ref="AD115:AG115"/>
    <mergeCell ref="AD113:AG113"/>
    <mergeCell ref="AD114:AG114"/>
    <mergeCell ref="Z116:AC116"/>
    <mergeCell ref="Z105:AC105"/>
    <mergeCell ref="AJ3:AO3"/>
    <mergeCell ref="AD112:AG112"/>
    <mergeCell ref="AD111:AG111"/>
    <mergeCell ref="Z109:AC109"/>
    <mergeCell ref="Z108:AC108"/>
    <mergeCell ref="AD102:AG102"/>
    <mergeCell ref="AD109:AG109"/>
    <mergeCell ref="AD107:AG107"/>
    <mergeCell ref="Z102:AC102"/>
    <mergeCell ref="AJ69:AN69"/>
    <mergeCell ref="AJ87:AL87"/>
    <mergeCell ref="AJ81:BL81"/>
    <mergeCell ref="BA91:BD91"/>
    <mergeCell ref="Z98:AC100"/>
    <mergeCell ref="AD98:AG100"/>
    <mergeCell ref="AL88:AL90"/>
    <mergeCell ref="BI90:BL90"/>
    <mergeCell ref="AC36:AG36"/>
    <mergeCell ref="AC37:AG37"/>
    <mergeCell ref="AC31:AG31"/>
    <mergeCell ref="AC32:AG32"/>
    <mergeCell ref="AC33:AG33"/>
    <mergeCell ref="X43:AB43"/>
    <mergeCell ref="P127:S127"/>
    <mergeCell ref="I117:J117"/>
    <mergeCell ref="I118:J118"/>
    <mergeCell ref="I119:J119"/>
    <mergeCell ref="P121:S121"/>
    <mergeCell ref="P122:S122"/>
    <mergeCell ref="I120:J120"/>
    <mergeCell ref="I121:J121"/>
    <mergeCell ref="P126:S126"/>
    <mergeCell ref="P117:S117"/>
    <mergeCell ref="AJ2:AO2"/>
    <mergeCell ref="T13:X13"/>
    <mergeCell ref="D7:Q7"/>
    <mergeCell ref="D5:Q6"/>
    <mergeCell ref="AA25:AE25"/>
    <mergeCell ref="T22:X22"/>
    <mergeCell ref="AA22:AE22"/>
    <mergeCell ref="C3:Y4"/>
    <mergeCell ref="T19:V19"/>
    <mergeCell ref="T25:X25"/>
    <mergeCell ref="G19:Q19"/>
    <mergeCell ref="D17:P17"/>
  </mergeCells>
  <phoneticPr fontId="0" type="noConversion"/>
  <conditionalFormatting sqref="D128:D129 E128:F135 D131:D135">
    <cfRule type="cellIs" dxfId="0" priority="1" stopIfTrue="1" operator="equal">
      <formula>0</formula>
    </cfRule>
  </conditionalFormatting>
  <dataValidations count="11">
    <dataValidation type="list" allowBlank="1" showInputMessage="1" showErrorMessage="1" sqref="AJ3">
      <formula1>$AU$4:$AU$20</formula1>
    </dataValidation>
    <dataValidation type="list" allowBlank="1" showInputMessage="1" showErrorMessage="1" sqref="K15:O15">
      <formula1>$AT$4:$AT$5</formula1>
    </dataValidation>
    <dataValidation type="list" allowBlank="1" showInputMessage="1" showErrorMessage="1" sqref="AJ2">
      <formula1>$AQ$4:$AQ$6</formula1>
    </dataValidation>
    <dataValidation type="list" allowBlank="1" showInputMessage="1" showErrorMessage="1" sqref="D15:G15">
      <formula1>$AR$4:$AR$24</formula1>
    </dataValidation>
    <dataValidation type="list" allowBlank="1" showInputMessage="1" showErrorMessage="1" sqref="K12:O12">
      <formula1>$AS$4:$AS$7</formula1>
    </dataValidation>
    <dataValidation type="list" allowBlank="1" showInputMessage="1" showErrorMessage="1" sqref="Y25">
      <formula1>$AK$15:$AK$19</formula1>
    </dataValidation>
    <dataValidation type="custom" allowBlank="1" showInputMessage="1" showErrorMessage="1" sqref="K24:N24 K30:N30">
      <formula1>K24&gt;=0</formula1>
    </dataValidation>
    <dataValidation type="list" allowBlank="1" showInputMessage="1" showErrorMessage="1" sqref="T7:W7">
      <formula1>$AV$3:$AV$60</formula1>
    </dataValidation>
    <dataValidation allowBlank="1" showInputMessage="1" showErrorMessage="1" sqref="AA9:AA10"/>
    <dataValidation type="list" allowBlank="1" showInputMessage="1" showErrorMessage="1" sqref="T15:X15">
      <formula1>$AU$4:$AU$11</formula1>
    </dataValidation>
    <dataValidation type="list" allowBlank="1" showInputMessage="1" showErrorMessage="1" sqref="T12:X12">
      <formula1>$AO$4:$AO$6</formula1>
    </dataValidation>
  </dataValidations>
  <printOptions horizontalCentered="1"/>
  <pageMargins left="0.19685039370078741" right="0.19685039370078741" top="0.19685039370078741" bottom="0.19685039370078741" header="0" footer="0"/>
  <pageSetup scale="66"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BA755"/>
  <sheetViews>
    <sheetView topLeftCell="A7" workbookViewId="0">
      <selection activeCell="C22" sqref="C22:L22"/>
    </sheetView>
  </sheetViews>
  <sheetFormatPr baseColWidth="10" defaultRowHeight="11.25"/>
  <cols>
    <col min="1" max="1" width="11.42578125" style="1"/>
    <col min="2" max="2" width="4" style="1" bestFit="1" customWidth="1"/>
    <col min="3" max="5" width="7" style="2" customWidth="1"/>
    <col min="6" max="8" width="11.42578125" style="1"/>
    <col min="9" max="9" width="14.28515625" style="1" customWidth="1"/>
    <col min="10" max="10" width="15" style="1" bestFit="1" customWidth="1"/>
    <col min="11" max="13" width="11.42578125" style="1"/>
    <col min="14" max="14" width="4" style="1" bestFit="1" customWidth="1"/>
    <col min="15" max="15" width="11.42578125" style="7"/>
    <col min="16" max="17" width="11.42578125" style="1"/>
    <col min="18" max="18" width="13" style="1" bestFit="1" customWidth="1"/>
    <col min="19" max="21" width="11.42578125" style="1"/>
    <col min="22" max="22" width="11.42578125" style="35"/>
    <col min="23" max="23" width="11.42578125" style="1"/>
    <col min="24" max="24" width="11.42578125" style="35"/>
    <col min="25" max="25" width="13" style="1" bestFit="1" customWidth="1"/>
    <col min="26" max="26" width="11.42578125" style="1"/>
    <col min="27" max="28" width="11.42578125" style="2"/>
    <col min="29" max="33" width="11.42578125" style="1"/>
    <col min="34" max="34" width="12.42578125" style="1" customWidth="1"/>
    <col min="35" max="16384" width="11.42578125" style="1"/>
  </cols>
  <sheetData>
    <row r="1" spans="1:28" s="4" customFormat="1">
      <c r="A1" s="69"/>
      <c r="B1" s="69"/>
      <c r="C1" s="70"/>
      <c r="D1" s="70"/>
      <c r="E1" s="70"/>
      <c r="F1" s="69"/>
      <c r="G1" s="69"/>
      <c r="H1" s="69"/>
      <c r="I1" s="69"/>
      <c r="J1" s="69"/>
      <c r="K1" s="69"/>
      <c r="L1" s="69"/>
      <c r="M1" s="69"/>
      <c r="V1" s="65"/>
      <c r="X1" s="65"/>
      <c r="AA1" s="64"/>
      <c r="AB1" s="64"/>
    </row>
    <row r="2" spans="1:28" s="4" customFormat="1">
      <c r="A2" s="69"/>
      <c r="B2" s="69"/>
      <c r="C2" s="70"/>
      <c r="D2" s="70"/>
      <c r="E2" s="70"/>
      <c r="F2" s="69" t="s">
        <v>3</v>
      </c>
      <c r="G2" s="71">
        <f>+'OptiMaxx plus'!T7</f>
        <v>29</v>
      </c>
      <c r="H2" s="69"/>
      <c r="I2" s="78" t="s">
        <v>12</v>
      </c>
      <c r="J2" s="79" t="s">
        <v>76</v>
      </c>
      <c r="K2" s="69"/>
      <c r="L2" s="69"/>
      <c r="M2" s="69"/>
      <c r="V2" s="65"/>
      <c r="X2" s="65"/>
      <c r="AA2" s="64"/>
      <c r="AB2" s="64"/>
    </row>
    <row r="3" spans="1:28" s="4" customFormat="1">
      <c r="A3" s="69"/>
      <c r="B3" s="69"/>
      <c r="C3" s="70"/>
      <c r="D3" s="70"/>
      <c r="E3" s="70"/>
      <c r="F3" s="69" t="s">
        <v>5</v>
      </c>
      <c r="G3" s="71">
        <f>+'OptiMaxx plus'!D12</f>
        <v>10000</v>
      </c>
      <c r="H3" s="69"/>
      <c r="I3" s="69" t="s">
        <v>26</v>
      </c>
      <c r="J3" s="72">
        <v>0.06</v>
      </c>
      <c r="K3" s="73">
        <f t="shared" ref="K3:K17" si="0">+J3</f>
        <v>0.06</v>
      </c>
      <c r="L3" s="74">
        <f>+'OptiMaxx plus'!F21</f>
        <v>0</v>
      </c>
      <c r="M3" s="69"/>
      <c r="V3" s="65"/>
      <c r="X3" s="65"/>
      <c r="AA3" s="64"/>
      <c r="AB3" s="64"/>
    </row>
    <row r="4" spans="1:28" s="4" customFormat="1">
      <c r="A4" s="69"/>
      <c r="B4" s="69"/>
      <c r="C4" s="70"/>
      <c r="D4" s="70"/>
      <c r="E4" s="70"/>
      <c r="F4" s="69" t="s">
        <v>11</v>
      </c>
      <c r="G4" s="71" t="str">
        <f>+'OptiMaxx plus'!K12</f>
        <v>Mensual</v>
      </c>
      <c r="H4" s="69"/>
      <c r="I4" s="69" t="s">
        <v>77</v>
      </c>
      <c r="J4" s="72">
        <v>0.09</v>
      </c>
      <c r="K4" s="73">
        <f t="shared" si="0"/>
        <v>0.09</v>
      </c>
      <c r="L4" s="74">
        <f>+'OptiMaxx plus'!J21</f>
        <v>0</v>
      </c>
      <c r="M4" s="69"/>
      <c r="V4" s="65"/>
      <c r="X4" s="65"/>
      <c r="AA4" s="64"/>
      <c r="AB4" s="64"/>
    </row>
    <row r="5" spans="1:28" s="4" customFormat="1">
      <c r="A5" s="69"/>
      <c r="B5" s="69"/>
      <c r="C5" s="70"/>
      <c r="D5" s="70"/>
      <c r="E5" s="70"/>
      <c r="F5" s="69" t="s">
        <v>1</v>
      </c>
      <c r="G5" s="71">
        <f>+'OptiMaxx plus'!D15</f>
        <v>25</v>
      </c>
      <c r="H5" s="69"/>
      <c r="I5" s="69" t="s">
        <v>29</v>
      </c>
      <c r="J5" s="72">
        <v>0.12</v>
      </c>
      <c r="K5" s="73">
        <f t="shared" si="0"/>
        <v>0.12</v>
      </c>
      <c r="L5" s="74">
        <f>+'OptiMaxx plus'!N21</f>
        <v>0</v>
      </c>
      <c r="M5" s="69"/>
      <c r="V5" s="65"/>
      <c r="X5" s="65"/>
      <c r="AA5" s="64"/>
      <c r="AB5" s="64"/>
    </row>
    <row r="6" spans="1:28" s="4" customFormat="1">
      <c r="A6" s="69"/>
      <c r="B6" s="69"/>
      <c r="C6" s="70"/>
      <c r="D6" s="70"/>
      <c r="E6" s="70"/>
      <c r="F6" s="69" t="s">
        <v>12</v>
      </c>
      <c r="G6" s="71">
        <f>L20</f>
        <v>0.1</v>
      </c>
      <c r="H6" s="69"/>
      <c r="I6" s="69" t="s">
        <v>27</v>
      </c>
      <c r="J6" s="72">
        <v>0.03</v>
      </c>
      <c r="K6" s="73">
        <f t="shared" si="0"/>
        <v>0.03</v>
      </c>
      <c r="L6" s="74">
        <f>+'OptiMaxx plus'!F22</f>
        <v>0</v>
      </c>
      <c r="M6" s="69"/>
      <c r="V6" s="65"/>
      <c r="X6" s="65"/>
      <c r="AA6" s="64"/>
      <c r="AB6" s="64"/>
    </row>
    <row r="7" spans="1:28" s="4" customFormat="1">
      <c r="A7" s="69"/>
      <c r="B7" s="69"/>
      <c r="C7" s="70"/>
      <c r="D7" s="70"/>
      <c r="E7" s="70"/>
      <c r="F7" s="69" t="s">
        <v>13</v>
      </c>
      <c r="G7" s="75">
        <f>+L20</f>
        <v>0.1</v>
      </c>
      <c r="H7" s="69"/>
      <c r="I7" s="69" t="s">
        <v>78</v>
      </c>
      <c r="J7" s="72">
        <v>0.06</v>
      </c>
      <c r="K7" s="73">
        <f t="shared" si="0"/>
        <v>0.06</v>
      </c>
      <c r="L7" s="74">
        <f>+'OptiMaxx plus'!J22</f>
        <v>0</v>
      </c>
      <c r="M7" s="69"/>
      <c r="V7" s="65"/>
      <c r="X7" s="65"/>
      <c r="AA7" s="64"/>
      <c r="AB7" s="64"/>
    </row>
    <row r="8" spans="1:28" s="4" customFormat="1">
      <c r="A8" s="69"/>
      <c r="B8" s="69"/>
      <c r="C8" s="70"/>
      <c r="D8" s="70"/>
      <c r="E8" s="70"/>
      <c r="F8" s="69" t="s">
        <v>14</v>
      </c>
      <c r="G8" s="75">
        <f>(1+G7)^(1/12)-1</f>
        <v>7.9741404289037643E-3</v>
      </c>
      <c r="H8" s="69"/>
      <c r="I8" s="69" t="s">
        <v>30</v>
      </c>
      <c r="J8" s="72">
        <v>0.1</v>
      </c>
      <c r="K8" s="73">
        <f t="shared" si="0"/>
        <v>0.1</v>
      </c>
      <c r="L8" s="74">
        <f>+'OptiMaxx plus'!N22</f>
        <v>1</v>
      </c>
      <c r="M8" s="69"/>
      <c r="V8" s="65"/>
      <c r="X8" s="65"/>
      <c r="AA8" s="64"/>
      <c r="AB8" s="64"/>
    </row>
    <row r="9" spans="1:28" s="4" customFormat="1">
      <c r="A9" s="69"/>
      <c r="B9" s="69"/>
      <c r="C9" s="70"/>
      <c r="D9" s="70"/>
      <c r="E9" s="70"/>
      <c r="F9" s="69" t="s">
        <v>15</v>
      </c>
      <c r="G9" s="76">
        <f>+Bono!F9</f>
        <v>1</v>
      </c>
      <c r="H9" s="69"/>
      <c r="I9" s="69" t="s">
        <v>28</v>
      </c>
      <c r="J9" s="72">
        <v>0.03</v>
      </c>
      <c r="K9" s="73">
        <f t="shared" si="0"/>
        <v>0.03</v>
      </c>
      <c r="L9" s="74">
        <f>+'OptiMaxx plus'!F23</f>
        <v>0</v>
      </c>
      <c r="M9" s="69"/>
      <c r="V9" s="65"/>
      <c r="X9" s="65"/>
      <c r="AA9" s="64"/>
      <c r="AB9" s="64"/>
    </row>
    <row r="10" spans="1:28" s="4" customFormat="1">
      <c r="A10" s="69"/>
      <c r="B10" s="69"/>
      <c r="C10" s="70"/>
      <c r="D10" s="70"/>
      <c r="E10" s="70"/>
      <c r="F10" s="69"/>
      <c r="G10" s="76"/>
      <c r="H10" s="69"/>
      <c r="I10" s="69" t="s">
        <v>79</v>
      </c>
      <c r="J10" s="72">
        <v>0.06</v>
      </c>
      <c r="K10" s="73">
        <f t="shared" si="0"/>
        <v>0.06</v>
      </c>
      <c r="L10" s="74">
        <f>+'OptiMaxx plus'!J23</f>
        <v>0</v>
      </c>
      <c r="M10" s="69"/>
      <c r="V10" s="65"/>
      <c r="X10" s="65"/>
      <c r="AA10" s="64"/>
      <c r="AB10" s="64"/>
    </row>
    <row r="11" spans="1:28" s="4" customFormat="1">
      <c r="A11" s="69"/>
      <c r="B11" s="69"/>
      <c r="C11" s="70"/>
      <c r="D11" s="70"/>
      <c r="E11" s="70"/>
      <c r="F11" s="69"/>
      <c r="G11" s="76"/>
      <c r="H11" s="69"/>
      <c r="I11" s="69" t="s">
        <v>31</v>
      </c>
      <c r="J11" s="72">
        <v>0.09</v>
      </c>
      <c r="K11" s="73">
        <f t="shared" si="0"/>
        <v>0.09</v>
      </c>
      <c r="L11" s="74">
        <f>+'OptiMaxx plus'!N23</f>
        <v>0</v>
      </c>
      <c r="M11" s="69"/>
      <c r="V11" s="65"/>
      <c r="X11" s="65"/>
      <c r="AA11" s="64"/>
      <c r="AB11" s="64"/>
    </row>
    <row r="12" spans="1:28" s="4" customFormat="1">
      <c r="A12" s="69"/>
      <c r="B12" s="69"/>
      <c r="C12" s="70"/>
      <c r="D12" s="70"/>
      <c r="E12" s="70"/>
      <c r="F12" s="69"/>
      <c r="G12" s="76"/>
      <c r="H12" s="69"/>
      <c r="I12" s="69" t="s">
        <v>32</v>
      </c>
      <c r="J12" s="72">
        <v>0.08</v>
      </c>
      <c r="K12" s="73">
        <f t="shared" si="0"/>
        <v>0.08</v>
      </c>
      <c r="L12" s="74">
        <f>+'OptiMaxx plus'!F25</f>
        <v>0</v>
      </c>
      <c r="M12" s="69"/>
      <c r="V12" s="65"/>
      <c r="X12" s="65"/>
      <c r="AA12" s="64"/>
      <c r="AB12" s="64"/>
    </row>
    <row r="13" spans="1:28" s="4" customFormat="1">
      <c r="A13" s="69"/>
      <c r="B13" s="69"/>
      <c r="C13" s="70"/>
      <c r="D13" s="70"/>
      <c r="E13" s="70"/>
      <c r="F13" s="69"/>
      <c r="G13" s="76"/>
      <c r="H13" s="69"/>
      <c r="I13" s="69" t="s">
        <v>36</v>
      </c>
      <c r="J13" s="72">
        <v>0.12</v>
      </c>
      <c r="K13" s="73">
        <f t="shared" si="0"/>
        <v>0.12</v>
      </c>
      <c r="L13" s="74">
        <f>+'OptiMaxx plus'!F27</f>
        <v>0</v>
      </c>
      <c r="M13" s="69"/>
      <c r="V13" s="65"/>
      <c r="X13" s="65"/>
      <c r="AA13" s="64"/>
      <c r="AB13" s="64"/>
    </row>
    <row r="14" spans="1:28" s="4" customFormat="1">
      <c r="A14" s="69"/>
      <c r="B14" s="69"/>
      <c r="C14" s="70"/>
      <c r="D14" s="70"/>
      <c r="E14" s="70"/>
      <c r="F14" s="69"/>
      <c r="G14" s="76"/>
      <c r="H14" s="69"/>
      <c r="I14" s="69" t="s">
        <v>33</v>
      </c>
      <c r="J14" s="72">
        <v>0.12</v>
      </c>
      <c r="K14" s="73">
        <f t="shared" si="0"/>
        <v>0.12</v>
      </c>
      <c r="L14" s="74">
        <f>+'OptiMaxx plus'!N25</f>
        <v>0</v>
      </c>
      <c r="M14" s="69"/>
      <c r="V14" s="65"/>
      <c r="X14" s="65"/>
      <c r="AA14" s="64"/>
      <c r="AB14" s="64"/>
    </row>
    <row r="15" spans="1:28" s="4" customFormat="1">
      <c r="A15" s="69"/>
      <c r="B15" s="69"/>
      <c r="C15" s="70"/>
      <c r="D15" s="70"/>
      <c r="E15" s="70"/>
      <c r="F15" s="69"/>
      <c r="G15" s="76"/>
      <c r="H15" s="69"/>
      <c r="I15" s="69" t="s">
        <v>34</v>
      </c>
      <c r="J15" s="72">
        <v>0.12</v>
      </c>
      <c r="K15" s="73">
        <f t="shared" si="0"/>
        <v>0.12</v>
      </c>
      <c r="L15" s="74">
        <f>+'OptiMaxx plus'!F26</f>
        <v>0</v>
      </c>
      <c r="M15" s="69"/>
      <c r="V15" s="65"/>
      <c r="X15" s="65"/>
      <c r="AA15" s="64"/>
      <c r="AB15" s="64"/>
    </row>
    <row r="16" spans="1:28" s="4" customFormat="1">
      <c r="A16" s="69"/>
      <c r="B16" s="69"/>
      <c r="C16" s="70"/>
      <c r="D16" s="70"/>
      <c r="E16" s="70"/>
      <c r="F16" s="69"/>
      <c r="G16" s="76"/>
      <c r="H16" s="69"/>
      <c r="I16" s="69" t="s">
        <v>35</v>
      </c>
      <c r="J16" s="72">
        <v>0.05</v>
      </c>
      <c r="K16" s="73">
        <f t="shared" si="0"/>
        <v>0.05</v>
      </c>
      <c r="L16" s="74">
        <f>+'OptiMaxx plus'!N27</f>
        <v>0</v>
      </c>
      <c r="M16" s="69"/>
      <c r="V16" s="65"/>
      <c r="X16" s="65"/>
      <c r="AA16" s="64"/>
      <c r="AB16" s="64"/>
    </row>
    <row r="17" spans="1:52" s="4" customFormat="1">
      <c r="A17" s="69"/>
      <c r="B17" s="69"/>
      <c r="C17" s="70"/>
      <c r="D17" s="70"/>
      <c r="E17" s="70"/>
      <c r="F17" s="69" t="s">
        <v>20</v>
      </c>
      <c r="G17" s="71" t="str">
        <f>+'OptiMaxx plus'!K15</f>
        <v>No</v>
      </c>
      <c r="H17" s="69"/>
      <c r="I17" s="69" t="s">
        <v>83</v>
      </c>
      <c r="J17" s="72">
        <v>0.12</v>
      </c>
      <c r="K17" s="73">
        <f t="shared" si="0"/>
        <v>0.12</v>
      </c>
      <c r="L17" s="74">
        <f>+'OptiMaxx plus'!N26</f>
        <v>0</v>
      </c>
      <c r="M17" s="69"/>
      <c r="Q17" s="65"/>
      <c r="V17" s="65"/>
      <c r="X17" s="65"/>
      <c r="AA17" s="64"/>
      <c r="AB17" s="64"/>
    </row>
    <row r="18" spans="1:52" s="4" customFormat="1">
      <c r="A18" s="69"/>
      <c r="B18" s="69"/>
      <c r="C18" s="70"/>
      <c r="D18" s="70"/>
      <c r="E18" s="70"/>
      <c r="F18" s="69" t="s">
        <v>21</v>
      </c>
      <c r="G18" s="76">
        <v>0.04</v>
      </c>
      <c r="H18" s="69"/>
      <c r="I18" s="69"/>
      <c r="J18" s="72"/>
      <c r="K18" s="69"/>
      <c r="L18" s="69"/>
      <c r="M18" s="69"/>
      <c r="V18" s="65"/>
      <c r="X18" s="65"/>
      <c r="AA18" s="64"/>
      <c r="AB18" s="64"/>
    </row>
    <row r="19" spans="1:52" s="4" customFormat="1">
      <c r="A19" s="69"/>
      <c r="B19" s="69"/>
      <c r="C19" s="70"/>
      <c r="D19" s="70"/>
      <c r="E19" s="70"/>
      <c r="F19" s="69" t="s">
        <v>23</v>
      </c>
      <c r="G19" s="77">
        <v>5.08</v>
      </c>
      <c r="H19" s="69"/>
      <c r="I19" s="69"/>
      <c r="J19" s="72"/>
      <c r="K19" s="69"/>
      <c r="L19" s="69"/>
      <c r="M19" s="69"/>
      <c r="V19" s="65"/>
      <c r="X19" s="65"/>
      <c r="AA19" s="64"/>
      <c r="AB19" s="64"/>
    </row>
    <row r="20" spans="1:52" s="4" customFormat="1">
      <c r="A20" s="69"/>
      <c r="B20" s="69"/>
      <c r="C20" s="70"/>
      <c r="D20" s="70"/>
      <c r="E20" s="70"/>
      <c r="F20" s="69"/>
      <c r="G20" s="76">
        <f>+G18</f>
        <v>0.04</v>
      </c>
      <c r="H20" s="69"/>
      <c r="I20" s="78" t="s">
        <v>80</v>
      </c>
      <c r="J20" s="80"/>
      <c r="K20" s="78"/>
      <c r="L20" s="81">
        <f>SUMPRODUCT(L3:L17,K3:K17)</f>
        <v>0.1</v>
      </c>
      <c r="M20" s="69"/>
      <c r="V20" s="65"/>
      <c r="X20" s="65"/>
      <c r="AA20" s="64"/>
      <c r="AB20" s="64"/>
    </row>
    <row r="21" spans="1:52">
      <c r="J21" s="313">
        <f>3.6%/4</f>
        <v>9.0000000000000011E-3</v>
      </c>
      <c r="O21" s="1"/>
    </row>
    <row r="22" spans="1:52">
      <c r="C22" s="524" t="s">
        <v>84</v>
      </c>
      <c r="D22" s="524"/>
      <c r="E22" s="524"/>
      <c r="F22" s="524"/>
      <c r="G22" s="524"/>
      <c r="H22" s="524"/>
      <c r="I22" s="524"/>
      <c r="J22" s="524"/>
      <c r="K22" s="524"/>
      <c r="L22" s="524"/>
      <c r="O22" s="524" t="s">
        <v>85</v>
      </c>
      <c r="P22" s="524"/>
      <c r="Q22" s="524"/>
      <c r="R22" s="524"/>
      <c r="S22" s="524"/>
      <c r="T22" s="524"/>
      <c r="U22" s="524"/>
      <c r="V22" s="524"/>
      <c r="W22" s="524"/>
      <c r="X22" s="524"/>
      <c r="Y22" s="524"/>
      <c r="AA22" s="38" t="s">
        <v>6</v>
      </c>
      <c r="AB22" s="9"/>
    </row>
    <row r="23" spans="1:52" ht="36.75" customHeight="1">
      <c r="C23" s="3" t="s">
        <v>0</v>
      </c>
      <c r="D23" s="3" t="s">
        <v>2</v>
      </c>
      <c r="E23" s="3" t="s">
        <v>3</v>
      </c>
      <c r="F23" s="3" t="s">
        <v>4</v>
      </c>
      <c r="G23" s="3" t="s">
        <v>5</v>
      </c>
      <c r="H23" s="3" t="s">
        <v>7</v>
      </c>
      <c r="I23" s="3" t="s">
        <v>8</v>
      </c>
      <c r="J23" s="3" t="s">
        <v>9</v>
      </c>
      <c r="K23" s="3" t="s">
        <v>10</v>
      </c>
      <c r="L23" s="3" t="s">
        <v>22</v>
      </c>
      <c r="O23" s="3" t="s">
        <v>0</v>
      </c>
      <c r="P23" s="3" t="s">
        <v>2</v>
      </c>
      <c r="Q23" s="3" t="s">
        <v>3</v>
      </c>
      <c r="R23" s="3" t="s">
        <v>4</v>
      </c>
      <c r="S23" s="3" t="s">
        <v>5</v>
      </c>
      <c r="T23" s="3" t="s">
        <v>6</v>
      </c>
      <c r="U23" s="3" t="s">
        <v>7</v>
      </c>
      <c r="V23" s="36" t="s">
        <v>8</v>
      </c>
      <c r="W23" s="3" t="s">
        <v>9</v>
      </c>
      <c r="X23" s="36" t="s">
        <v>10</v>
      </c>
      <c r="Y23" s="3" t="s">
        <v>22</v>
      </c>
      <c r="AA23" s="3" t="s">
        <v>22</v>
      </c>
      <c r="AB23" s="43"/>
      <c r="AD23" s="3" t="s">
        <v>95</v>
      </c>
    </row>
    <row r="24" spans="1:52">
      <c r="B24" s="1">
        <v>1</v>
      </c>
      <c r="C24" s="2">
        <v>0</v>
      </c>
      <c r="D24" s="2">
        <v>1</v>
      </c>
      <c r="E24" s="2">
        <f>G2</f>
        <v>29</v>
      </c>
      <c r="F24" s="1">
        <v>0</v>
      </c>
      <c r="G24" s="4">
        <f>G3</f>
        <v>10000</v>
      </c>
      <c r="H24" s="1">
        <f t="shared" ref="H24:H87" si="1">SUM(F24:G24)*$G$8</f>
        <v>79.741404289037646</v>
      </c>
      <c r="I24" s="1">
        <v>-500</v>
      </c>
      <c r="J24" s="1">
        <v>0</v>
      </c>
      <c r="K24" s="1">
        <f>-SUM(F24:J24)*0.1%</f>
        <v>-9.5797414042890381</v>
      </c>
      <c r="L24" s="1">
        <f>SUM(F24:K24)</f>
        <v>9570.1616628847496</v>
      </c>
      <c r="N24" s="1">
        <v>1</v>
      </c>
      <c r="O24" s="2">
        <v>0</v>
      </c>
      <c r="P24" s="2">
        <v>1</v>
      </c>
      <c r="Q24" s="2">
        <f>S9</f>
        <v>0</v>
      </c>
      <c r="R24" s="1">
        <v>0</v>
      </c>
      <c r="S24" s="4"/>
      <c r="T24" s="1">
        <f t="shared" ref="T24:T35" si="2">S24*$G$9</f>
        <v>0</v>
      </c>
      <c r="U24" s="1">
        <f>SUM(R24:T24)*$G$8</f>
        <v>0</v>
      </c>
      <c r="V24" s="35">
        <v>0</v>
      </c>
      <c r="X24" s="35">
        <f t="shared" ref="X24:X42" si="3">-SUM(R24:U24)*0.1%</f>
        <v>0</v>
      </c>
      <c r="Y24" s="1">
        <f>SUM(R24:X24)</f>
        <v>0</v>
      </c>
      <c r="AA24" s="2">
        <f>+Bono!J24</f>
        <v>10062.001159928206</v>
      </c>
      <c r="AC24" s="10">
        <f>+B24/12</f>
        <v>8.3333333333333329E-2</v>
      </c>
      <c r="AD24" s="1">
        <f>+AA24+Y24+L24</f>
        <v>19632.162822812956</v>
      </c>
      <c r="AG24" s="45" t="s">
        <v>114</v>
      </c>
      <c r="AH24" s="44" t="s">
        <v>24</v>
      </c>
    </row>
    <row r="25" spans="1:52">
      <c r="B25" s="1">
        <f t="shared" ref="B25:B88" si="4">+B24+1</f>
        <v>2</v>
      </c>
      <c r="C25" s="2">
        <v>0</v>
      </c>
      <c r="D25" s="2">
        <v>2</v>
      </c>
      <c r="E25" s="2">
        <f t="shared" ref="E25:E35" si="5">E24</f>
        <v>29</v>
      </c>
      <c r="F25" s="1">
        <f>L24</f>
        <v>9570.1616628847496</v>
      </c>
      <c r="G25" s="4">
        <f>IF($G$4="mensual",$G$3,0)</f>
        <v>10000</v>
      </c>
      <c r="H25" s="1">
        <f t="shared" si="1"/>
        <v>156.0552173161918</v>
      </c>
      <c r="I25" s="1">
        <v>0</v>
      </c>
      <c r="J25" s="1">
        <v>0</v>
      </c>
      <c r="K25" s="1">
        <f t="shared" ref="K25:K88" si="6">-SUM(F25:J25)*0.1%</f>
        <v>-19.726216880200941</v>
      </c>
      <c r="L25" s="1">
        <f t="shared" ref="L25:L87" si="7">SUM(F25:K25)</f>
        <v>19706.490663320739</v>
      </c>
      <c r="N25" s="1">
        <f t="shared" ref="N25:N88" si="8">+N24+1</f>
        <v>2</v>
      </c>
      <c r="O25" s="2">
        <v>0</v>
      </c>
      <c r="P25" s="2">
        <v>2</v>
      </c>
      <c r="Q25" s="2">
        <f t="shared" ref="Q25:Q35" si="9">Q24</f>
        <v>0</v>
      </c>
      <c r="R25" s="1">
        <f t="shared" ref="R25:R88" si="10">Y24</f>
        <v>0</v>
      </c>
      <c r="S25" s="4"/>
      <c r="T25" s="1">
        <f t="shared" si="2"/>
        <v>0</v>
      </c>
      <c r="U25" s="1">
        <v>0</v>
      </c>
      <c r="V25" s="35">
        <v>0</v>
      </c>
      <c r="X25" s="35">
        <f t="shared" si="3"/>
        <v>0</v>
      </c>
      <c r="Y25" s="1">
        <f t="shared" ref="Y25:Y87" si="11">SUM(R25:X25)</f>
        <v>0</v>
      </c>
      <c r="AA25" s="2">
        <f>+Bono!J25</f>
        <v>20186.387894167863</v>
      </c>
      <c r="AC25" s="10">
        <f t="shared" ref="AC25:AC88" si="12">+B25/12</f>
        <v>0.16666666666666666</v>
      </c>
      <c r="AD25" s="1">
        <f t="shared" ref="AD25:AD88" si="13">+AA25+Y25+L25</f>
        <v>39892.878557488599</v>
      </c>
      <c r="AG25" s="1">
        <v>1</v>
      </c>
      <c r="AH25" s="1">
        <f>VLOOKUP(G4,$AK$25:$AL$28,2,0)*G3</f>
        <v>120000</v>
      </c>
      <c r="AK25" s="84" t="s">
        <v>41</v>
      </c>
      <c r="AL25" s="84">
        <v>12</v>
      </c>
    </row>
    <row r="26" spans="1:52">
      <c r="B26" s="1">
        <f t="shared" si="4"/>
        <v>3</v>
      </c>
      <c r="C26" s="2">
        <v>0</v>
      </c>
      <c r="D26" s="2">
        <v>3</v>
      </c>
      <c r="E26" s="2">
        <f t="shared" si="5"/>
        <v>29</v>
      </c>
      <c r="F26" s="1">
        <f t="shared" ref="F26:F88" si="14">L25</f>
        <v>19706.490663320739</v>
      </c>
      <c r="G26" s="4">
        <f>IF($G$4="mensual",$G$3,0)</f>
        <v>10000</v>
      </c>
      <c r="H26" s="1">
        <f t="shared" si="1"/>
        <v>236.88372819923811</v>
      </c>
      <c r="I26" s="1">
        <v>0</v>
      </c>
      <c r="J26" s="69">
        <f>-SUM(F26:H26)*$J$21</f>
        <v>-269.49036952367982</v>
      </c>
      <c r="K26" s="1">
        <f t="shared" si="6"/>
        <v>-29.673884021996301</v>
      </c>
      <c r="L26" s="1">
        <f t="shared" si="7"/>
        <v>29644.210137974304</v>
      </c>
      <c r="N26" s="1">
        <f t="shared" si="8"/>
        <v>3</v>
      </c>
      <c r="O26" s="2">
        <v>0</v>
      </c>
      <c r="P26" s="2">
        <v>3</v>
      </c>
      <c r="Q26" s="2">
        <f t="shared" si="9"/>
        <v>0</v>
      </c>
      <c r="R26" s="1">
        <f t="shared" si="10"/>
        <v>0</v>
      </c>
      <c r="S26" s="4"/>
      <c r="T26" s="1">
        <f t="shared" si="2"/>
        <v>0</v>
      </c>
      <c r="U26" s="1">
        <v>0</v>
      </c>
      <c r="V26" s="35">
        <v>0</v>
      </c>
      <c r="X26" s="35">
        <f t="shared" si="3"/>
        <v>0</v>
      </c>
      <c r="Y26" s="1">
        <f t="shared" si="11"/>
        <v>0</v>
      </c>
      <c r="AA26" s="2">
        <f>+Bono!J26</f>
        <v>30099.911441952772</v>
      </c>
      <c r="AC26" s="10">
        <f t="shared" si="12"/>
        <v>0.25</v>
      </c>
      <c r="AD26" s="1">
        <f t="shared" si="13"/>
        <v>59744.121579927072</v>
      </c>
      <c r="AG26" s="1">
        <f>+AG25+1</f>
        <v>2</v>
      </c>
      <c r="AH26" s="1">
        <f>IF($G$17="Si",(1+$G$20)*AH25,AH25)</f>
        <v>120000</v>
      </c>
      <c r="AK26" s="84" t="s">
        <v>44</v>
      </c>
      <c r="AL26" s="84">
        <v>4</v>
      </c>
    </row>
    <row r="27" spans="1:52">
      <c r="B27" s="1">
        <f t="shared" si="4"/>
        <v>4</v>
      </c>
      <c r="C27" s="2">
        <v>0</v>
      </c>
      <c r="D27" s="2">
        <v>4</v>
      </c>
      <c r="E27" s="2">
        <f t="shared" si="5"/>
        <v>29</v>
      </c>
      <c r="F27" s="1">
        <f t="shared" si="14"/>
        <v>29644.210137974304</v>
      </c>
      <c r="G27" s="4">
        <f>IF($G$4="mensual",$G$3,IF($G$4="trimestral",G3,0))</f>
        <v>10000</v>
      </c>
      <c r="H27" s="1">
        <f t="shared" si="1"/>
        <v>316.12849883317739</v>
      </c>
      <c r="I27" s="1">
        <v>0</v>
      </c>
      <c r="J27" s="1">
        <v>0</v>
      </c>
      <c r="K27" s="1">
        <f t="shared" si="6"/>
        <v>-39.960338636807478</v>
      </c>
      <c r="L27" s="1">
        <f t="shared" si="7"/>
        <v>39920.378298170668</v>
      </c>
      <c r="N27" s="1">
        <f t="shared" si="8"/>
        <v>4</v>
      </c>
      <c r="O27" s="2">
        <v>0</v>
      </c>
      <c r="P27" s="2">
        <v>4</v>
      </c>
      <c r="Q27" s="2">
        <f t="shared" si="9"/>
        <v>0</v>
      </c>
      <c r="R27" s="1">
        <f t="shared" si="10"/>
        <v>0</v>
      </c>
      <c r="S27" s="4"/>
      <c r="T27" s="1">
        <f t="shared" si="2"/>
        <v>0</v>
      </c>
      <c r="U27" s="1">
        <f>SUM(R27:T27)*$G$8</f>
        <v>0</v>
      </c>
      <c r="V27" s="35">
        <v>0</v>
      </c>
      <c r="X27" s="35">
        <f t="shared" si="3"/>
        <v>0</v>
      </c>
      <c r="Y27" s="1">
        <f t="shared" si="11"/>
        <v>0</v>
      </c>
      <c r="AA27" s="2">
        <f>+Bono!J27</f>
        <v>40348.535544194718</v>
      </c>
      <c r="AC27" s="10">
        <f t="shared" si="12"/>
        <v>0.33333333333333331</v>
      </c>
      <c r="AD27" s="1">
        <f t="shared" si="13"/>
        <v>80268.913842365379</v>
      </c>
      <c r="AG27" s="1">
        <f t="shared" ref="AG27:AG49" si="15">+AG26+1</f>
        <v>3</v>
      </c>
      <c r="AH27" s="1">
        <f t="shared" ref="AH27:AH49" si="16">IF($G$17="Si",(1+$G$20)*AH26,AH26)</f>
        <v>120000</v>
      </c>
      <c r="AK27" s="84" t="s">
        <v>47</v>
      </c>
      <c r="AL27" s="84">
        <v>2</v>
      </c>
    </row>
    <row r="28" spans="1:52">
      <c r="B28" s="1">
        <f t="shared" si="4"/>
        <v>5</v>
      </c>
      <c r="C28" s="2">
        <v>0</v>
      </c>
      <c r="D28" s="2">
        <v>5</v>
      </c>
      <c r="E28" s="2">
        <f t="shared" si="5"/>
        <v>29</v>
      </c>
      <c r="F28" s="1">
        <f t="shared" si="14"/>
        <v>39920.378298170668</v>
      </c>
      <c r="G28" s="4">
        <f>IF($G$4="mensual",$G$3,0)</f>
        <v>10000</v>
      </c>
      <c r="H28" s="1">
        <f t="shared" si="1"/>
        <v>398.07210681361283</v>
      </c>
      <c r="I28" s="1">
        <v>0</v>
      </c>
      <c r="J28" s="1">
        <v>0</v>
      </c>
      <c r="K28" s="1">
        <f t="shared" si="6"/>
        <v>-50.318450404984283</v>
      </c>
      <c r="L28" s="1">
        <f t="shared" si="7"/>
        <v>50268.131954579294</v>
      </c>
      <c r="N28" s="1">
        <f t="shared" si="8"/>
        <v>5</v>
      </c>
      <c r="O28" s="2">
        <v>0</v>
      </c>
      <c r="P28" s="2">
        <v>5</v>
      </c>
      <c r="Q28" s="2">
        <f t="shared" si="9"/>
        <v>0</v>
      </c>
      <c r="R28" s="1">
        <f t="shared" si="10"/>
        <v>0</v>
      </c>
      <c r="S28" s="4"/>
      <c r="T28" s="1">
        <f t="shared" si="2"/>
        <v>0</v>
      </c>
      <c r="U28" s="1">
        <v>0</v>
      </c>
      <c r="V28" s="35">
        <v>0</v>
      </c>
      <c r="X28" s="35">
        <f t="shared" si="3"/>
        <v>0</v>
      </c>
      <c r="Y28" s="1">
        <f t="shared" si="11"/>
        <v>0</v>
      </c>
      <c r="AA28" s="2">
        <f>+Bono!J28</f>
        <v>50660.70230463738</v>
      </c>
      <c r="AC28" s="10">
        <f t="shared" si="12"/>
        <v>0.41666666666666669</v>
      </c>
      <c r="AD28" s="1">
        <f t="shared" si="13"/>
        <v>100928.83425921667</v>
      </c>
      <c r="AG28" s="1">
        <f t="shared" si="15"/>
        <v>4</v>
      </c>
      <c r="AH28" s="1">
        <f t="shared" si="16"/>
        <v>120000</v>
      </c>
      <c r="AK28" s="84" t="s">
        <v>49</v>
      </c>
      <c r="AL28" s="84">
        <v>1</v>
      </c>
    </row>
    <row r="29" spans="1:52">
      <c r="B29" s="1">
        <f t="shared" si="4"/>
        <v>6</v>
      </c>
      <c r="C29" s="2">
        <v>0</v>
      </c>
      <c r="D29" s="2">
        <v>6</v>
      </c>
      <c r="E29" s="2">
        <f t="shared" si="5"/>
        <v>29</v>
      </c>
      <c r="F29" s="1">
        <f t="shared" si="14"/>
        <v>50268.131954579294</v>
      </c>
      <c r="G29" s="4">
        <f>IF($G$4="mensual",$G$3,0)</f>
        <v>10000</v>
      </c>
      <c r="H29" s="1">
        <f t="shared" si="1"/>
        <v>480.58654759351759</v>
      </c>
      <c r="I29" s="1">
        <v>0</v>
      </c>
      <c r="J29" s="69">
        <f>-SUM(F29:H29)*$J$21</f>
        <v>-546.73846651955535</v>
      </c>
      <c r="K29" s="1">
        <f t="shared" si="6"/>
        <v>-60.201980035653257</v>
      </c>
      <c r="L29" s="1">
        <f t="shared" si="7"/>
        <v>60141.778055617608</v>
      </c>
      <c r="N29" s="1">
        <f t="shared" si="8"/>
        <v>6</v>
      </c>
      <c r="O29" s="2">
        <v>0</v>
      </c>
      <c r="P29" s="2">
        <v>6</v>
      </c>
      <c r="Q29" s="2">
        <f t="shared" si="9"/>
        <v>0</v>
      </c>
      <c r="R29" s="1">
        <f t="shared" si="10"/>
        <v>0</v>
      </c>
      <c r="S29" s="4"/>
      <c r="T29" s="1">
        <f t="shared" si="2"/>
        <v>0</v>
      </c>
      <c r="U29" s="1">
        <v>0</v>
      </c>
      <c r="V29" s="35">
        <v>0</v>
      </c>
      <c r="X29" s="35">
        <f t="shared" si="3"/>
        <v>0</v>
      </c>
      <c r="Y29" s="1">
        <f t="shared" si="11"/>
        <v>0</v>
      </c>
      <c r="AA29" s="2">
        <f>+Bono!J29</f>
        <v>60486.924562743516</v>
      </c>
      <c r="AC29" s="10">
        <f t="shared" si="12"/>
        <v>0.5</v>
      </c>
      <c r="AD29" s="1">
        <f t="shared" si="13"/>
        <v>120628.70261836113</v>
      </c>
      <c r="AG29" s="1">
        <f t="shared" si="15"/>
        <v>5</v>
      </c>
      <c r="AH29" s="1">
        <f t="shared" si="16"/>
        <v>120000</v>
      </c>
    </row>
    <row r="30" spans="1:52">
      <c r="B30" s="1">
        <f t="shared" si="4"/>
        <v>7</v>
      </c>
      <c r="C30" s="2">
        <v>0</v>
      </c>
      <c r="D30" s="2">
        <v>7</v>
      </c>
      <c r="E30" s="2">
        <f t="shared" si="5"/>
        <v>29</v>
      </c>
      <c r="F30" s="1">
        <f t="shared" si="14"/>
        <v>60141.778055617608</v>
      </c>
      <c r="G30" s="4">
        <f>IF($G$4="mensual",$G$3,IF($G$4="trimestral",$G$3,IF(G4="semestral",$G$3,0)))</f>
        <v>10000</v>
      </c>
      <c r="H30" s="1">
        <f t="shared" si="1"/>
        <v>559.32038814849534</v>
      </c>
      <c r="I30" s="1">
        <v>0</v>
      </c>
      <c r="J30" s="1">
        <v>0</v>
      </c>
      <c r="K30" s="1">
        <f t="shared" si="6"/>
        <v>-70.701098443766114</v>
      </c>
      <c r="L30" s="1">
        <f t="shared" si="7"/>
        <v>70630.397345322344</v>
      </c>
      <c r="N30" s="1">
        <f t="shared" si="8"/>
        <v>7</v>
      </c>
      <c r="O30" s="2">
        <v>0</v>
      </c>
      <c r="P30" s="2">
        <v>7</v>
      </c>
      <c r="Q30" s="2">
        <f t="shared" si="9"/>
        <v>0</v>
      </c>
      <c r="R30" s="1">
        <f t="shared" si="10"/>
        <v>0</v>
      </c>
      <c r="S30" s="4"/>
      <c r="T30" s="1">
        <f t="shared" si="2"/>
        <v>0</v>
      </c>
      <c r="U30" s="1">
        <f>SUM(R30:T30)*$G$8</f>
        <v>0</v>
      </c>
      <c r="V30" s="35">
        <v>0</v>
      </c>
      <c r="X30" s="35">
        <f t="shared" si="3"/>
        <v>0</v>
      </c>
      <c r="Y30" s="1">
        <f t="shared" si="11"/>
        <v>0</v>
      </c>
      <c r="AA30" s="2">
        <f>+Bono!J30</f>
        <v>70923.951671009709</v>
      </c>
      <c r="AC30" s="10">
        <f t="shared" si="12"/>
        <v>0.58333333333333337</v>
      </c>
      <c r="AD30" s="1">
        <f t="shared" si="13"/>
        <v>141554.34901633207</v>
      </c>
      <c r="AG30" s="1">
        <f t="shared" si="15"/>
        <v>6</v>
      </c>
      <c r="AH30" s="1">
        <f t="shared" si="16"/>
        <v>120000</v>
      </c>
    </row>
    <row r="31" spans="1:52">
      <c r="B31" s="1">
        <f t="shared" si="4"/>
        <v>8</v>
      </c>
      <c r="C31" s="2">
        <v>0</v>
      </c>
      <c r="D31" s="2">
        <v>8</v>
      </c>
      <c r="E31" s="2">
        <f t="shared" si="5"/>
        <v>29</v>
      </c>
      <c r="F31" s="1">
        <f t="shared" si="14"/>
        <v>70630.397345322344</v>
      </c>
      <c r="G31" s="4">
        <f>IF($G$4="mensual",$G$3,0)</f>
        <v>10000</v>
      </c>
      <c r="H31" s="1">
        <f t="shared" si="1"/>
        <v>642.95811126990964</v>
      </c>
      <c r="I31" s="1">
        <v>0</v>
      </c>
      <c r="J31" s="1">
        <v>0</v>
      </c>
      <c r="K31" s="1">
        <f t="shared" si="6"/>
        <v>-81.273355456592256</v>
      </c>
      <c r="L31" s="1">
        <f t="shared" si="7"/>
        <v>81192.08210113566</v>
      </c>
      <c r="N31" s="1">
        <f t="shared" si="8"/>
        <v>8</v>
      </c>
      <c r="O31" s="2">
        <v>0</v>
      </c>
      <c r="P31" s="2">
        <v>8</v>
      </c>
      <c r="Q31" s="2">
        <f t="shared" si="9"/>
        <v>0</v>
      </c>
      <c r="R31" s="1">
        <f t="shared" si="10"/>
        <v>0</v>
      </c>
      <c r="S31" s="4"/>
      <c r="T31" s="1">
        <f t="shared" si="2"/>
        <v>0</v>
      </c>
      <c r="U31" s="1">
        <v>0</v>
      </c>
      <c r="V31" s="35">
        <v>0</v>
      </c>
      <c r="X31" s="35">
        <f t="shared" si="3"/>
        <v>0</v>
      </c>
      <c r="Y31" s="1">
        <f t="shared" si="11"/>
        <v>0</v>
      </c>
      <c r="AA31" s="2">
        <f>+Bono!J31</f>
        <v>81425.689557967373</v>
      </c>
      <c r="AC31" s="10">
        <f t="shared" si="12"/>
        <v>0.66666666666666663</v>
      </c>
      <c r="AD31" s="1">
        <f t="shared" si="13"/>
        <v>162617.77165910305</v>
      </c>
      <c r="AG31" s="1">
        <f t="shared" si="15"/>
        <v>7</v>
      </c>
      <c r="AH31" s="1">
        <f t="shared" si="16"/>
        <v>120000</v>
      </c>
    </row>
    <row r="32" spans="1:52">
      <c r="B32" s="1">
        <f t="shared" si="4"/>
        <v>9</v>
      </c>
      <c r="C32" s="2">
        <v>0</v>
      </c>
      <c r="D32" s="2">
        <v>9</v>
      </c>
      <c r="E32" s="2">
        <f t="shared" si="5"/>
        <v>29</v>
      </c>
      <c r="F32" s="1">
        <f t="shared" si="14"/>
        <v>81192.08210113566</v>
      </c>
      <c r="G32" s="4">
        <f>IF($G$4="mensual",$G$3,0)</f>
        <v>10000</v>
      </c>
      <c r="H32" s="1">
        <f t="shared" si="1"/>
        <v>727.17846867857725</v>
      </c>
      <c r="I32" s="1">
        <v>0</v>
      </c>
      <c r="J32" s="69">
        <f>-SUM(F32:H32)*$J$21</f>
        <v>-827.27334512832829</v>
      </c>
      <c r="K32" s="1">
        <f t="shared" si="6"/>
        <v>-91.091987224685923</v>
      </c>
      <c r="L32" s="1">
        <f t="shared" si="7"/>
        <v>91000.895237461227</v>
      </c>
      <c r="N32" s="1">
        <f t="shared" si="8"/>
        <v>9</v>
      </c>
      <c r="O32" s="2">
        <v>0</v>
      </c>
      <c r="P32" s="2">
        <v>9</v>
      </c>
      <c r="Q32" s="2">
        <f t="shared" si="9"/>
        <v>0</v>
      </c>
      <c r="R32" s="1">
        <f t="shared" si="10"/>
        <v>0</v>
      </c>
      <c r="S32" s="4"/>
      <c r="T32" s="1">
        <f t="shared" si="2"/>
        <v>0</v>
      </c>
      <c r="U32" s="1">
        <v>0</v>
      </c>
      <c r="V32" s="35">
        <v>0</v>
      </c>
      <c r="X32" s="35">
        <f t="shared" si="3"/>
        <v>0</v>
      </c>
      <c r="Y32" s="1">
        <f t="shared" si="11"/>
        <v>0</v>
      </c>
      <c r="AA32" s="2">
        <f>+Bono!J32</f>
        <v>91163.777821392257</v>
      </c>
      <c r="AC32" s="10">
        <f t="shared" si="12"/>
        <v>0.75</v>
      </c>
      <c r="AD32" s="1">
        <f t="shared" si="13"/>
        <v>182164.67305885348</v>
      </c>
      <c r="AG32" s="1">
        <f t="shared" si="15"/>
        <v>8</v>
      </c>
      <c r="AH32" s="1">
        <f t="shared" si="16"/>
        <v>120000</v>
      </c>
      <c r="AK32" s="525" t="s">
        <v>142</v>
      </c>
      <c r="AL32" s="526"/>
      <c r="AM32" s="526"/>
      <c r="AN32" s="526"/>
      <c r="AO32" s="526"/>
      <c r="AP32" s="526"/>
      <c r="AQ32" s="526"/>
      <c r="AR32" s="526"/>
      <c r="AS32" s="526"/>
      <c r="AT32" s="526"/>
      <c r="AU32" s="526"/>
      <c r="AV32" s="526"/>
      <c r="AW32" s="526"/>
      <c r="AX32" s="526"/>
      <c r="AY32" s="526"/>
      <c r="AZ32" s="526"/>
    </row>
    <row r="33" spans="2:53">
      <c r="B33" s="1">
        <f t="shared" si="4"/>
        <v>10</v>
      </c>
      <c r="C33" s="2">
        <v>0</v>
      </c>
      <c r="D33" s="2">
        <v>10</v>
      </c>
      <c r="E33" s="2">
        <f t="shared" si="5"/>
        <v>29</v>
      </c>
      <c r="F33" s="1">
        <f t="shared" si="14"/>
        <v>91000.895237461227</v>
      </c>
      <c r="G33" s="4">
        <f>IF($G$4="mensual",$G$3,IF($G$4="trimestral",$G$3,0))</f>
        <v>10000</v>
      </c>
      <c r="H33" s="1">
        <f t="shared" si="1"/>
        <v>805.39532206851322</v>
      </c>
      <c r="I33" s="1">
        <v>0</v>
      </c>
      <c r="J33" s="1">
        <v>0</v>
      </c>
      <c r="K33" s="1">
        <f t="shared" si="6"/>
        <v>-101.80629055952974</v>
      </c>
      <c r="L33" s="1">
        <f t="shared" si="7"/>
        <v>101704.48426897021</v>
      </c>
      <c r="N33" s="1">
        <f t="shared" si="8"/>
        <v>10</v>
      </c>
      <c r="O33" s="2">
        <v>0</v>
      </c>
      <c r="P33" s="2">
        <v>10</v>
      </c>
      <c r="Q33" s="2">
        <f t="shared" si="9"/>
        <v>0</v>
      </c>
      <c r="R33" s="1">
        <f t="shared" si="10"/>
        <v>0</v>
      </c>
      <c r="S33" s="4"/>
      <c r="T33" s="1">
        <f t="shared" si="2"/>
        <v>0</v>
      </c>
      <c r="U33" s="1">
        <f>SUM(R33:T33)*$G$8</f>
        <v>0</v>
      </c>
      <c r="V33" s="35">
        <v>0</v>
      </c>
      <c r="X33" s="35">
        <f t="shared" si="3"/>
        <v>0</v>
      </c>
      <c r="Y33" s="1">
        <f t="shared" si="11"/>
        <v>0</v>
      </c>
      <c r="AA33" s="2">
        <f>+Bono!J33</f>
        <v>101791.00497815681</v>
      </c>
      <c r="AC33" s="10">
        <f t="shared" si="12"/>
        <v>0.83333333333333337</v>
      </c>
      <c r="AD33" s="1">
        <f t="shared" si="13"/>
        <v>203495.48924712703</v>
      </c>
      <c r="AG33" s="1">
        <f t="shared" si="15"/>
        <v>9</v>
      </c>
      <c r="AH33" s="1">
        <f t="shared" si="16"/>
        <v>120000</v>
      </c>
      <c r="AK33" s="526"/>
      <c r="AL33" s="526"/>
      <c r="AM33" s="526"/>
      <c r="AN33" s="526"/>
      <c r="AO33" s="526"/>
      <c r="AP33" s="526"/>
      <c r="AQ33" s="526"/>
      <c r="AR33" s="526"/>
      <c r="AS33" s="526"/>
      <c r="AT33" s="526"/>
      <c r="AU33" s="526"/>
      <c r="AV33" s="526"/>
      <c r="AW33" s="526"/>
      <c r="AX33" s="526"/>
      <c r="AY33" s="526"/>
      <c r="AZ33" s="526"/>
    </row>
    <row r="34" spans="2:53">
      <c r="B34" s="1">
        <f t="shared" si="4"/>
        <v>11</v>
      </c>
      <c r="C34" s="2">
        <v>0</v>
      </c>
      <c r="D34" s="2">
        <v>11</v>
      </c>
      <c r="E34" s="2">
        <f t="shared" si="5"/>
        <v>29</v>
      </c>
      <c r="F34" s="1">
        <f t="shared" si="14"/>
        <v>101704.48426897021</v>
      </c>
      <c r="G34" s="4">
        <f>IF($G$4="mensual",$G$3,0)</f>
        <v>10000</v>
      </c>
      <c r="H34" s="1">
        <f t="shared" si="1"/>
        <v>890.7472440990399</v>
      </c>
      <c r="I34" s="1">
        <v>0</v>
      </c>
      <c r="J34" s="1">
        <v>0</v>
      </c>
      <c r="K34" s="1">
        <f t="shared" si="6"/>
        <v>-112.59523151306925</v>
      </c>
      <c r="L34" s="1">
        <f t="shared" si="7"/>
        <v>112482.63628155617</v>
      </c>
      <c r="N34" s="1">
        <f t="shared" si="8"/>
        <v>11</v>
      </c>
      <c r="O34" s="2">
        <v>0</v>
      </c>
      <c r="P34" s="2">
        <v>11</v>
      </c>
      <c r="Q34" s="2">
        <f t="shared" si="9"/>
        <v>0</v>
      </c>
      <c r="R34" s="1">
        <f t="shared" si="10"/>
        <v>0</v>
      </c>
      <c r="S34" s="4"/>
      <c r="T34" s="1">
        <f t="shared" si="2"/>
        <v>0</v>
      </c>
      <c r="U34" s="1">
        <v>0</v>
      </c>
      <c r="V34" s="35">
        <v>0</v>
      </c>
      <c r="X34" s="35">
        <f t="shared" si="3"/>
        <v>0</v>
      </c>
      <c r="Y34" s="1">
        <f t="shared" si="11"/>
        <v>0</v>
      </c>
      <c r="AA34" s="2">
        <f>+Bono!J34</f>
        <v>112484.12217597537</v>
      </c>
      <c r="AC34" s="10">
        <f t="shared" si="12"/>
        <v>0.91666666666666663</v>
      </c>
      <c r="AD34" s="1">
        <f t="shared" si="13"/>
        <v>224966.75845753154</v>
      </c>
      <c r="AG34" s="1">
        <f t="shared" si="15"/>
        <v>10</v>
      </c>
      <c r="AH34" s="1">
        <f t="shared" si="16"/>
        <v>120000</v>
      </c>
      <c r="AK34" s="526"/>
      <c r="AL34" s="526"/>
      <c r="AM34" s="526"/>
      <c r="AN34" s="526"/>
      <c r="AO34" s="526"/>
      <c r="AP34" s="526"/>
      <c r="AQ34" s="526"/>
      <c r="AR34" s="526"/>
      <c r="AS34" s="526"/>
      <c r="AT34" s="526"/>
      <c r="AU34" s="526"/>
      <c r="AV34" s="526"/>
      <c r="AW34" s="526"/>
      <c r="AX34" s="526"/>
      <c r="AY34" s="526"/>
      <c r="AZ34" s="526"/>
    </row>
    <row r="35" spans="2:53">
      <c r="B35" s="1">
        <f t="shared" si="4"/>
        <v>12</v>
      </c>
      <c r="C35" s="2">
        <v>0</v>
      </c>
      <c r="D35" s="2">
        <v>12</v>
      </c>
      <c r="E35" s="2">
        <f t="shared" si="5"/>
        <v>29</v>
      </c>
      <c r="F35" s="1">
        <f t="shared" si="14"/>
        <v>112482.63628155617</v>
      </c>
      <c r="G35" s="4">
        <f>IF($G$4="mensual",$G$3,0)</f>
        <v>10000</v>
      </c>
      <c r="H35" s="1">
        <f t="shared" si="1"/>
        <v>976.69374181147214</v>
      </c>
      <c r="I35" s="1">
        <v>0</v>
      </c>
      <c r="J35" s="69">
        <f>-SUM(F35:H35)*$J$21</f>
        <v>-1111.1339702103089</v>
      </c>
      <c r="K35" s="1">
        <f t="shared" si="6"/>
        <v>-122.34819605315732</v>
      </c>
      <c r="L35" s="1">
        <f t="shared" si="7"/>
        <v>122225.84785710416</v>
      </c>
      <c r="N35" s="1">
        <f t="shared" si="8"/>
        <v>12</v>
      </c>
      <c r="O35" s="2">
        <v>0</v>
      </c>
      <c r="P35" s="2">
        <v>12</v>
      </c>
      <c r="Q35" s="2">
        <f t="shared" si="9"/>
        <v>0</v>
      </c>
      <c r="R35" s="1">
        <f t="shared" si="10"/>
        <v>0</v>
      </c>
      <c r="T35" s="1">
        <f t="shared" si="2"/>
        <v>0</v>
      </c>
      <c r="U35" s="1">
        <v>0</v>
      </c>
      <c r="V35" s="35">
        <v>0</v>
      </c>
      <c r="X35" s="35">
        <f t="shared" si="3"/>
        <v>0</v>
      </c>
      <c r="Y35" s="1">
        <f t="shared" si="11"/>
        <v>0</v>
      </c>
      <c r="AA35" s="2">
        <f>+Bono!J35</f>
        <v>122133.23579713491</v>
      </c>
      <c r="AC35" s="10">
        <f t="shared" si="12"/>
        <v>1</v>
      </c>
      <c r="AD35" s="1">
        <f t="shared" si="13"/>
        <v>244359.08365423908</v>
      </c>
      <c r="AG35" s="1">
        <f t="shared" si="15"/>
        <v>11</v>
      </c>
      <c r="AH35" s="1">
        <f t="shared" si="16"/>
        <v>120000</v>
      </c>
      <c r="AK35" s="526"/>
      <c r="AL35" s="526"/>
      <c r="AM35" s="526"/>
      <c r="AN35" s="526"/>
      <c r="AO35" s="526"/>
      <c r="AP35" s="526"/>
      <c r="AQ35" s="526"/>
      <c r="AR35" s="526"/>
      <c r="AS35" s="526"/>
      <c r="AT35" s="526"/>
      <c r="AU35" s="526"/>
      <c r="AV35" s="526"/>
      <c r="AW35" s="526"/>
      <c r="AX35" s="526"/>
      <c r="AY35" s="526"/>
      <c r="AZ35" s="526"/>
    </row>
    <row r="36" spans="2:53">
      <c r="B36" s="1">
        <f t="shared" si="4"/>
        <v>13</v>
      </c>
      <c r="C36" s="2">
        <f t="shared" ref="C36:C99" si="17">C24+1</f>
        <v>1</v>
      </c>
      <c r="D36" s="2">
        <f t="shared" ref="D36:D99" si="18">D24</f>
        <v>1</v>
      </c>
      <c r="E36" s="2">
        <f t="shared" ref="E36:E99" si="19">E24+1</f>
        <v>30</v>
      </c>
      <c r="F36" s="1">
        <f>L35</f>
        <v>122225.84785710416</v>
      </c>
      <c r="G36" s="1">
        <f>IF(AND(G4="Anual",$G$17="si"),G24*(1+$G$20)/2,IF(AND(G4="Anual",G17="No"),G24/2,IF(G17="Si",G24*(1+$G$20),G24)))</f>
        <v>10000</v>
      </c>
      <c r="H36" s="1">
        <f t="shared" si="1"/>
        <v>1054.3874791434123</v>
      </c>
      <c r="I36" s="1">
        <v>0</v>
      </c>
      <c r="J36" s="1">
        <v>0</v>
      </c>
      <c r="K36" s="1">
        <f t="shared" si="6"/>
        <v>-133.28023533624759</v>
      </c>
      <c r="L36" s="1">
        <f t="shared" si="7"/>
        <v>133146.95510091132</v>
      </c>
      <c r="N36" s="1">
        <f t="shared" si="8"/>
        <v>13</v>
      </c>
      <c r="O36" s="2">
        <f t="shared" ref="O36:O99" si="20">O24+1</f>
        <v>1</v>
      </c>
      <c r="P36" s="2">
        <f t="shared" ref="P36:P99" si="21">P24</f>
        <v>1</v>
      </c>
      <c r="Q36" s="2">
        <f t="shared" ref="Q36:Q99" si="22">Q24+1</f>
        <v>1</v>
      </c>
      <c r="R36" s="1">
        <f t="shared" si="10"/>
        <v>0</v>
      </c>
      <c r="S36" s="1">
        <f>IF(G4="Anual",G36,0)</f>
        <v>0</v>
      </c>
      <c r="U36" s="1">
        <f t="shared" ref="U36:U99" si="23">SUM(R36:T36)*$G$8</f>
        <v>0</v>
      </c>
      <c r="V36" s="35">
        <v>0</v>
      </c>
      <c r="X36" s="35">
        <f t="shared" si="3"/>
        <v>0</v>
      </c>
      <c r="Y36" s="1">
        <f t="shared" si="11"/>
        <v>0</v>
      </c>
      <c r="AA36" s="2">
        <f>+Bono!J36</f>
        <v>122890.47602565565</v>
      </c>
      <c r="AC36" s="10">
        <f t="shared" si="12"/>
        <v>1.0833333333333333</v>
      </c>
      <c r="AD36" s="1">
        <f t="shared" si="13"/>
        <v>256037.43112656695</v>
      </c>
      <c r="AG36" s="1">
        <f t="shared" si="15"/>
        <v>12</v>
      </c>
      <c r="AH36" s="1">
        <f t="shared" si="16"/>
        <v>120000</v>
      </c>
      <c r="AK36" s="526"/>
      <c r="AL36" s="526"/>
      <c r="AM36" s="526"/>
      <c r="AN36" s="526"/>
      <c r="AO36" s="526"/>
      <c r="AP36" s="526"/>
      <c r="AQ36" s="526"/>
      <c r="AR36" s="526"/>
      <c r="AS36" s="526"/>
      <c r="AT36" s="526"/>
      <c r="AU36" s="526"/>
      <c r="AV36" s="526"/>
      <c r="AW36" s="526"/>
      <c r="AX36" s="526"/>
      <c r="AY36" s="526"/>
      <c r="AZ36" s="526"/>
    </row>
    <row r="37" spans="2:53">
      <c r="B37" s="1">
        <f t="shared" si="4"/>
        <v>14</v>
      </c>
      <c r="C37" s="2">
        <f t="shared" si="17"/>
        <v>1</v>
      </c>
      <c r="D37" s="2">
        <f t="shared" si="18"/>
        <v>2</v>
      </c>
      <c r="E37" s="2">
        <f t="shared" si="19"/>
        <v>30</v>
      </c>
      <c r="F37" s="1">
        <f t="shared" si="14"/>
        <v>133146.95510091132</v>
      </c>
      <c r="G37" s="1">
        <f>+IF($G$4="mensual",G36,0)</f>
        <v>10000</v>
      </c>
      <c r="H37" s="1">
        <f t="shared" si="1"/>
        <v>1141.473921944649</v>
      </c>
      <c r="I37" s="1">
        <v>0</v>
      </c>
      <c r="J37" s="1">
        <v>0</v>
      </c>
      <c r="K37" s="1">
        <f t="shared" si="6"/>
        <v>-144.28842902285598</v>
      </c>
      <c r="L37" s="1">
        <f t="shared" si="7"/>
        <v>144144.14059383312</v>
      </c>
      <c r="N37" s="1">
        <f t="shared" si="8"/>
        <v>14</v>
      </c>
      <c r="O37" s="2">
        <f t="shared" si="20"/>
        <v>1</v>
      </c>
      <c r="P37" s="2">
        <f t="shared" si="21"/>
        <v>2</v>
      </c>
      <c r="Q37" s="2">
        <f t="shared" si="22"/>
        <v>1</v>
      </c>
      <c r="R37" s="1">
        <f t="shared" si="10"/>
        <v>0</v>
      </c>
      <c r="U37" s="1">
        <f t="shared" si="23"/>
        <v>0</v>
      </c>
      <c r="V37" s="35">
        <v>0</v>
      </c>
      <c r="X37" s="35">
        <f t="shared" si="3"/>
        <v>0</v>
      </c>
      <c r="Y37" s="1">
        <f t="shared" si="11"/>
        <v>0</v>
      </c>
      <c r="AA37" s="2">
        <f>+Bono!J37</f>
        <v>123652.41123142766</v>
      </c>
      <c r="AC37" s="10">
        <f t="shared" si="12"/>
        <v>1.1666666666666667</v>
      </c>
      <c r="AD37" s="1">
        <f t="shared" si="13"/>
        <v>267796.55182526074</v>
      </c>
      <c r="AG37" s="1">
        <f t="shared" si="15"/>
        <v>13</v>
      </c>
      <c r="AH37" s="1">
        <f t="shared" si="16"/>
        <v>120000</v>
      </c>
      <c r="AK37" s="526"/>
      <c r="AL37" s="526"/>
      <c r="AM37" s="526"/>
      <c r="AN37" s="526"/>
      <c r="AO37" s="526"/>
      <c r="AP37" s="526"/>
      <c r="AQ37" s="526"/>
      <c r="AR37" s="526"/>
      <c r="AS37" s="526"/>
      <c r="AT37" s="526"/>
      <c r="AU37" s="526"/>
      <c r="AV37" s="526"/>
      <c r="AW37" s="526"/>
      <c r="AX37" s="526"/>
      <c r="AY37" s="526"/>
      <c r="AZ37" s="526"/>
    </row>
    <row r="38" spans="2:53">
      <c r="B38" s="1">
        <f t="shared" si="4"/>
        <v>15</v>
      </c>
      <c r="C38" s="2">
        <f t="shared" si="17"/>
        <v>1</v>
      </c>
      <c r="D38" s="2">
        <f t="shared" si="18"/>
        <v>3</v>
      </c>
      <c r="E38" s="2">
        <f t="shared" si="19"/>
        <v>30</v>
      </c>
      <c r="F38" s="1">
        <f t="shared" si="14"/>
        <v>144144.14059383312</v>
      </c>
      <c r="G38" s="1">
        <f>+G37</f>
        <v>10000</v>
      </c>
      <c r="H38" s="1">
        <f t="shared" si="1"/>
        <v>1229.1670233879106</v>
      </c>
      <c r="I38" s="1">
        <v>0</v>
      </c>
      <c r="J38" s="69">
        <f>-SUM(F38:H38)*$J$21</f>
        <v>-1398.3597685549894</v>
      </c>
      <c r="K38" s="1">
        <f t="shared" si="6"/>
        <v>-153.97494784866606</v>
      </c>
      <c r="L38" s="1">
        <f t="shared" si="7"/>
        <v>153820.97290081737</v>
      </c>
      <c r="N38" s="1">
        <f t="shared" si="8"/>
        <v>15</v>
      </c>
      <c r="O38" s="2">
        <f t="shared" si="20"/>
        <v>1</v>
      </c>
      <c r="P38" s="2">
        <f t="shared" si="21"/>
        <v>3</v>
      </c>
      <c r="Q38" s="2">
        <f t="shared" si="22"/>
        <v>1</v>
      </c>
      <c r="R38" s="1">
        <f t="shared" si="10"/>
        <v>0</v>
      </c>
      <c r="U38" s="1">
        <f t="shared" si="23"/>
        <v>0</v>
      </c>
      <c r="V38" s="35">
        <v>0</v>
      </c>
      <c r="X38" s="35">
        <f t="shared" si="3"/>
        <v>0</v>
      </c>
      <c r="Y38" s="1">
        <f t="shared" si="11"/>
        <v>0</v>
      </c>
      <c r="AA38" s="2">
        <f>+Bono!J38</f>
        <v>123298.17799661253</v>
      </c>
      <c r="AC38" s="10">
        <f t="shared" si="12"/>
        <v>1.25</v>
      </c>
      <c r="AD38" s="1">
        <f t="shared" si="13"/>
        <v>277119.15089742991</v>
      </c>
      <c r="AG38" s="1">
        <f t="shared" si="15"/>
        <v>14</v>
      </c>
      <c r="AH38" s="1">
        <f t="shared" si="16"/>
        <v>120000</v>
      </c>
      <c r="AK38" s="526"/>
      <c r="AL38" s="526"/>
      <c r="AM38" s="526"/>
      <c r="AN38" s="526"/>
      <c r="AO38" s="526"/>
      <c r="AP38" s="526"/>
      <c r="AQ38" s="526"/>
      <c r="AR38" s="526"/>
      <c r="AS38" s="526"/>
      <c r="AT38" s="526"/>
      <c r="AU38" s="526"/>
      <c r="AV38" s="526"/>
      <c r="AW38" s="526"/>
      <c r="AX38" s="526"/>
      <c r="AY38" s="526"/>
      <c r="AZ38" s="526"/>
    </row>
    <row r="39" spans="2:53">
      <c r="B39" s="1">
        <f t="shared" si="4"/>
        <v>16</v>
      </c>
      <c r="C39" s="2">
        <f t="shared" si="17"/>
        <v>1</v>
      </c>
      <c r="D39" s="2">
        <f t="shared" si="18"/>
        <v>4</v>
      </c>
      <c r="E39" s="2">
        <f t="shared" si="19"/>
        <v>30</v>
      </c>
      <c r="F39" s="1">
        <f t="shared" si="14"/>
        <v>153820.97290081737</v>
      </c>
      <c r="G39" s="1">
        <f>IF($G$4="mensual",G36,IF($G$4="trimestral",G36,0))</f>
        <v>10000</v>
      </c>
      <c r="H39" s="1">
        <f t="shared" si="1"/>
        <v>1306.3314431107558</v>
      </c>
      <c r="I39" s="1">
        <v>0</v>
      </c>
      <c r="J39" s="1">
        <v>0</v>
      </c>
      <c r="K39" s="1">
        <f t="shared" si="6"/>
        <v>-165.12730434392813</v>
      </c>
      <c r="L39" s="1">
        <f t="shared" si="7"/>
        <v>164962.1770395842</v>
      </c>
      <c r="N39" s="1">
        <f t="shared" si="8"/>
        <v>16</v>
      </c>
      <c r="O39" s="2">
        <f t="shared" si="20"/>
        <v>1</v>
      </c>
      <c r="P39" s="2">
        <f t="shared" si="21"/>
        <v>4</v>
      </c>
      <c r="Q39" s="2">
        <f t="shared" si="22"/>
        <v>1</v>
      </c>
      <c r="R39" s="1">
        <f t="shared" si="10"/>
        <v>0</v>
      </c>
      <c r="U39" s="1">
        <f t="shared" si="23"/>
        <v>0</v>
      </c>
      <c r="V39" s="35">
        <v>0</v>
      </c>
      <c r="X39" s="35">
        <f t="shared" si="3"/>
        <v>0</v>
      </c>
      <c r="Y39" s="1">
        <f t="shared" si="11"/>
        <v>0</v>
      </c>
      <c r="AA39" s="2">
        <f>+Bono!J39</f>
        <v>124062.64100189497</v>
      </c>
      <c r="AC39" s="10">
        <f t="shared" si="12"/>
        <v>1.3333333333333333</v>
      </c>
      <c r="AD39" s="1">
        <f t="shared" si="13"/>
        <v>289024.81804147916</v>
      </c>
      <c r="AG39" s="1">
        <f t="shared" si="15"/>
        <v>15</v>
      </c>
      <c r="AH39" s="1">
        <f t="shared" si="16"/>
        <v>120000</v>
      </c>
      <c r="AK39" s="526"/>
      <c r="AL39" s="526"/>
      <c r="AM39" s="526"/>
      <c r="AN39" s="526"/>
      <c r="AO39" s="526"/>
      <c r="AP39" s="526"/>
      <c r="AQ39" s="526"/>
      <c r="AR39" s="526"/>
      <c r="AS39" s="526"/>
      <c r="AT39" s="526"/>
      <c r="AU39" s="526"/>
      <c r="AV39" s="526"/>
      <c r="AW39" s="526"/>
      <c r="AX39" s="526"/>
      <c r="AY39" s="526"/>
      <c r="AZ39" s="526"/>
    </row>
    <row r="40" spans="2:53">
      <c r="B40" s="1">
        <f t="shared" si="4"/>
        <v>17</v>
      </c>
      <c r="C40" s="2">
        <f t="shared" si="17"/>
        <v>1</v>
      </c>
      <c r="D40" s="2">
        <f t="shared" si="18"/>
        <v>5</v>
      </c>
      <c r="E40" s="2">
        <f t="shared" si="19"/>
        <v>30</v>
      </c>
      <c r="F40" s="1">
        <f t="shared" si="14"/>
        <v>164962.1770395842</v>
      </c>
      <c r="G40" s="1">
        <f>+IF($G$4="mensual",G39,0)</f>
        <v>10000</v>
      </c>
      <c r="H40" s="1">
        <f t="shared" si="1"/>
        <v>1395.1729694603664</v>
      </c>
      <c r="I40" s="1">
        <v>0</v>
      </c>
      <c r="J40" s="1">
        <v>0</v>
      </c>
      <c r="K40" s="1">
        <f t="shared" si="6"/>
        <v>-176.35735000904458</v>
      </c>
      <c r="L40" s="1">
        <f t="shared" si="7"/>
        <v>176180.99265903552</v>
      </c>
      <c r="N40" s="1">
        <f t="shared" si="8"/>
        <v>17</v>
      </c>
      <c r="O40" s="2">
        <f t="shared" si="20"/>
        <v>1</v>
      </c>
      <c r="P40" s="2">
        <f t="shared" si="21"/>
        <v>5</v>
      </c>
      <c r="Q40" s="2">
        <f t="shared" si="22"/>
        <v>1</v>
      </c>
      <c r="R40" s="1">
        <f t="shared" si="10"/>
        <v>0</v>
      </c>
      <c r="U40" s="1">
        <f t="shared" si="23"/>
        <v>0</v>
      </c>
      <c r="V40" s="35">
        <v>0</v>
      </c>
      <c r="X40" s="35">
        <f t="shared" si="3"/>
        <v>0</v>
      </c>
      <c r="Y40" s="1">
        <f t="shared" si="11"/>
        <v>0</v>
      </c>
      <c r="AA40" s="2">
        <f>+Bono!J40</f>
        <v>124831.84376648239</v>
      </c>
      <c r="AC40" s="10">
        <f t="shared" si="12"/>
        <v>1.4166666666666667</v>
      </c>
      <c r="AD40" s="1">
        <f t="shared" si="13"/>
        <v>301012.83642551792</v>
      </c>
      <c r="AG40" s="1">
        <f t="shared" si="15"/>
        <v>16</v>
      </c>
      <c r="AH40" s="1">
        <f t="shared" si="16"/>
        <v>120000</v>
      </c>
      <c r="AK40" s="526"/>
      <c r="AL40" s="526"/>
      <c r="AM40" s="526"/>
      <c r="AN40" s="526"/>
      <c r="AO40" s="526"/>
      <c r="AP40" s="526"/>
      <c r="AQ40" s="526"/>
      <c r="AR40" s="526"/>
      <c r="AS40" s="526"/>
      <c r="AT40" s="526"/>
      <c r="AU40" s="526"/>
      <c r="AV40" s="526"/>
      <c r="AW40" s="526"/>
      <c r="AX40" s="526"/>
      <c r="AY40" s="526"/>
      <c r="AZ40" s="526"/>
    </row>
    <row r="41" spans="2:53">
      <c r="B41" s="1">
        <f t="shared" si="4"/>
        <v>18</v>
      </c>
      <c r="C41" s="2">
        <f t="shared" si="17"/>
        <v>1</v>
      </c>
      <c r="D41" s="2">
        <f t="shared" si="18"/>
        <v>6</v>
      </c>
      <c r="E41" s="2">
        <f t="shared" si="19"/>
        <v>30</v>
      </c>
      <c r="F41" s="1">
        <f t="shared" si="14"/>
        <v>176180.99265903552</v>
      </c>
      <c r="G41" s="1">
        <f>+G40</f>
        <v>10000</v>
      </c>
      <c r="H41" s="1">
        <f t="shared" si="1"/>
        <v>1484.63338065585</v>
      </c>
      <c r="I41" s="1">
        <v>0</v>
      </c>
      <c r="J41" s="69">
        <f>-SUM(F41:H41)*$J$21</f>
        <v>-1688.9906343572225</v>
      </c>
      <c r="K41" s="1">
        <f t="shared" si="6"/>
        <v>-185.97663540533412</v>
      </c>
      <c r="L41" s="1">
        <f t="shared" si="7"/>
        <v>185790.65876992879</v>
      </c>
      <c r="N41" s="1">
        <f t="shared" si="8"/>
        <v>18</v>
      </c>
      <c r="O41" s="2">
        <f t="shared" si="20"/>
        <v>1</v>
      </c>
      <c r="P41" s="2">
        <f t="shared" si="21"/>
        <v>6</v>
      </c>
      <c r="Q41" s="2">
        <f t="shared" si="22"/>
        <v>1</v>
      </c>
      <c r="R41" s="1">
        <f t="shared" si="10"/>
        <v>0</v>
      </c>
      <c r="S41" s="1">
        <v>0</v>
      </c>
      <c r="U41" s="1">
        <f t="shared" si="23"/>
        <v>0</v>
      </c>
      <c r="V41" s="35">
        <v>0</v>
      </c>
      <c r="X41" s="35">
        <f t="shared" si="3"/>
        <v>0</v>
      </c>
      <c r="Y41" s="1">
        <f t="shared" si="11"/>
        <v>0</v>
      </c>
      <c r="AA41" s="2">
        <f>+Bono!J41</f>
        <v>124474.23175241033</v>
      </c>
      <c r="AC41" s="10">
        <f t="shared" si="12"/>
        <v>1.5</v>
      </c>
      <c r="AD41" s="1">
        <f t="shared" si="13"/>
        <v>310264.89052233915</v>
      </c>
      <c r="AG41" s="1">
        <f t="shared" si="15"/>
        <v>17</v>
      </c>
      <c r="AH41" s="1">
        <f t="shared" si="16"/>
        <v>120000</v>
      </c>
      <c r="AK41" s="526"/>
      <c r="AL41" s="526"/>
      <c r="AM41" s="526"/>
      <c r="AN41" s="526"/>
      <c r="AO41" s="526"/>
      <c r="AP41" s="526"/>
      <c r="AQ41" s="526"/>
      <c r="AR41" s="526"/>
      <c r="AS41" s="526"/>
      <c r="AT41" s="526"/>
      <c r="AU41" s="526"/>
      <c r="AV41" s="526"/>
      <c r="AW41" s="526"/>
      <c r="AX41" s="526"/>
      <c r="AY41" s="526"/>
      <c r="AZ41" s="526"/>
    </row>
    <row r="42" spans="2:53">
      <c r="B42" s="1">
        <f t="shared" si="4"/>
        <v>19</v>
      </c>
      <c r="C42" s="2">
        <f t="shared" si="17"/>
        <v>1</v>
      </c>
      <c r="D42" s="2">
        <f t="shared" si="18"/>
        <v>7</v>
      </c>
      <c r="E42" s="2">
        <f t="shared" si="19"/>
        <v>30</v>
      </c>
      <c r="F42" s="1">
        <f t="shared" si="14"/>
        <v>185790.65876992879</v>
      </c>
      <c r="H42" s="1">
        <f t="shared" si="1"/>
        <v>1481.5208034099528</v>
      </c>
      <c r="I42" s="1">
        <v>0</v>
      </c>
      <c r="J42" s="1">
        <v>0</v>
      </c>
      <c r="K42" s="1">
        <f t="shared" si="6"/>
        <v>-187.27217957333875</v>
      </c>
      <c r="L42" s="1">
        <f t="shared" si="7"/>
        <v>187084.9073937654</v>
      </c>
      <c r="N42" s="1">
        <f t="shared" si="8"/>
        <v>19</v>
      </c>
      <c r="O42" s="2">
        <f t="shared" si="20"/>
        <v>1</v>
      </c>
      <c r="P42" s="2">
        <f t="shared" si="21"/>
        <v>7</v>
      </c>
      <c r="Q42" s="2">
        <f t="shared" si="22"/>
        <v>1</v>
      </c>
      <c r="R42" s="1">
        <f t="shared" si="10"/>
        <v>0</v>
      </c>
      <c r="S42" s="1">
        <f>+IF($G$4="mensual",G36,IF($G$4="trimestral",G36,IF(G4="semestral",G36,0)))</f>
        <v>10000</v>
      </c>
      <c r="U42" s="1">
        <f t="shared" si="23"/>
        <v>79.741404289037646</v>
      </c>
      <c r="V42" s="35">
        <f>-(15*G19*(1+$G$20))</f>
        <v>-79.248000000000005</v>
      </c>
      <c r="X42" s="35">
        <f t="shared" si="3"/>
        <v>-10.079741404289038</v>
      </c>
      <c r="Y42" s="1">
        <f>SUM(R42:X42)</f>
        <v>9990.41366288475</v>
      </c>
      <c r="AA42" s="2">
        <f>+Bono!J42</f>
        <v>125245.9864273925</v>
      </c>
      <c r="AC42" s="10">
        <f t="shared" si="12"/>
        <v>1.5833333333333333</v>
      </c>
      <c r="AD42" s="1">
        <f t="shared" si="13"/>
        <v>322321.30748404266</v>
      </c>
      <c r="AG42" s="1">
        <f t="shared" si="15"/>
        <v>18</v>
      </c>
      <c r="AH42" s="1">
        <f t="shared" si="16"/>
        <v>120000</v>
      </c>
      <c r="AK42" s="527" t="s">
        <v>143</v>
      </c>
      <c r="AL42" s="527"/>
      <c r="AM42" s="527"/>
      <c r="AN42" s="527"/>
      <c r="AO42" s="527"/>
      <c r="AP42" s="527"/>
      <c r="AQ42" s="527"/>
      <c r="AR42" s="527"/>
      <c r="AS42" s="527"/>
      <c r="AT42" s="527"/>
      <c r="AU42" s="527"/>
      <c r="AV42" s="527"/>
      <c r="AW42" s="527"/>
      <c r="AX42" s="527"/>
      <c r="AY42" s="527"/>
      <c r="AZ42" s="527"/>
      <c r="BA42" s="527"/>
    </row>
    <row r="43" spans="2:53">
      <c r="B43" s="1">
        <f t="shared" si="4"/>
        <v>20</v>
      </c>
      <c r="C43" s="2">
        <f t="shared" si="17"/>
        <v>1</v>
      </c>
      <c r="D43" s="2">
        <f t="shared" si="18"/>
        <v>8</v>
      </c>
      <c r="E43" s="2">
        <f t="shared" si="19"/>
        <v>30</v>
      </c>
      <c r="F43" s="1">
        <f t="shared" si="14"/>
        <v>187084.9073937654</v>
      </c>
      <c r="H43" s="1">
        <f t="shared" si="1"/>
        <v>1491.8413236863414</v>
      </c>
      <c r="I43" s="1">
        <v>0</v>
      </c>
      <c r="J43" s="1">
        <v>0</v>
      </c>
      <c r="K43" s="1">
        <f t="shared" si="6"/>
        <v>-188.57674871745172</v>
      </c>
      <c r="L43" s="1">
        <f t="shared" si="7"/>
        <v>188388.17196873427</v>
      </c>
      <c r="N43" s="1">
        <f t="shared" si="8"/>
        <v>20</v>
      </c>
      <c r="O43" s="2">
        <f t="shared" si="20"/>
        <v>1</v>
      </c>
      <c r="P43" s="2">
        <f t="shared" si="21"/>
        <v>8</v>
      </c>
      <c r="Q43" s="2">
        <f t="shared" si="22"/>
        <v>1</v>
      </c>
      <c r="R43" s="1">
        <f t="shared" si="10"/>
        <v>9990.41366288475</v>
      </c>
      <c r="S43" s="4">
        <f>IF($G$4="mensual",G36,0)</f>
        <v>10000</v>
      </c>
      <c r="U43" s="1">
        <f t="shared" si="23"/>
        <v>159.40636577971947</v>
      </c>
      <c r="V43" s="35">
        <f>V42</f>
        <v>-79.248000000000005</v>
      </c>
      <c r="X43" s="35">
        <f t="shared" ref="X43:X106" si="24">-SUM(R43:U43)*0.1%</f>
        <v>-20.149820028664468</v>
      </c>
      <c r="Y43" s="1">
        <f>SUM(R43:X43)</f>
        <v>20050.422208635802</v>
      </c>
      <c r="AA43" s="2">
        <f>+Bono!J43</f>
        <v>126022.52607087757</v>
      </c>
      <c r="AC43" s="10">
        <f t="shared" si="12"/>
        <v>1.6666666666666667</v>
      </c>
      <c r="AD43" s="1">
        <f t="shared" si="13"/>
        <v>334461.12024824764</v>
      </c>
      <c r="AG43" s="1">
        <f t="shared" si="15"/>
        <v>19</v>
      </c>
      <c r="AH43" s="1">
        <f t="shared" si="16"/>
        <v>120000</v>
      </c>
      <c r="AK43" s="527"/>
      <c r="AL43" s="527"/>
      <c r="AM43" s="527"/>
      <c r="AN43" s="527"/>
      <c r="AO43" s="527"/>
      <c r="AP43" s="527"/>
      <c r="AQ43" s="527"/>
      <c r="AR43" s="527"/>
      <c r="AS43" s="527"/>
      <c r="AT43" s="527"/>
      <c r="AU43" s="527"/>
      <c r="AV43" s="527"/>
      <c r="AW43" s="527"/>
      <c r="AX43" s="527"/>
      <c r="AY43" s="527"/>
      <c r="AZ43" s="527"/>
      <c r="BA43" s="527"/>
    </row>
    <row r="44" spans="2:53">
      <c r="B44" s="1">
        <f t="shared" si="4"/>
        <v>21</v>
      </c>
      <c r="C44" s="2">
        <f t="shared" si="17"/>
        <v>1</v>
      </c>
      <c r="D44" s="2">
        <f t="shared" si="18"/>
        <v>9</v>
      </c>
      <c r="E44" s="2">
        <f t="shared" si="19"/>
        <v>30</v>
      </c>
      <c r="F44" s="1">
        <f t="shared" si="14"/>
        <v>188388.17196873427</v>
      </c>
      <c r="H44" s="1">
        <f t="shared" si="1"/>
        <v>1502.2337384231589</v>
      </c>
      <c r="I44" s="1">
        <v>0</v>
      </c>
      <c r="J44" s="69">
        <f>-SUM(F44:H44)*$J$21</f>
        <v>-1709.013651364417</v>
      </c>
      <c r="K44" s="1">
        <f t="shared" si="6"/>
        <v>-188.181392055793</v>
      </c>
      <c r="L44" s="1">
        <f t="shared" si="7"/>
        <v>187993.21066373721</v>
      </c>
      <c r="N44" s="1">
        <f t="shared" si="8"/>
        <v>21</v>
      </c>
      <c r="O44" s="2">
        <f t="shared" si="20"/>
        <v>1</v>
      </c>
      <c r="P44" s="2">
        <f t="shared" si="21"/>
        <v>9</v>
      </c>
      <c r="Q44" s="2">
        <f t="shared" si="22"/>
        <v>1</v>
      </c>
      <c r="R44" s="1">
        <f t="shared" si="10"/>
        <v>20050.422208635802</v>
      </c>
      <c r="S44" s="4">
        <f>IF($G$4="mensual",G36,0)</f>
        <v>10000</v>
      </c>
      <c r="U44" s="1">
        <f t="shared" si="23"/>
        <v>239.62628663951031</v>
      </c>
      <c r="V44" s="35">
        <f>V43</f>
        <v>-79.248000000000005</v>
      </c>
      <c r="X44" s="35">
        <f t="shared" si="24"/>
        <v>-30.290048495275315</v>
      </c>
      <c r="Y44" s="1">
        <f t="shared" si="11"/>
        <v>30180.510446780037</v>
      </c>
      <c r="AA44" s="2">
        <f>+Bono!J44</f>
        <v>125661.50304977279</v>
      </c>
      <c r="AC44" s="10">
        <f t="shared" si="12"/>
        <v>1.75</v>
      </c>
      <c r="AD44" s="1">
        <f t="shared" si="13"/>
        <v>343835.22416029003</v>
      </c>
      <c r="AG44" s="1">
        <f t="shared" si="15"/>
        <v>20</v>
      </c>
      <c r="AH44" s="1">
        <f t="shared" si="16"/>
        <v>120000</v>
      </c>
      <c r="AK44" s="527"/>
      <c r="AL44" s="527"/>
      <c r="AM44" s="527"/>
      <c r="AN44" s="527"/>
      <c r="AO44" s="527"/>
      <c r="AP44" s="527"/>
      <c r="AQ44" s="527"/>
      <c r="AR44" s="527"/>
      <c r="AS44" s="527"/>
      <c r="AT44" s="527"/>
      <c r="AU44" s="527"/>
      <c r="AV44" s="527"/>
      <c r="AW44" s="527"/>
      <c r="AX44" s="527"/>
      <c r="AY44" s="527"/>
      <c r="AZ44" s="527"/>
      <c r="BA44" s="527"/>
    </row>
    <row r="45" spans="2:53">
      <c r="B45" s="1">
        <f t="shared" si="4"/>
        <v>22</v>
      </c>
      <c r="C45" s="2">
        <f t="shared" si="17"/>
        <v>1</v>
      </c>
      <c r="D45" s="2">
        <f t="shared" si="18"/>
        <v>10</v>
      </c>
      <c r="E45" s="2">
        <f t="shared" si="19"/>
        <v>30</v>
      </c>
      <c r="F45" s="1">
        <f t="shared" si="14"/>
        <v>187993.21066373721</v>
      </c>
      <c r="H45" s="1">
        <f t="shared" si="1"/>
        <v>1499.0842615131291</v>
      </c>
      <c r="I45" s="1">
        <v>0</v>
      </c>
      <c r="J45" s="1">
        <v>0</v>
      </c>
      <c r="K45" s="1">
        <f t="shared" si="6"/>
        <v>-189.49229492525035</v>
      </c>
      <c r="L45" s="1">
        <f t="shared" si="7"/>
        <v>189302.80263032511</v>
      </c>
      <c r="N45" s="1">
        <f t="shared" si="8"/>
        <v>22</v>
      </c>
      <c r="O45" s="2">
        <f t="shared" si="20"/>
        <v>1</v>
      </c>
      <c r="P45" s="2">
        <f t="shared" si="21"/>
        <v>10</v>
      </c>
      <c r="Q45" s="2">
        <f t="shared" si="22"/>
        <v>1</v>
      </c>
      <c r="R45" s="1">
        <f t="shared" si="10"/>
        <v>30180.510446780037</v>
      </c>
      <c r="S45" s="4">
        <f>IF($G$4="mensual",G36,IF($G$4="trimestral",G36,0))</f>
        <v>10000</v>
      </c>
      <c r="U45" s="1">
        <f t="shared" si="23"/>
        <v>320.40503280765876</v>
      </c>
      <c r="V45" s="35">
        <f>V44</f>
        <v>-79.248000000000005</v>
      </c>
      <c r="X45" s="35">
        <f t="shared" si="24"/>
        <v>-40.500915479587697</v>
      </c>
      <c r="Y45" s="1">
        <f t="shared" si="11"/>
        <v>40381.166564108113</v>
      </c>
      <c r="AA45" s="2">
        <f>+Bono!J45</f>
        <v>126440.61894451355</v>
      </c>
      <c r="AC45" s="10">
        <f t="shared" si="12"/>
        <v>1.8333333333333333</v>
      </c>
      <c r="AD45" s="1">
        <f t="shared" si="13"/>
        <v>356124.5881389468</v>
      </c>
      <c r="AG45" s="1">
        <f t="shared" si="15"/>
        <v>21</v>
      </c>
      <c r="AH45" s="1">
        <f t="shared" si="16"/>
        <v>120000</v>
      </c>
      <c r="AK45" s="527"/>
      <c r="AL45" s="527"/>
      <c r="AM45" s="527"/>
      <c r="AN45" s="527"/>
      <c r="AO45" s="527"/>
      <c r="AP45" s="527"/>
      <c r="AQ45" s="527"/>
      <c r="AR45" s="527"/>
      <c r="AS45" s="527"/>
      <c r="AT45" s="527"/>
      <c r="AU45" s="527"/>
      <c r="AV45" s="527"/>
      <c r="AW45" s="527"/>
      <c r="AX45" s="527"/>
      <c r="AY45" s="527"/>
      <c r="AZ45" s="527"/>
      <c r="BA45" s="527"/>
    </row>
    <row r="46" spans="2:53">
      <c r="B46" s="1">
        <f t="shared" si="4"/>
        <v>23</v>
      </c>
      <c r="C46" s="2">
        <f t="shared" si="17"/>
        <v>1</v>
      </c>
      <c r="D46" s="2">
        <f t="shared" si="18"/>
        <v>11</v>
      </c>
      <c r="E46" s="2">
        <f t="shared" si="19"/>
        <v>30</v>
      </c>
      <c r="F46" s="1">
        <f t="shared" si="14"/>
        <v>189302.80263032511</v>
      </c>
      <c r="H46" s="1">
        <f t="shared" si="1"/>
        <v>1509.5271317592653</v>
      </c>
      <c r="I46" s="1">
        <v>0</v>
      </c>
      <c r="J46" s="1">
        <v>0</v>
      </c>
      <c r="K46" s="1">
        <f t="shared" si="6"/>
        <v>-190.81232976208437</v>
      </c>
      <c r="L46" s="1">
        <f t="shared" si="7"/>
        <v>190621.51743232229</v>
      </c>
      <c r="N46" s="1">
        <f t="shared" si="8"/>
        <v>23</v>
      </c>
      <c r="O46" s="2">
        <f t="shared" si="20"/>
        <v>1</v>
      </c>
      <c r="P46" s="2">
        <f t="shared" si="21"/>
        <v>11</v>
      </c>
      <c r="Q46" s="2">
        <f t="shared" si="22"/>
        <v>1</v>
      </c>
      <c r="R46" s="1">
        <f t="shared" si="10"/>
        <v>40381.166564108113</v>
      </c>
      <c r="S46" s="4">
        <f>IF($G$4="mensual",G36,0)</f>
        <v>10000</v>
      </c>
      <c r="U46" s="1">
        <f t="shared" si="23"/>
        <v>401.74649715418906</v>
      </c>
      <c r="V46" s="35">
        <f>V45</f>
        <v>-79.248000000000005</v>
      </c>
      <c r="X46" s="35">
        <f t="shared" si="24"/>
        <v>-50.782913061262306</v>
      </c>
      <c r="Y46" s="1">
        <f t="shared" si="11"/>
        <v>50652.882148201046</v>
      </c>
      <c r="AA46" s="2">
        <f>+Bono!J46</f>
        <v>127224.56544817357</v>
      </c>
      <c r="AC46" s="10">
        <f t="shared" si="12"/>
        <v>1.9166666666666667</v>
      </c>
      <c r="AD46" s="1">
        <f t="shared" si="13"/>
        <v>368498.96502869693</v>
      </c>
      <c r="AG46" s="1">
        <f t="shared" si="15"/>
        <v>22</v>
      </c>
      <c r="AH46" s="1">
        <f t="shared" si="16"/>
        <v>120000</v>
      </c>
      <c r="AK46" s="527"/>
      <c r="AL46" s="527"/>
      <c r="AM46" s="527"/>
      <c r="AN46" s="527"/>
      <c r="AO46" s="527"/>
      <c r="AP46" s="527"/>
      <c r="AQ46" s="527"/>
      <c r="AR46" s="527"/>
      <c r="AS46" s="527"/>
      <c r="AT46" s="527"/>
      <c r="AU46" s="527"/>
      <c r="AV46" s="527"/>
      <c r="AW46" s="527"/>
      <c r="AX46" s="527"/>
      <c r="AY46" s="527"/>
      <c r="AZ46" s="527"/>
      <c r="BA46" s="527"/>
    </row>
    <row r="47" spans="2:53">
      <c r="B47" s="1">
        <f t="shared" si="4"/>
        <v>24</v>
      </c>
      <c r="C47" s="2">
        <f t="shared" si="17"/>
        <v>1</v>
      </c>
      <c r="D47" s="2">
        <f t="shared" si="18"/>
        <v>12</v>
      </c>
      <c r="E47" s="2">
        <f t="shared" si="19"/>
        <v>30</v>
      </c>
      <c r="F47" s="1">
        <f t="shared" si="14"/>
        <v>190621.51743232229</v>
      </c>
      <c r="H47" s="1">
        <f t="shared" si="1"/>
        <v>1520.0427487760649</v>
      </c>
      <c r="I47" s="1">
        <v>0</v>
      </c>
      <c r="J47" s="69">
        <f>-SUM(F47:H47)*$J$21</f>
        <v>-1729.2740416298855</v>
      </c>
      <c r="K47" s="1">
        <f t="shared" si="6"/>
        <v>-190.41228613946845</v>
      </c>
      <c r="L47" s="1">
        <f t="shared" si="7"/>
        <v>190221.87385332899</v>
      </c>
      <c r="N47" s="1">
        <f t="shared" si="8"/>
        <v>24</v>
      </c>
      <c r="O47" s="2">
        <f t="shared" si="20"/>
        <v>1</v>
      </c>
      <c r="P47" s="2">
        <f t="shared" si="21"/>
        <v>12</v>
      </c>
      <c r="Q47" s="2">
        <f t="shared" si="22"/>
        <v>1</v>
      </c>
      <c r="R47" s="1">
        <f t="shared" si="10"/>
        <v>50652.882148201046</v>
      </c>
      <c r="S47" s="4">
        <f>IF($G$4="mensual",G36,0)</f>
        <v>10000</v>
      </c>
      <c r="U47" s="1">
        <f t="shared" si="23"/>
        <v>483.65459966750535</v>
      </c>
      <c r="V47" s="35">
        <f>V46</f>
        <v>-79.248000000000005</v>
      </c>
      <c r="X47" s="35">
        <f t="shared" si="24"/>
        <v>-61.136536747868554</v>
      </c>
      <c r="Y47" s="1">
        <f t="shared" si="11"/>
        <v>60996.15221112068</v>
      </c>
      <c r="AA47" s="2">
        <f>+Bono!J47</f>
        <v>126860.09888486241</v>
      </c>
      <c r="AC47" s="10">
        <f t="shared" si="12"/>
        <v>2</v>
      </c>
      <c r="AD47" s="1">
        <f t="shared" si="13"/>
        <v>378078.12494931207</v>
      </c>
      <c r="AG47" s="1">
        <f t="shared" si="15"/>
        <v>23</v>
      </c>
      <c r="AH47" s="1">
        <f t="shared" si="16"/>
        <v>120000</v>
      </c>
    </row>
    <row r="48" spans="2:53">
      <c r="B48" s="1">
        <f t="shared" si="4"/>
        <v>25</v>
      </c>
      <c r="C48" s="2">
        <f t="shared" si="17"/>
        <v>2</v>
      </c>
      <c r="D48" s="2">
        <f t="shared" si="18"/>
        <v>1</v>
      </c>
      <c r="E48" s="2">
        <f t="shared" si="19"/>
        <v>31</v>
      </c>
      <c r="F48" s="1">
        <f t="shared" si="14"/>
        <v>190221.87385332899</v>
      </c>
      <c r="H48" s="1">
        <f t="shared" si="1"/>
        <v>1516.8559347556625</v>
      </c>
      <c r="I48" s="1">
        <v>0</v>
      </c>
      <c r="J48" s="1">
        <v>0</v>
      </c>
      <c r="K48" s="1">
        <f t="shared" si="6"/>
        <v>-191.73872978808467</v>
      </c>
      <c r="L48" s="1">
        <f t="shared" si="7"/>
        <v>191546.99105829658</v>
      </c>
      <c r="N48" s="1">
        <f t="shared" si="8"/>
        <v>25</v>
      </c>
      <c r="O48" s="2">
        <f t="shared" si="20"/>
        <v>2</v>
      </c>
      <c r="P48" s="2">
        <f t="shared" si="21"/>
        <v>1</v>
      </c>
      <c r="Q48" s="2">
        <f t="shared" si="22"/>
        <v>2</v>
      </c>
      <c r="R48" s="1">
        <f t="shared" si="10"/>
        <v>60996.15221112068</v>
      </c>
      <c r="S48" s="1">
        <f>IF(AND($G$17="si",$G$4="Anual"),G36*(1+$G$20)*2,IF(AND($G$17="no",$G$4="Anual"),G36*2,IF($G$17="si",G36*(1+$G$20),G36)))</f>
        <v>10000</v>
      </c>
      <c r="U48" s="1">
        <f t="shared" si="23"/>
        <v>566.13328764330276</v>
      </c>
      <c r="V48" s="35">
        <f>(V47*(1+$G$18))</f>
        <v>-82.417920000000009</v>
      </c>
      <c r="X48" s="35">
        <f t="shared" si="24"/>
        <v>-71.56228549876397</v>
      </c>
      <c r="Y48" s="1">
        <f t="shared" si="11"/>
        <v>71408.305293265206</v>
      </c>
      <c r="AA48" s="2">
        <f>+Bono!J48</f>
        <v>127646.64621280924</v>
      </c>
      <c r="AC48" s="10">
        <f t="shared" si="12"/>
        <v>2.0833333333333335</v>
      </c>
      <c r="AD48" s="1">
        <f t="shared" si="13"/>
        <v>390601.94256437104</v>
      </c>
      <c r="AG48" s="1">
        <f t="shared" si="15"/>
        <v>24</v>
      </c>
      <c r="AH48" s="1">
        <f t="shared" si="16"/>
        <v>120000</v>
      </c>
    </row>
    <row r="49" spans="2:34">
      <c r="B49" s="1">
        <f t="shared" si="4"/>
        <v>26</v>
      </c>
      <c r="C49" s="2">
        <f t="shared" si="17"/>
        <v>2</v>
      </c>
      <c r="D49" s="2">
        <f t="shared" si="18"/>
        <v>2</v>
      </c>
      <c r="E49" s="2">
        <f t="shared" si="19"/>
        <v>31</v>
      </c>
      <c r="F49" s="1">
        <f t="shared" si="14"/>
        <v>191546.99105829658</v>
      </c>
      <c r="H49" s="1">
        <f t="shared" si="1"/>
        <v>1527.4226054328306</v>
      </c>
      <c r="I49" s="1">
        <v>0</v>
      </c>
      <c r="J49" s="1">
        <v>0</v>
      </c>
      <c r="K49" s="1">
        <f t="shared" si="6"/>
        <v>-193.07441366372942</v>
      </c>
      <c r="L49" s="1">
        <f t="shared" si="7"/>
        <v>192881.33925006568</v>
      </c>
      <c r="N49" s="1">
        <f t="shared" si="8"/>
        <v>26</v>
      </c>
      <c r="O49" s="2">
        <f t="shared" si="20"/>
        <v>2</v>
      </c>
      <c r="P49" s="2">
        <f t="shared" si="21"/>
        <v>2</v>
      </c>
      <c r="Q49" s="2">
        <f t="shared" si="22"/>
        <v>2</v>
      </c>
      <c r="R49" s="1">
        <f t="shared" si="10"/>
        <v>71408.305293265206</v>
      </c>
      <c r="S49" s="4">
        <f>IF($G$4="mensual",S48,0)</f>
        <v>10000</v>
      </c>
      <c r="U49" s="1">
        <f t="shared" si="23"/>
        <v>649.16125848756644</v>
      </c>
      <c r="V49" s="35">
        <f t="shared" ref="V49:V112" si="25">V48</f>
        <v>-82.417920000000009</v>
      </c>
      <c r="X49" s="35">
        <f t="shared" si="24"/>
        <v>-82.057466551752782</v>
      </c>
      <c r="Y49" s="1">
        <f t="shared" si="11"/>
        <v>81892.99116520102</v>
      </c>
      <c r="AA49" s="2">
        <f>+Bono!J49</f>
        <v>128438.07022542319</v>
      </c>
      <c r="AC49" s="10">
        <f t="shared" si="12"/>
        <v>2.1666666666666665</v>
      </c>
      <c r="AD49" s="1">
        <f t="shared" si="13"/>
        <v>403212.40064068988</v>
      </c>
      <c r="AG49" s="1">
        <f t="shared" si="15"/>
        <v>25</v>
      </c>
      <c r="AH49" s="1">
        <f t="shared" si="16"/>
        <v>120000</v>
      </c>
    </row>
    <row r="50" spans="2:34">
      <c r="B50" s="1">
        <f t="shared" si="4"/>
        <v>27</v>
      </c>
      <c r="C50" s="2">
        <f t="shared" si="17"/>
        <v>2</v>
      </c>
      <c r="D50" s="2">
        <f t="shared" si="18"/>
        <v>3</v>
      </c>
      <c r="E50" s="2">
        <f t="shared" si="19"/>
        <v>31</v>
      </c>
      <c r="F50" s="1">
        <f t="shared" si="14"/>
        <v>192881.33925006568</v>
      </c>
      <c r="H50" s="1">
        <f t="shared" si="1"/>
        <v>1538.0628852950513</v>
      </c>
      <c r="I50" s="1">
        <v>0</v>
      </c>
      <c r="J50" s="69">
        <f>-SUM(F50:H50)*$J$21</f>
        <v>-1749.7746192182467</v>
      </c>
      <c r="K50" s="1">
        <f t="shared" si="6"/>
        <v>-192.66962751614247</v>
      </c>
      <c r="L50" s="1">
        <f t="shared" si="7"/>
        <v>192476.95788862632</v>
      </c>
      <c r="N50" s="1">
        <f t="shared" si="8"/>
        <v>27</v>
      </c>
      <c r="O50" s="2">
        <f t="shared" si="20"/>
        <v>2</v>
      </c>
      <c r="P50" s="2">
        <f t="shared" si="21"/>
        <v>3</v>
      </c>
      <c r="Q50" s="2">
        <f t="shared" si="22"/>
        <v>2</v>
      </c>
      <c r="R50" s="1">
        <f t="shared" si="10"/>
        <v>81892.99116520102</v>
      </c>
      <c r="S50" s="4">
        <f>IF($G$4="mensual",S49,0)</f>
        <v>10000</v>
      </c>
      <c r="U50" s="1">
        <f t="shared" si="23"/>
        <v>732.76761598332587</v>
      </c>
      <c r="V50" s="35">
        <f t="shared" si="25"/>
        <v>-82.417920000000009</v>
      </c>
      <c r="X50" s="35">
        <f t="shared" si="24"/>
        <v>-92.625758781184345</v>
      </c>
      <c r="Y50" s="1">
        <f t="shared" si="11"/>
        <v>92450.715102403148</v>
      </c>
      <c r="AA50" s="2">
        <f>+Bono!J50</f>
        <v>128070.12727440211</v>
      </c>
      <c r="AC50" s="10">
        <f t="shared" si="12"/>
        <v>2.25</v>
      </c>
      <c r="AD50" s="1">
        <f t="shared" si="13"/>
        <v>412997.80026543158</v>
      </c>
    </row>
    <row r="51" spans="2:34">
      <c r="B51" s="1">
        <f t="shared" si="4"/>
        <v>28</v>
      </c>
      <c r="C51" s="2">
        <f t="shared" si="17"/>
        <v>2</v>
      </c>
      <c r="D51" s="2">
        <f t="shared" si="18"/>
        <v>4</v>
      </c>
      <c r="E51" s="2">
        <f t="shared" si="19"/>
        <v>31</v>
      </c>
      <c r="F51" s="1">
        <f t="shared" si="14"/>
        <v>192476.95788862632</v>
      </c>
      <c r="H51" s="1">
        <f t="shared" si="1"/>
        <v>1534.8382915321024</v>
      </c>
      <c r="I51" s="1">
        <v>0</v>
      </c>
      <c r="J51" s="1">
        <v>0</v>
      </c>
      <c r="K51" s="1">
        <f t="shared" si="6"/>
        <v>-194.01179618015843</v>
      </c>
      <c r="L51" s="1">
        <f t="shared" si="7"/>
        <v>193817.78438397826</v>
      </c>
      <c r="N51" s="1">
        <f t="shared" si="8"/>
        <v>28</v>
      </c>
      <c r="O51" s="2">
        <f t="shared" si="20"/>
        <v>2</v>
      </c>
      <c r="P51" s="2">
        <f t="shared" si="21"/>
        <v>4</v>
      </c>
      <c r="Q51" s="2">
        <f t="shared" si="22"/>
        <v>2</v>
      </c>
      <c r="R51" s="1">
        <f t="shared" si="10"/>
        <v>92450.715102403148</v>
      </c>
      <c r="S51" s="4">
        <f>IF($G$4="mensual",S48,IF($G$4="trimestral",S48,0))</f>
        <v>10000</v>
      </c>
      <c r="U51" s="1">
        <f t="shared" si="23"/>
        <v>816.95638926817435</v>
      </c>
      <c r="V51" s="35">
        <f t="shared" si="25"/>
        <v>-82.417920000000009</v>
      </c>
      <c r="X51" s="35">
        <f t="shared" si="24"/>
        <v>-103.26767149167132</v>
      </c>
      <c r="Y51" s="1">
        <f t="shared" si="11"/>
        <v>103081.98590017964</v>
      </c>
      <c r="AA51" s="2">
        <f>+Bono!J51</f>
        <v>128864.1769187187</v>
      </c>
      <c r="AC51" s="10">
        <f t="shared" si="12"/>
        <v>2.3333333333333335</v>
      </c>
      <c r="AD51" s="1">
        <f t="shared" si="13"/>
        <v>425763.94720287656</v>
      </c>
    </row>
    <row r="52" spans="2:34">
      <c r="B52" s="1">
        <f t="shared" si="4"/>
        <v>29</v>
      </c>
      <c r="C52" s="2">
        <f t="shared" si="17"/>
        <v>2</v>
      </c>
      <c r="D52" s="2">
        <f t="shared" si="18"/>
        <v>5</v>
      </c>
      <c r="E52" s="2">
        <f t="shared" si="19"/>
        <v>31</v>
      </c>
      <c r="F52" s="1">
        <f t="shared" si="14"/>
        <v>193817.78438397826</v>
      </c>
      <c r="H52" s="1">
        <f t="shared" si="1"/>
        <v>1545.5302302968337</v>
      </c>
      <c r="I52" s="1">
        <v>0</v>
      </c>
      <c r="J52" s="1">
        <v>0</v>
      </c>
      <c r="K52" s="1">
        <f t="shared" si="6"/>
        <v>-195.36331461427508</v>
      </c>
      <c r="L52" s="1">
        <f t="shared" si="7"/>
        <v>195167.95129966081</v>
      </c>
      <c r="N52" s="1">
        <f t="shared" si="8"/>
        <v>29</v>
      </c>
      <c r="O52" s="2">
        <f t="shared" si="20"/>
        <v>2</v>
      </c>
      <c r="P52" s="2">
        <f t="shared" si="21"/>
        <v>5</v>
      </c>
      <c r="Q52" s="2">
        <f t="shared" si="22"/>
        <v>2</v>
      </c>
      <c r="R52" s="1">
        <f t="shared" si="10"/>
        <v>103081.98590017964</v>
      </c>
      <c r="S52" s="4">
        <f>IF($G$4="mensual",S51,0)</f>
        <v>10000</v>
      </c>
      <c r="U52" s="1">
        <f t="shared" si="23"/>
        <v>901.73163554734788</v>
      </c>
      <c r="V52" s="35">
        <f t="shared" si="25"/>
        <v>-82.417920000000009</v>
      </c>
      <c r="X52" s="35">
        <f t="shared" si="24"/>
        <v>-113.983717535727</v>
      </c>
      <c r="Y52" s="1">
        <f t="shared" si="11"/>
        <v>113787.31589819126</v>
      </c>
      <c r="AA52" s="2">
        <f>+Bono!J52</f>
        <v>129663.14976293412</v>
      </c>
      <c r="AC52" s="10">
        <f t="shared" si="12"/>
        <v>2.4166666666666665</v>
      </c>
      <c r="AD52" s="1">
        <f t="shared" si="13"/>
        <v>438618.41696078621</v>
      </c>
    </row>
    <row r="53" spans="2:34">
      <c r="B53" s="1">
        <f t="shared" si="4"/>
        <v>30</v>
      </c>
      <c r="C53" s="2">
        <f t="shared" si="17"/>
        <v>2</v>
      </c>
      <c r="D53" s="2">
        <f t="shared" si="18"/>
        <v>6</v>
      </c>
      <c r="E53" s="2">
        <f t="shared" si="19"/>
        <v>31</v>
      </c>
      <c r="F53" s="1">
        <f t="shared" si="14"/>
        <v>195167.95129966081</v>
      </c>
      <c r="H53" s="1">
        <f t="shared" si="1"/>
        <v>1556.2966508849463</v>
      </c>
      <c r="I53" s="1">
        <v>0</v>
      </c>
      <c r="J53" s="69">
        <f>-SUM(F53:H53)*$J$21</f>
        <v>-1770.5182315549118</v>
      </c>
      <c r="K53" s="1">
        <f t="shared" si="6"/>
        <v>-194.95372971899084</v>
      </c>
      <c r="L53" s="1">
        <f t="shared" si="7"/>
        <v>194758.77598927185</v>
      </c>
      <c r="N53" s="1">
        <f t="shared" si="8"/>
        <v>30</v>
      </c>
      <c r="O53" s="2">
        <f t="shared" si="20"/>
        <v>2</v>
      </c>
      <c r="P53" s="2">
        <f t="shared" si="21"/>
        <v>6</v>
      </c>
      <c r="Q53" s="2">
        <f t="shared" si="22"/>
        <v>2</v>
      </c>
      <c r="R53" s="1">
        <f t="shared" si="10"/>
        <v>113787.31589819126</v>
      </c>
      <c r="S53" s="4">
        <f>IF($G$4="mensual",S52,0)</f>
        <v>10000</v>
      </c>
      <c r="U53" s="1">
        <f t="shared" si="23"/>
        <v>987.09744028924854</v>
      </c>
      <c r="V53" s="35">
        <f t="shared" si="25"/>
        <v>-82.417920000000009</v>
      </c>
      <c r="X53" s="35">
        <f t="shared" si="24"/>
        <v>-124.7744133384805</v>
      </c>
      <c r="Y53" s="1">
        <f t="shared" si="11"/>
        <v>124567.22100514201</v>
      </c>
      <c r="AA53" s="2">
        <f>+Bono!J53</f>
        <v>129291.6972654096</v>
      </c>
      <c r="AC53" s="10">
        <f t="shared" si="12"/>
        <v>2.5</v>
      </c>
      <c r="AD53" s="1">
        <f t="shared" si="13"/>
        <v>448617.69425982342</v>
      </c>
    </row>
    <row r="54" spans="2:34">
      <c r="B54" s="1">
        <f t="shared" si="4"/>
        <v>31</v>
      </c>
      <c r="C54" s="2">
        <f t="shared" si="17"/>
        <v>2</v>
      </c>
      <c r="D54" s="2">
        <f t="shared" si="18"/>
        <v>7</v>
      </c>
      <c r="E54" s="2">
        <f t="shared" si="19"/>
        <v>31</v>
      </c>
      <c r="F54" s="1">
        <f t="shared" si="14"/>
        <v>194758.77598927185</v>
      </c>
      <c r="H54" s="1">
        <f t="shared" si="1"/>
        <v>1553.0338294998644</v>
      </c>
      <c r="I54" s="1">
        <v>0</v>
      </c>
      <c r="J54" s="1">
        <v>0</v>
      </c>
      <c r="K54" s="1">
        <f t="shared" si="6"/>
        <v>-196.31180981877171</v>
      </c>
      <c r="L54" s="1">
        <f t="shared" si="7"/>
        <v>196115.49800895291</v>
      </c>
      <c r="N54" s="1">
        <f t="shared" si="8"/>
        <v>31</v>
      </c>
      <c r="O54" s="2">
        <f t="shared" si="20"/>
        <v>2</v>
      </c>
      <c r="P54" s="2">
        <f t="shared" si="21"/>
        <v>7</v>
      </c>
      <c r="Q54" s="2">
        <f t="shared" si="22"/>
        <v>2</v>
      </c>
      <c r="R54" s="1">
        <f t="shared" si="10"/>
        <v>124567.22100514201</v>
      </c>
      <c r="S54" s="1">
        <f>+IF($G$4="mensual",S48,IF($G$4="trimestral",S48,IF($G$4="Semestral",S48,0)))</f>
        <v>10000</v>
      </c>
      <c r="U54" s="1">
        <f t="shared" si="23"/>
        <v>1073.0579174223308</v>
      </c>
      <c r="V54" s="35">
        <f t="shared" si="25"/>
        <v>-82.417920000000009</v>
      </c>
      <c r="X54" s="35">
        <f t="shared" si="24"/>
        <v>-135.64027892256436</v>
      </c>
      <c r="Y54" s="1">
        <f t="shared" si="11"/>
        <v>135422.22072364177</v>
      </c>
      <c r="AA54" s="2">
        <f>+Bono!J54</f>
        <v>130093.32078536379</v>
      </c>
      <c r="AC54" s="10">
        <f t="shared" si="12"/>
        <v>2.5833333333333335</v>
      </c>
      <c r="AD54" s="1">
        <f t="shared" si="13"/>
        <v>461631.03951795853</v>
      </c>
    </row>
    <row r="55" spans="2:34">
      <c r="B55" s="1">
        <f t="shared" si="4"/>
        <v>32</v>
      </c>
      <c r="C55" s="2">
        <f t="shared" si="17"/>
        <v>2</v>
      </c>
      <c r="D55" s="2">
        <f t="shared" si="18"/>
        <v>8</v>
      </c>
      <c r="E55" s="2">
        <f t="shared" si="19"/>
        <v>31</v>
      </c>
      <c r="F55" s="1">
        <f t="shared" si="14"/>
        <v>196115.49800895291</v>
      </c>
      <c r="H55" s="1">
        <f t="shared" si="1"/>
        <v>1563.8525214077872</v>
      </c>
      <c r="I55" s="1">
        <v>0</v>
      </c>
      <c r="J55" s="1">
        <v>0</v>
      </c>
      <c r="K55" s="1">
        <f t="shared" si="6"/>
        <v>-197.67935053036072</v>
      </c>
      <c r="L55" s="1">
        <f t="shared" si="7"/>
        <v>197481.67117983036</v>
      </c>
      <c r="N55" s="1">
        <f t="shared" si="8"/>
        <v>32</v>
      </c>
      <c r="O55" s="2">
        <f t="shared" si="20"/>
        <v>2</v>
      </c>
      <c r="P55" s="2">
        <f t="shared" si="21"/>
        <v>8</v>
      </c>
      <c r="Q55" s="2">
        <f t="shared" si="22"/>
        <v>2</v>
      </c>
      <c r="R55" s="1">
        <f t="shared" si="10"/>
        <v>135422.22072364177</v>
      </c>
      <c r="S55" s="4">
        <f>IF($G$4="mensual",S54,0)</f>
        <v>10000</v>
      </c>
      <c r="U55" s="1">
        <f t="shared" si="23"/>
        <v>1159.6172095333586</v>
      </c>
      <c r="V55" s="35">
        <f t="shared" si="25"/>
        <v>-82.417920000000009</v>
      </c>
      <c r="X55" s="35">
        <f t="shared" si="24"/>
        <v>-146.58183793317514</v>
      </c>
      <c r="Y55" s="1">
        <f t="shared" si="11"/>
        <v>146352.83817524195</v>
      </c>
      <c r="AA55" s="2">
        <f>+Bono!J55</f>
        <v>130899.91446412425</v>
      </c>
      <c r="AC55" s="10">
        <f t="shared" si="12"/>
        <v>2.6666666666666665</v>
      </c>
      <c r="AD55" s="1">
        <f t="shared" si="13"/>
        <v>474734.42381919653</v>
      </c>
    </row>
    <row r="56" spans="2:34">
      <c r="B56" s="1">
        <f t="shared" si="4"/>
        <v>33</v>
      </c>
      <c r="C56" s="2">
        <f t="shared" si="17"/>
        <v>2</v>
      </c>
      <c r="D56" s="2">
        <f t="shared" si="18"/>
        <v>9</v>
      </c>
      <c r="E56" s="2">
        <f t="shared" si="19"/>
        <v>31</v>
      </c>
      <c r="F56" s="1">
        <f t="shared" si="14"/>
        <v>197481.67117983036</v>
      </c>
      <c r="H56" s="1">
        <f t="shared" si="1"/>
        <v>1574.7465781225646</v>
      </c>
      <c r="I56" s="1">
        <v>0</v>
      </c>
      <c r="J56" s="69">
        <f>-SUM(F56:H56)*$J$21</f>
        <v>-1791.5077598215767</v>
      </c>
      <c r="K56" s="1">
        <f t="shared" si="6"/>
        <v>-197.26490999813137</v>
      </c>
      <c r="L56" s="1">
        <f t="shared" si="7"/>
        <v>197067.64508813323</v>
      </c>
      <c r="N56" s="1">
        <f t="shared" si="8"/>
        <v>33</v>
      </c>
      <c r="O56" s="2">
        <f t="shared" si="20"/>
        <v>2</v>
      </c>
      <c r="P56" s="2">
        <f t="shared" si="21"/>
        <v>9</v>
      </c>
      <c r="Q56" s="2">
        <f t="shared" si="22"/>
        <v>2</v>
      </c>
      <c r="R56" s="1">
        <f t="shared" si="10"/>
        <v>146352.83817524195</v>
      </c>
      <c r="S56" s="4">
        <f>IF($G$4="mensual",S55,0)</f>
        <v>10000</v>
      </c>
      <c r="U56" s="1">
        <f t="shared" si="23"/>
        <v>1246.7794880670447</v>
      </c>
      <c r="V56" s="35">
        <f t="shared" si="25"/>
        <v>-82.417920000000009</v>
      </c>
      <c r="X56" s="35">
        <f t="shared" si="24"/>
        <v>-157.599617663309</v>
      </c>
      <c r="Y56" s="1">
        <f t="shared" si="11"/>
        <v>157359.60012564569</v>
      </c>
      <c r="AA56" s="2">
        <f>+Bono!J56</f>
        <v>130524.91894502462</v>
      </c>
      <c r="AC56" s="10">
        <f t="shared" si="12"/>
        <v>2.75</v>
      </c>
      <c r="AD56" s="1">
        <f t="shared" si="13"/>
        <v>484952.16415880353</v>
      </c>
    </row>
    <row r="57" spans="2:34">
      <c r="B57" s="1">
        <f t="shared" si="4"/>
        <v>34</v>
      </c>
      <c r="C57" s="2">
        <f t="shared" si="17"/>
        <v>2</v>
      </c>
      <c r="D57" s="2">
        <f t="shared" si="18"/>
        <v>10</v>
      </c>
      <c r="E57" s="2">
        <f t="shared" si="19"/>
        <v>31</v>
      </c>
      <c r="F57" s="1">
        <f t="shared" si="14"/>
        <v>197067.64508813323</v>
      </c>
      <c r="H57" s="1">
        <f t="shared" si="1"/>
        <v>1571.4450759261415</v>
      </c>
      <c r="I57" s="1">
        <v>0</v>
      </c>
      <c r="J57" s="1">
        <v>0</v>
      </c>
      <c r="K57" s="1">
        <f t="shared" si="6"/>
        <v>-198.63909016405938</v>
      </c>
      <c r="L57" s="1">
        <f t="shared" si="7"/>
        <v>198440.4510738953</v>
      </c>
      <c r="N57" s="1">
        <f t="shared" si="8"/>
        <v>34</v>
      </c>
      <c r="O57" s="2">
        <f t="shared" si="20"/>
        <v>2</v>
      </c>
      <c r="P57" s="2">
        <f t="shared" si="21"/>
        <v>10</v>
      </c>
      <c r="Q57" s="2">
        <f t="shared" si="22"/>
        <v>2</v>
      </c>
      <c r="R57" s="1">
        <f t="shared" si="10"/>
        <v>157359.60012564569</v>
      </c>
      <c r="S57" s="4">
        <f>IF($G$4="mensual",S48,IF($G$4="trimestral",S48,0))</f>
        <v>10000</v>
      </c>
      <c r="U57" s="1">
        <f t="shared" si="23"/>
        <v>1334.5489535270788</v>
      </c>
      <c r="V57" s="35">
        <f t="shared" si="25"/>
        <v>-82.417920000000009</v>
      </c>
      <c r="X57" s="35">
        <f t="shared" si="24"/>
        <v>-168.69414907917277</v>
      </c>
      <c r="Y57" s="1">
        <f t="shared" si="11"/>
        <v>168443.0370100936</v>
      </c>
      <c r="AA57" s="2">
        <f>+Bono!J57</f>
        <v>131334.18858243729</v>
      </c>
      <c r="AC57" s="10">
        <f t="shared" si="12"/>
        <v>2.8333333333333335</v>
      </c>
      <c r="AD57" s="1">
        <f t="shared" si="13"/>
        <v>498217.67666642624</v>
      </c>
    </row>
    <row r="58" spans="2:34">
      <c r="B58" s="1">
        <f t="shared" si="4"/>
        <v>35</v>
      </c>
      <c r="C58" s="2">
        <f t="shared" si="17"/>
        <v>2</v>
      </c>
      <c r="D58" s="2">
        <f t="shared" si="18"/>
        <v>11</v>
      </c>
      <c r="E58" s="2">
        <f t="shared" si="19"/>
        <v>31</v>
      </c>
      <c r="F58" s="1">
        <f t="shared" si="14"/>
        <v>198440.4510738953</v>
      </c>
      <c r="H58" s="1">
        <f t="shared" si="1"/>
        <v>1582.3920236382478</v>
      </c>
      <c r="I58" s="1">
        <v>0</v>
      </c>
      <c r="J58" s="1">
        <v>0</v>
      </c>
      <c r="K58" s="1">
        <f t="shared" si="6"/>
        <v>-200.02284309753355</v>
      </c>
      <c r="L58" s="1">
        <f t="shared" si="7"/>
        <v>199822.820254436</v>
      </c>
      <c r="N58" s="1">
        <f t="shared" si="8"/>
        <v>35</v>
      </c>
      <c r="O58" s="2">
        <f t="shared" si="20"/>
        <v>2</v>
      </c>
      <c r="P58" s="2">
        <f t="shared" si="21"/>
        <v>11</v>
      </c>
      <c r="Q58" s="2">
        <f t="shared" si="22"/>
        <v>2</v>
      </c>
      <c r="R58" s="1">
        <f t="shared" si="10"/>
        <v>168443.0370100936</v>
      </c>
      <c r="S58" s="4">
        <f>IF($G$4="mensual",S57,0)</f>
        <v>10000</v>
      </c>
      <c r="U58" s="1">
        <f t="shared" si="23"/>
        <v>1422.929835678558</v>
      </c>
      <c r="V58" s="35">
        <f t="shared" si="25"/>
        <v>-82.417920000000009</v>
      </c>
      <c r="X58" s="35">
        <f t="shared" si="24"/>
        <v>-179.86596684577214</v>
      </c>
      <c r="Y58" s="1">
        <f t="shared" si="11"/>
        <v>179603.68295892637</v>
      </c>
      <c r="AA58" s="2">
        <f>+Bono!J58</f>
        <v>132148.47578547135</v>
      </c>
      <c r="AC58" s="10">
        <f t="shared" si="12"/>
        <v>2.9166666666666665</v>
      </c>
      <c r="AD58" s="1">
        <f t="shared" si="13"/>
        <v>511574.97899883369</v>
      </c>
    </row>
    <row r="59" spans="2:34">
      <c r="B59" s="1">
        <f t="shared" si="4"/>
        <v>36</v>
      </c>
      <c r="C59" s="2">
        <f t="shared" si="17"/>
        <v>2</v>
      </c>
      <c r="D59" s="2">
        <f t="shared" si="18"/>
        <v>12</v>
      </c>
      <c r="E59" s="2">
        <f t="shared" si="19"/>
        <v>31</v>
      </c>
      <c r="F59" s="1">
        <f t="shared" si="14"/>
        <v>199822.820254436</v>
      </c>
      <c r="H59" s="1">
        <f t="shared" si="1"/>
        <v>1593.4152296084681</v>
      </c>
      <c r="I59" s="1">
        <v>0</v>
      </c>
      <c r="J59" s="69">
        <f>-SUM(F59:H59)*$J$21</f>
        <v>-1812.7461193564004</v>
      </c>
      <c r="K59" s="1">
        <f t="shared" si="6"/>
        <v>-199.60348936468807</v>
      </c>
      <c r="L59" s="1">
        <f t="shared" si="7"/>
        <v>199403.88587532338</v>
      </c>
      <c r="N59" s="1">
        <f t="shared" si="8"/>
        <v>36</v>
      </c>
      <c r="O59" s="2">
        <f t="shared" si="20"/>
        <v>2</v>
      </c>
      <c r="P59" s="2">
        <f t="shared" si="21"/>
        <v>12</v>
      </c>
      <c r="Q59" s="2">
        <f t="shared" si="22"/>
        <v>2</v>
      </c>
      <c r="R59" s="1">
        <f t="shared" si="10"/>
        <v>179603.68295892637</v>
      </c>
      <c r="S59" s="4">
        <f>IF($G$4="mensual",S58,0)</f>
        <v>10000</v>
      </c>
      <c r="U59" s="1">
        <f t="shared" si="23"/>
        <v>1511.9263937518265</v>
      </c>
      <c r="V59" s="35">
        <f t="shared" si="25"/>
        <v>-82.417920000000009</v>
      </c>
      <c r="X59" s="35">
        <f t="shared" si="24"/>
        <v>-191.11560935267821</v>
      </c>
      <c r="Y59" s="1">
        <f t="shared" si="11"/>
        <v>190842.07582332552</v>
      </c>
      <c r="AA59" s="2">
        <f>+Bono!J59</f>
        <v>131769.90345042999</v>
      </c>
      <c r="AC59" s="10">
        <f t="shared" si="12"/>
        <v>3</v>
      </c>
      <c r="AD59" s="1">
        <f t="shared" si="13"/>
        <v>522015.86514907889</v>
      </c>
    </row>
    <row r="60" spans="2:34">
      <c r="B60" s="1">
        <f t="shared" si="4"/>
        <v>37</v>
      </c>
      <c r="C60" s="2">
        <f t="shared" si="17"/>
        <v>3</v>
      </c>
      <c r="D60" s="2">
        <f t="shared" si="18"/>
        <v>1</v>
      </c>
      <c r="E60" s="2">
        <f t="shared" si="19"/>
        <v>32</v>
      </c>
      <c r="F60" s="1">
        <f t="shared" si="14"/>
        <v>199403.88587532338</v>
      </c>
      <c r="H60" s="1">
        <f t="shared" si="1"/>
        <v>1590.0745880389284</v>
      </c>
      <c r="I60" s="1">
        <v>0</v>
      </c>
      <c r="J60" s="1">
        <v>0</v>
      </c>
      <c r="K60" s="1">
        <f t="shared" si="6"/>
        <v>-200.99396046336233</v>
      </c>
      <c r="L60" s="1">
        <f t="shared" si="7"/>
        <v>200792.96650289895</v>
      </c>
      <c r="N60" s="1">
        <f t="shared" si="8"/>
        <v>37</v>
      </c>
      <c r="O60" s="2">
        <f t="shared" si="20"/>
        <v>3</v>
      </c>
      <c r="P60" s="2">
        <f t="shared" si="21"/>
        <v>1</v>
      </c>
      <c r="Q60" s="2">
        <f t="shared" si="22"/>
        <v>3</v>
      </c>
      <c r="R60" s="1">
        <f t="shared" si="10"/>
        <v>190842.07582332552</v>
      </c>
      <c r="S60" s="1">
        <f>IF($G$17="si",S48*(1+$G$20),S48)</f>
        <v>10000</v>
      </c>
      <c r="U60" s="1">
        <f t="shared" si="23"/>
        <v>1601.5429166477352</v>
      </c>
      <c r="V60" s="35">
        <f>(V59*(1+$G$18))</f>
        <v>-85.714636800000008</v>
      </c>
      <c r="X60" s="35">
        <f t="shared" si="24"/>
        <v>-202.44361873997326</v>
      </c>
      <c r="Y60" s="1">
        <f t="shared" si="11"/>
        <v>202155.46048443328</v>
      </c>
      <c r="AA60" s="2">
        <f>+Bono!J60</f>
        <v>132586.8921361854</v>
      </c>
      <c r="AC60" s="10">
        <f t="shared" si="12"/>
        <v>3.0833333333333335</v>
      </c>
      <c r="AD60" s="1">
        <f t="shared" si="13"/>
        <v>535535.31912351761</v>
      </c>
    </row>
    <row r="61" spans="2:34">
      <c r="B61" s="1">
        <f t="shared" si="4"/>
        <v>38</v>
      </c>
      <c r="C61" s="2">
        <f t="shared" si="17"/>
        <v>3</v>
      </c>
      <c r="D61" s="2">
        <f t="shared" si="18"/>
        <v>2</v>
      </c>
      <c r="E61" s="2">
        <f t="shared" si="19"/>
        <v>32</v>
      </c>
      <c r="F61" s="1">
        <f t="shared" si="14"/>
        <v>200792.96650289895</v>
      </c>
      <c r="H61" s="1">
        <f t="shared" si="1"/>
        <v>1601.1513120302859</v>
      </c>
      <c r="I61" s="1">
        <v>0</v>
      </c>
      <c r="J61" s="1">
        <v>0</v>
      </c>
      <c r="K61" s="1">
        <f t="shared" si="6"/>
        <v>-202.39411781492925</v>
      </c>
      <c r="L61" s="1">
        <f t="shared" si="7"/>
        <v>202191.72369711433</v>
      </c>
      <c r="N61" s="1">
        <f t="shared" si="8"/>
        <v>38</v>
      </c>
      <c r="O61" s="2">
        <f t="shared" si="20"/>
        <v>3</v>
      </c>
      <c r="P61" s="2">
        <f t="shared" si="21"/>
        <v>2</v>
      </c>
      <c r="Q61" s="2">
        <f t="shared" si="22"/>
        <v>3</v>
      </c>
      <c r="R61" s="1">
        <f t="shared" si="10"/>
        <v>202155.46048443328</v>
      </c>
      <c r="S61" s="4">
        <f>IF($G$4="mensual",S60,0)</f>
        <v>10000</v>
      </c>
      <c r="U61" s="1">
        <f t="shared" si="23"/>
        <v>1691.7574346616143</v>
      </c>
      <c r="V61" s="35">
        <f t="shared" si="25"/>
        <v>-85.714636800000008</v>
      </c>
      <c r="X61" s="35">
        <f t="shared" si="24"/>
        <v>-213.8472179190949</v>
      </c>
      <c r="Y61" s="1">
        <f t="shared" si="11"/>
        <v>213547.6560643758</v>
      </c>
      <c r="AA61" s="2">
        <f>+Bono!J61</f>
        <v>133408.94624655735</v>
      </c>
      <c r="AC61" s="10">
        <f t="shared" si="12"/>
        <v>3.1666666666666665</v>
      </c>
      <c r="AD61" s="1">
        <f t="shared" si="13"/>
        <v>549148.32600804744</v>
      </c>
    </row>
    <row r="62" spans="2:34">
      <c r="B62" s="1">
        <f t="shared" si="4"/>
        <v>39</v>
      </c>
      <c r="C62" s="2">
        <f t="shared" si="17"/>
        <v>3</v>
      </c>
      <c r="D62" s="2">
        <f t="shared" si="18"/>
        <v>3</v>
      </c>
      <c r="E62" s="2">
        <f t="shared" si="19"/>
        <v>32</v>
      </c>
      <c r="F62" s="1">
        <f t="shared" si="14"/>
        <v>202191.72369711433</v>
      </c>
      <c r="H62" s="1">
        <f t="shared" si="1"/>
        <v>1612.3051983228986</v>
      </c>
      <c r="I62" s="1">
        <v>0</v>
      </c>
      <c r="J62" s="69">
        <f>-SUM(F62:H62)*$J$21</f>
        <v>-1834.2362600589352</v>
      </c>
      <c r="K62" s="1">
        <f t="shared" si="6"/>
        <v>-201.9697926353783</v>
      </c>
      <c r="L62" s="1">
        <f t="shared" si="7"/>
        <v>201767.8228427429</v>
      </c>
      <c r="N62" s="1">
        <f t="shared" si="8"/>
        <v>39</v>
      </c>
      <c r="O62" s="2">
        <f t="shared" si="20"/>
        <v>3</v>
      </c>
      <c r="P62" s="2">
        <f t="shared" si="21"/>
        <v>3</v>
      </c>
      <c r="Q62" s="2">
        <f t="shared" si="22"/>
        <v>3</v>
      </c>
      <c r="R62" s="1">
        <f t="shared" si="10"/>
        <v>213547.6560643758</v>
      </c>
      <c r="S62" s="4">
        <f>IF($G$4="mensual",S61,0)</f>
        <v>10000</v>
      </c>
      <c r="U62" s="1">
        <f t="shared" si="23"/>
        <v>1782.6004020096127</v>
      </c>
      <c r="V62" s="35">
        <f t="shared" si="25"/>
        <v>-85.714636800000008</v>
      </c>
      <c r="X62" s="35">
        <f t="shared" si="24"/>
        <v>-225.33025646638541</v>
      </c>
      <c r="Y62" s="1">
        <f t="shared" si="11"/>
        <v>225019.21157311904</v>
      </c>
      <c r="AA62" s="2">
        <f>+Bono!J62</f>
        <v>133026.76297886716</v>
      </c>
      <c r="AC62" s="10">
        <f t="shared" si="12"/>
        <v>3.25</v>
      </c>
      <c r="AD62" s="1">
        <f t="shared" si="13"/>
        <v>559813.7973947291</v>
      </c>
    </row>
    <row r="63" spans="2:34">
      <c r="B63" s="1">
        <f t="shared" si="4"/>
        <v>40</v>
      </c>
      <c r="C63" s="2">
        <f t="shared" si="17"/>
        <v>3</v>
      </c>
      <c r="D63" s="2">
        <f t="shared" si="18"/>
        <v>4</v>
      </c>
      <c r="E63" s="2">
        <f t="shared" si="19"/>
        <v>32</v>
      </c>
      <c r="F63" s="1">
        <f t="shared" si="14"/>
        <v>201767.8228427429</v>
      </c>
      <c r="H63" s="1">
        <f t="shared" si="1"/>
        <v>1608.9249533822085</v>
      </c>
      <c r="I63" s="1">
        <v>0</v>
      </c>
      <c r="J63" s="1">
        <v>0</v>
      </c>
      <c r="K63" s="1">
        <f t="shared" si="6"/>
        <v>-203.3767477961251</v>
      </c>
      <c r="L63" s="1">
        <f t="shared" si="7"/>
        <v>203173.37104832896</v>
      </c>
      <c r="N63" s="1">
        <f t="shared" si="8"/>
        <v>40</v>
      </c>
      <c r="O63" s="2">
        <f t="shared" si="20"/>
        <v>3</v>
      </c>
      <c r="P63" s="2">
        <f t="shared" si="21"/>
        <v>4</v>
      </c>
      <c r="Q63" s="2">
        <f t="shared" si="22"/>
        <v>3</v>
      </c>
      <c r="R63" s="1">
        <f t="shared" si="10"/>
        <v>225019.21157311904</v>
      </c>
      <c r="S63" s="4">
        <f>IF($G$4="mensual",S60,IF($G$4="trimestral",S60,0))</f>
        <v>10000</v>
      </c>
      <c r="U63" s="1">
        <f t="shared" si="23"/>
        <v>1874.0761965742961</v>
      </c>
      <c r="V63" s="35">
        <f t="shared" si="25"/>
        <v>-85.714636800000008</v>
      </c>
      <c r="X63" s="35">
        <f t="shared" si="24"/>
        <v>-236.89328776969333</v>
      </c>
      <c r="Y63" s="1">
        <f t="shared" si="11"/>
        <v>236570.67984512364</v>
      </c>
      <c r="AA63" s="2">
        <f>+Bono!J63</f>
        <v>133851.54433948558</v>
      </c>
      <c r="AC63" s="10">
        <f t="shared" si="12"/>
        <v>3.3333333333333335</v>
      </c>
      <c r="AD63" s="1">
        <f t="shared" si="13"/>
        <v>573595.59523293818</v>
      </c>
    </row>
    <row r="64" spans="2:34">
      <c r="B64" s="1">
        <f t="shared" si="4"/>
        <v>41</v>
      </c>
      <c r="C64" s="2">
        <f t="shared" si="17"/>
        <v>3</v>
      </c>
      <c r="D64" s="2">
        <f t="shared" si="18"/>
        <v>5</v>
      </c>
      <c r="E64" s="2">
        <f t="shared" si="19"/>
        <v>32</v>
      </c>
      <c r="F64" s="1">
        <f t="shared" si="14"/>
        <v>203173.37104832896</v>
      </c>
      <c r="H64" s="1">
        <f t="shared" si="1"/>
        <v>1620.1329921531456</v>
      </c>
      <c r="I64" s="1">
        <v>0</v>
      </c>
      <c r="J64" s="1">
        <v>0</v>
      </c>
      <c r="K64" s="1">
        <f t="shared" si="6"/>
        <v>-204.79350404048211</v>
      </c>
      <c r="L64" s="1">
        <f t="shared" si="7"/>
        <v>204588.71053644162</v>
      </c>
      <c r="N64" s="1">
        <f t="shared" si="8"/>
        <v>41</v>
      </c>
      <c r="O64" s="2">
        <f t="shared" si="20"/>
        <v>3</v>
      </c>
      <c r="P64" s="2">
        <f t="shared" si="21"/>
        <v>5</v>
      </c>
      <c r="Q64" s="2">
        <f t="shared" si="22"/>
        <v>3</v>
      </c>
      <c r="R64" s="1">
        <f t="shared" si="10"/>
        <v>236570.67984512364</v>
      </c>
      <c r="S64" s="4">
        <f>IF($G$4="mensual",S63,0)</f>
        <v>10000</v>
      </c>
      <c r="U64" s="1">
        <f t="shared" si="23"/>
        <v>1966.1892267352869</v>
      </c>
      <c r="V64" s="35">
        <f t="shared" si="25"/>
        <v>-85.714636800000008</v>
      </c>
      <c r="X64" s="35">
        <f t="shared" si="24"/>
        <v>-248.53686907185894</v>
      </c>
      <c r="Y64" s="1">
        <f t="shared" si="11"/>
        <v>248202.61756598708</v>
      </c>
      <c r="AA64" s="2">
        <f>+Bono!J64</f>
        <v>134681.43944020855</v>
      </c>
      <c r="AC64" s="10">
        <f t="shared" si="12"/>
        <v>3.4166666666666665</v>
      </c>
      <c r="AD64" s="1">
        <f t="shared" si="13"/>
        <v>587472.7675426373</v>
      </c>
    </row>
    <row r="65" spans="2:30">
      <c r="B65" s="1">
        <f t="shared" si="4"/>
        <v>42</v>
      </c>
      <c r="C65" s="2">
        <f t="shared" si="17"/>
        <v>3</v>
      </c>
      <c r="D65" s="2">
        <f t="shared" si="18"/>
        <v>6</v>
      </c>
      <c r="E65" s="2">
        <f t="shared" si="19"/>
        <v>32</v>
      </c>
      <c r="F65" s="1">
        <f t="shared" si="14"/>
        <v>204588.71053644162</v>
      </c>
      <c r="H65" s="1">
        <f t="shared" si="1"/>
        <v>1631.4191079859286</v>
      </c>
      <c r="I65" s="1">
        <v>0</v>
      </c>
      <c r="J65" s="69">
        <f>-SUM(F65:H65)*$J$21</f>
        <v>-1855.9811667998481</v>
      </c>
      <c r="K65" s="1">
        <f t="shared" si="6"/>
        <v>-204.36414847762771</v>
      </c>
      <c r="L65" s="1">
        <f t="shared" si="7"/>
        <v>204159.78432915008</v>
      </c>
      <c r="N65" s="1">
        <f t="shared" si="8"/>
        <v>42</v>
      </c>
      <c r="O65" s="2">
        <f t="shared" si="20"/>
        <v>3</v>
      </c>
      <c r="P65" s="2">
        <f t="shared" si="21"/>
        <v>6</v>
      </c>
      <c r="Q65" s="2">
        <f t="shared" si="22"/>
        <v>3</v>
      </c>
      <c r="R65" s="1">
        <f t="shared" si="10"/>
        <v>248202.61756598708</v>
      </c>
      <c r="S65" s="4">
        <f>IF($G$4="mensual",S64,0)</f>
        <v>10000</v>
      </c>
      <c r="U65" s="1">
        <f t="shared" si="23"/>
        <v>2058.9439315817149</v>
      </c>
      <c r="V65" s="35">
        <f t="shared" si="25"/>
        <v>-85.714636800000008</v>
      </c>
      <c r="X65" s="35">
        <f t="shared" si="24"/>
        <v>-260.26156149756878</v>
      </c>
      <c r="Y65" s="1">
        <f t="shared" si="11"/>
        <v>259915.58529927122</v>
      </c>
      <c r="AA65" s="2">
        <f>+Bono!J65</f>
        <v>134295.61079774745</v>
      </c>
      <c r="AC65" s="10">
        <f t="shared" si="12"/>
        <v>3.5</v>
      </c>
      <c r="AD65" s="1">
        <f t="shared" si="13"/>
        <v>598370.98042616877</v>
      </c>
    </row>
    <row r="66" spans="2:30">
      <c r="B66" s="1">
        <f t="shared" si="4"/>
        <v>43</v>
      </c>
      <c r="C66" s="2">
        <f t="shared" si="17"/>
        <v>3</v>
      </c>
      <c r="D66" s="2">
        <f t="shared" si="18"/>
        <v>7</v>
      </c>
      <c r="E66" s="2">
        <f t="shared" si="19"/>
        <v>32</v>
      </c>
      <c r="F66" s="1">
        <f t="shared" si="14"/>
        <v>204159.78432915008</v>
      </c>
      <c r="H66" s="1">
        <f t="shared" si="1"/>
        <v>1627.9987901753489</v>
      </c>
      <c r="I66" s="1">
        <v>0</v>
      </c>
      <c r="J66" s="1">
        <v>0</v>
      </c>
      <c r="K66" s="1">
        <f t="shared" si="6"/>
        <v>-205.78778311932544</v>
      </c>
      <c r="L66" s="1">
        <f t="shared" si="7"/>
        <v>205581.99533620611</v>
      </c>
      <c r="N66" s="1">
        <f t="shared" si="8"/>
        <v>43</v>
      </c>
      <c r="O66" s="2">
        <f t="shared" si="20"/>
        <v>3</v>
      </c>
      <c r="P66" s="2">
        <f t="shared" si="21"/>
        <v>7</v>
      </c>
      <c r="Q66" s="2">
        <f t="shared" si="22"/>
        <v>3</v>
      </c>
      <c r="R66" s="1">
        <f t="shared" si="10"/>
        <v>259915.58529927122</v>
      </c>
      <c r="S66" s="1">
        <f>+IF($G$4="mensual",S60,IF($G$4="trimestral",S60,IF($G$4="semestral",S60,0)))</f>
        <v>10000</v>
      </c>
      <c r="U66" s="1">
        <f t="shared" si="23"/>
        <v>2152.3447811261412</v>
      </c>
      <c r="V66" s="35">
        <f t="shared" si="25"/>
        <v>-85.714636800000008</v>
      </c>
      <c r="X66" s="35">
        <f t="shared" si="24"/>
        <v>-272.06793008039733</v>
      </c>
      <c r="Y66" s="1">
        <f t="shared" si="11"/>
        <v>271710.14751351695</v>
      </c>
      <c r="AA66" s="2">
        <f>+Bono!J66</f>
        <v>135128.25916202017</v>
      </c>
      <c r="AC66" s="10">
        <f t="shared" si="12"/>
        <v>3.5833333333333335</v>
      </c>
      <c r="AD66" s="1">
        <f t="shared" si="13"/>
        <v>612420.40201174328</v>
      </c>
    </row>
    <row r="67" spans="2:30">
      <c r="B67" s="1">
        <f t="shared" si="4"/>
        <v>44</v>
      </c>
      <c r="C67" s="2">
        <f t="shared" si="17"/>
        <v>3</v>
      </c>
      <c r="D67" s="2">
        <f t="shared" si="18"/>
        <v>8</v>
      </c>
      <c r="E67" s="2">
        <f t="shared" si="19"/>
        <v>32</v>
      </c>
      <c r="F67" s="1">
        <f t="shared" si="14"/>
        <v>205581.99533620611</v>
      </c>
      <c r="H67" s="1">
        <f t="shared" si="1"/>
        <v>1639.3397004651463</v>
      </c>
      <c r="I67" s="1">
        <v>0</v>
      </c>
      <c r="J67" s="1">
        <v>0</v>
      </c>
      <c r="K67" s="1">
        <f t="shared" si="6"/>
        <v>-207.22133503667126</v>
      </c>
      <c r="L67" s="1">
        <f t="shared" si="7"/>
        <v>207014.11370163457</v>
      </c>
      <c r="N67" s="1">
        <f t="shared" si="8"/>
        <v>44</v>
      </c>
      <c r="O67" s="2">
        <f t="shared" si="20"/>
        <v>3</v>
      </c>
      <c r="P67" s="2">
        <f t="shared" si="21"/>
        <v>8</v>
      </c>
      <c r="Q67" s="2">
        <f t="shared" si="22"/>
        <v>3</v>
      </c>
      <c r="R67" s="1">
        <f t="shared" si="10"/>
        <v>271710.14751351695</v>
      </c>
      <c r="S67" s="4">
        <f>IF($G$4="mensual",S66,0)</f>
        <v>10000</v>
      </c>
      <c r="U67" s="1">
        <f t="shared" si="23"/>
        <v>2246.3962765199785</v>
      </c>
      <c r="V67" s="35">
        <f t="shared" si="25"/>
        <v>-85.714636800000008</v>
      </c>
      <c r="X67" s="35">
        <f t="shared" si="24"/>
        <v>-283.95654379003696</v>
      </c>
      <c r="Y67" s="1">
        <f t="shared" si="11"/>
        <v>283586.87260944687</v>
      </c>
      <c r="AA67" s="2">
        <f>+Bono!J67</f>
        <v>135966.07004273261</v>
      </c>
      <c r="AC67" s="10">
        <f t="shared" si="12"/>
        <v>3.6666666666666665</v>
      </c>
      <c r="AD67" s="1">
        <f t="shared" si="13"/>
        <v>626567.05635381409</v>
      </c>
    </row>
    <row r="68" spans="2:30">
      <c r="B68" s="1">
        <f t="shared" si="4"/>
        <v>45</v>
      </c>
      <c r="C68" s="2">
        <f t="shared" si="17"/>
        <v>3</v>
      </c>
      <c r="D68" s="2">
        <f t="shared" si="18"/>
        <v>9</v>
      </c>
      <c r="E68" s="2">
        <f t="shared" si="19"/>
        <v>32</v>
      </c>
      <c r="F68" s="1">
        <f t="shared" si="14"/>
        <v>207014.11370163457</v>
      </c>
      <c r="H68" s="1">
        <f t="shared" si="1"/>
        <v>1650.759613421885</v>
      </c>
      <c r="I68" s="1">
        <v>0</v>
      </c>
      <c r="J68" s="69">
        <f>-SUM(F68:H68)*$J$21</f>
        <v>-1877.9838598355084</v>
      </c>
      <c r="K68" s="1">
        <f t="shared" si="6"/>
        <v>-206.78688945522094</v>
      </c>
      <c r="L68" s="1">
        <f t="shared" si="7"/>
        <v>206580.10256576573</v>
      </c>
      <c r="N68" s="1">
        <f t="shared" si="8"/>
        <v>45</v>
      </c>
      <c r="O68" s="2">
        <f t="shared" si="20"/>
        <v>3</v>
      </c>
      <c r="P68" s="2">
        <f t="shared" si="21"/>
        <v>9</v>
      </c>
      <c r="Q68" s="2">
        <f t="shared" si="22"/>
        <v>3</v>
      </c>
      <c r="R68" s="1">
        <f t="shared" si="10"/>
        <v>283586.87260944687</v>
      </c>
      <c r="S68" s="4">
        <f>IF($G$4="mensual",S67,0)</f>
        <v>10000</v>
      </c>
      <c r="U68" s="1">
        <f t="shared" si="23"/>
        <v>2341.1029502704096</v>
      </c>
      <c r="V68" s="35">
        <f t="shared" si="25"/>
        <v>-85.714636800000008</v>
      </c>
      <c r="X68" s="35">
        <f t="shared" si="24"/>
        <v>-295.92797555971731</v>
      </c>
      <c r="Y68" s="1">
        <f t="shared" si="11"/>
        <v>295546.33294735756</v>
      </c>
      <c r="AA68" s="2">
        <f>+Bono!J68</f>
        <v>135576.56125485952</v>
      </c>
      <c r="AC68" s="10">
        <f t="shared" si="12"/>
        <v>3.75</v>
      </c>
      <c r="AD68" s="1">
        <f t="shared" si="13"/>
        <v>637702.99676798284</v>
      </c>
    </row>
    <row r="69" spans="2:30">
      <c r="B69" s="1">
        <f t="shared" si="4"/>
        <v>46</v>
      </c>
      <c r="C69" s="2">
        <f t="shared" si="17"/>
        <v>3</v>
      </c>
      <c r="D69" s="2">
        <f t="shared" si="18"/>
        <v>10</v>
      </c>
      <c r="E69" s="2">
        <f t="shared" si="19"/>
        <v>32</v>
      </c>
      <c r="F69" s="1">
        <f t="shared" si="14"/>
        <v>206580.10256576573</v>
      </c>
      <c r="H69" s="1">
        <f t="shared" si="1"/>
        <v>1647.2987476767587</v>
      </c>
      <c r="I69" s="1">
        <v>0</v>
      </c>
      <c r="J69" s="1">
        <v>0</v>
      </c>
      <c r="K69" s="1">
        <f t="shared" si="6"/>
        <v>-208.22740131344247</v>
      </c>
      <c r="L69" s="1">
        <f t="shared" si="7"/>
        <v>208019.17391212904</v>
      </c>
      <c r="N69" s="1">
        <f t="shared" si="8"/>
        <v>46</v>
      </c>
      <c r="O69" s="2">
        <f t="shared" si="20"/>
        <v>3</v>
      </c>
      <c r="P69" s="2">
        <f t="shared" si="21"/>
        <v>10</v>
      </c>
      <c r="Q69" s="2">
        <f t="shared" si="22"/>
        <v>3</v>
      </c>
      <c r="R69" s="1">
        <f t="shared" si="10"/>
        <v>295546.33294735756</v>
      </c>
      <c r="S69" s="4">
        <f>IF($G$4="mensual",S60,IF($G$4="trimestral",S60,0))</f>
        <v>10000</v>
      </c>
      <c r="U69" s="1">
        <f t="shared" si="23"/>
        <v>2436.469366458814</v>
      </c>
      <c r="V69" s="35">
        <f t="shared" si="25"/>
        <v>-85.714636800000008</v>
      </c>
      <c r="X69" s="35">
        <f t="shared" si="24"/>
        <v>-307.98280231381636</v>
      </c>
      <c r="Y69" s="1">
        <f t="shared" si="11"/>
        <v>307589.10487470258</v>
      </c>
      <c r="AA69" s="2">
        <f>+Bono!J69</f>
        <v>136417.15166054739</v>
      </c>
      <c r="AC69" s="10">
        <f t="shared" si="12"/>
        <v>3.8333333333333335</v>
      </c>
      <c r="AD69" s="1">
        <f t="shared" si="13"/>
        <v>652025.43044737901</v>
      </c>
    </row>
    <row r="70" spans="2:30">
      <c r="B70" s="1">
        <f t="shared" si="4"/>
        <v>47</v>
      </c>
      <c r="C70" s="2">
        <f t="shared" si="17"/>
        <v>3</v>
      </c>
      <c r="D70" s="2">
        <f t="shared" si="18"/>
        <v>11</v>
      </c>
      <c r="E70" s="2">
        <f t="shared" si="19"/>
        <v>32</v>
      </c>
      <c r="F70" s="1">
        <f t="shared" si="14"/>
        <v>208019.17391212904</v>
      </c>
      <c r="H70" s="1">
        <f t="shared" si="1"/>
        <v>1658.7741046798715</v>
      </c>
      <c r="I70" s="1">
        <v>0</v>
      </c>
      <c r="J70" s="1">
        <v>0</v>
      </c>
      <c r="K70" s="1">
        <f t="shared" si="6"/>
        <v>-209.67794801680893</v>
      </c>
      <c r="L70" s="1">
        <f t="shared" si="7"/>
        <v>209468.2700687921</v>
      </c>
      <c r="N70" s="1">
        <f t="shared" si="8"/>
        <v>47</v>
      </c>
      <c r="O70" s="2">
        <f t="shared" si="20"/>
        <v>3</v>
      </c>
      <c r="P70" s="2">
        <f t="shared" si="21"/>
        <v>11</v>
      </c>
      <c r="Q70" s="2">
        <f t="shared" si="22"/>
        <v>3</v>
      </c>
      <c r="R70" s="1">
        <f t="shared" si="10"/>
        <v>307589.10487470258</v>
      </c>
      <c r="S70" s="1">
        <f>IF($G$17="si",S58*(1+$G$20),S58)</f>
        <v>10000</v>
      </c>
      <c r="U70" s="1">
        <f t="shared" si="23"/>
        <v>2532.5001209607235</v>
      </c>
      <c r="V70" s="35">
        <f t="shared" si="25"/>
        <v>-85.714636800000008</v>
      </c>
      <c r="X70" s="35">
        <f t="shared" si="24"/>
        <v>-320.12160499566329</v>
      </c>
      <c r="Y70" s="1">
        <f t="shared" si="11"/>
        <v>319715.7687538676</v>
      </c>
      <c r="AA70" s="2">
        <f>+Bono!J70</f>
        <v>137262.953824253</v>
      </c>
      <c r="AC70" s="10">
        <f t="shared" si="12"/>
        <v>3.9166666666666665</v>
      </c>
      <c r="AD70" s="1">
        <f t="shared" si="13"/>
        <v>666446.99264691269</v>
      </c>
    </row>
    <row r="71" spans="2:30">
      <c r="B71" s="1">
        <f t="shared" si="4"/>
        <v>48</v>
      </c>
      <c r="C71" s="2">
        <f t="shared" si="17"/>
        <v>3</v>
      </c>
      <c r="D71" s="2">
        <f t="shared" si="18"/>
        <v>12</v>
      </c>
      <c r="E71" s="2">
        <f t="shared" si="19"/>
        <v>32</v>
      </c>
      <c r="F71" s="1">
        <f t="shared" si="14"/>
        <v>209468.2700687921</v>
      </c>
      <c r="H71" s="1">
        <f t="shared" si="1"/>
        <v>1670.3294009280874</v>
      </c>
      <c r="I71" s="1">
        <v>0</v>
      </c>
      <c r="J71" s="69">
        <f>-SUM(F71:H71)*$J$21</f>
        <v>-1900.2473952274818</v>
      </c>
      <c r="K71" s="1">
        <f t="shared" si="6"/>
        <v>-209.2383520744927</v>
      </c>
      <c r="L71" s="1">
        <f t="shared" si="7"/>
        <v>209029.1137224182</v>
      </c>
      <c r="N71" s="1">
        <f t="shared" si="8"/>
        <v>48</v>
      </c>
      <c r="O71" s="2">
        <f t="shared" si="20"/>
        <v>3</v>
      </c>
      <c r="P71" s="2">
        <f t="shared" si="21"/>
        <v>12</v>
      </c>
      <c r="Q71" s="2">
        <f t="shared" si="22"/>
        <v>3</v>
      </c>
      <c r="R71" s="1">
        <f t="shared" si="10"/>
        <v>319715.7687538676</v>
      </c>
      <c r="S71" s="4">
        <f>IF($G$4="mensual",S70,0)</f>
        <v>10000</v>
      </c>
      <c r="U71" s="1">
        <f t="shared" si="23"/>
        <v>2629.1998416673</v>
      </c>
      <c r="V71" s="35">
        <f t="shared" si="25"/>
        <v>-85.714636800000008</v>
      </c>
      <c r="X71" s="35">
        <f t="shared" si="24"/>
        <v>-332.34496859553491</v>
      </c>
      <c r="Y71" s="1">
        <f t="shared" si="11"/>
        <v>331926.90899013937</v>
      </c>
      <c r="AA71" s="2">
        <f>+Bono!J71</f>
        <v>136869.72978867442</v>
      </c>
      <c r="AC71" s="10">
        <f t="shared" si="12"/>
        <v>4</v>
      </c>
      <c r="AD71" s="1">
        <f t="shared" si="13"/>
        <v>677825.75250123197</v>
      </c>
    </row>
    <row r="72" spans="2:30">
      <c r="B72" s="1">
        <f t="shared" si="4"/>
        <v>49</v>
      </c>
      <c r="C72" s="2">
        <f t="shared" si="17"/>
        <v>4</v>
      </c>
      <c r="D72" s="2">
        <f t="shared" si="18"/>
        <v>1</v>
      </c>
      <c r="E72" s="2">
        <f t="shared" si="19"/>
        <v>33</v>
      </c>
      <c r="F72" s="1">
        <f t="shared" si="14"/>
        <v>209029.1137224182</v>
      </c>
      <c r="H72" s="1">
        <f t="shared" si="1"/>
        <v>1666.8275065518576</v>
      </c>
      <c r="I72" s="1">
        <v>0</v>
      </c>
      <c r="J72" s="1">
        <v>0</v>
      </c>
      <c r="K72" s="1">
        <f t="shared" si="6"/>
        <v>-210.69594122897007</v>
      </c>
      <c r="L72" s="1">
        <f t="shared" si="7"/>
        <v>210485.2452877411</v>
      </c>
      <c r="N72" s="1">
        <f t="shared" si="8"/>
        <v>49</v>
      </c>
      <c r="O72" s="2">
        <f t="shared" si="20"/>
        <v>4</v>
      </c>
      <c r="P72" s="2">
        <f t="shared" si="21"/>
        <v>1</v>
      </c>
      <c r="Q72" s="2">
        <f t="shared" si="22"/>
        <v>4</v>
      </c>
      <c r="R72" s="1">
        <f t="shared" si="10"/>
        <v>331926.90899013937</v>
      </c>
      <c r="S72" s="1">
        <f>IF($G$17="si",S60*(1+$G$20),S60)</f>
        <v>10000</v>
      </c>
      <c r="U72" s="1">
        <f t="shared" si="23"/>
        <v>2726.5731887083684</v>
      </c>
      <c r="V72" s="35">
        <f>(V71*(1+$G$18))</f>
        <v>-89.143222272000017</v>
      </c>
      <c r="X72" s="35">
        <f t="shared" si="24"/>
        <v>-344.65348217884775</v>
      </c>
      <c r="Y72" s="1">
        <f t="shared" si="11"/>
        <v>344219.68547439692</v>
      </c>
      <c r="AA72" s="2">
        <f>+Bono!J72</f>
        <v>137718.33798927019</v>
      </c>
      <c r="AC72" s="10">
        <f t="shared" si="12"/>
        <v>4.083333333333333</v>
      </c>
      <c r="AD72" s="1">
        <f t="shared" si="13"/>
        <v>692423.26875140821</v>
      </c>
    </row>
    <row r="73" spans="2:30">
      <c r="B73" s="1">
        <f t="shared" si="4"/>
        <v>50</v>
      </c>
      <c r="C73" s="2">
        <f t="shared" si="17"/>
        <v>4</v>
      </c>
      <c r="D73" s="2">
        <f t="shared" si="18"/>
        <v>2</v>
      </c>
      <c r="E73" s="2">
        <f t="shared" si="19"/>
        <v>33</v>
      </c>
      <c r="F73" s="1">
        <f t="shared" si="14"/>
        <v>210485.2452877411</v>
      </c>
      <c r="H73" s="1">
        <f t="shared" si="1"/>
        <v>1678.4389041367019</v>
      </c>
      <c r="I73" s="1">
        <v>0</v>
      </c>
      <c r="J73" s="1">
        <v>0</v>
      </c>
      <c r="K73" s="1">
        <f t="shared" si="6"/>
        <v>-212.16368419187782</v>
      </c>
      <c r="L73" s="1">
        <f t="shared" si="7"/>
        <v>211951.52050768593</v>
      </c>
      <c r="N73" s="1">
        <f t="shared" si="8"/>
        <v>50</v>
      </c>
      <c r="O73" s="2">
        <f t="shared" si="20"/>
        <v>4</v>
      </c>
      <c r="P73" s="2">
        <f t="shared" si="21"/>
        <v>2</v>
      </c>
      <c r="Q73" s="2">
        <f t="shared" si="22"/>
        <v>4</v>
      </c>
      <c r="R73" s="1">
        <f t="shared" si="10"/>
        <v>344219.68547439692</v>
      </c>
      <c r="S73" s="4">
        <f>IF($G$4="mensual",S72,0)</f>
        <v>10000</v>
      </c>
      <c r="U73" s="1">
        <f t="shared" si="23"/>
        <v>2824.597514654964</v>
      </c>
      <c r="V73" s="35">
        <f t="shared" si="25"/>
        <v>-89.143222272000017</v>
      </c>
      <c r="X73" s="35">
        <f t="shared" si="24"/>
        <v>-357.04428298905191</v>
      </c>
      <c r="Y73" s="1">
        <f t="shared" si="11"/>
        <v>356598.09548379085</v>
      </c>
      <c r="AA73" s="2">
        <f>+Bono!J73</f>
        <v>138572.20765914215</v>
      </c>
      <c r="AC73" s="10">
        <f t="shared" si="12"/>
        <v>4.166666666666667</v>
      </c>
      <c r="AD73" s="1">
        <f t="shared" si="13"/>
        <v>707121.8236506189</v>
      </c>
    </row>
    <row r="74" spans="2:30">
      <c r="B74" s="1">
        <f t="shared" si="4"/>
        <v>51</v>
      </c>
      <c r="C74" s="2">
        <f t="shared" si="17"/>
        <v>4</v>
      </c>
      <c r="D74" s="2">
        <f t="shared" si="18"/>
        <v>3</v>
      </c>
      <c r="E74" s="2">
        <f t="shared" si="19"/>
        <v>33</v>
      </c>
      <c r="F74" s="1">
        <f t="shared" si="14"/>
        <v>211951.52050768593</v>
      </c>
      <c r="H74" s="1">
        <f t="shared" si="1"/>
        <v>1690.1311886479637</v>
      </c>
      <c r="I74" s="1">
        <v>0</v>
      </c>
      <c r="J74" s="69">
        <f>-SUM(F74:H74)*$J$21</f>
        <v>-1922.7748652670052</v>
      </c>
      <c r="K74" s="1">
        <f t="shared" si="6"/>
        <v>-211.71887683106689</v>
      </c>
      <c r="L74" s="1">
        <f t="shared" si="7"/>
        <v>211507.15795423582</v>
      </c>
      <c r="N74" s="1">
        <f t="shared" si="8"/>
        <v>51</v>
      </c>
      <c r="O74" s="2">
        <f t="shared" si="20"/>
        <v>4</v>
      </c>
      <c r="P74" s="2">
        <f t="shared" si="21"/>
        <v>3</v>
      </c>
      <c r="Q74" s="2">
        <f t="shared" si="22"/>
        <v>4</v>
      </c>
      <c r="R74" s="1">
        <f t="shared" si="10"/>
        <v>356598.09548379085</v>
      </c>
      <c r="S74" s="4">
        <f>IF($G$4="mensual",S73,0)</f>
        <v>10000</v>
      </c>
      <c r="U74" s="1">
        <f t="shared" si="23"/>
        <v>2923.3046943564191</v>
      </c>
      <c r="V74" s="35">
        <f t="shared" si="25"/>
        <v>-89.143222272000017</v>
      </c>
      <c r="X74" s="35">
        <f t="shared" si="24"/>
        <v>-369.52140017814725</v>
      </c>
      <c r="Y74" s="1">
        <f t="shared" si="11"/>
        <v>369062.73555569712</v>
      </c>
      <c r="AA74" s="2">
        <f>+Bono!J74</f>
        <v>138175.2329387487</v>
      </c>
      <c r="AC74" s="10">
        <f t="shared" si="12"/>
        <v>4.25</v>
      </c>
      <c r="AD74" s="1">
        <f t="shared" si="13"/>
        <v>718745.12644868158</v>
      </c>
    </row>
    <row r="75" spans="2:30">
      <c r="B75" s="1">
        <f t="shared" si="4"/>
        <v>52</v>
      </c>
      <c r="C75" s="2">
        <f t="shared" si="17"/>
        <v>4</v>
      </c>
      <c r="D75" s="2">
        <f t="shared" si="18"/>
        <v>4</v>
      </c>
      <c r="E75" s="2">
        <f t="shared" si="19"/>
        <v>33</v>
      </c>
      <c r="F75" s="1">
        <f t="shared" si="14"/>
        <v>211507.15795423582</v>
      </c>
      <c r="H75" s="1">
        <f t="shared" si="1"/>
        <v>1686.5877792454062</v>
      </c>
      <c r="I75" s="1">
        <v>0</v>
      </c>
      <c r="J75" s="1">
        <v>0</v>
      </c>
      <c r="K75" s="1">
        <f t="shared" si="6"/>
        <v>-213.19374573348122</v>
      </c>
      <c r="L75" s="1">
        <f t="shared" si="7"/>
        <v>212980.55198774775</v>
      </c>
      <c r="N75" s="1">
        <f t="shared" si="8"/>
        <v>52</v>
      </c>
      <c r="O75" s="2">
        <f t="shared" si="20"/>
        <v>4</v>
      </c>
      <c r="P75" s="2">
        <f t="shared" si="21"/>
        <v>4</v>
      </c>
      <c r="Q75" s="2">
        <f t="shared" si="22"/>
        <v>4</v>
      </c>
      <c r="R75" s="1">
        <f t="shared" si="10"/>
        <v>369062.73555569712</v>
      </c>
      <c r="S75" s="4">
        <f>IF($G$4="mensual",S72,IF($G$4="trimestral",S72,0))</f>
        <v>10000</v>
      </c>
      <c r="U75" s="1">
        <f t="shared" si="23"/>
        <v>3022.6994846855409</v>
      </c>
      <c r="V75" s="35">
        <f t="shared" si="25"/>
        <v>-89.143222272000017</v>
      </c>
      <c r="X75" s="35">
        <f t="shared" si="24"/>
        <v>-382.08543504038266</v>
      </c>
      <c r="Y75" s="1">
        <f t="shared" si="11"/>
        <v>381614.20638307027</v>
      </c>
      <c r="AA75" s="2">
        <f>+Bono!J75</f>
        <v>139031.93541030394</v>
      </c>
      <c r="AC75" s="10">
        <f t="shared" si="12"/>
        <v>4.333333333333333</v>
      </c>
      <c r="AD75" s="1">
        <f t="shared" si="13"/>
        <v>733626.69378112198</v>
      </c>
    </row>
    <row r="76" spans="2:30">
      <c r="B76" s="1">
        <f t="shared" si="4"/>
        <v>53</v>
      </c>
      <c r="C76" s="2">
        <f t="shared" si="17"/>
        <v>4</v>
      </c>
      <c r="D76" s="2">
        <f t="shared" si="18"/>
        <v>5</v>
      </c>
      <c r="E76" s="2">
        <f t="shared" si="19"/>
        <v>33</v>
      </c>
      <c r="F76" s="1">
        <f t="shared" si="14"/>
        <v>212980.55198774775</v>
      </c>
      <c r="H76" s="1">
        <f t="shared" si="1"/>
        <v>1698.3368301757394</v>
      </c>
      <c r="I76" s="1">
        <v>0</v>
      </c>
      <c r="J76" s="1">
        <v>0</v>
      </c>
      <c r="K76" s="1">
        <f t="shared" si="6"/>
        <v>-214.67888881792351</v>
      </c>
      <c r="L76" s="1">
        <f t="shared" si="7"/>
        <v>214464.20992910556</v>
      </c>
      <c r="N76" s="1">
        <f t="shared" si="8"/>
        <v>53</v>
      </c>
      <c r="O76" s="2">
        <f t="shared" si="20"/>
        <v>4</v>
      </c>
      <c r="P76" s="2">
        <f t="shared" si="21"/>
        <v>5</v>
      </c>
      <c r="Q76" s="2">
        <f t="shared" si="22"/>
        <v>4</v>
      </c>
      <c r="R76" s="1">
        <f t="shared" si="10"/>
        <v>381614.20638307027</v>
      </c>
      <c r="S76" s="4">
        <f>IF($G$4="mensual",S75,0)</f>
        <v>10000</v>
      </c>
      <c r="U76" s="1">
        <f t="shared" si="23"/>
        <v>3122.7866756523031</v>
      </c>
      <c r="V76" s="35">
        <f t="shared" si="25"/>
        <v>-89.143222272000017</v>
      </c>
      <c r="X76" s="35">
        <f t="shared" si="24"/>
        <v>-394.73699305872259</v>
      </c>
      <c r="Y76" s="1">
        <f t="shared" si="11"/>
        <v>394253.11284339189</v>
      </c>
      <c r="AA76" s="2">
        <f>+Bono!J76</f>
        <v>139893.94953655414</v>
      </c>
      <c r="AC76" s="10">
        <f t="shared" si="12"/>
        <v>4.416666666666667</v>
      </c>
      <c r="AD76" s="1">
        <f t="shared" si="13"/>
        <v>748611.27230905159</v>
      </c>
    </row>
    <row r="77" spans="2:30">
      <c r="B77" s="1">
        <f t="shared" si="4"/>
        <v>54</v>
      </c>
      <c r="C77" s="2">
        <f t="shared" si="17"/>
        <v>4</v>
      </c>
      <c r="D77" s="2">
        <f t="shared" si="18"/>
        <v>6</v>
      </c>
      <c r="E77" s="2">
        <f t="shared" si="19"/>
        <v>33</v>
      </c>
      <c r="F77" s="1">
        <f t="shared" si="14"/>
        <v>214464.20992910556</v>
      </c>
      <c r="H77" s="1">
        <f t="shared" si="1"/>
        <v>1710.1677269485847</v>
      </c>
      <c r="I77" s="1">
        <v>0</v>
      </c>
      <c r="J77" s="69">
        <f>-SUM(F77:H77)*$J$21</f>
        <v>-1945.5693989044876</v>
      </c>
      <c r="K77" s="1">
        <f t="shared" si="6"/>
        <v>-214.22880825714969</v>
      </c>
      <c r="L77" s="1">
        <f t="shared" si="7"/>
        <v>214014.57944889253</v>
      </c>
      <c r="N77" s="1">
        <f t="shared" si="8"/>
        <v>54</v>
      </c>
      <c r="O77" s="2">
        <f t="shared" si="20"/>
        <v>4</v>
      </c>
      <c r="P77" s="2">
        <f t="shared" si="21"/>
        <v>6</v>
      </c>
      <c r="Q77" s="2">
        <f t="shared" si="22"/>
        <v>4</v>
      </c>
      <c r="R77" s="1">
        <f t="shared" si="10"/>
        <v>394253.11284339189</v>
      </c>
      <c r="S77" s="4">
        <f>IF($G$4="mensual",S76,0)</f>
        <v>10000</v>
      </c>
      <c r="U77" s="1">
        <f t="shared" si="23"/>
        <v>3223.5710906346867</v>
      </c>
      <c r="V77" s="35">
        <f t="shared" si="25"/>
        <v>-89.143222272000017</v>
      </c>
      <c r="X77" s="35">
        <f t="shared" si="24"/>
        <v>-407.4766839340266</v>
      </c>
      <c r="Y77" s="1">
        <f t="shared" si="11"/>
        <v>406980.06402782054</v>
      </c>
      <c r="AA77" s="2">
        <f>+Bono!J77</f>
        <v>139493.18835622704</v>
      </c>
      <c r="AC77" s="10">
        <f t="shared" si="12"/>
        <v>4.5</v>
      </c>
      <c r="AD77" s="1">
        <f t="shared" si="13"/>
        <v>760487.83183294011</v>
      </c>
    </row>
    <row r="78" spans="2:30">
      <c r="B78" s="1">
        <f t="shared" si="4"/>
        <v>55</v>
      </c>
      <c r="C78" s="2">
        <f t="shared" si="17"/>
        <v>4</v>
      </c>
      <c r="D78" s="2">
        <f t="shared" si="18"/>
        <v>7</v>
      </c>
      <c r="E78" s="2">
        <f t="shared" si="19"/>
        <v>33</v>
      </c>
      <c r="F78" s="1">
        <f t="shared" si="14"/>
        <v>214014.57944889253</v>
      </c>
      <c r="H78" s="1">
        <f t="shared" si="1"/>
        <v>1706.5823103582507</v>
      </c>
      <c r="I78" s="1">
        <v>0</v>
      </c>
      <c r="J78" s="1">
        <v>0</v>
      </c>
      <c r="K78" s="1">
        <f t="shared" si="6"/>
        <v>-215.72116175925078</v>
      </c>
      <c r="L78" s="1">
        <f t="shared" si="7"/>
        <v>215505.44059749151</v>
      </c>
      <c r="N78" s="1">
        <f t="shared" si="8"/>
        <v>55</v>
      </c>
      <c r="O78" s="2">
        <f t="shared" si="20"/>
        <v>4</v>
      </c>
      <c r="P78" s="2">
        <f t="shared" si="21"/>
        <v>7</v>
      </c>
      <c r="Q78" s="2">
        <f t="shared" si="22"/>
        <v>4</v>
      </c>
      <c r="R78" s="1">
        <f t="shared" si="10"/>
        <v>406980.06402782054</v>
      </c>
      <c r="S78" s="1">
        <f>+IF($G$4="mensual",S72,IF($G$4="trimestral",S72,IF($G$4="semestral",S72,0)))</f>
        <v>10000</v>
      </c>
      <c r="U78" s="1">
        <f t="shared" si="23"/>
        <v>3325.057586611124</v>
      </c>
      <c r="V78" s="35">
        <f t="shared" si="25"/>
        <v>-89.143222272000017</v>
      </c>
      <c r="X78" s="35">
        <f t="shared" si="24"/>
        <v>-420.3051216144317</v>
      </c>
      <c r="Y78" s="1">
        <f t="shared" si="11"/>
        <v>419795.67327054526</v>
      </c>
      <c r="AA78" s="2">
        <f>+Bono!J78</f>
        <v>140358.062304244</v>
      </c>
      <c r="AC78" s="10">
        <f t="shared" si="12"/>
        <v>4.583333333333333</v>
      </c>
      <c r="AD78" s="1">
        <f t="shared" si="13"/>
        <v>775659.17617228068</v>
      </c>
    </row>
    <row r="79" spans="2:30">
      <c r="B79" s="1">
        <f t="shared" si="4"/>
        <v>56</v>
      </c>
      <c r="C79" s="2">
        <f t="shared" si="17"/>
        <v>4</v>
      </c>
      <c r="D79" s="2">
        <f t="shared" si="18"/>
        <v>8</v>
      </c>
      <c r="E79" s="2">
        <f t="shared" si="19"/>
        <v>33</v>
      </c>
      <c r="F79" s="1">
        <f t="shared" si="14"/>
        <v>215505.44059749151</v>
      </c>
      <c r="H79" s="1">
        <f t="shared" si="1"/>
        <v>1718.4706465171757</v>
      </c>
      <c r="I79" s="1">
        <v>0</v>
      </c>
      <c r="J79" s="1">
        <v>0</v>
      </c>
      <c r="K79" s="1">
        <f t="shared" si="6"/>
        <v>-217.22391124400869</v>
      </c>
      <c r="L79" s="1">
        <f t="shared" si="7"/>
        <v>217006.68733276468</v>
      </c>
      <c r="N79" s="1">
        <f t="shared" si="8"/>
        <v>56</v>
      </c>
      <c r="O79" s="2">
        <f t="shared" si="20"/>
        <v>4</v>
      </c>
      <c r="P79" s="2">
        <f t="shared" si="21"/>
        <v>8</v>
      </c>
      <c r="Q79" s="2">
        <f t="shared" si="22"/>
        <v>4</v>
      </c>
      <c r="R79" s="1">
        <f t="shared" si="10"/>
        <v>419795.67327054526</v>
      </c>
      <c r="S79" s="4">
        <f>IF($G$4="mensual",S78,0)</f>
        <v>10000</v>
      </c>
      <c r="U79" s="1">
        <f t="shared" si="23"/>
        <v>3427.2510543945677</v>
      </c>
      <c r="V79" s="35">
        <f t="shared" si="25"/>
        <v>-89.143222272000017</v>
      </c>
      <c r="X79" s="35">
        <f t="shared" si="24"/>
        <v>-433.22292432493987</v>
      </c>
      <c r="Y79" s="1">
        <f t="shared" si="11"/>
        <v>432700.55817834294</v>
      </c>
      <c r="AA79" s="2">
        <f>+Bono!J79</f>
        <v>141228.29857105785</v>
      </c>
      <c r="AC79" s="10">
        <f t="shared" si="12"/>
        <v>4.666666666666667</v>
      </c>
      <c r="AD79" s="1">
        <f t="shared" si="13"/>
        <v>790935.54408216546</v>
      </c>
    </row>
    <row r="80" spans="2:30">
      <c r="B80" s="1">
        <f t="shared" si="4"/>
        <v>57</v>
      </c>
      <c r="C80" s="2">
        <f t="shared" si="17"/>
        <v>4</v>
      </c>
      <c r="D80" s="2">
        <f t="shared" si="18"/>
        <v>9</v>
      </c>
      <c r="E80" s="2">
        <f t="shared" si="19"/>
        <v>33</v>
      </c>
      <c r="F80" s="1">
        <f t="shared" si="14"/>
        <v>217006.68733276468</v>
      </c>
      <c r="H80" s="1">
        <f t="shared" si="1"/>
        <v>1730.4417988026771</v>
      </c>
      <c r="I80" s="1">
        <v>0</v>
      </c>
      <c r="J80" s="69">
        <f>-SUM(F80:H80)*$J$21</f>
        <v>-1968.6341621841063</v>
      </c>
      <c r="K80" s="1">
        <f t="shared" si="6"/>
        <v>-216.76849496938323</v>
      </c>
      <c r="L80" s="1">
        <f t="shared" si="7"/>
        <v>216551.72647441385</v>
      </c>
      <c r="N80" s="1">
        <f t="shared" si="8"/>
        <v>57</v>
      </c>
      <c r="O80" s="2">
        <f t="shared" si="20"/>
        <v>4</v>
      </c>
      <c r="P80" s="2">
        <f t="shared" si="21"/>
        <v>9</v>
      </c>
      <c r="Q80" s="2">
        <f t="shared" si="22"/>
        <v>4</v>
      </c>
      <c r="R80" s="1">
        <f t="shared" si="10"/>
        <v>432700.55817834294</v>
      </c>
      <c r="S80" s="4">
        <f>IF($G$4="mensual",S79,0)</f>
        <v>10000</v>
      </c>
      <c r="U80" s="1">
        <f t="shared" si="23"/>
        <v>3530.1564188681873</v>
      </c>
      <c r="V80" s="35">
        <f t="shared" si="25"/>
        <v>-89.143222272000017</v>
      </c>
      <c r="X80" s="35">
        <f t="shared" si="24"/>
        <v>-446.23071459721109</v>
      </c>
      <c r="Y80" s="1">
        <f t="shared" si="11"/>
        <v>445695.3406603419</v>
      </c>
      <c r="AA80" s="2">
        <f>+Bono!J80</f>
        <v>140823.71481444486</v>
      </c>
      <c r="AC80" s="10">
        <f t="shared" si="12"/>
        <v>4.75</v>
      </c>
      <c r="AD80" s="1">
        <f t="shared" si="13"/>
        <v>803070.78194920067</v>
      </c>
    </row>
    <row r="81" spans="2:30">
      <c r="B81" s="1">
        <f t="shared" si="4"/>
        <v>58</v>
      </c>
      <c r="C81" s="2">
        <f t="shared" si="17"/>
        <v>4</v>
      </c>
      <c r="D81" s="2">
        <f t="shared" si="18"/>
        <v>10</v>
      </c>
      <c r="E81" s="2">
        <f t="shared" si="19"/>
        <v>33</v>
      </c>
      <c r="F81" s="1">
        <f t="shared" si="14"/>
        <v>216551.72647441385</v>
      </c>
      <c r="H81" s="1">
        <f t="shared" si="1"/>
        <v>1726.8138770285332</v>
      </c>
      <c r="I81" s="1">
        <v>0</v>
      </c>
      <c r="J81" s="1">
        <v>0</v>
      </c>
      <c r="K81" s="1">
        <f t="shared" si="6"/>
        <v>-218.27854035144239</v>
      </c>
      <c r="L81" s="1">
        <f t="shared" si="7"/>
        <v>218060.26181109095</v>
      </c>
      <c r="N81" s="1">
        <f t="shared" si="8"/>
        <v>58</v>
      </c>
      <c r="O81" s="2">
        <f t="shared" si="20"/>
        <v>4</v>
      </c>
      <c r="P81" s="2">
        <f t="shared" si="21"/>
        <v>10</v>
      </c>
      <c r="Q81" s="2">
        <f t="shared" si="22"/>
        <v>4</v>
      </c>
      <c r="R81" s="1">
        <f t="shared" si="10"/>
        <v>445695.3406603419</v>
      </c>
      <c r="S81" s="4">
        <f>IF($G$4="mensual",S72,IF($G$4="trimestral",S72,0))</f>
        <v>10000</v>
      </c>
      <c r="U81" s="1">
        <f t="shared" si="23"/>
        <v>3633.7786392227058</v>
      </c>
      <c r="V81" s="35">
        <f t="shared" si="25"/>
        <v>-89.143222272000017</v>
      </c>
      <c r="X81" s="35">
        <f t="shared" si="24"/>
        <v>-459.32911929956464</v>
      </c>
      <c r="Y81" s="1">
        <f t="shared" si="11"/>
        <v>458780.6469579931</v>
      </c>
      <c r="AA81" s="2">
        <f>+Bono!J81</f>
        <v>141696.83818083428</v>
      </c>
      <c r="AC81" s="10">
        <f t="shared" si="12"/>
        <v>4.833333333333333</v>
      </c>
      <c r="AD81" s="1">
        <f t="shared" si="13"/>
        <v>818537.74694991834</v>
      </c>
    </row>
    <row r="82" spans="2:30">
      <c r="B82" s="1">
        <f t="shared" si="4"/>
        <v>59</v>
      </c>
      <c r="C82" s="2">
        <f t="shared" si="17"/>
        <v>4</v>
      </c>
      <c r="D82" s="2">
        <f t="shared" si="18"/>
        <v>11</v>
      </c>
      <c r="E82" s="2">
        <f t="shared" si="19"/>
        <v>33</v>
      </c>
      <c r="F82" s="1">
        <f t="shared" si="14"/>
        <v>218060.26181109095</v>
      </c>
      <c r="H82" s="1">
        <f t="shared" si="1"/>
        <v>1738.8431496451599</v>
      </c>
      <c r="I82" s="1">
        <v>0</v>
      </c>
      <c r="J82" s="1">
        <v>0</v>
      </c>
      <c r="K82" s="1">
        <f t="shared" si="6"/>
        <v>-219.79910496073612</v>
      </c>
      <c r="L82" s="1">
        <f t="shared" si="7"/>
        <v>219579.3058557754</v>
      </c>
      <c r="N82" s="1">
        <f t="shared" si="8"/>
        <v>59</v>
      </c>
      <c r="O82" s="2">
        <f t="shared" si="20"/>
        <v>4</v>
      </c>
      <c r="P82" s="2">
        <f t="shared" si="21"/>
        <v>11</v>
      </c>
      <c r="Q82" s="2">
        <f t="shared" si="22"/>
        <v>4</v>
      </c>
      <c r="R82" s="1">
        <f t="shared" si="10"/>
        <v>458780.6469579931</v>
      </c>
      <c r="S82" s="1">
        <f>IF($G$17="si",S70*(1+$G$20),S70)</f>
        <v>10000</v>
      </c>
      <c r="U82" s="1">
        <f t="shared" si="23"/>
        <v>3738.1227091953951</v>
      </c>
      <c r="V82" s="35">
        <f t="shared" si="25"/>
        <v>-89.143222272000017</v>
      </c>
      <c r="X82" s="35">
        <f t="shared" si="24"/>
        <v>-472.51876966718851</v>
      </c>
      <c r="Y82" s="1">
        <f t="shared" si="11"/>
        <v>471957.10767524934</v>
      </c>
      <c r="AA82" s="2">
        <f>+Bono!J82</f>
        <v>142575.37501337141</v>
      </c>
      <c r="AC82" s="10">
        <f t="shared" si="12"/>
        <v>4.916666666666667</v>
      </c>
      <c r="AD82" s="1">
        <f t="shared" si="13"/>
        <v>834111.78854439605</v>
      </c>
    </row>
    <row r="83" spans="2:30">
      <c r="B83" s="1">
        <f t="shared" si="4"/>
        <v>60</v>
      </c>
      <c r="C83" s="2">
        <f t="shared" si="17"/>
        <v>4</v>
      </c>
      <c r="D83" s="2">
        <f t="shared" si="18"/>
        <v>12</v>
      </c>
      <c r="E83" s="2">
        <f t="shared" si="19"/>
        <v>33</v>
      </c>
      <c r="F83" s="1">
        <f t="shared" si="14"/>
        <v>219579.3058557754</v>
      </c>
      <c r="H83" s="1">
        <f t="shared" si="1"/>
        <v>1750.9562201751637</v>
      </c>
      <c r="I83" s="1">
        <v>0</v>
      </c>
      <c r="J83" s="69">
        <f>-SUM(F83:H83)*$J$21</f>
        <v>-1991.9723586835553</v>
      </c>
      <c r="K83" s="1">
        <f t="shared" si="6"/>
        <v>-219.338289717267</v>
      </c>
      <c r="L83" s="1">
        <f t="shared" si="7"/>
        <v>219118.95142754973</v>
      </c>
      <c r="N83" s="1">
        <f t="shared" si="8"/>
        <v>60</v>
      </c>
      <c r="O83" s="2">
        <f t="shared" si="20"/>
        <v>4</v>
      </c>
      <c r="P83" s="2">
        <f t="shared" si="21"/>
        <v>12</v>
      </c>
      <c r="Q83" s="2">
        <f t="shared" si="22"/>
        <v>4</v>
      </c>
      <c r="R83" s="1">
        <f t="shared" si="10"/>
        <v>471957.10767524934</v>
      </c>
      <c r="S83" s="4">
        <f>IF($G$4="mensual",S82,0)</f>
        <v>10000</v>
      </c>
      <c r="U83" s="1">
        <f t="shared" si="23"/>
        <v>3843.1936573107305</v>
      </c>
      <c r="V83" s="35">
        <f t="shared" si="25"/>
        <v>-89.143222272000017</v>
      </c>
      <c r="X83" s="35">
        <f t="shared" si="24"/>
        <v>-485.80030133256008</v>
      </c>
      <c r="Y83" s="1">
        <f t="shared" si="11"/>
        <v>485225.35780895554</v>
      </c>
      <c r="AA83" s="2">
        <f>+Bono!J83</f>
        <v>142166.93221963209</v>
      </c>
      <c r="AC83" s="10">
        <f t="shared" si="12"/>
        <v>5</v>
      </c>
      <c r="AD83" s="1">
        <f t="shared" si="13"/>
        <v>846511.24145613739</v>
      </c>
    </row>
    <row r="84" spans="2:30">
      <c r="B84" s="1">
        <f t="shared" si="4"/>
        <v>61</v>
      </c>
      <c r="C84" s="2">
        <f t="shared" si="17"/>
        <v>5</v>
      </c>
      <c r="D84" s="2">
        <f t="shared" si="18"/>
        <v>1</v>
      </c>
      <c r="E84" s="2">
        <f t="shared" si="19"/>
        <v>34</v>
      </c>
      <c r="F84" s="1">
        <f t="shared" si="14"/>
        <v>219118.95142754973</v>
      </c>
      <c r="H84" s="1">
        <f t="shared" si="1"/>
        <v>1747.2852893174245</v>
      </c>
      <c r="I84" s="1">
        <v>0</v>
      </c>
      <c r="J84" s="1">
        <v>0</v>
      </c>
      <c r="K84" s="1">
        <f t="shared" si="6"/>
        <v>-220.86623671686718</v>
      </c>
      <c r="L84" s="1">
        <f t="shared" si="7"/>
        <v>220645.3704801503</v>
      </c>
      <c r="N84" s="1">
        <f t="shared" si="8"/>
        <v>61</v>
      </c>
      <c r="O84" s="2">
        <f t="shared" si="20"/>
        <v>5</v>
      </c>
      <c r="P84" s="2">
        <f t="shared" si="21"/>
        <v>1</v>
      </c>
      <c r="Q84" s="2">
        <f t="shared" si="22"/>
        <v>5</v>
      </c>
      <c r="R84" s="1">
        <f t="shared" si="10"/>
        <v>485225.35780895554</v>
      </c>
      <c r="S84" s="1">
        <f>IF($G$17="si",S72*(1+$G$20),S72)</f>
        <v>10000</v>
      </c>
      <c r="U84" s="1">
        <f t="shared" si="23"/>
        <v>3948.9965471227247</v>
      </c>
      <c r="V84" s="35">
        <f>(V83*(1+$G$18))</f>
        <v>-92.708951162880027</v>
      </c>
      <c r="X84" s="35">
        <f t="shared" si="24"/>
        <v>-499.17435435607825</v>
      </c>
      <c r="Y84" s="1">
        <f t="shared" si="11"/>
        <v>498582.47105055931</v>
      </c>
      <c r="AA84" s="2">
        <f>+Bono!J84</f>
        <v>143048.38368973727</v>
      </c>
      <c r="AC84" s="10">
        <f t="shared" si="12"/>
        <v>5.083333333333333</v>
      </c>
      <c r="AD84" s="1">
        <f t="shared" si="13"/>
        <v>862276.22522044694</v>
      </c>
    </row>
    <row r="85" spans="2:30">
      <c r="B85" s="1">
        <f t="shared" si="4"/>
        <v>62</v>
      </c>
      <c r="C85" s="2">
        <f t="shared" si="17"/>
        <v>5</v>
      </c>
      <c r="D85" s="2">
        <f t="shared" si="18"/>
        <v>2</v>
      </c>
      <c r="E85" s="2">
        <f t="shared" si="19"/>
        <v>34</v>
      </c>
      <c r="F85" s="1">
        <f t="shared" si="14"/>
        <v>220645.3704801503</v>
      </c>
      <c r="H85" s="1">
        <f t="shared" si="1"/>
        <v>1759.4571691962158</v>
      </c>
      <c r="I85" s="1">
        <v>0</v>
      </c>
      <c r="J85" s="1">
        <v>0</v>
      </c>
      <c r="K85" s="1">
        <f t="shared" si="6"/>
        <v>-222.40482764934652</v>
      </c>
      <c r="L85" s="1">
        <f t="shared" si="7"/>
        <v>222182.42282169717</v>
      </c>
      <c r="N85" s="1">
        <f t="shared" si="8"/>
        <v>62</v>
      </c>
      <c r="O85" s="2">
        <f t="shared" si="20"/>
        <v>5</v>
      </c>
      <c r="P85" s="2">
        <f t="shared" si="21"/>
        <v>2</v>
      </c>
      <c r="Q85" s="2">
        <f t="shared" si="22"/>
        <v>5</v>
      </c>
      <c r="R85" s="1">
        <f t="shared" si="10"/>
        <v>498582.47105055931</v>
      </c>
      <c r="S85" s="4">
        <f>IF($G$4="mensual",S84,0)</f>
        <v>10000</v>
      </c>
      <c r="U85" s="1">
        <f t="shared" si="23"/>
        <v>4055.5080438360433</v>
      </c>
      <c r="V85" s="35">
        <f t="shared" si="25"/>
        <v>-92.708951162880027</v>
      </c>
      <c r="X85" s="35">
        <f t="shared" si="24"/>
        <v>-512.6379790943954</v>
      </c>
      <c r="Y85" s="1">
        <f t="shared" si="11"/>
        <v>512032.63216413808</v>
      </c>
      <c r="AA85" s="2">
        <f>+Bono!J85</f>
        <v>143935.30026119915</v>
      </c>
      <c r="AC85" s="10">
        <f t="shared" si="12"/>
        <v>5.166666666666667</v>
      </c>
      <c r="AD85" s="1">
        <f t="shared" si="13"/>
        <v>878150.35524703446</v>
      </c>
    </row>
    <row r="86" spans="2:30">
      <c r="B86" s="1">
        <f t="shared" si="4"/>
        <v>63</v>
      </c>
      <c r="C86" s="2">
        <f t="shared" si="17"/>
        <v>5</v>
      </c>
      <c r="D86" s="2">
        <f t="shared" si="18"/>
        <v>3</v>
      </c>
      <c r="E86" s="2">
        <f t="shared" si="19"/>
        <v>34</v>
      </c>
      <c r="F86" s="1">
        <f t="shared" si="14"/>
        <v>222182.42282169717</v>
      </c>
      <c r="H86" s="1">
        <f t="shared" si="1"/>
        <v>1771.7138404142859</v>
      </c>
      <c r="I86" s="1">
        <v>0</v>
      </c>
      <c r="J86" s="69">
        <f>-SUM(F86:H86)*$J$21</f>
        <v>-2015.5872299590033</v>
      </c>
      <c r="K86" s="1">
        <f t="shared" si="6"/>
        <v>-221.93854943215246</v>
      </c>
      <c r="L86" s="1">
        <f t="shared" si="7"/>
        <v>221716.6108827203</v>
      </c>
      <c r="N86" s="1">
        <f t="shared" si="8"/>
        <v>63</v>
      </c>
      <c r="O86" s="2">
        <f t="shared" si="20"/>
        <v>5</v>
      </c>
      <c r="P86" s="2">
        <f t="shared" si="21"/>
        <v>3</v>
      </c>
      <c r="Q86" s="2">
        <f t="shared" si="22"/>
        <v>5</v>
      </c>
      <c r="R86" s="1">
        <f t="shared" si="10"/>
        <v>512032.63216413808</v>
      </c>
      <c r="S86" s="4">
        <f>IF($G$4="mensual",S85,0)</f>
        <v>10000</v>
      </c>
      <c r="U86" s="1">
        <f t="shared" si="23"/>
        <v>4162.7615173471013</v>
      </c>
      <c r="V86" s="35">
        <f t="shared" si="25"/>
        <v>-92.708951162880027</v>
      </c>
      <c r="X86" s="35">
        <f t="shared" si="24"/>
        <v>-526.19539368148526</v>
      </c>
      <c r="Y86" s="1">
        <f t="shared" si="11"/>
        <v>525576.48933664081</v>
      </c>
      <c r="AA86" s="2">
        <f>+Bono!J86</f>
        <v>143522.96162171895</v>
      </c>
      <c r="AC86" s="10">
        <f t="shared" si="12"/>
        <v>5.25</v>
      </c>
      <c r="AD86" s="1">
        <f t="shared" si="13"/>
        <v>890816.06184108008</v>
      </c>
    </row>
    <row r="87" spans="2:30">
      <c r="B87" s="1">
        <f t="shared" si="4"/>
        <v>64</v>
      </c>
      <c r="C87" s="2">
        <f t="shared" si="17"/>
        <v>5</v>
      </c>
      <c r="D87" s="2">
        <f t="shared" si="18"/>
        <v>4</v>
      </c>
      <c r="E87" s="2">
        <f t="shared" si="19"/>
        <v>34</v>
      </c>
      <c r="F87" s="1">
        <f t="shared" si="14"/>
        <v>221716.6108827203</v>
      </c>
      <c r="H87" s="1">
        <f t="shared" si="1"/>
        <v>1767.9993905994243</v>
      </c>
      <c r="I87" s="1">
        <v>0</v>
      </c>
      <c r="J87" s="1">
        <v>0</v>
      </c>
      <c r="K87" s="1">
        <f t="shared" si="6"/>
        <v>-223.48461027331973</v>
      </c>
      <c r="L87" s="1">
        <f t="shared" si="7"/>
        <v>223261.1256630464</v>
      </c>
      <c r="N87" s="1">
        <f t="shared" si="8"/>
        <v>64</v>
      </c>
      <c r="O87" s="2">
        <f t="shared" si="20"/>
        <v>5</v>
      </c>
      <c r="P87" s="2">
        <f t="shared" si="21"/>
        <v>4</v>
      </c>
      <c r="Q87" s="2">
        <f t="shared" si="22"/>
        <v>5</v>
      </c>
      <c r="R87" s="1">
        <f t="shared" si="10"/>
        <v>525576.48933664081</v>
      </c>
      <c r="S87" s="4">
        <f>IF($G$4="mensual",S84,IF($G$4="trimestral",S84,0))</f>
        <v>10000</v>
      </c>
      <c r="U87" s="1">
        <f t="shared" si="23"/>
        <v>4270.7621363896533</v>
      </c>
      <c r="V87" s="35">
        <f t="shared" si="25"/>
        <v>-92.708951162880027</v>
      </c>
      <c r="X87" s="35">
        <f t="shared" si="24"/>
        <v>-539.84725147303038</v>
      </c>
      <c r="Y87" s="1">
        <f t="shared" si="11"/>
        <v>539214.69527039456</v>
      </c>
      <c r="AA87" s="2">
        <f>+Bono!J87</f>
        <v>144412.82063140674</v>
      </c>
      <c r="AC87" s="10">
        <f t="shared" si="12"/>
        <v>5.333333333333333</v>
      </c>
      <c r="AD87" s="1">
        <f t="shared" si="13"/>
        <v>906888.64156484767</v>
      </c>
    </row>
    <row r="88" spans="2:30">
      <c r="B88" s="1">
        <f t="shared" si="4"/>
        <v>65</v>
      </c>
      <c r="C88" s="2">
        <f t="shared" si="17"/>
        <v>5</v>
      </c>
      <c r="D88" s="2">
        <f t="shared" si="18"/>
        <v>5</v>
      </c>
      <c r="E88" s="2">
        <f t="shared" si="19"/>
        <v>34</v>
      </c>
      <c r="F88" s="1">
        <f t="shared" si="14"/>
        <v>223261.1256630464</v>
      </c>
      <c r="H88" s="1">
        <f t="shared" ref="H88:H151" si="26">SUM(F88:G88)*$G$8</f>
        <v>1780.3155683522621</v>
      </c>
      <c r="I88" s="1">
        <v>0</v>
      </c>
      <c r="J88" s="1">
        <v>0</v>
      </c>
      <c r="K88" s="1">
        <f t="shared" si="6"/>
        <v>-225.04144123139866</v>
      </c>
      <c r="L88" s="1">
        <f t="shared" ref="L88:L151" si="27">SUM(F88:K88)</f>
        <v>224816.39979016726</v>
      </c>
      <c r="N88" s="1">
        <f t="shared" si="8"/>
        <v>65</v>
      </c>
      <c r="O88" s="2">
        <f t="shared" si="20"/>
        <v>5</v>
      </c>
      <c r="P88" s="2">
        <f t="shared" si="21"/>
        <v>5</v>
      </c>
      <c r="Q88" s="2">
        <f t="shared" si="22"/>
        <v>5</v>
      </c>
      <c r="R88" s="1">
        <f t="shared" si="10"/>
        <v>539214.69527039456</v>
      </c>
      <c r="S88" s="4">
        <f>IF($G$4="mensual",S87,0)</f>
        <v>10000</v>
      </c>
      <c r="U88" s="1">
        <f t="shared" si="23"/>
        <v>4379.5151057037147</v>
      </c>
      <c r="V88" s="35">
        <f t="shared" si="25"/>
        <v>-92.708951162880027</v>
      </c>
      <c r="X88" s="35">
        <f t="shared" si="24"/>
        <v>-553.59421037609832</v>
      </c>
      <c r="Y88" s="1">
        <f t="shared" ref="Y88:Y151" si="28">SUM(R88:X88)</f>
        <v>552947.90721455927</v>
      </c>
      <c r="AA88" s="2">
        <f>+Bono!J88</f>
        <v>145308.19687017184</v>
      </c>
      <c r="AC88" s="10">
        <f t="shared" si="12"/>
        <v>5.416666666666667</v>
      </c>
      <c r="AD88" s="1">
        <f t="shared" si="13"/>
        <v>923072.50387489831</v>
      </c>
    </row>
    <row r="89" spans="2:30">
      <c r="B89" s="1">
        <f t="shared" ref="B89:B152" si="29">+B88+1</f>
        <v>66</v>
      </c>
      <c r="C89" s="2">
        <f t="shared" si="17"/>
        <v>5</v>
      </c>
      <c r="D89" s="2">
        <f t="shared" si="18"/>
        <v>6</v>
      </c>
      <c r="E89" s="2">
        <f t="shared" si="19"/>
        <v>34</v>
      </c>
      <c r="F89" s="1">
        <f t="shared" ref="F89:F152" si="30">L88</f>
        <v>224816.39979016726</v>
      </c>
      <c r="H89" s="1">
        <f t="shared" si="26"/>
        <v>1792.7175426473646</v>
      </c>
      <c r="I89" s="1">
        <v>0</v>
      </c>
      <c r="J89" s="69">
        <f>-SUM(F89:H89)*$J$21</f>
        <v>-2039.4820559953316</v>
      </c>
      <c r="K89" s="1">
        <f t="shared" ref="K89:K152" si="31">-SUM(F89:J89)*0.1%</f>
        <v>-224.5696352768193</v>
      </c>
      <c r="L89" s="1">
        <f t="shared" si="27"/>
        <v>224345.06564154246</v>
      </c>
      <c r="N89" s="1">
        <f t="shared" ref="N89:N152" si="32">+N88+1</f>
        <v>66</v>
      </c>
      <c r="O89" s="2">
        <f t="shared" si="20"/>
        <v>5</v>
      </c>
      <c r="P89" s="2">
        <f t="shared" si="21"/>
        <v>6</v>
      </c>
      <c r="Q89" s="2">
        <f t="shared" si="22"/>
        <v>5</v>
      </c>
      <c r="R89" s="1">
        <f t="shared" ref="R89:R152" si="33">Y88</f>
        <v>552947.90721455927</v>
      </c>
      <c r="S89" s="4">
        <f>IF($G$4="mensual",S88,0)</f>
        <v>10000</v>
      </c>
      <c r="U89" s="1">
        <f t="shared" si="23"/>
        <v>4489.0256662863821</v>
      </c>
      <c r="V89" s="35">
        <f t="shared" si="25"/>
        <v>-92.708951162880027</v>
      </c>
      <c r="X89" s="35">
        <f t="shared" si="24"/>
        <v>-567.43693288084557</v>
      </c>
      <c r="Y89" s="1">
        <f t="shared" si="28"/>
        <v>566776.78699680185</v>
      </c>
      <c r="AA89" s="2">
        <f>+Bono!J89</f>
        <v>144891.92522524504</v>
      </c>
      <c r="AC89" s="10">
        <f t="shared" ref="AC89:AC152" si="34">+B89/12</f>
        <v>5.5</v>
      </c>
      <c r="AD89" s="1">
        <f t="shared" ref="AD89:AD152" si="35">+AA89+Y89+L89</f>
        <v>936013.77786358935</v>
      </c>
    </row>
    <row r="90" spans="2:30">
      <c r="B90" s="1">
        <f t="shared" si="29"/>
        <v>67</v>
      </c>
      <c r="C90" s="2">
        <f t="shared" si="17"/>
        <v>5</v>
      </c>
      <c r="D90" s="2">
        <f t="shared" si="18"/>
        <v>7</v>
      </c>
      <c r="E90" s="2">
        <f t="shared" si="19"/>
        <v>34</v>
      </c>
      <c r="F90" s="1">
        <f t="shared" si="30"/>
        <v>224345.06564154246</v>
      </c>
      <c r="H90" s="1">
        <f t="shared" si="26"/>
        <v>1788.9590579572925</v>
      </c>
      <c r="I90" s="1">
        <v>0</v>
      </c>
      <c r="J90" s="1">
        <v>0</v>
      </c>
      <c r="K90" s="1">
        <f t="shared" si="31"/>
        <v>-226.13402469949975</v>
      </c>
      <c r="L90" s="1">
        <f t="shared" si="27"/>
        <v>225907.89067480023</v>
      </c>
      <c r="N90" s="1">
        <f t="shared" si="32"/>
        <v>67</v>
      </c>
      <c r="O90" s="2">
        <f t="shared" si="20"/>
        <v>5</v>
      </c>
      <c r="P90" s="2">
        <f t="shared" si="21"/>
        <v>7</v>
      </c>
      <c r="Q90" s="2">
        <f t="shared" si="22"/>
        <v>5</v>
      </c>
      <c r="R90" s="1">
        <f t="shared" si="33"/>
        <v>566776.78699680185</v>
      </c>
      <c r="S90" s="1">
        <f>+IF($G$4="mensual",S84,IF($G$4="trimestral",S84,IF($G$4="semestral",S84,0)))</f>
        <v>10000</v>
      </c>
      <c r="U90" s="1">
        <f t="shared" si="23"/>
        <v>4599.2990956444128</v>
      </c>
      <c r="V90" s="35">
        <f t="shared" si="25"/>
        <v>-92.708951162880027</v>
      </c>
      <c r="X90" s="35">
        <f t="shared" si="24"/>
        <v>-581.37608609244626</v>
      </c>
      <c r="Y90" s="1">
        <f t="shared" si="28"/>
        <v>580702.00105519092</v>
      </c>
      <c r="AA90" s="2">
        <f>+Bono!J90</f>
        <v>145790.27196806463</v>
      </c>
      <c r="AC90" s="10">
        <f t="shared" si="34"/>
        <v>5.583333333333333</v>
      </c>
      <c r="AD90" s="1">
        <f t="shared" si="35"/>
        <v>952400.16369805578</v>
      </c>
    </row>
    <row r="91" spans="2:30">
      <c r="B91" s="1">
        <f t="shared" si="29"/>
        <v>68</v>
      </c>
      <c r="C91" s="2">
        <f t="shared" si="17"/>
        <v>5</v>
      </c>
      <c r="D91" s="2">
        <f t="shared" si="18"/>
        <v>8</v>
      </c>
      <c r="E91" s="2">
        <f t="shared" si="19"/>
        <v>34</v>
      </c>
      <c r="F91" s="1">
        <f t="shared" si="30"/>
        <v>225907.89067480023</v>
      </c>
      <c r="H91" s="1">
        <f t="shared" si="26"/>
        <v>1801.4212442382961</v>
      </c>
      <c r="I91" s="1">
        <v>0</v>
      </c>
      <c r="J91" s="1">
        <v>0</v>
      </c>
      <c r="K91" s="1">
        <f t="shared" si="31"/>
        <v>-227.70931191903853</v>
      </c>
      <c r="L91" s="1">
        <f t="shared" si="27"/>
        <v>227481.60260711951</v>
      </c>
      <c r="N91" s="1">
        <f t="shared" si="32"/>
        <v>68</v>
      </c>
      <c r="O91" s="2">
        <f t="shared" si="20"/>
        <v>5</v>
      </c>
      <c r="P91" s="2">
        <f t="shared" si="21"/>
        <v>8</v>
      </c>
      <c r="Q91" s="2">
        <f t="shared" si="22"/>
        <v>5</v>
      </c>
      <c r="R91" s="1">
        <f t="shared" si="33"/>
        <v>580702.00105519092</v>
      </c>
      <c r="S91" s="4">
        <f>IF($G$4="mensual",S90,0)</f>
        <v>10000</v>
      </c>
      <c r="U91" s="1">
        <f t="shared" si="23"/>
        <v>4710.3407080485522</v>
      </c>
      <c r="V91" s="35">
        <f t="shared" si="25"/>
        <v>-92.708951162880027</v>
      </c>
      <c r="X91" s="35">
        <f t="shared" si="24"/>
        <v>-595.41234176323951</v>
      </c>
      <c r="Y91" s="1">
        <f t="shared" si="28"/>
        <v>594724.22047031333</v>
      </c>
      <c r="AA91" s="2">
        <f>+Bono!J91</f>
        <v>146694.18856489149</v>
      </c>
      <c r="AC91" s="10">
        <f t="shared" si="34"/>
        <v>5.666666666666667</v>
      </c>
      <c r="AD91" s="1">
        <f t="shared" si="35"/>
        <v>968900.01164232427</v>
      </c>
    </row>
    <row r="92" spans="2:30">
      <c r="B92" s="1">
        <f t="shared" si="29"/>
        <v>69</v>
      </c>
      <c r="C92" s="2">
        <f t="shared" si="17"/>
        <v>5</v>
      </c>
      <c r="D92" s="2">
        <f t="shared" si="18"/>
        <v>9</v>
      </c>
      <c r="E92" s="2">
        <f t="shared" si="19"/>
        <v>34</v>
      </c>
      <c r="F92" s="1">
        <f t="shared" si="30"/>
        <v>227481.60260711951</v>
      </c>
      <c r="H92" s="1">
        <f t="shared" si="26"/>
        <v>1813.9702441812517</v>
      </c>
      <c r="I92" s="1">
        <v>0</v>
      </c>
      <c r="J92" s="69">
        <f>-SUM(F92:H92)*$J$21</f>
        <v>-2063.660155661707</v>
      </c>
      <c r="K92" s="1">
        <f t="shared" si="31"/>
        <v>-227.23191269563907</v>
      </c>
      <c r="L92" s="1">
        <f t="shared" si="27"/>
        <v>227004.68078294344</v>
      </c>
      <c r="N92" s="1">
        <f t="shared" si="32"/>
        <v>69</v>
      </c>
      <c r="O92" s="2">
        <f t="shared" si="20"/>
        <v>5</v>
      </c>
      <c r="P92" s="2">
        <f t="shared" si="21"/>
        <v>9</v>
      </c>
      <c r="Q92" s="2">
        <f t="shared" si="22"/>
        <v>5</v>
      </c>
      <c r="R92" s="1">
        <f t="shared" si="33"/>
        <v>594724.22047031333</v>
      </c>
      <c r="S92" s="4">
        <f>IF($G$4="mensual",S91,0)</f>
        <v>10000</v>
      </c>
      <c r="U92" s="1">
        <f t="shared" si="23"/>
        <v>4822.1558547896393</v>
      </c>
      <c r="V92" s="35">
        <f t="shared" si="25"/>
        <v>-92.708951162880027</v>
      </c>
      <c r="X92" s="35">
        <f t="shared" si="24"/>
        <v>-609.54637632510298</v>
      </c>
      <c r="Y92" s="1">
        <f t="shared" si="28"/>
        <v>608844.12099761504</v>
      </c>
      <c r="AA92" s="2">
        <f>+Bono!J92</f>
        <v>146273.9464003722</v>
      </c>
      <c r="AC92" s="10">
        <f t="shared" si="34"/>
        <v>5.75</v>
      </c>
      <c r="AD92" s="1">
        <f t="shared" si="35"/>
        <v>982122.74818093074</v>
      </c>
    </row>
    <row r="93" spans="2:30">
      <c r="B93" s="1">
        <f t="shared" si="29"/>
        <v>70</v>
      </c>
      <c r="C93" s="2">
        <f t="shared" si="17"/>
        <v>5</v>
      </c>
      <c r="D93" s="2">
        <f t="shared" si="18"/>
        <v>10</v>
      </c>
      <c r="E93" s="2">
        <f t="shared" si="19"/>
        <v>34</v>
      </c>
      <c r="F93" s="1">
        <f t="shared" si="30"/>
        <v>227004.68078294344</v>
      </c>
      <c r="H93" s="1">
        <f t="shared" si="26"/>
        <v>1810.1672025816627</v>
      </c>
      <c r="I93" s="1">
        <v>0</v>
      </c>
      <c r="J93" s="1">
        <v>0</v>
      </c>
      <c r="K93" s="1">
        <f t="shared" si="31"/>
        <v>-228.81484798552509</v>
      </c>
      <c r="L93" s="1">
        <f t="shared" si="27"/>
        <v>228586.03313753958</v>
      </c>
      <c r="N93" s="1">
        <f t="shared" si="32"/>
        <v>70</v>
      </c>
      <c r="O93" s="2">
        <f t="shared" si="20"/>
        <v>5</v>
      </c>
      <c r="P93" s="2">
        <f t="shared" si="21"/>
        <v>10</v>
      </c>
      <c r="Q93" s="2">
        <f t="shared" si="22"/>
        <v>5</v>
      </c>
      <c r="R93" s="1">
        <f t="shared" si="33"/>
        <v>608844.12099761504</v>
      </c>
      <c r="S93" s="4">
        <f>IF($G$4="mensual",S84,IF($G$4="trimestral",S84,0))</f>
        <v>10000</v>
      </c>
      <c r="U93" s="1">
        <f t="shared" si="23"/>
        <v>4934.7499244364953</v>
      </c>
      <c r="V93" s="35">
        <f t="shared" si="25"/>
        <v>-92.708951162880027</v>
      </c>
      <c r="X93" s="35">
        <f t="shared" si="24"/>
        <v>-623.77887092205151</v>
      </c>
      <c r="Y93" s="1">
        <f t="shared" si="28"/>
        <v>623062.38309996657</v>
      </c>
      <c r="AA93" s="2">
        <f>+Bono!J93</f>
        <v>147180.86183478215</v>
      </c>
      <c r="AC93" s="10">
        <f t="shared" si="34"/>
        <v>5.833333333333333</v>
      </c>
      <c r="AD93" s="1">
        <f t="shared" si="35"/>
        <v>998829.27807228826</v>
      </c>
    </row>
    <row r="94" spans="2:30">
      <c r="B94" s="1">
        <f t="shared" si="29"/>
        <v>71</v>
      </c>
      <c r="C94" s="2">
        <f t="shared" si="17"/>
        <v>5</v>
      </c>
      <c r="D94" s="2">
        <f t="shared" si="18"/>
        <v>11</v>
      </c>
      <c r="E94" s="2">
        <f t="shared" si="19"/>
        <v>34</v>
      </c>
      <c r="F94" s="1">
        <f t="shared" si="30"/>
        <v>228586.03313753958</v>
      </c>
      <c r="H94" s="1">
        <f t="shared" si="26"/>
        <v>1822.7771283247898</v>
      </c>
      <c r="I94" s="1">
        <v>0</v>
      </c>
      <c r="J94" s="1">
        <v>0</v>
      </c>
      <c r="K94" s="1">
        <f t="shared" si="31"/>
        <v>-230.40881026586436</v>
      </c>
      <c r="L94" s="1">
        <f t="shared" si="27"/>
        <v>230178.4014555985</v>
      </c>
      <c r="N94" s="1">
        <f t="shared" si="32"/>
        <v>71</v>
      </c>
      <c r="O94" s="2">
        <f t="shared" si="20"/>
        <v>5</v>
      </c>
      <c r="P94" s="2">
        <f t="shared" si="21"/>
        <v>11</v>
      </c>
      <c r="Q94" s="2">
        <f t="shared" si="22"/>
        <v>5</v>
      </c>
      <c r="R94" s="1">
        <f t="shared" si="33"/>
        <v>623062.38309996657</v>
      </c>
      <c r="S94" s="1">
        <f>IF($G$17="si",S82*(1+$G$20),S82)</f>
        <v>10000</v>
      </c>
      <c r="U94" s="1">
        <f t="shared" si="23"/>
        <v>5048.1283430956064</v>
      </c>
      <c r="V94" s="35">
        <f t="shared" si="25"/>
        <v>-92.708951162880027</v>
      </c>
      <c r="X94" s="35">
        <f t="shared" si="24"/>
        <v>-638.11051144306225</v>
      </c>
      <c r="Y94" s="1">
        <f t="shared" si="28"/>
        <v>637379.69198045623</v>
      </c>
      <c r="AA94" s="2">
        <f>+Bono!J94</f>
        <v>148093.40025008109</v>
      </c>
      <c r="AC94" s="10">
        <f t="shared" si="34"/>
        <v>5.916666666666667</v>
      </c>
      <c r="AD94" s="1">
        <f t="shared" si="35"/>
        <v>1015651.4936861359</v>
      </c>
    </row>
    <row r="95" spans="2:30">
      <c r="B95" s="1">
        <f t="shared" si="29"/>
        <v>72</v>
      </c>
      <c r="C95" s="2">
        <f t="shared" si="17"/>
        <v>5</v>
      </c>
      <c r="D95" s="2">
        <f t="shared" si="18"/>
        <v>12</v>
      </c>
      <c r="E95" s="2">
        <f t="shared" si="19"/>
        <v>34</v>
      </c>
      <c r="F95" s="1">
        <f t="shared" si="30"/>
        <v>230178.4014555985</v>
      </c>
      <c r="H95" s="1">
        <f t="shared" si="26"/>
        <v>1835.474896907529</v>
      </c>
      <c r="I95" s="1">
        <v>0</v>
      </c>
      <c r="J95" s="69">
        <f>-SUM(F95:H95)*$J$21</f>
        <v>-2088.1248871725543</v>
      </c>
      <c r="K95" s="1">
        <f t="shared" si="31"/>
        <v>-229.92575146533349</v>
      </c>
      <c r="L95" s="1">
        <f t="shared" si="27"/>
        <v>229695.82571386814</v>
      </c>
      <c r="N95" s="1">
        <f t="shared" si="32"/>
        <v>72</v>
      </c>
      <c r="O95" s="2">
        <f t="shared" si="20"/>
        <v>5</v>
      </c>
      <c r="P95" s="2">
        <f t="shared" si="21"/>
        <v>12</v>
      </c>
      <c r="Q95" s="2">
        <f t="shared" si="22"/>
        <v>5</v>
      </c>
      <c r="R95" s="1">
        <f t="shared" si="33"/>
        <v>637379.69198045623</v>
      </c>
      <c r="S95" s="4">
        <f>IF($G$4="mensual",S94,0)</f>
        <v>10000</v>
      </c>
      <c r="U95" s="1">
        <f t="shared" si="23"/>
        <v>5162.2965746726222</v>
      </c>
      <c r="V95" s="35">
        <f t="shared" si="25"/>
        <v>-92.708951162880027</v>
      </c>
      <c r="X95" s="35">
        <f t="shared" si="24"/>
        <v>-652.5419885551288</v>
      </c>
      <c r="Y95" s="1">
        <f t="shared" si="28"/>
        <v>651796.73761541082</v>
      </c>
      <c r="AA95" s="2">
        <f>+Bono!J95</f>
        <v>147669.14969400276</v>
      </c>
      <c r="AC95" s="10">
        <f t="shared" si="34"/>
        <v>6</v>
      </c>
      <c r="AD95" s="1">
        <f t="shared" si="35"/>
        <v>1029161.7130232818</v>
      </c>
    </row>
    <row r="96" spans="2:30">
      <c r="B96" s="1">
        <f t="shared" si="29"/>
        <v>73</v>
      </c>
      <c r="C96" s="2">
        <f t="shared" si="17"/>
        <v>6</v>
      </c>
      <c r="D96" s="2">
        <f t="shared" si="18"/>
        <v>1</v>
      </c>
      <c r="E96" s="2">
        <f t="shared" si="19"/>
        <v>35</v>
      </c>
      <c r="F96" s="1">
        <f t="shared" si="30"/>
        <v>229695.82571386814</v>
      </c>
      <c r="H96" s="1">
        <f t="shared" si="26"/>
        <v>1831.6267701753889</v>
      </c>
      <c r="I96" s="1">
        <v>0</v>
      </c>
      <c r="J96" s="1">
        <v>0</v>
      </c>
      <c r="K96" s="1">
        <f t="shared" si="31"/>
        <v>-231.52745248404352</v>
      </c>
      <c r="L96" s="1">
        <f t="shared" si="27"/>
        <v>231295.92503155948</v>
      </c>
      <c r="N96" s="1">
        <f t="shared" si="32"/>
        <v>73</v>
      </c>
      <c r="O96" s="2">
        <f t="shared" si="20"/>
        <v>6</v>
      </c>
      <c r="P96" s="2">
        <f t="shared" si="21"/>
        <v>1</v>
      </c>
      <c r="Q96" s="2">
        <f t="shared" si="22"/>
        <v>6</v>
      </c>
      <c r="R96" s="1">
        <f t="shared" si="33"/>
        <v>651796.73761541082</v>
      </c>
      <c r="S96" s="1">
        <f>IF($G$17="si",S84*(1+$G$20),S84)</f>
        <v>10000</v>
      </c>
      <c r="U96" s="1">
        <f t="shared" si="23"/>
        <v>5277.2601211356641</v>
      </c>
      <c r="V96" s="35">
        <f>(V95*(1+$G$18))</f>
        <v>-96.417309209395228</v>
      </c>
      <c r="X96" s="35">
        <f t="shared" si="24"/>
        <v>-667.0739977365464</v>
      </c>
      <c r="Y96" s="1">
        <f t="shared" si="28"/>
        <v>666310.50642960053</v>
      </c>
      <c r="AA96" s="2">
        <f>+Bono!J96</f>
        <v>148584.71555066676</v>
      </c>
      <c r="AC96" s="10">
        <f t="shared" si="34"/>
        <v>6.083333333333333</v>
      </c>
      <c r="AD96" s="1">
        <f t="shared" si="35"/>
        <v>1046191.1470118267</v>
      </c>
    </row>
    <row r="97" spans="2:30">
      <c r="B97" s="1">
        <f t="shared" si="29"/>
        <v>74</v>
      </c>
      <c r="C97" s="2">
        <f t="shared" si="17"/>
        <v>6</v>
      </c>
      <c r="D97" s="2">
        <f t="shared" si="18"/>
        <v>2</v>
      </c>
      <c r="E97" s="2">
        <f t="shared" si="19"/>
        <v>35</v>
      </c>
      <c r="F97" s="1">
        <f t="shared" si="30"/>
        <v>231295.92503155948</v>
      </c>
      <c r="H97" s="1">
        <f t="shared" si="26"/>
        <v>1844.3861868348527</v>
      </c>
      <c r="I97" s="1">
        <v>0</v>
      </c>
      <c r="J97" s="1">
        <v>0</v>
      </c>
      <c r="K97" s="1">
        <f t="shared" si="31"/>
        <v>-233.14031121839434</v>
      </c>
      <c r="L97" s="1">
        <f t="shared" si="27"/>
        <v>232907.17090717595</v>
      </c>
      <c r="N97" s="1">
        <f t="shared" si="32"/>
        <v>74</v>
      </c>
      <c r="O97" s="2">
        <f t="shared" si="20"/>
        <v>6</v>
      </c>
      <c r="P97" s="2">
        <f t="shared" si="21"/>
        <v>2</v>
      </c>
      <c r="Q97" s="2">
        <f t="shared" si="22"/>
        <v>6</v>
      </c>
      <c r="R97" s="1">
        <f t="shared" si="33"/>
        <v>666310.50642960053</v>
      </c>
      <c r="S97" s="4">
        <f>IF($G$4="mensual",S96,0)</f>
        <v>10000</v>
      </c>
      <c r="U97" s="1">
        <f t="shared" si="23"/>
        <v>5392.9949518126568</v>
      </c>
      <c r="V97" s="35">
        <f t="shared" si="25"/>
        <v>-96.417309209395228</v>
      </c>
      <c r="X97" s="35">
        <f t="shared" si="24"/>
        <v>-681.70350138141316</v>
      </c>
      <c r="Y97" s="1">
        <f t="shared" si="28"/>
        <v>680925.3805708224</v>
      </c>
      <c r="AA97" s="2">
        <f>+Bono!J97</f>
        <v>149505.95802184116</v>
      </c>
      <c r="AC97" s="10">
        <f t="shared" si="34"/>
        <v>6.166666666666667</v>
      </c>
      <c r="AD97" s="1">
        <f t="shared" si="35"/>
        <v>1063338.5094998395</v>
      </c>
    </row>
    <row r="98" spans="2:30">
      <c r="B98" s="1">
        <f t="shared" si="29"/>
        <v>75</v>
      </c>
      <c r="C98" s="2">
        <f t="shared" si="17"/>
        <v>6</v>
      </c>
      <c r="D98" s="2">
        <f t="shared" si="18"/>
        <v>3</v>
      </c>
      <c r="E98" s="2">
        <f t="shared" si="19"/>
        <v>35</v>
      </c>
      <c r="F98" s="1">
        <f t="shared" si="30"/>
        <v>232907.17090717595</v>
      </c>
      <c r="H98" s="1">
        <f t="shared" si="26"/>
        <v>1857.2344877125104</v>
      </c>
      <c r="I98" s="1">
        <v>0</v>
      </c>
      <c r="J98" s="69">
        <f>-SUM(F98:H98)*$J$21</f>
        <v>-2112.8796485539965</v>
      </c>
      <c r="K98" s="1">
        <f t="shared" si="31"/>
        <v>-232.65152574633447</v>
      </c>
      <c r="L98" s="1">
        <f t="shared" si="27"/>
        <v>232418.87422058813</v>
      </c>
      <c r="N98" s="1">
        <f t="shared" si="32"/>
        <v>75</v>
      </c>
      <c r="O98" s="2">
        <f t="shared" si="20"/>
        <v>6</v>
      </c>
      <c r="P98" s="2">
        <f t="shared" si="21"/>
        <v>3</v>
      </c>
      <c r="Q98" s="2">
        <f t="shared" si="22"/>
        <v>6</v>
      </c>
      <c r="R98" s="1">
        <f t="shared" si="33"/>
        <v>680925.3805708224</v>
      </c>
      <c r="S98" s="4">
        <f>IF($G$4="mensual",S97,0)</f>
        <v>10000</v>
      </c>
      <c r="U98" s="1">
        <f t="shared" si="23"/>
        <v>5509.5360105655145</v>
      </c>
      <c r="V98" s="35">
        <f t="shared" si="25"/>
        <v>-96.417309209395228</v>
      </c>
      <c r="X98" s="35">
        <f t="shared" si="24"/>
        <v>-696.43491658138782</v>
      </c>
      <c r="Y98" s="1">
        <f t="shared" si="28"/>
        <v>695642.06435559713</v>
      </c>
      <c r="AA98" s="2">
        <f>+Bono!J98</f>
        <v>149077.66084100341</v>
      </c>
      <c r="AC98" s="10">
        <f t="shared" si="34"/>
        <v>6.25</v>
      </c>
      <c r="AD98" s="1">
        <f t="shared" si="35"/>
        <v>1077138.5994171887</v>
      </c>
    </row>
    <row r="99" spans="2:30">
      <c r="B99" s="1">
        <f t="shared" si="29"/>
        <v>76</v>
      </c>
      <c r="C99" s="2">
        <f t="shared" si="17"/>
        <v>6</v>
      </c>
      <c r="D99" s="2">
        <f t="shared" si="18"/>
        <v>4</v>
      </c>
      <c r="E99" s="2">
        <f t="shared" si="19"/>
        <v>35</v>
      </c>
      <c r="F99" s="1">
        <f t="shared" si="30"/>
        <v>232418.87422058813</v>
      </c>
      <c r="H99" s="1">
        <f t="shared" si="26"/>
        <v>1853.3407413626906</v>
      </c>
      <c r="I99" s="1">
        <v>0</v>
      </c>
      <c r="J99" s="1">
        <v>0</v>
      </c>
      <c r="K99" s="1">
        <f t="shared" si="31"/>
        <v>-234.27221496195082</v>
      </c>
      <c r="L99" s="1">
        <f t="shared" si="27"/>
        <v>234037.94274698888</v>
      </c>
      <c r="N99" s="1">
        <f t="shared" si="32"/>
        <v>76</v>
      </c>
      <c r="O99" s="2">
        <f t="shared" si="20"/>
        <v>6</v>
      </c>
      <c r="P99" s="2">
        <f t="shared" si="21"/>
        <v>4</v>
      </c>
      <c r="Q99" s="2">
        <f t="shared" si="22"/>
        <v>6</v>
      </c>
      <c r="R99" s="1">
        <f t="shared" si="33"/>
        <v>695642.06435559713</v>
      </c>
      <c r="S99" s="4">
        <f>IF($G$4="mensual",S96,IF($G$4="trimestral",S96,0))</f>
        <v>10000</v>
      </c>
      <c r="U99" s="1">
        <f t="shared" si="23"/>
        <v>5626.8889137130791</v>
      </c>
      <c r="V99" s="35">
        <f t="shared" si="25"/>
        <v>-96.417309209395228</v>
      </c>
      <c r="X99" s="35">
        <f t="shared" si="24"/>
        <v>-711.26895326931015</v>
      </c>
      <c r="Y99" s="1">
        <f t="shared" si="28"/>
        <v>710461.26700683148</v>
      </c>
      <c r="AA99" s="2">
        <f>+Bono!J99</f>
        <v>150001.95963015599</v>
      </c>
      <c r="AC99" s="10">
        <f t="shared" si="34"/>
        <v>6.333333333333333</v>
      </c>
      <c r="AD99" s="1">
        <f t="shared" si="35"/>
        <v>1094501.1693839764</v>
      </c>
    </row>
    <row r="100" spans="2:30">
      <c r="B100" s="1">
        <f t="shared" si="29"/>
        <v>77</v>
      </c>
      <c r="C100" s="2">
        <f t="shared" ref="C100:C163" si="36">C88+1</f>
        <v>6</v>
      </c>
      <c r="D100" s="2">
        <f t="shared" ref="D100:D163" si="37">D88</f>
        <v>5</v>
      </c>
      <c r="E100" s="2">
        <f t="shared" ref="E100:E163" si="38">E88+1</f>
        <v>35</v>
      </c>
      <c r="F100" s="1">
        <f t="shared" si="30"/>
        <v>234037.94274698888</v>
      </c>
      <c r="H100" s="1">
        <f t="shared" si="26"/>
        <v>1866.2514211562286</v>
      </c>
      <c r="I100" s="1">
        <v>0</v>
      </c>
      <c r="J100" s="1">
        <v>0</v>
      </c>
      <c r="K100" s="1">
        <f t="shared" si="31"/>
        <v>-235.9041941681451</v>
      </c>
      <c r="L100" s="1">
        <f t="shared" si="27"/>
        <v>235668.28997397696</v>
      </c>
      <c r="N100" s="1">
        <f t="shared" si="32"/>
        <v>77</v>
      </c>
      <c r="O100" s="2">
        <f t="shared" ref="O100:O163" si="39">O88+1</f>
        <v>6</v>
      </c>
      <c r="P100" s="2">
        <f t="shared" ref="P100:P163" si="40">P88</f>
        <v>5</v>
      </c>
      <c r="Q100" s="2">
        <f t="shared" ref="Q100:Q163" si="41">Q88+1</f>
        <v>6</v>
      </c>
      <c r="R100" s="1">
        <f t="shared" si="33"/>
        <v>710461.26700683148</v>
      </c>
      <c r="S100" s="4">
        <f>IF($G$4="mensual",S99,0)</f>
        <v>10000</v>
      </c>
      <c r="U100" s="1">
        <f t="shared" ref="U100:U163" si="42">SUM(R100:T100)*$G$8</f>
        <v>5745.0593166984045</v>
      </c>
      <c r="V100" s="35">
        <f t="shared" si="25"/>
        <v>-96.417309209395228</v>
      </c>
      <c r="X100" s="35">
        <f t="shared" si="24"/>
        <v>-726.20632632352999</v>
      </c>
      <c r="Y100" s="1">
        <f t="shared" si="28"/>
        <v>725383.70268799702</v>
      </c>
      <c r="AA100" s="2">
        <f>+Bono!J100</f>
        <v>150931.98917901336</v>
      </c>
      <c r="AC100" s="10">
        <f t="shared" si="34"/>
        <v>6.416666666666667</v>
      </c>
      <c r="AD100" s="1">
        <f t="shared" si="35"/>
        <v>1111983.9818409875</v>
      </c>
    </row>
    <row r="101" spans="2:30">
      <c r="B101" s="1">
        <f t="shared" si="29"/>
        <v>78</v>
      </c>
      <c r="C101" s="2">
        <f t="shared" si="36"/>
        <v>6</v>
      </c>
      <c r="D101" s="2">
        <f t="shared" si="37"/>
        <v>6</v>
      </c>
      <c r="E101" s="2">
        <f t="shared" si="38"/>
        <v>35</v>
      </c>
      <c r="F101" s="1">
        <f t="shared" si="30"/>
        <v>235668.28997397696</v>
      </c>
      <c r="H101" s="1">
        <f t="shared" si="26"/>
        <v>1879.2520388921052</v>
      </c>
      <c r="I101" s="1">
        <v>0</v>
      </c>
      <c r="J101" s="69">
        <f>-SUM(F101:H101)*$J$21</f>
        <v>-2137.9278781158218</v>
      </c>
      <c r="K101" s="1">
        <f t="shared" si="31"/>
        <v>-235.40961413475324</v>
      </c>
      <c r="L101" s="1">
        <f t="shared" si="27"/>
        <v>235174.20452061848</v>
      </c>
      <c r="N101" s="1">
        <f t="shared" si="32"/>
        <v>78</v>
      </c>
      <c r="O101" s="2">
        <f t="shared" si="39"/>
        <v>6</v>
      </c>
      <c r="P101" s="2">
        <f t="shared" si="40"/>
        <v>6</v>
      </c>
      <c r="Q101" s="2">
        <f t="shared" si="41"/>
        <v>6</v>
      </c>
      <c r="R101" s="1">
        <f t="shared" si="33"/>
        <v>725383.70268799702</v>
      </c>
      <c r="S101" s="4">
        <f>IF($G$4="mensual",S100,0)</f>
        <v>10000</v>
      </c>
      <c r="U101" s="1">
        <f t="shared" si="42"/>
        <v>5864.052914361303</v>
      </c>
      <c r="V101" s="35">
        <f t="shared" si="25"/>
        <v>-96.417309209395228</v>
      </c>
      <c r="X101" s="35">
        <f t="shared" si="24"/>
        <v>-741.24775560235844</v>
      </c>
      <c r="Y101" s="1">
        <f t="shared" si="28"/>
        <v>740410.09053754667</v>
      </c>
      <c r="AA101" s="2">
        <f>+Bono!J101</f>
        <v>150499.60677553641</v>
      </c>
      <c r="AC101" s="10">
        <f t="shared" si="34"/>
        <v>6.5</v>
      </c>
      <c r="AD101" s="1">
        <f t="shared" si="35"/>
        <v>1126083.9018337016</v>
      </c>
    </row>
    <row r="102" spans="2:30">
      <c r="B102" s="1">
        <f t="shared" si="29"/>
        <v>79</v>
      </c>
      <c r="C102" s="2">
        <f t="shared" si="36"/>
        <v>6</v>
      </c>
      <c r="D102" s="2">
        <f t="shared" si="37"/>
        <v>7</v>
      </c>
      <c r="E102" s="2">
        <f t="shared" si="38"/>
        <v>35</v>
      </c>
      <c r="F102" s="1">
        <f t="shared" si="30"/>
        <v>235174.20452061848</v>
      </c>
      <c r="H102" s="1">
        <f t="shared" si="26"/>
        <v>1875.3121321031463</v>
      </c>
      <c r="I102" s="1">
        <v>0</v>
      </c>
      <c r="J102" s="1">
        <v>0</v>
      </c>
      <c r="K102" s="1">
        <f t="shared" si="31"/>
        <v>-237.04951665272162</v>
      </c>
      <c r="L102" s="1">
        <f t="shared" si="27"/>
        <v>236812.46713606891</v>
      </c>
      <c r="N102" s="1">
        <f t="shared" si="32"/>
        <v>79</v>
      </c>
      <c r="O102" s="2">
        <f t="shared" si="39"/>
        <v>6</v>
      </c>
      <c r="P102" s="2">
        <f t="shared" si="40"/>
        <v>7</v>
      </c>
      <c r="Q102" s="2">
        <f t="shared" si="41"/>
        <v>6</v>
      </c>
      <c r="R102" s="1">
        <f t="shared" si="33"/>
        <v>740410.09053754667</v>
      </c>
      <c r="S102" s="1">
        <f>+IF($G$4="mensual",S96,IF($G$4="trimestral",S96,IF($G$4="semestral",S96,0)))</f>
        <v>10000</v>
      </c>
      <c r="U102" s="1">
        <f t="shared" si="42"/>
        <v>5983.8754412127846</v>
      </c>
      <c r="V102" s="35">
        <f t="shared" si="25"/>
        <v>-96.417309209395228</v>
      </c>
      <c r="X102" s="35">
        <f t="shared" si="24"/>
        <v>-756.39396597875952</v>
      </c>
      <c r="Y102" s="1">
        <f t="shared" si="28"/>
        <v>755541.15470357134</v>
      </c>
      <c r="AA102" s="2">
        <f>+Bono!J102</f>
        <v>151432.72179441861</v>
      </c>
      <c r="AC102" s="10">
        <f t="shared" si="34"/>
        <v>6.583333333333333</v>
      </c>
      <c r="AD102" s="1">
        <f t="shared" si="35"/>
        <v>1143786.343634059</v>
      </c>
    </row>
    <row r="103" spans="2:30">
      <c r="B103" s="1">
        <f t="shared" si="29"/>
        <v>80</v>
      </c>
      <c r="C103" s="2">
        <f t="shared" si="36"/>
        <v>6</v>
      </c>
      <c r="D103" s="2">
        <f t="shared" si="37"/>
        <v>8</v>
      </c>
      <c r="E103" s="2">
        <f t="shared" si="38"/>
        <v>35</v>
      </c>
      <c r="F103" s="1">
        <f t="shared" si="30"/>
        <v>236812.46713606891</v>
      </c>
      <c r="H103" s="1">
        <f t="shared" si="26"/>
        <v>1888.3758682581711</v>
      </c>
      <c r="I103" s="1">
        <v>0</v>
      </c>
      <c r="J103" s="1">
        <v>0</v>
      </c>
      <c r="K103" s="1">
        <f t="shared" si="31"/>
        <v>-238.70084300432711</v>
      </c>
      <c r="L103" s="1">
        <f t="shared" si="27"/>
        <v>238462.14216132276</v>
      </c>
      <c r="N103" s="1">
        <f t="shared" si="32"/>
        <v>80</v>
      </c>
      <c r="O103" s="2">
        <f t="shared" si="39"/>
        <v>6</v>
      </c>
      <c r="P103" s="2">
        <f t="shared" si="40"/>
        <v>8</v>
      </c>
      <c r="Q103" s="2">
        <f t="shared" si="41"/>
        <v>6</v>
      </c>
      <c r="R103" s="1">
        <f t="shared" si="33"/>
        <v>755541.15470357134</v>
      </c>
      <c r="S103" s="4">
        <f>IF($G$4="mensual",S102,0)</f>
        <v>10000</v>
      </c>
      <c r="U103" s="1">
        <f t="shared" si="42"/>
        <v>6104.5326717114194</v>
      </c>
      <c r="V103" s="35">
        <f t="shared" si="25"/>
        <v>-96.417309209395228</v>
      </c>
      <c r="X103" s="35">
        <f t="shared" si="24"/>
        <v>-771.64568737528282</v>
      </c>
      <c r="Y103" s="1">
        <f t="shared" si="28"/>
        <v>770777.62437869806</v>
      </c>
      <c r="AA103" s="2">
        <f>+Bono!J103</f>
        <v>152371.62223465255</v>
      </c>
      <c r="AC103" s="10">
        <f t="shared" si="34"/>
        <v>6.666666666666667</v>
      </c>
      <c r="AD103" s="1">
        <f t="shared" si="35"/>
        <v>1161611.3887746735</v>
      </c>
    </row>
    <row r="104" spans="2:30">
      <c r="B104" s="1">
        <f t="shared" si="29"/>
        <v>81</v>
      </c>
      <c r="C104" s="2">
        <f t="shared" si="36"/>
        <v>6</v>
      </c>
      <c r="D104" s="2">
        <f t="shared" si="37"/>
        <v>9</v>
      </c>
      <c r="E104" s="2">
        <f t="shared" si="38"/>
        <v>35</v>
      </c>
      <c r="F104" s="1">
        <f t="shared" si="30"/>
        <v>238462.14216132276</v>
      </c>
      <c r="H104" s="1">
        <f t="shared" si="26"/>
        <v>1901.5306085716006</v>
      </c>
      <c r="I104" s="1">
        <v>0</v>
      </c>
      <c r="J104" s="69">
        <f>-SUM(F104:H104)*$J$21</f>
        <v>-2163.2730549290495</v>
      </c>
      <c r="K104" s="1">
        <f t="shared" si="31"/>
        <v>-238.20039971496533</v>
      </c>
      <c r="L104" s="1">
        <f t="shared" si="27"/>
        <v>237962.19931525036</v>
      </c>
      <c r="N104" s="1">
        <f t="shared" si="32"/>
        <v>81</v>
      </c>
      <c r="O104" s="2">
        <f t="shared" si="39"/>
        <v>6</v>
      </c>
      <c r="P104" s="2">
        <f t="shared" si="40"/>
        <v>9</v>
      </c>
      <c r="Q104" s="2">
        <f t="shared" si="41"/>
        <v>6</v>
      </c>
      <c r="R104" s="1">
        <f t="shared" si="33"/>
        <v>770777.62437869806</v>
      </c>
      <c r="S104" s="4">
        <f>IF($G$4="mensual",S103,0)</f>
        <v>10000</v>
      </c>
      <c r="U104" s="1">
        <f t="shared" si="42"/>
        <v>6226.0304205416132</v>
      </c>
      <c r="V104" s="35">
        <f t="shared" si="25"/>
        <v>-96.417309209395228</v>
      </c>
      <c r="X104" s="35">
        <f t="shared" si="24"/>
        <v>-787.00365479923971</v>
      </c>
      <c r="Y104" s="1">
        <f t="shared" si="28"/>
        <v>786120.23383523116</v>
      </c>
      <c r="AA104" s="2">
        <f>+Bono!J104</f>
        <v>151935.11564249889</v>
      </c>
      <c r="AC104" s="10">
        <f t="shared" si="34"/>
        <v>6.75</v>
      </c>
      <c r="AD104" s="1">
        <f t="shared" si="35"/>
        <v>1176017.5487929804</v>
      </c>
    </row>
    <row r="105" spans="2:30">
      <c r="B105" s="1">
        <f t="shared" si="29"/>
        <v>82</v>
      </c>
      <c r="C105" s="2">
        <f t="shared" si="36"/>
        <v>6</v>
      </c>
      <c r="D105" s="2">
        <f t="shared" si="37"/>
        <v>10</v>
      </c>
      <c r="E105" s="2">
        <f t="shared" si="38"/>
        <v>35</v>
      </c>
      <c r="F105" s="1">
        <f t="shared" si="30"/>
        <v>237962.19931525036</v>
      </c>
      <c r="H105" s="1">
        <f t="shared" si="26"/>
        <v>1897.5439941105935</v>
      </c>
      <c r="I105" s="1">
        <v>0</v>
      </c>
      <c r="J105" s="1">
        <v>0</v>
      </c>
      <c r="K105" s="1">
        <f t="shared" si="31"/>
        <v>-239.85974330936097</v>
      </c>
      <c r="L105" s="1">
        <f t="shared" si="27"/>
        <v>239619.88356605161</v>
      </c>
      <c r="N105" s="1">
        <f t="shared" si="32"/>
        <v>82</v>
      </c>
      <c r="O105" s="2">
        <f t="shared" si="39"/>
        <v>6</v>
      </c>
      <c r="P105" s="2">
        <f t="shared" si="40"/>
        <v>10</v>
      </c>
      <c r="Q105" s="2">
        <f t="shared" si="41"/>
        <v>6</v>
      </c>
      <c r="R105" s="1">
        <f t="shared" si="33"/>
        <v>786120.23383523116</v>
      </c>
      <c r="S105" s="4">
        <f>IF($G$4="mensual",S96,IF($G$4="trimestral",S96,0))</f>
        <v>10000</v>
      </c>
      <c r="U105" s="1">
        <f t="shared" si="42"/>
        <v>6348.3745428938355</v>
      </c>
      <c r="V105" s="35">
        <f t="shared" si="25"/>
        <v>-96.417309209395228</v>
      </c>
      <c r="X105" s="35">
        <f t="shared" si="24"/>
        <v>-802.46860837812505</v>
      </c>
      <c r="Y105" s="1">
        <f t="shared" si="28"/>
        <v>801569.72246053757</v>
      </c>
      <c r="AA105" s="2">
        <f>+Bono!J105</f>
        <v>152877.130982865</v>
      </c>
      <c r="AC105" s="10">
        <f t="shared" si="34"/>
        <v>6.833333333333333</v>
      </c>
      <c r="AD105" s="1">
        <f t="shared" si="35"/>
        <v>1194066.7370094541</v>
      </c>
    </row>
    <row r="106" spans="2:30">
      <c r="B106" s="1">
        <f t="shared" si="29"/>
        <v>83</v>
      </c>
      <c r="C106" s="2">
        <f t="shared" si="36"/>
        <v>6</v>
      </c>
      <c r="D106" s="2">
        <f t="shared" si="37"/>
        <v>11</v>
      </c>
      <c r="E106" s="2">
        <f t="shared" si="38"/>
        <v>35</v>
      </c>
      <c r="F106" s="1">
        <f t="shared" si="30"/>
        <v>239619.88356605161</v>
      </c>
      <c r="H106" s="1">
        <f t="shared" si="26"/>
        <v>1910.7626011132647</v>
      </c>
      <c r="I106" s="1">
        <v>0</v>
      </c>
      <c r="J106" s="1">
        <v>0</v>
      </c>
      <c r="K106" s="1">
        <f t="shared" si="31"/>
        <v>-241.53064616716489</v>
      </c>
      <c r="L106" s="1">
        <f t="shared" si="27"/>
        <v>241289.1155209977</v>
      </c>
      <c r="N106" s="1">
        <f t="shared" si="32"/>
        <v>83</v>
      </c>
      <c r="O106" s="2">
        <f t="shared" si="39"/>
        <v>6</v>
      </c>
      <c r="P106" s="2">
        <f t="shared" si="40"/>
        <v>11</v>
      </c>
      <c r="Q106" s="2">
        <f t="shared" si="41"/>
        <v>6</v>
      </c>
      <c r="R106" s="1">
        <f t="shared" si="33"/>
        <v>801569.72246053757</v>
      </c>
      <c r="S106" s="1">
        <f>IF($G$17="si",S94*(1+$G$20),S94)</f>
        <v>10000</v>
      </c>
      <c r="U106" s="1">
        <f t="shared" si="42"/>
        <v>6471.57093474678</v>
      </c>
      <c r="V106" s="35">
        <f t="shared" si="25"/>
        <v>-96.417309209395228</v>
      </c>
      <c r="X106" s="35">
        <f t="shared" si="24"/>
        <v>-818.04129339528436</v>
      </c>
      <c r="Y106" s="1">
        <f t="shared" si="28"/>
        <v>817126.83479267964</v>
      </c>
      <c r="AA106" s="2">
        <f>+Bono!J106</f>
        <v>153824.98692760838</v>
      </c>
      <c r="AC106" s="10">
        <f t="shared" si="34"/>
        <v>6.916666666666667</v>
      </c>
      <c r="AD106" s="1">
        <f t="shared" si="35"/>
        <v>1212240.9372412858</v>
      </c>
    </row>
    <row r="107" spans="2:30">
      <c r="B107" s="1">
        <f t="shared" si="29"/>
        <v>84</v>
      </c>
      <c r="C107" s="2">
        <f t="shared" si="36"/>
        <v>6</v>
      </c>
      <c r="D107" s="2">
        <f t="shared" si="37"/>
        <v>12</v>
      </c>
      <c r="E107" s="2">
        <f t="shared" si="38"/>
        <v>35</v>
      </c>
      <c r="F107" s="1">
        <f t="shared" si="30"/>
        <v>241289.1155209977</v>
      </c>
      <c r="H107" s="1">
        <f t="shared" si="26"/>
        <v>1924.0732911304185</v>
      </c>
      <c r="I107" s="1">
        <v>0</v>
      </c>
      <c r="J107" s="69">
        <f>-SUM(F107:H107)*$J$21</f>
        <v>-2188.9186993091535</v>
      </c>
      <c r="K107" s="1">
        <f t="shared" si="31"/>
        <v>-241.02427011281898</v>
      </c>
      <c r="L107" s="1">
        <f t="shared" si="27"/>
        <v>240783.24584270615</v>
      </c>
      <c r="N107" s="1">
        <f t="shared" si="32"/>
        <v>84</v>
      </c>
      <c r="O107" s="2">
        <f t="shared" si="39"/>
        <v>6</v>
      </c>
      <c r="P107" s="2">
        <f t="shared" si="40"/>
        <v>12</v>
      </c>
      <c r="Q107" s="2">
        <f t="shared" si="41"/>
        <v>6</v>
      </c>
      <c r="R107" s="1">
        <f t="shared" si="33"/>
        <v>817126.83479267964</v>
      </c>
      <c r="S107" s="4">
        <f>IF($G$4="mensual",S106,0)</f>
        <v>10000</v>
      </c>
      <c r="U107" s="1">
        <f t="shared" si="42"/>
        <v>6595.6255331515113</v>
      </c>
      <c r="V107" s="35">
        <f t="shared" si="25"/>
        <v>-96.417309209395228</v>
      </c>
      <c r="X107" s="35">
        <f t="shared" ref="X107:X170" si="43">-SUM(R107:U107)*0.1%</f>
        <v>-833.72246032583121</v>
      </c>
      <c r="Y107" s="1">
        <f t="shared" si="28"/>
        <v>832792.32055629604</v>
      </c>
      <c r="AA107" s="2">
        <f>+Bono!J107</f>
        <v>153384.3168090712</v>
      </c>
      <c r="AC107" s="10">
        <f t="shared" si="34"/>
        <v>7</v>
      </c>
      <c r="AD107" s="1">
        <f t="shared" si="35"/>
        <v>1226959.8832080734</v>
      </c>
    </row>
    <row r="108" spans="2:30">
      <c r="B108" s="1">
        <f t="shared" si="29"/>
        <v>85</v>
      </c>
      <c r="C108" s="2">
        <f t="shared" si="36"/>
        <v>7</v>
      </c>
      <c r="D108" s="2">
        <f t="shared" si="37"/>
        <v>1</v>
      </c>
      <c r="E108" s="2">
        <f t="shared" si="38"/>
        <v>36</v>
      </c>
      <c r="F108" s="1">
        <f t="shared" si="30"/>
        <v>240783.24584270615</v>
      </c>
      <c r="H108" s="1">
        <f t="shared" si="26"/>
        <v>1920.0394152769973</v>
      </c>
      <c r="I108" s="1">
        <v>0</v>
      </c>
      <c r="J108" s="1">
        <v>0</v>
      </c>
      <c r="K108" s="1">
        <f t="shared" si="31"/>
        <v>-242.70328525798314</v>
      </c>
      <c r="L108" s="1">
        <f t="shared" si="27"/>
        <v>242460.58197272517</v>
      </c>
      <c r="N108" s="1">
        <f t="shared" si="32"/>
        <v>85</v>
      </c>
      <c r="O108" s="2">
        <f t="shared" si="39"/>
        <v>7</v>
      </c>
      <c r="P108" s="2">
        <f t="shared" si="40"/>
        <v>1</v>
      </c>
      <c r="Q108" s="2">
        <f t="shared" si="41"/>
        <v>7</v>
      </c>
      <c r="R108" s="1">
        <f t="shared" si="33"/>
        <v>832792.32055629604</v>
      </c>
      <c r="S108" s="1">
        <f>IF($G$17="si",S96*(1+$G$20),S96)</f>
        <v>10000</v>
      </c>
      <c r="U108" s="1">
        <f t="shared" si="42"/>
        <v>6720.5443165175811</v>
      </c>
      <c r="V108" s="35">
        <f>(V107*(1+$G$18))</f>
        <v>-100.27400157777105</v>
      </c>
      <c r="X108" s="35">
        <f t="shared" si="43"/>
        <v>-849.51286487281357</v>
      </c>
      <c r="Y108" s="1">
        <f t="shared" si="28"/>
        <v>848563.07800636301</v>
      </c>
      <c r="AA108" s="2">
        <f>+Bono!J108</f>
        <v>154335.31736476696</v>
      </c>
      <c r="AC108" s="10">
        <f t="shared" si="34"/>
        <v>7.083333333333333</v>
      </c>
      <c r="AD108" s="1">
        <f t="shared" si="35"/>
        <v>1245358.9773438552</v>
      </c>
    </row>
    <row r="109" spans="2:30">
      <c r="B109" s="1">
        <f t="shared" si="29"/>
        <v>86</v>
      </c>
      <c r="C109" s="2">
        <f t="shared" si="36"/>
        <v>7</v>
      </c>
      <c r="D109" s="2">
        <f t="shared" si="37"/>
        <v>2</v>
      </c>
      <c r="E109" s="2">
        <f t="shared" si="38"/>
        <v>36</v>
      </c>
      <c r="F109" s="1">
        <f t="shared" si="30"/>
        <v>242460.58197272517</v>
      </c>
      <c r="H109" s="1">
        <f t="shared" si="26"/>
        <v>1933.414729124243</v>
      </c>
      <c r="I109" s="1">
        <v>0</v>
      </c>
      <c r="J109" s="1">
        <v>0</v>
      </c>
      <c r="K109" s="1">
        <f t="shared" si="31"/>
        <v>-244.39399670184943</v>
      </c>
      <c r="L109" s="1">
        <f t="shared" si="27"/>
        <v>244149.60270514758</v>
      </c>
      <c r="N109" s="1">
        <f t="shared" si="32"/>
        <v>86</v>
      </c>
      <c r="O109" s="2">
        <f t="shared" si="39"/>
        <v>7</v>
      </c>
      <c r="P109" s="2">
        <f t="shared" si="40"/>
        <v>2</v>
      </c>
      <c r="Q109" s="2">
        <f t="shared" si="41"/>
        <v>7</v>
      </c>
      <c r="R109" s="1">
        <f t="shared" si="33"/>
        <v>848563.07800636301</v>
      </c>
      <c r="S109" s="4">
        <f>IF($G$4="mensual",S108,0)</f>
        <v>10000</v>
      </c>
      <c r="U109" s="1">
        <f t="shared" si="42"/>
        <v>6846.3025510945954</v>
      </c>
      <c r="V109" s="35">
        <f t="shared" si="25"/>
        <v>-100.27400157777105</v>
      </c>
      <c r="X109" s="35">
        <f t="shared" si="43"/>
        <v>-865.40938055745755</v>
      </c>
      <c r="Y109" s="1">
        <f t="shared" si="28"/>
        <v>864443.69717532233</v>
      </c>
      <c r="AA109" s="2">
        <f>+Bono!J109</f>
        <v>155292.21423421727</v>
      </c>
      <c r="AC109" s="10">
        <f t="shared" si="34"/>
        <v>7.166666666666667</v>
      </c>
      <c r="AD109" s="1">
        <f t="shared" si="35"/>
        <v>1263885.5141146872</v>
      </c>
    </row>
    <row r="110" spans="2:30">
      <c r="B110" s="1">
        <f t="shared" si="29"/>
        <v>87</v>
      </c>
      <c r="C110" s="2">
        <f t="shared" si="36"/>
        <v>7</v>
      </c>
      <c r="D110" s="2">
        <f t="shared" si="37"/>
        <v>3</v>
      </c>
      <c r="E110" s="2">
        <f t="shared" si="38"/>
        <v>36</v>
      </c>
      <c r="F110" s="1">
        <f t="shared" si="30"/>
        <v>244149.60270514758</v>
      </c>
      <c r="H110" s="1">
        <f t="shared" si="26"/>
        <v>1946.8832176319092</v>
      </c>
      <c r="I110" s="1">
        <v>0</v>
      </c>
      <c r="J110" s="69">
        <f>-SUM(F110:H110)*$J$21</f>
        <v>-2214.8683733050157</v>
      </c>
      <c r="K110" s="1">
        <f t="shared" si="31"/>
        <v>-243.88161754947447</v>
      </c>
      <c r="L110" s="1">
        <f t="shared" si="27"/>
        <v>243637.73593192498</v>
      </c>
      <c r="N110" s="1">
        <f t="shared" si="32"/>
        <v>87</v>
      </c>
      <c r="O110" s="2">
        <f t="shared" si="39"/>
        <v>7</v>
      </c>
      <c r="P110" s="2">
        <f t="shared" si="40"/>
        <v>3</v>
      </c>
      <c r="Q110" s="2">
        <f t="shared" si="41"/>
        <v>7</v>
      </c>
      <c r="R110" s="1">
        <f t="shared" si="33"/>
        <v>864443.69717532233</v>
      </c>
      <c r="S110" s="4">
        <f>IF($G$4="mensual",S109,0)</f>
        <v>10000</v>
      </c>
      <c r="U110" s="1">
        <f t="shared" si="42"/>
        <v>6972.9368384458185</v>
      </c>
      <c r="V110" s="35">
        <f t="shared" si="25"/>
        <v>-100.27400157777105</v>
      </c>
      <c r="X110" s="35">
        <f t="shared" si="43"/>
        <v>-881.4166340137682</v>
      </c>
      <c r="Y110" s="1">
        <f t="shared" si="28"/>
        <v>880434.94337817666</v>
      </c>
      <c r="AA110" s="2">
        <f>+Bono!J110</f>
        <v>154847.34087637524</v>
      </c>
      <c r="AC110" s="10">
        <f t="shared" si="34"/>
        <v>7.25</v>
      </c>
      <c r="AD110" s="1">
        <f t="shared" si="35"/>
        <v>1278920.0201864769</v>
      </c>
    </row>
    <row r="111" spans="2:30">
      <c r="B111" s="1">
        <f t="shared" si="29"/>
        <v>88</v>
      </c>
      <c r="C111" s="2">
        <f t="shared" si="36"/>
        <v>7</v>
      </c>
      <c r="D111" s="2">
        <f t="shared" si="37"/>
        <v>4</v>
      </c>
      <c r="E111" s="2">
        <f t="shared" si="38"/>
        <v>36</v>
      </c>
      <c r="F111" s="1">
        <f t="shared" si="30"/>
        <v>243637.73593192498</v>
      </c>
      <c r="H111" s="1">
        <f t="shared" si="26"/>
        <v>1942.8015201013422</v>
      </c>
      <c r="I111" s="1">
        <v>0</v>
      </c>
      <c r="J111" s="1">
        <v>0</v>
      </c>
      <c r="K111" s="1">
        <f t="shared" si="31"/>
        <v>-245.58053745202633</v>
      </c>
      <c r="L111" s="1">
        <f t="shared" si="27"/>
        <v>245334.95691457432</v>
      </c>
      <c r="N111" s="1">
        <f t="shared" si="32"/>
        <v>88</v>
      </c>
      <c r="O111" s="2">
        <f t="shared" si="39"/>
        <v>7</v>
      </c>
      <c r="P111" s="2">
        <f t="shared" si="40"/>
        <v>4</v>
      </c>
      <c r="Q111" s="2">
        <f t="shared" si="41"/>
        <v>7</v>
      </c>
      <c r="R111" s="1">
        <f t="shared" si="33"/>
        <v>880434.94337817666</v>
      </c>
      <c r="S111" s="4">
        <f>IF($G$4="mensual",S108,IF($G$4="trimestral",S108,0))</f>
        <v>10000</v>
      </c>
      <c r="U111" s="1">
        <f t="shared" si="42"/>
        <v>7100.4532813005526</v>
      </c>
      <c r="V111" s="35">
        <f t="shared" si="25"/>
        <v>-100.27400157777105</v>
      </c>
      <c r="X111" s="35">
        <f t="shared" si="43"/>
        <v>-897.53539665947733</v>
      </c>
      <c r="Y111" s="1">
        <f t="shared" si="28"/>
        <v>896537.58726124</v>
      </c>
      <c r="AA111" s="2">
        <f>+Bono!J111</f>
        <v>155807.4123509886</v>
      </c>
      <c r="AC111" s="10">
        <f t="shared" si="34"/>
        <v>7.333333333333333</v>
      </c>
      <c r="AD111" s="1">
        <f t="shared" si="35"/>
        <v>1297679.9565268029</v>
      </c>
    </row>
    <row r="112" spans="2:30">
      <c r="B112" s="1">
        <f t="shared" si="29"/>
        <v>89</v>
      </c>
      <c r="C112" s="2">
        <f t="shared" si="36"/>
        <v>7</v>
      </c>
      <c r="D112" s="2">
        <f t="shared" si="37"/>
        <v>5</v>
      </c>
      <c r="E112" s="2">
        <f t="shared" si="38"/>
        <v>36</v>
      </c>
      <c r="F112" s="1">
        <f t="shared" si="30"/>
        <v>245334.95691457432</v>
      </c>
      <c r="H112" s="1">
        <f t="shared" si="26"/>
        <v>1956.3353985558701</v>
      </c>
      <c r="I112" s="1">
        <v>0</v>
      </c>
      <c r="J112" s="1">
        <v>0</v>
      </c>
      <c r="K112" s="1">
        <f t="shared" si="31"/>
        <v>-247.29129231313019</v>
      </c>
      <c r="L112" s="1">
        <f t="shared" si="27"/>
        <v>247044.00102081706</v>
      </c>
      <c r="N112" s="1">
        <f t="shared" si="32"/>
        <v>89</v>
      </c>
      <c r="O112" s="2">
        <f t="shared" si="39"/>
        <v>7</v>
      </c>
      <c r="P112" s="2">
        <f t="shared" si="40"/>
        <v>5</v>
      </c>
      <c r="Q112" s="2">
        <f t="shared" si="41"/>
        <v>7</v>
      </c>
      <c r="R112" s="1">
        <f t="shared" si="33"/>
        <v>896537.58726124</v>
      </c>
      <c r="S112" s="4">
        <f>IF($G$4="mensual",S111,0)</f>
        <v>10000</v>
      </c>
      <c r="U112" s="1">
        <f t="shared" si="42"/>
        <v>7228.8580249007282</v>
      </c>
      <c r="V112" s="35">
        <f t="shared" si="25"/>
        <v>-100.27400157777105</v>
      </c>
      <c r="X112" s="35">
        <f t="shared" si="43"/>
        <v>-913.76644528614077</v>
      </c>
      <c r="Y112" s="1">
        <f t="shared" si="28"/>
        <v>912752.40483927692</v>
      </c>
      <c r="AA112" s="2">
        <f>+Bono!J112</f>
        <v>156773.43638010597</v>
      </c>
      <c r="AC112" s="10">
        <f t="shared" si="34"/>
        <v>7.416666666666667</v>
      </c>
      <c r="AD112" s="1">
        <f t="shared" si="35"/>
        <v>1316569.8422401999</v>
      </c>
    </row>
    <row r="113" spans="2:30">
      <c r="B113" s="1">
        <f t="shared" si="29"/>
        <v>90</v>
      </c>
      <c r="C113" s="2">
        <f t="shared" si="36"/>
        <v>7</v>
      </c>
      <c r="D113" s="2">
        <f t="shared" si="37"/>
        <v>6</v>
      </c>
      <c r="E113" s="2">
        <f t="shared" si="38"/>
        <v>36</v>
      </c>
      <c r="F113" s="1">
        <f t="shared" si="30"/>
        <v>247044.00102081706</v>
      </c>
      <c r="H113" s="1">
        <f t="shared" si="26"/>
        <v>1969.96355625824</v>
      </c>
      <c r="I113" s="1">
        <v>0</v>
      </c>
      <c r="J113" s="69">
        <f>-SUM(F113:H113)*$J$21</f>
        <v>-2241.1256811936778</v>
      </c>
      <c r="K113" s="1">
        <f t="shared" si="31"/>
        <v>-246.77283889588162</v>
      </c>
      <c r="L113" s="1">
        <f t="shared" si="27"/>
        <v>246526.06605698573</v>
      </c>
      <c r="N113" s="1">
        <f t="shared" si="32"/>
        <v>90</v>
      </c>
      <c r="O113" s="2">
        <f t="shared" si="39"/>
        <v>7</v>
      </c>
      <c r="P113" s="2">
        <f t="shared" si="40"/>
        <v>6</v>
      </c>
      <c r="Q113" s="2">
        <f t="shared" si="41"/>
        <v>7</v>
      </c>
      <c r="R113" s="1">
        <f t="shared" si="33"/>
        <v>912752.40483927692</v>
      </c>
      <c r="S113" s="4">
        <f>IF($G$4="mensual",S112,0)</f>
        <v>10000</v>
      </c>
      <c r="U113" s="1">
        <f t="shared" si="42"/>
        <v>7358.1572572970517</v>
      </c>
      <c r="V113" s="35">
        <f t="shared" ref="V113:V176" si="44">V112</f>
        <v>-100.27400157777105</v>
      </c>
      <c r="X113" s="35">
        <f t="shared" si="43"/>
        <v>-930.11056209657397</v>
      </c>
      <c r="Y113" s="1">
        <f t="shared" si="28"/>
        <v>929080.17753289966</v>
      </c>
      <c r="AA113" s="2">
        <f>+Bono!J113</f>
        <v>156324.31969124437</v>
      </c>
      <c r="AC113" s="10">
        <f t="shared" si="34"/>
        <v>7.5</v>
      </c>
      <c r="AD113" s="1">
        <f t="shared" si="35"/>
        <v>1331930.5632811296</v>
      </c>
    </row>
    <row r="114" spans="2:30">
      <c r="B114" s="1">
        <f t="shared" si="29"/>
        <v>91</v>
      </c>
      <c r="C114" s="2">
        <f t="shared" si="36"/>
        <v>7</v>
      </c>
      <c r="D114" s="2">
        <f t="shared" si="37"/>
        <v>7</v>
      </c>
      <c r="E114" s="2">
        <f t="shared" si="38"/>
        <v>36</v>
      </c>
      <c r="F114" s="1">
        <f t="shared" si="30"/>
        <v>246526.06605698573</v>
      </c>
      <c r="H114" s="1">
        <f t="shared" si="26"/>
        <v>1965.8334701236099</v>
      </c>
      <c r="I114" s="1">
        <v>0</v>
      </c>
      <c r="J114" s="1">
        <v>0</v>
      </c>
      <c r="K114" s="1">
        <f t="shared" si="31"/>
        <v>-248.49189952710935</v>
      </c>
      <c r="L114" s="1">
        <f t="shared" si="27"/>
        <v>248243.40762758223</v>
      </c>
      <c r="N114" s="1">
        <f t="shared" si="32"/>
        <v>91</v>
      </c>
      <c r="O114" s="2">
        <f t="shared" si="39"/>
        <v>7</v>
      </c>
      <c r="P114" s="2">
        <f t="shared" si="40"/>
        <v>7</v>
      </c>
      <c r="Q114" s="2">
        <f t="shared" si="41"/>
        <v>7</v>
      </c>
      <c r="R114" s="1">
        <f t="shared" si="33"/>
        <v>929080.17753289966</v>
      </c>
      <c r="S114" s="1">
        <f>+IF($G$4="mensual",S108,IF($G$4="trimestral",S108,IF($G$4="semestral",S108,0)))</f>
        <v>10000</v>
      </c>
      <c r="U114" s="1">
        <f t="shared" si="42"/>
        <v>7488.3572096472199</v>
      </c>
      <c r="V114" s="35">
        <f t="shared" si="44"/>
        <v>-100.27400157777105</v>
      </c>
      <c r="X114" s="35">
        <f t="shared" si="43"/>
        <v>-946.56853474254683</v>
      </c>
      <c r="Y114" s="1">
        <f t="shared" si="28"/>
        <v>945521.69220622652</v>
      </c>
      <c r="AA114" s="2">
        <f>+Bono!J114</f>
        <v>157293.54860582884</v>
      </c>
      <c r="AC114" s="10">
        <f t="shared" si="34"/>
        <v>7.583333333333333</v>
      </c>
      <c r="AD114" s="1">
        <f t="shared" si="35"/>
        <v>1351058.6484396376</v>
      </c>
    </row>
    <row r="115" spans="2:30">
      <c r="B115" s="1">
        <f t="shared" si="29"/>
        <v>92</v>
      </c>
      <c r="C115" s="2">
        <f t="shared" si="36"/>
        <v>7</v>
      </c>
      <c r="D115" s="2">
        <f t="shared" si="37"/>
        <v>8</v>
      </c>
      <c r="E115" s="2">
        <f t="shared" si="38"/>
        <v>36</v>
      </c>
      <c r="F115" s="1">
        <f t="shared" si="30"/>
        <v>248243.40762758223</v>
      </c>
      <c r="H115" s="1">
        <f t="shared" si="26"/>
        <v>1979.5277929719405</v>
      </c>
      <c r="I115" s="1">
        <v>0</v>
      </c>
      <c r="J115" s="1">
        <v>0</v>
      </c>
      <c r="K115" s="1">
        <f t="shared" si="31"/>
        <v>-250.22293542055417</v>
      </c>
      <c r="L115" s="1">
        <f t="shared" si="27"/>
        <v>249972.71248513361</v>
      </c>
      <c r="N115" s="1">
        <f t="shared" si="32"/>
        <v>92</v>
      </c>
      <c r="O115" s="2">
        <f t="shared" si="39"/>
        <v>7</v>
      </c>
      <c r="P115" s="2">
        <f t="shared" si="40"/>
        <v>8</v>
      </c>
      <c r="Q115" s="2">
        <f t="shared" si="41"/>
        <v>7</v>
      </c>
      <c r="R115" s="1">
        <f t="shared" si="33"/>
        <v>945521.69220622652</v>
      </c>
      <c r="S115" s="4">
        <f>IF($G$4="mensual",S114,0)</f>
        <v>10000</v>
      </c>
      <c r="U115" s="1">
        <f t="shared" si="42"/>
        <v>7619.4641565162101</v>
      </c>
      <c r="V115" s="35">
        <f t="shared" si="44"/>
        <v>-100.27400157777105</v>
      </c>
      <c r="X115" s="35">
        <f t="shared" si="43"/>
        <v>-963.14115636274278</v>
      </c>
      <c r="Y115" s="1">
        <f t="shared" si="28"/>
        <v>962077.7412048023</v>
      </c>
      <c r="AA115" s="2">
        <f>+Bono!J115</f>
        <v>158268.78685210733</v>
      </c>
      <c r="AC115" s="10">
        <f t="shared" si="34"/>
        <v>7.666666666666667</v>
      </c>
      <c r="AD115" s="1">
        <f t="shared" si="35"/>
        <v>1370319.2405420432</v>
      </c>
    </row>
    <row r="116" spans="2:30">
      <c r="B116" s="1">
        <f t="shared" si="29"/>
        <v>93</v>
      </c>
      <c r="C116" s="2">
        <f t="shared" si="36"/>
        <v>7</v>
      </c>
      <c r="D116" s="2">
        <f t="shared" si="37"/>
        <v>9</v>
      </c>
      <c r="E116" s="2">
        <f t="shared" si="38"/>
        <v>36</v>
      </c>
      <c r="F116" s="1">
        <f t="shared" si="30"/>
        <v>249972.71248513361</v>
      </c>
      <c r="H116" s="1">
        <f t="shared" si="26"/>
        <v>1993.3175127504408</v>
      </c>
      <c r="I116" s="1">
        <v>0</v>
      </c>
      <c r="J116" s="69">
        <f>-SUM(F116:H116)*$J$21</f>
        <v>-2267.694269980957</v>
      </c>
      <c r="K116" s="1">
        <f t="shared" si="31"/>
        <v>-249.69833572790313</v>
      </c>
      <c r="L116" s="1">
        <f t="shared" si="27"/>
        <v>249448.63739217521</v>
      </c>
      <c r="N116" s="1">
        <f t="shared" si="32"/>
        <v>93</v>
      </c>
      <c r="O116" s="2">
        <f t="shared" si="39"/>
        <v>7</v>
      </c>
      <c r="P116" s="2">
        <f t="shared" si="40"/>
        <v>9</v>
      </c>
      <c r="Q116" s="2">
        <f t="shared" si="41"/>
        <v>7</v>
      </c>
      <c r="R116" s="1">
        <f t="shared" si="33"/>
        <v>962077.7412048023</v>
      </c>
      <c r="S116" s="4">
        <f>IF($G$4="mensual",S115,0)</f>
        <v>10000</v>
      </c>
      <c r="U116" s="1">
        <f t="shared" si="42"/>
        <v>7751.484416178665</v>
      </c>
      <c r="V116" s="35">
        <f t="shared" si="44"/>
        <v>-100.27400157777105</v>
      </c>
      <c r="X116" s="35">
        <f t="shared" si="43"/>
        <v>-979.82922562098099</v>
      </c>
      <c r="Y116" s="1">
        <f t="shared" si="28"/>
        <v>978749.12239378225</v>
      </c>
      <c r="AA116" s="2">
        <f>+Bono!J116</f>
        <v>157815.38635810514</v>
      </c>
      <c r="AC116" s="10">
        <f t="shared" si="34"/>
        <v>7.75</v>
      </c>
      <c r="AD116" s="1">
        <f t="shared" si="35"/>
        <v>1386013.1461440625</v>
      </c>
    </row>
    <row r="117" spans="2:30">
      <c r="B117" s="1">
        <f t="shared" si="29"/>
        <v>94</v>
      </c>
      <c r="C117" s="2">
        <f t="shared" si="36"/>
        <v>7</v>
      </c>
      <c r="D117" s="2">
        <f t="shared" si="37"/>
        <v>10</v>
      </c>
      <c r="E117" s="2">
        <f t="shared" si="38"/>
        <v>36</v>
      </c>
      <c r="F117" s="1">
        <f t="shared" si="30"/>
        <v>249448.63739217521</v>
      </c>
      <c r="H117" s="1">
        <f t="shared" si="26"/>
        <v>1989.1384643638996</v>
      </c>
      <c r="I117" s="1">
        <v>0</v>
      </c>
      <c r="J117" s="1">
        <v>0</v>
      </c>
      <c r="K117" s="1">
        <f t="shared" si="31"/>
        <v>-251.4377758565391</v>
      </c>
      <c r="L117" s="1">
        <f t="shared" si="27"/>
        <v>251186.33808068256</v>
      </c>
      <c r="N117" s="1">
        <f t="shared" si="32"/>
        <v>94</v>
      </c>
      <c r="O117" s="2">
        <f t="shared" si="39"/>
        <v>7</v>
      </c>
      <c r="P117" s="2">
        <f t="shared" si="40"/>
        <v>10</v>
      </c>
      <c r="Q117" s="2">
        <f t="shared" si="41"/>
        <v>7</v>
      </c>
      <c r="R117" s="1">
        <f t="shared" si="33"/>
        <v>978749.12239378225</v>
      </c>
      <c r="S117" s="4">
        <f>IF($G$4="mensual",S108,IF($G$4="trimestral",S108,0))</f>
        <v>10000</v>
      </c>
      <c r="U117" s="1">
        <f t="shared" si="42"/>
        <v>7884.4243509233756</v>
      </c>
      <c r="V117" s="35">
        <f t="shared" si="44"/>
        <v>-100.27400157777105</v>
      </c>
      <c r="X117" s="35">
        <f t="shared" si="43"/>
        <v>-996.63354674470565</v>
      </c>
      <c r="Y117" s="1">
        <f t="shared" si="28"/>
        <v>995536.63919638318</v>
      </c>
      <c r="AA117" s="2">
        <f>+Bono!J117</f>
        <v>158793.86005897721</v>
      </c>
      <c r="AC117" s="10">
        <f t="shared" si="34"/>
        <v>7.833333333333333</v>
      </c>
      <c r="AD117" s="1">
        <f t="shared" si="35"/>
        <v>1405516.8373360429</v>
      </c>
    </row>
    <row r="118" spans="2:30">
      <c r="B118" s="1">
        <f t="shared" si="29"/>
        <v>95</v>
      </c>
      <c r="C118" s="2">
        <f t="shared" si="36"/>
        <v>7</v>
      </c>
      <c r="D118" s="2">
        <f t="shared" si="37"/>
        <v>11</v>
      </c>
      <c r="E118" s="2">
        <f t="shared" si="38"/>
        <v>36</v>
      </c>
      <c r="F118" s="1">
        <f t="shared" si="30"/>
        <v>251186.33808068256</v>
      </c>
      <c r="H118" s="1">
        <f t="shared" si="26"/>
        <v>2002.99513367746</v>
      </c>
      <c r="I118" s="1">
        <v>0</v>
      </c>
      <c r="J118" s="1">
        <v>0</v>
      </c>
      <c r="K118" s="1">
        <f t="shared" si="31"/>
        <v>-253.18933321436003</v>
      </c>
      <c r="L118" s="1">
        <f t="shared" si="27"/>
        <v>252936.14388114566</v>
      </c>
      <c r="N118" s="1">
        <f t="shared" si="32"/>
        <v>95</v>
      </c>
      <c r="O118" s="2">
        <f t="shared" si="39"/>
        <v>7</v>
      </c>
      <c r="P118" s="2">
        <f t="shared" si="40"/>
        <v>11</v>
      </c>
      <c r="Q118" s="2">
        <f t="shared" si="41"/>
        <v>7</v>
      </c>
      <c r="R118" s="1">
        <f t="shared" si="33"/>
        <v>995536.63919638318</v>
      </c>
      <c r="S118" s="1">
        <f>IF($G$17="si",S106*(1+$G$20),S106)</f>
        <v>10000</v>
      </c>
      <c r="U118" s="1">
        <f t="shared" si="42"/>
        <v>8018.2903673598967</v>
      </c>
      <c r="V118" s="35">
        <f t="shared" si="44"/>
        <v>-100.27400157777105</v>
      </c>
      <c r="X118" s="35">
        <f t="shared" si="43"/>
        <v>-1013.554929563743</v>
      </c>
      <c r="Y118" s="1">
        <f t="shared" si="28"/>
        <v>1012441.1006326015</v>
      </c>
      <c r="AA118" s="2">
        <f>+Bono!J118</f>
        <v>159778.40041029057</v>
      </c>
      <c r="AC118" s="10">
        <f t="shared" si="34"/>
        <v>7.916666666666667</v>
      </c>
      <c r="AD118" s="1">
        <f t="shared" si="35"/>
        <v>1425155.6449240379</v>
      </c>
    </row>
    <row r="119" spans="2:30">
      <c r="B119" s="1">
        <f t="shared" si="29"/>
        <v>96</v>
      </c>
      <c r="C119" s="2">
        <f t="shared" si="36"/>
        <v>7</v>
      </c>
      <c r="D119" s="2">
        <f t="shared" si="37"/>
        <v>12</v>
      </c>
      <c r="E119" s="2">
        <f t="shared" si="38"/>
        <v>36</v>
      </c>
      <c r="F119" s="1">
        <f t="shared" si="30"/>
        <v>252936.14388114566</v>
      </c>
      <c r="H119" s="1">
        <f t="shared" si="26"/>
        <v>2016.948330853663</v>
      </c>
      <c r="I119" s="1">
        <v>0</v>
      </c>
      <c r="J119" s="69">
        <f>-SUM(F119:H119)*$J$21</f>
        <v>-2294.5778299079943</v>
      </c>
      <c r="K119" s="1">
        <f t="shared" si="31"/>
        <v>-252.65851438209134</v>
      </c>
      <c r="L119" s="1">
        <f t="shared" si="27"/>
        <v>252405.85586770924</v>
      </c>
      <c r="N119" s="1">
        <f t="shared" si="32"/>
        <v>96</v>
      </c>
      <c r="O119" s="2">
        <f t="shared" si="39"/>
        <v>7</v>
      </c>
      <c r="P119" s="2">
        <f t="shared" si="40"/>
        <v>12</v>
      </c>
      <c r="Q119" s="2">
        <f t="shared" si="41"/>
        <v>7</v>
      </c>
      <c r="R119" s="1">
        <f t="shared" si="33"/>
        <v>1012441.1006326015</v>
      </c>
      <c r="S119" s="4">
        <f>IF($G$4="mensual",S118,0)</f>
        <v>10000</v>
      </c>
      <c r="U119" s="1">
        <f t="shared" si="42"/>
        <v>8153.0889167272899</v>
      </c>
      <c r="V119" s="35">
        <f t="shared" si="44"/>
        <v>-100.27400157777105</v>
      </c>
      <c r="X119" s="35">
        <f t="shared" si="43"/>
        <v>-1030.5941895493288</v>
      </c>
      <c r="Y119" s="1">
        <f t="shared" si="28"/>
        <v>1029463.3213582018</v>
      </c>
      <c r="AA119" s="2">
        <f>+Bono!J119</f>
        <v>159320.67525097285</v>
      </c>
      <c r="AC119" s="10">
        <f t="shared" si="34"/>
        <v>8</v>
      </c>
      <c r="AD119" s="1">
        <f t="shared" si="35"/>
        <v>1441189.8524768839</v>
      </c>
    </row>
    <row r="120" spans="2:30">
      <c r="B120" s="1">
        <f t="shared" si="29"/>
        <v>97</v>
      </c>
      <c r="C120" s="2">
        <f t="shared" si="36"/>
        <v>8</v>
      </c>
      <c r="D120" s="2">
        <f t="shared" si="37"/>
        <v>1</v>
      </c>
      <c r="E120" s="2">
        <f t="shared" si="38"/>
        <v>37</v>
      </c>
      <c r="F120" s="1">
        <f t="shared" si="30"/>
        <v>252405.85586770924</v>
      </c>
      <c r="H120" s="1">
        <f t="shared" si="26"/>
        <v>2012.7197397667567</v>
      </c>
      <c r="I120" s="1">
        <v>0</v>
      </c>
      <c r="J120" s="1">
        <v>0</v>
      </c>
      <c r="K120" s="1">
        <f t="shared" si="31"/>
        <v>-254.41857560747601</v>
      </c>
      <c r="L120" s="1">
        <f t="shared" si="27"/>
        <v>254164.15703186853</v>
      </c>
      <c r="N120" s="1">
        <f t="shared" si="32"/>
        <v>97</v>
      </c>
      <c r="O120" s="2">
        <f t="shared" si="39"/>
        <v>8</v>
      </c>
      <c r="P120" s="2">
        <f t="shared" si="40"/>
        <v>1</v>
      </c>
      <c r="Q120" s="2">
        <f t="shared" si="41"/>
        <v>8</v>
      </c>
      <c r="R120" s="1">
        <f t="shared" si="33"/>
        <v>1029463.3213582018</v>
      </c>
      <c r="S120" s="1">
        <f>IF($G$17="si",S108*(1+$G$20),S108)</f>
        <v>10000</v>
      </c>
      <c r="U120" s="1">
        <f t="shared" si="42"/>
        <v>8288.8264952050231</v>
      </c>
      <c r="V120" s="35">
        <f>(V119*(1+$G$18))</f>
        <v>-104.28496164088189</v>
      </c>
      <c r="X120" s="35">
        <f t="shared" si="43"/>
        <v>-1047.7521478534068</v>
      </c>
      <c r="Y120" s="1">
        <f t="shared" si="28"/>
        <v>1046600.1107439126</v>
      </c>
      <c r="AA120" s="2">
        <f>+Bono!J120</f>
        <v>160308.48191758338</v>
      </c>
      <c r="AC120" s="10">
        <f t="shared" si="34"/>
        <v>8.0833333333333339</v>
      </c>
      <c r="AD120" s="1">
        <f t="shared" si="35"/>
        <v>1461072.7496933646</v>
      </c>
    </row>
    <row r="121" spans="2:30">
      <c r="B121" s="1">
        <f t="shared" si="29"/>
        <v>98</v>
      </c>
      <c r="C121" s="2">
        <f t="shared" si="36"/>
        <v>8</v>
      </c>
      <c r="D121" s="2">
        <f t="shared" si="37"/>
        <v>2</v>
      </c>
      <c r="E121" s="2">
        <f t="shared" si="38"/>
        <v>37</v>
      </c>
      <c r="F121" s="1">
        <f t="shared" si="30"/>
        <v>254164.15703186853</v>
      </c>
      <c r="H121" s="1">
        <f t="shared" si="26"/>
        <v>2026.7406801660677</v>
      </c>
      <c r="I121" s="1">
        <v>0</v>
      </c>
      <c r="J121" s="1">
        <v>0</v>
      </c>
      <c r="K121" s="1">
        <f t="shared" si="31"/>
        <v>-256.1908977120346</v>
      </c>
      <c r="L121" s="1">
        <f t="shared" si="27"/>
        <v>255934.70681432253</v>
      </c>
      <c r="N121" s="1">
        <f t="shared" si="32"/>
        <v>98</v>
      </c>
      <c r="O121" s="2">
        <f t="shared" si="39"/>
        <v>8</v>
      </c>
      <c r="P121" s="2">
        <f t="shared" si="40"/>
        <v>2</v>
      </c>
      <c r="Q121" s="2">
        <f t="shared" si="41"/>
        <v>8</v>
      </c>
      <c r="R121" s="1">
        <f t="shared" si="33"/>
        <v>1046600.1107439126</v>
      </c>
      <c r="S121" s="4">
        <f>IF($G$4="mensual",S120,0)</f>
        <v>10000</v>
      </c>
      <c r="U121" s="1">
        <f t="shared" si="42"/>
        <v>8425.4776602672282</v>
      </c>
      <c r="V121" s="35">
        <f t="shared" si="44"/>
        <v>-104.28496164088189</v>
      </c>
      <c r="X121" s="35">
        <f t="shared" si="43"/>
        <v>-1065.0255884041799</v>
      </c>
      <c r="Y121" s="1">
        <f t="shared" si="28"/>
        <v>1063856.2778541348</v>
      </c>
      <c r="AA121" s="2">
        <f>+Bono!J121</f>
        <v>161302.41310010539</v>
      </c>
      <c r="AC121" s="10">
        <f t="shared" si="34"/>
        <v>8.1666666666666661</v>
      </c>
      <c r="AD121" s="1">
        <f t="shared" si="35"/>
        <v>1481093.3977685629</v>
      </c>
    </row>
    <row r="122" spans="2:30">
      <c r="B122" s="1">
        <f t="shared" si="29"/>
        <v>99</v>
      </c>
      <c r="C122" s="2">
        <f t="shared" si="36"/>
        <v>8</v>
      </c>
      <c r="D122" s="2">
        <f t="shared" si="37"/>
        <v>3</v>
      </c>
      <c r="E122" s="2">
        <f t="shared" si="38"/>
        <v>37</v>
      </c>
      <c r="F122" s="1">
        <f t="shared" si="30"/>
        <v>255934.70681432253</v>
      </c>
      <c r="H122" s="1">
        <f t="shared" si="26"/>
        <v>2040.8592927677209</v>
      </c>
      <c r="I122" s="1">
        <v>0</v>
      </c>
      <c r="J122" s="69">
        <f>-SUM(F122:H122)*$J$21</f>
        <v>-2321.7800949638126</v>
      </c>
      <c r="K122" s="1">
        <f t="shared" si="31"/>
        <v>-255.65378601212643</v>
      </c>
      <c r="L122" s="1">
        <f t="shared" si="27"/>
        <v>255398.13222611431</v>
      </c>
      <c r="N122" s="1">
        <f t="shared" si="32"/>
        <v>99</v>
      </c>
      <c r="O122" s="2">
        <f t="shared" si="39"/>
        <v>8</v>
      </c>
      <c r="P122" s="2">
        <f t="shared" si="40"/>
        <v>3</v>
      </c>
      <c r="Q122" s="2">
        <f t="shared" si="41"/>
        <v>8</v>
      </c>
      <c r="R122" s="1">
        <f t="shared" si="33"/>
        <v>1063856.2778541348</v>
      </c>
      <c r="S122" s="4">
        <f>IF($G$4="mensual",S121,0)</f>
        <v>10000</v>
      </c>
      <c r="U122" s="1">
        <f t="shared" si="42"/>
        <v>8563.0807600687695</v>
      </c>
      <c r="V122" s="35">
        <f t="shared" si="44"/>
        <v>-104.28496164088189</v>
      </c>
      <c r="X122" s="35">
        <f t="shared" si="43"/>
        <v>-1082.4193586142035</v>
      </c>
      <c r="Y122" s="1">
        <f t="shared" si="28"/>
        <v>1081232.6542939486</v>
      </c>
      <c r="AA122" s="2">
        <f>+Bono!J122</f>
        <v>160840.32202556098</v>
      </c>
      <c r="AC122" s="10">
        <f t="shared" si="34"/>
        <v>8.25</v>
      </c>
      <c r="AD122" s="1">
        <f t="shared" si="35"/>
        <v>1497471.108545624</v>
      </c>
    </row>
    <row r="123" spans="2:30">
      <c r="B123" s="1">
        <f t="shared" si="29"/>
        <v>100</v>
      </c>
      <c r="C123" s="2">
        <f t="shared" si="36"/>
        <v>8</v>
      </c>
      <c r="D123" s="2">
        <f t="shared" si="37"/>
        <v>4</v>
      </c>
      <c r="E123" s="2">
        <f t="shared" si="38"/>
        <v>37</v>
      </c>
      <c r="F123" s="1">
        <f t="shared" si="30"/>
        <v>255398.13222611431</v>
      </c>
      <c r="H123" s="1">
        <f t="shared" si="26"/>
        <v>2036.5805716507675</v>
      </c>
      <c r="I123" s="1">
        <v>0</v>
      </c>
      <c r="J123" s="1">
        <v>0</v>
      </c>
      <c r="K123" s="1">
        <f t="shared" si="31"/>
        <v>-257.43471279776509</v>
      </c>
      <c r="L123" s="1">
        <f t="shared" si="27"/>
        <v>257177.27808496731</v>
      </c>
      <c r="N123" s="1">
        <f t="shared" si="32"/>
        <v>100</v>
      </c>
      <c r="O123" s="2">
        <f t="shared" si="39"/>
        <v>8</v>
      </c>
      <c r="P123" s="2">
        <f t="shared" si="40"/>
        <v>4</v>
      </c>
      <c r="Q123" s="2">
        <f t="shared" si="41"/>
        <v>8</v>
      </c>
      <c r="R123" s="1">
        <f t="shared" si="33"/>
        <v>1081232.6542939486</v>
      </c>
      <c r="S123" s="4">
        <f>IF($G$4="mensual",S120,IF($G$4="trimestral",S120,0))</f>
        <v>10000</v>
      </c>
      <c r="U123" s="1">
        <f t="shared" si="42"/>
        <v>8701.6424259453397</v>
      </c>
      <c r="V123" s="35">
        <f t="shared" si="44"/>
        <v>-104.28496164088189</v>
      </c>
      <c r="X123" s="35">
        <f t="shared" si="43"/>
        <v>-1099.9342967198938</v>
      </c>
      <c r="Y123" s="1">
        <f t="shared" si="28"/>
        <v>1098730.077461533</v>
      </c>
      <c r="AA123" s="2">
        <f>+Bono!J123</f>
        <v>161837.55067844206</v>
      </c>
      <c r="AC123" s="10">
        <f t="shared" si="34"/>
        <v>8.3333333333333339</v>
      </c>
      <c r="AD123" s="1">
        <f t="shared" si="35"/>
        <v>1517744.9062249423</v>
      </c>
    </row>
    <row r="124" spans="2:30">
      <c r="B124" s="1">
        <f t="shared" si="29"/>
        <v>101</v>
      </c>
      <c r="C124" s="2">
        <f t="shared" si="36"/>
        <v>8</v>
      </c>
      <c r="D124" s="2">
        <f t="shared" si="37"/>
        <v>5</v>
      </c>
      <c r="E124" s="2">
        <f t="shared" si="38"/>
        <v>37</v>
      </c>
      <c r="F124" s="1">
        <f t="shared" si="30"/>
        <v>257177.27808496731</v>
      </c>
      <c r="H124" s="1">
        <f t="shared" si="26"/>
        <v>2050.7677305727639</v>
      </c>
      <c r="I124" s="1">
        <v>0</v>
      </c>
      <c r="J124" s="1">
        <v>0</v>
      </c>
      <c r="K124" s="1">
        <f t="shared" si="31"/>
        <v>-259.2280458155401</v>
      </c>
      <c r="L124" s="1">
        <f t="shared" si="27"/>
        <v>258968.81776972453</v>
      </c>
      <c r="N124" s="1">
        <f t="shared" si="32"/>
        <v>101</v>
      </c>
      <c r="O124" s="2">
        <f t="shared" si="39"/>
        <v>8</v>
      </c>
      <c r="P124" s="2">
        <f t="shared" si="40"/>
        <v>5</v>
      </c>
      <c r="Q124" s="2">
        <f t="shared" si="41"/>
        <v>8</v>
      </c>
      <c r="R124" s="1">
        <f t="shared" si="33"/>
        <v>1098730.077461533</v>
      </c>
      <c r="S124" s="4">
        <f>IF($G$4="mensual",S123,0)</f>
        <v>10000</v>
      </c>
      <c r="U124" s="1">
        <f t="shared" si="42"/>
        <v>8841.1693354276122</v>
      </c>
      <c r="V124" s="35">
        <f t="shared" si="44"/>
        <v>-104.28496164088189</v>
      </c>
      <c r="X124" s="35">
        <f t="shared" si="43"/>
        <v>-1117.5712467969606</v>
      </c>
      <c r="Y124" s="1">
        <f t="shared" si="28"/>
        <v>1116349.3905885229</v>
      </c>
      <c r="AA124" s="2">
        <f>+Bono!J124</f>
        <v>162840.96226464238</v>
      </c>
      <c r="AC124" s="10">
        <f t="shared" si="34"/>
        <v>8.4166666666666661</v>
      </c>
      <c r="AD124" s="1">
        <f t="shared" si="35"/>
        <v>1538159.1706228899</v>
      </c>
    </row>
    <row r="125" spans="2:30">
      <c r="B125" s="1">
        <f t="shared" si="29"/>
        <v>102</v>
      </c>
      <c r="C125" s="2">
        <f t="shared" si="36"/>
        <v>8</v>
      </c>
      <c r="D125" s="2">
        <f t="shared" si="37"/>
        <v>6</v>
      </c>
      <c r="E125" s="2">
        <f t="shared" si="38"/>
        <v>37</v>
      </c>
      <c r="F125" s="1">
        <f t="shared" si="30"/>
        <v>258968.81776972453</v>
      </c>
      <c r="H125" s="1">
        <f t="shared" si="26"/>
        <v>2065.0537196029718</v>
      </c>
      <c r="I125" s="1">
        <v>0</v>
      </c>
      <c r="J125" s="69">
        <f>-SUM(F125:H125)*$J$21</f>
        <v>-2349.3048434039479</v>
      </c>
      <c r="K125" s="1">
        <f t="shared" si="31"/>
        <v>-258.68456664592355</v>
      </c>
      <c r="L125" s="1">
        <f t="shared" si="27"/>
        <v>258425.88207927762</v>
      </c>
      <c r="N125" s="1">
        <f t="shared" si="32"/>
        <v>102</v>
      </c>
      <c r="O125" s="2">
        <f t="shared" si="39"/>
        <v>8</v>
      </c>
      <c r="P125" s="2">
        <f t="shared" si="40"/>
        <v>6</v>
      </c>
      <c r="Q125" s="2">
        <f t="shared" si="41"/>
        <v>8</v>
      </c>
      <c r="R125" s="1">
        <f t="shared" si="33"/>
        <v>1116349.3905885229</v>
      </c>
      <c r="S125" s="4">
        <f>IF($G$4="mensual",S124,0)</f>
        <v>10000</v>
      </c>
      <c r="U125" s="1">
        <f t="shared" si="42"/>
        <v>8981.6682125630578</v>
      </c>
      <c r="V125" s="35">
        <f t="shared" si="44"/>
        <v>-104.28496164088189</v>
      </c>
      <c r="X125" s="35">
        <f t="shared" si="43"/>
        <v>-1135.3310588010859</v>
      </c>
      <c r="Y125" s="1">
        <f t="shared" si="28"/>
        <v>1134091.4427806439</v>
      </c>
      <c r="AA125" s="2">
        <f>+Bono!J125</f>
        <v>162374.46363150654</v>
      </c>
      <c r="AC125" s="10">
        <f t="shared" si="34"/>
        <v>8.5</v>
      </c>
      <c r="AD125" s="1">
        <f t="shared" si="35"/>
        <v>1554891.7884914281</v>
      </c>
    </row>
    <row r="126" spans="2:30">
      <c r="B126" s="1">
        <f t="shared" si="29"/>
        <v>103</v>
      </c>
      <c r="C126" s="2">
        <f t="shared" si="36"/>
        <v>8</v>
      </c>
      <c r="D126" s="2">
        <f t="shared" si="37"/>
        <v>7</v>
      </c>
      <c r="E126" s="2">
        <f t="shared" si="38"/>
        <v>37</v>
      </c>
      <c r="F126" s="1">
        <f t="shared" si="30"/>
        <v>258425.88207927762</v>
      </c>
      <c r="H126" s="1">
        <f t="shared" si="26"/>
        <v>2060.7242741634846</v>
      </c>
      <c r="I126" s="1">
        <v>0</v>
      </c>
      <c r="J126" s="1">
        <v>0</v>
      </c>
      <c r="K126" s="1">
        <f t="shared" si="31"/>
        <v>-260.48660635344112</v>
      </c>
      <c r="L126" s="1">
        <f t="shared" si="27"/>
        <v>260226.11974708768</v>
      </c>
      <c r="N126" s="1">
        <f t="shared" si="32"/>
        <v>103</v>
      </c>
      <c r="O126" s="2">
        <f t="shared" si="39"/>
        <v>8</v>
      </c>
      <c r="P126" s="2">
        <f t="shared" si="40"/>
        <v>7</v>
      </c>
      <c r="Q126" s="2">
        <f t="shared" si="41"/>
        <v>8</v>
      </c>
      <c r="R126" s="1">
        <f t="shared" si="33"/>
        <v>1134091.4427806439</v>
      </c>
      <c r="S126" s="1">
        <f>+IF($G$4="mensual",S120,IF($G$4="trimestral",S120,IF($G$4="semestral",S120,0)))</f>
        <v>10000</v>
      </c>
      <c r="U126" s="1">
        <f t="shared" si="42"/>
        <v>9123.1458282399708</v>
      </c>
      <c r="V126" s="35">
        <f t="shared" si="44"/>
        <v>-104.28496164088189</v>
      </c>
      <c r="X126" s="35">
        <f t="shared" si="43"/>
        <v>-1153.214588608884</v>
      </c>
      <c r="Y126" s="1">
        <f t="shared" si="28"/>
        <v>1151957.0890586344</v>
      </c>
      <c r="AA126" s="2">
        <f>+Bono!J126</f>
        <v>163381.20414029391</v>
      </c>
      <c r="AC126" s="10">
        <f t="shared" si="34"/>
        <v>8.5833333333333339</v>
      </c>
      <c r="AD126" s="1">
        <f t="shared" si="35"/>
        <v>1575564.4129460158</v>
      </c>
    </row>
    <row r="127" spans="2:30">
      <c r="B127" s="1">
        <f t="shared" si="29"/>
        <v>104</v>
      </c>
      <c r="C127" s="2">
        <f t="shared" si="36"/>
        <v>8</v>
      </c>
      <c r="D127" s="2">
        <f t="shared" si="37"/>
        <v>8</v>
      </c>
      <c r="E127" s="2">
        <f t="shared" si="38"/>
        <v>37</v>
      </c>
      <c r="F127" s="1">
        <f t="shared" si="30"/>
        <v>260226.11974708768</v>
      </c>
      <c r="H127" s="1">
        <f t="shared" si="26"/>
        <v>2075.0796221320043</v>
      </c>
      <c r="I127" s="1">
        <v>0</v>
      </c>
      <c r="J127" s="1">
        <v>0</v>
      </c>
      <c r="K127" s="1">
        <f t="shared" si="31"/>
        <v>-262.30119936921966</v>
      </c>
      <c r="L127" s="1">
        <f t="shared" si="27"/>
        <v>262038.89816985044</v>
      </c>
      <c r="N127" s="1">
        <f t="shared" si="32"/>
        <v>104</v>
      </c>
      <c r="O127" s="2">
        <f t="shared" si="39"/>
        <v>8</v>
      </c>
      <c r="P127" s="2">
        <f t="shared" si="40"/>
        <v>8</v>
      </c>
      <c r="Q127" s="2">
        <f t="shared" si="41"/>
        <v>8</v>
      </c>
      <c r="R127" s="1">
        <f t="shared" si="33"/>
        <v>1151957.0890586344</v>
      </c>
      <c r="S127" s="4">
        <f>IF($G$4="mensual",S126,0)</f>
        <v>10000</v>
      </c>
      <c r="U127" s="1">
        <f t="shared" si="42"/>
        <v>9265.6090005137885</v>
      </c>
      <c r="V127" s="35">
        <f t="shared" si="44"/>
        <v>-104.28496164088189</v>
      </c>
      <c r="X127" s="35">
        <f t="shared" si="43"/>
        <v>-1171.2226980591481</v>
      </c>
      <c r="Y127" s="1">
        <f t="shared" si="28"/>
        <v>1169947.1903994482</v>
      </c>
      <c r="AA127" s="2">
        <f>+Bono!J127</f>
        <v>164394.18655701043</v>
      </c>
      <c r="AC127" s="10">
        <f t="shared" si="34"/>
        <v>8.6666666666666661</v>
      </c>
      <c r="AD127" s="1">
        <f t="shared" si="35"/>
        <v>1596380.2751263091</v>
      </c>
    </row>
    <row r="128" spans="2:30">
      <c r="B128" s="1">
        <f t="shared" si="29"/>
        <v>105</v>
      </c>
      <c r="C128" s="2">
        <f t="shared" si="36"/>
        <v>8</v>
      </c>
      <c r="D128" s="2">
        <f t="shared" si="37"/>
        <v>9</v>
      </c>
      <c r="E128" s="2">
        <f t="shared" si="38"/>
        <v>37</v>
      </c>
      <c r="F128" s="1">
        <f t="shared" si="30"/>
        <v>262038.89816985044</v>
      </c>
      <c r="H128" s="1">
        <f t="shared" si="26"/>
        <v>2089.534971841601</v>
      </c>
      <c r="I128" s="1">
        <v>0</v>
      </c>
      <c r="J128" s="69">
        <f>-SUM(F128:H128)*$J$21</f>
        <v>-2377.1558982752285</v>
      </c>
      <c r="K128" s="1">
        <f t="shared" si="31"/>
        <v>-261.75127724341678</v>
      </c>
      <c r="L128" s="1">
        <f t="shared" si="27"/>
        <v>261489.52596617336</v>
      </c>
      <c r="N128" s="1">
        <f t="shared" si="32"/>
        <v>105</v>
      </c>
      <c r="O128" s="2">
        <f t="shared" si="39"/>
        <v>8</v>
      </c>
      <c r="P128" s="2">
        <f t="shared" si="40"/>
        <v>9</v>
      </c>
      <c r="Q128" s="2">
        <f t="shared" si="41"/>
        <v>8</v>
      </c>
      <c r="R128" s="1">
        <f t="shared" si="33"/>
        <v>1169947.1903994482</v>
      </c>
      <c r="S128" s="4">
        <f>IF($G$4="mensual",S127,0)</f>
        <v>10000</v>
      </c>
      <c r="U128" s="1">
        <f t="shared" si="42"/>
        <v>9409.0645949356476</v>
      </c>
      <c r="V128" s="35">
        <f t="shared" si="44"/>
        <v>-104.28496164088189</v>
      </c>
      <c r="X128" s="35">
        <f t="shared" si="43"/>
        <v>-1189.3562549943838</v>
      </c>
      <c r="Y128" s="1">
        <f t="shared" si="28"/>
        <v>1188062.6137777485</v>
      </c>
      <c r="AA128" s="2">
        <f>+Bono!J128</f>
        <v>163923.23832471191</v>
      </c>
      <c r="AC128" s="10">
        <f t="shared" si="34"/>
        <v>8.75</v>
      </c>
      <c r="AD128" s="1">
        <f t="shared" si="35"/>
        <v>1613475.3780686336</v>
      </c>
    </row>
    <row r="129" spans="2:30">
      <c r="B129" s="1">
        <f t="shared" si="29"/>
        <v>106</v>
      </c>
      <c r="C129" s="2">
        <f t="shared" si="36"/>
        <v>8</v>
      </c>
      <c r="D129" s="2">
        <f t="shared" si="37"/>
        <v>10</v>
      </c>
      <c r="E129" s="2">
        <f t="shared" si="38"/>
        <v>37</v>
      </c>
      <c r="F129" s="1">
        <f t="shared" si="30"/>
        <v>261489.52596617336</v>
      </c>
      <c r="H129" s="1">
        <f t="shared" si="26"/>
        <v>2085.1542007417438</v>
      </c>
      <c r="I129" s="1">
        <v>0</v>
      </c>
      <c r="J129" s="1">
        <v>0</v>
      </c>
      <c r="K129" s="1">
        <f t="shared" si="31"/>
        <v>-263.57468016691513</v>
      </c>
      <c r="L129" s="1">
        <f t="shared" si="27"/>
        <v>263311.10548674822</v>
      </c>
      <c r="N129" s="1">
        <f t="shared" si="32"/>
        <v>106</v>
      </c>
      <c r="O129" s="2">
        <f t="shared" si="39"/>
        <v>8</v>
      </c>
      <c r="P129" s="2">
        <f t="shared" si="40"/>
        <v>10</v>
      </c>
      <c r="Q129" s="2">
        <f t="shared" si="41"/>
        <v>8</v>
      </c>
      <c r="R129" s="1">
        <f t="shared" si="33"/>
        <v>1188062.6137777485</v>
      </c>
      <c r="S129" s="4">
        <f>IF($G$4="mensual",S120,IF($G$4="trimestral",S120,0))</f>
        <v>10000</v>
      </c>
      <c r="U129" s="1">
        <f t="shared" si="42"/>
        <v>9553.5195248832606</v>
      </c>
      <c r="V129" s="35">
        <f t="shared" si="44"/>
        <v>-104.28496164088189</v>
      </c>
      <c r="X129" s="35">
        <f t="shared" si="43"/>
        <v>-1207.6161333026319</v>
      </c>
      <c r="Y129" s="1">
        <f t="shared" si="28"/>
        <v>1206304.2322076883</v>
      </c>
      <c r="AA129" s="2">
        <f>+Bono!J129</f>
        <v>164939.58141624392</v>
      </c>
      <c r="AC129" s="10">
        <f t="shared" si="34"/>
        <v>8.8333333333333339</v>
      </c>
      <c r="AD129" s="1">
        <f t="shared" si="35"/>
        <v>1634554.9191106805</v>
      </c>
    </row>
    <row r="130" spans="2:30">
      <c r="B130" s="1">
        <f t="shared" si="29"/>
        <v>107</v>
      </c>
      <c r="C130" s="2">
        <f t="shared" si="36"/>
        <v>8</v>
      </c>
      <c r="D130" s="2">
        <f t="shared" si="37"/>
        <v>11</v>
      </c>
      <c r="E130" s="2">
        <f t="shared" si="38"/>
        <v>37</v>
      </c>
      <c r="F130" s="1">
        <f t="shared" si="30"/>
        <v>263311.10548674822</v>
      </c>
      <c r="H130" s="1">
        <f t="shared" si="26"/>
        <v>2099.6797316412226</v>
      </c>
      <c r="I130" s="1">
        <v>0</v>
      </c>
      <c r="J130" s="1">
        <v>0</v>
      </c>
      <c r="K130" s="1">
        <f t="shared" si="31"/>
        <v>-265.41078521838944</v>
      </c>
      <c r="L130" s="1">
        <f t="shared" si="27"/>
        <v>265145.374433171</v>
      </c>
      <c r="N130" s="1">
        <f t="shared" si="32"/>
        <v>107</v>
      </c>
      <c r="O130" s="2">
        <f t="shared" si="39"/>
        <v>8</v>
      </c>
      <c r="P130" s="2">
        <f t="shared" si="40"/>
        <v>11</v>
      </c>
      <c r="Q130" s="2">
        <f t="shared" si="41"/>
        <v>8</v>
      </c>
      <c r="R130" s="1">
        <f t="shared" si="33"/>
        <v>1206304.2322076883</v>
      </c>
      <c r="S130" s="1">
        <f>IF($G$17="si",S118*(1+$G$20),S118)</f>
        <v>10000</v>
      </c>
      <c r="U130" s="1">
        <f t="shared" si="42"/>
        <v>9698.9807518940797</v>
      </c>
      <c r="V130" s="35">
        <f t="shared" si="44"/>
        <v>-104.28496164088189</v>
      </c>
      <c r="X130" s="35">
        <f t="shared" si="43"/>
        <v>-1226.0032129595825</v>
      </c>
      <c r="Y130" s="1">
        <f t="shared" si="28"/>
        <v>1224672.9247849821</v>
      </c>
      <c r="AA130" s="2">
        <f>+Bono!J130</f>
        <v>165962.22595283191</v>
      </c>
      <c r="AC130" s="10">
        <f t="shared" si="34"/>
        <v>8.9166666666666661</v>
      </c>
      <c r="AD130" s="1">
        <f t="shared" si="35"/>
        <v>1655780.5251709851</v>
      </c>
    </row>
    <row r="131" spans="2:30">
      <c r="B131" s="1">
        <f t="shared" si="29"/>
        <v>108</v>
      </c>
      <c r="C131" s="2">
        <f t="shared" si="36"/>
        <v>8</v>
      </c>
      <c r="D131" s="2">
        <f t="shared" si="37"/>
        <v>12</v>
      </c>
      <c r="E131" s="2">
        <f t="shared" si="38"/>
        <v>37</v>
      </c>
      <c r="F131" s="1">
        <f t="shared" si="30"/>
        <v>265145.374433171</v>
      </c>
      <c r="H131" s="1">
        <f t="shared" si="26"/>
        <v>2114.3064498043755</v>
      </c>
      <c r="I131" s="1">
        <v>0</v>
      </c>
      <c r="J131" s="69">
        <f>-SUM(F131:H131)*$J$21</f>
        <v>-2405.3371279467788</v>
      </c>
      <c r="K131" s="1">
        <f t="shared" si="31"/>
        <v>-264.85434375502865</v>
      </c>
      <c r="L131" s="1">
        <f t="shared" si="27"/>
        <v>264589.48941127356</v>
      </c>
      <c r="N131" s="1">
        <f t="shared" si="32"/>
        <v>108</v>
      </c>
      <c r="O131" s="2">
        <f t="shared" si="39"/>
        <v>8</v>
      </c>
      <c r="P131" s="2">
        <f t="shared" si="40"/>
        <v>12</v>
      </c>
      <c r="Q131" s="2">
        <f t="shared" si="41"/>
        <v>8</v>
      </c>
      <c r="R131" s="1">
        <f t="shared" si="33"/>
        <v>1224672.9247849821</v>
      </c>
      <c r="S131" s="4">
        <f>IF($G$4="mensual",S130,0)</f>
        <v>10000</v>
      </c>
      <c r="U131" s="1">
        <f t="shared" si="42"/>
        <v>9845.4552860007825</v>
      </c>
      <c r="V131" s="35">
        <f t="shared" si="44"/>
        <v>-104.28496164088189</v>
      </c>
      <c r="X131" s="35">
        <f t="shared" si="43"/>
        <v>-1244.5183800709831</v>
      </c>
      <c r="Y131" s="1">
        <f t="shared" si="28"/>
        <v>1243169.5767292711</v>
      </c>
      <c r="AA131" s="2">
        <f>+Bono!J131</f>
        <v>165486.78567980431</v>
      </c>
      <c r="AC131" s="10">
        <f t="shared" si="34"/>
        <v>9</v>
      </c>
      <c r="AD131" s="1">
        <f t="shared" si="35"/>
        <v>1673245.851820349</v>
      </c>
    </row>
    <row r="132" spans="2:30">
      <c r="B132" s="1">
        <f t="shared" si="29"/>
        <v>109</v>
      </c>
      <c r="C132" s="2">
        <f t="shared" si="36"/>
        <v>9</v>
      </c>
      <c r="D132" s="2">
        <f t="shared" si="37"/>
        <v>1</v>
      </c>
      <c r="E132" s="2">
        <f t="shared" si="38"/>
        <v>38</v>
      </c>
      <c r="F132" s="1">
        <f t="shared" si="30"/>
        <v>264589.48941127356</v>
      </c>
      <c r="H132" s="1">
        <f t="shared" si="26"/>
        <v>2109.8737445774409</v>
      </c>
      <c r="I132" s="1">
        <v>0</v>
      </c>
      <c r="J132" s="1">
        <v>0</v>
      </c>
      <c r="K132" s="1">
        <f t="shared" si="31"/>
        <v>-266.69936315585102</v>
      </c>
      <c r="L132" s="1">
        <f t="shared" si="27"/>
        <v>266432.66379269515</v>
      </c>
      <c r="N132" s="1">
        <f t="shared" si="32"/>
        <v>109</v>
      </c>
      <c r="O132" s="2">
        <f t="shared" si="39"/>
        <v>9</v>
      </c>
      <c r="P132" s="2">
        <f t="shared" si="40"/>
        <v>1</v>
      </c>
      <c r="Q132" s="2">
        <f t="shared" si="41"/>
        <v>9</v>
      </c>
      <c r="R132" s="1">
        <f t="shared" si="33"/>
        <v>1243169.5767292711</v>
      </c>
      <c r="S132" s="1">
        <f>IF($G$17="si",S120*(1+$G$20),S120)</f>
        <v>10000</v>
      </c>
      <c r="U132" s="1">
        <f t="shared" si="42"/>
        <v>9992.950186069098</v>
      </c>
      <c r="V132" s="35">
        <f>(V131*(1+$G$18))</f>
        <v>-108.45636010651717</v>
      </c>
      <c r="X132" s="35">
        <f t="shared" si="43"/>
        <v>-1263.1625269153403</v>
      </c>
      <c r="Y132" s="1">
        <f t="shared" si="28"/>
        <v>1261790.9080283183</v>
      </c>
      <c r="AA132" s="2">
        <f>+Bono!J132</f>
        <v>166512.82294629814</v>
      </c>
      <c r="AC132" s="10">
        <f t="shared" si="34"/>
        <v>9.0833333333333339</v>
      </c>
      <c r="AD132" s="1">
        <f t="shared" si="35"/>
        <v>1694736.3947673116</v>
      </c>
    </row>
    <row r="133" spans="2:30">
      <c r="B133" s="1">
        <f t="shared" si="29"/>
        <v>110</v>
      </c>
      <c r="C133" s="2">
        <f t="shared" si="36"/>
        <v>9</v>
      </c>
      <c r="D133" s="2">
        <f t="shared" si="37"/>
        <v>2</v>
      </c>
      <c r="E133" s="2">
        <f t="shared" si="38"/>
        <v>38</v>
      </c>
      <c r="F133" s="1">
        <f t="shared" si="30"/>
        <v>266432.66379269515</v>
      </c>
      <c r="H133" s="1">
        <f t="shared" si="26"/>
        <v>2124.5714759298544</v>
      </c>
      <c r="I133" s="1">
        <v>0</v>
      </c>
      <c r="J133" s="1">
        <v>0</v>
      </c>
      <c r="K133" s="1">
        <f t="shared" si="31"/>
        <v>-268.55723526862505</v>
      </c>
      <c r="L133" s="1">
        <f t="shared" si="27"/>
        <v>268288.67803335638</v>
      </c>
      <c r="N133" s="1">
        <f t="shared" si="32"/>
        <v>110</v>
      </c>
      <c r="O133" s="2">
        <f t="shared" si="39"/>
        <v>9</v>
      </c>
      <c r="P133" s="2">
        <f t="shared" si="40"/>
        <v>2</v>
      </c>
      <c r="Q133" s="2">
        <f t="shared" si="41"/>
        <v>9</v>
      </c>
      <c r="R133" s="1">
        <f t="shared" si="33"/>
        <v>1261790.9080283183</v>
      </c>
      <c r="S133" s="4">
        <f>IF($G$4="mensual",S132,0)</f>
        <v>10000</v>
      </c>
      <c r="U133" s="1">
        <f t="shared" si="42"/>
        <v>10141.439296820841</v>
      </c>
      <c r="V133" s="35">
        <f t="shared" si="44"/>
        <v>-108.45636010651717</v>
      </c>
      <c r="X133" s="35">
        <f t="shared" si="43"/>
        <v>-1281.9323473251393</v>
      </c>
      <c r="Y133" s="1">
        <f t="shared" si="28"/>
        <v>1280541.9586177075</v>
      </c>
      <c r="AA133" s="2">
        <f>+Bono!J133</f>
        <v>167545.2217628572</v>
      </c>
      <c r="AC133" s="10">
        <f t="shared" si="34"/>
        <v>9.1666666666666661</v>
      </c>
      <c r="AD133" s="1">
        <f t="shared" si="35"/>
        <v>1716375.858413921</v>
      </c>
    </row>
    <row r="134" spans="2:30">
      <c r="B134" s="1">
        <f t="shared" si="29"/>
        <v>111</v>
      </c>
      <c r="C134" s="2">
        <f t="shared" si="36"/>
        <v>9</v>
      </c>
      <c r="D134" s="2">
        <f t="shared" si="37"/>
        <v>3</v>
      </c>
      <c r="E134" s="2">
        <f t="shared" si="38"/>
        <v>38</v>
      </c>
      <c r="F134" s="1">
        <f t="shared" si="30"/>
        <v>268288.67803335638</v>
      </c>
      <c r="H134" s="1">
        <f t="shared" si="26"/>
        <v>2139.3715941229325</v>
      </c>
      <c r="I134" s="1">
        <v>0</v>
      </c>
      <c r="J134" s="69">
        <f>-SUM(F134:H134)*$J$21</f>
        <v>-2433.8524466473145</v>
      </c>
      <c r="K134" s="1">
        <f t="shared" si="31"/>
        <v>-267.99419718083203</v>
      </c>
      <c r="L134" s="1">
        <f t="shared" si="27"/>
        <v>267726.20298365119</v>
      </c>
      <c r="N134" s="1">
        <f t="shared" si="32"/>
        <v>111</v>
      </c>
      <c r="O134" s="2">
        <f t="shared" si="39"/>
        <v>9</v>
      </c>
      <c r="P134" s="2">
        <f t="shared" si="40"/>
        <v>3</v>
      </c>
      <c r="Q134" s="2">
        <f t="shared" si="41"/>
        <v>9</v>
      </c>
      <c r="R134" s="1">
        <f t="shared" si="33"/>
        <v>1280541.9586177075</v>
      </c>
      <c r="S134" s="4">
        <f>IF($G$4="mensual",S133,0)</f>
        <v>10000</v>
      </c>
      <c r="U134" s="1">
        <f t="shared" si="42"/>
        <v>10290.962807410109</v>
      </c>
      <c r="V134" s="35">
        <f t="shared" si="44"/>
        <v>-108.45636010651717</v>
      </c>
      <c r="X134" s="35">
        <f t="shared" si="43"/>
        <v>-1300.8329214251178</v>
      </c>
      <c r="Y134" s="1">
        <f t="shared" si="28"/>
        <v>1299423.6321435859</v>
      </c>
      <c r="AA134" s="2">
        <f>+Bono!J134</f>
        <v>167065.24660271415</v>
      </c>
      <c r="AC134" s="10">
        <f t="shared" si="34"/>
        <v>9.25</v>
      </c>
      <c r="AD134" s="1">
        <f t="shared" si="35"/>
        <v>1734215.0817299513</v>
      </c>
    </row>
    <row r="135" spans="2:30">
      <c r="B135" s="1">
        <f t="shared" si="29"/>
        <v>112</v>
      </c>
      <c r="C135" s="2">
        <f t="shared" si="36"/>
        <v>9</v>
      </c>
      <c r="D135" s="2">
        <f t="shared" si="37"/>
        <v>4</v>
      </c>
      <c r="E135" s="2">
        <f t="shared" si="38"/>
        <v>38</v>
      </c>
      <c r="F135" s="1">
        <f t="shared" si="30"/>
        <v>267726.20298365119</v>
      </c>
      <c r="H135" s="1">
        <f t="shared" si="26"/>
        <v>2134.8863390888287</v>
      </c>
      <c r="I135" s="1">
        <v>0</v>
      </c>
      <c r="J135" s="1">
        <v>0</v>
      </c>
      <c r="K135" s="1">
        <f t="shared" si="31"/>
        <v>-269.86108932274004</v>
      </c>
      <c r="L135" s="1">
        <f t="shared" si="27"/>
        <v>269591.22823341732</v>
      </c>
      <c r="N135" s="1">
        <f t="shared" si="32"/>
        <v>112</v>
      </c>
      <c r="O135" s="2">
        <f t="shared" si="39"/>
        <v>9</v>
      </c>
      <c r="P135" s="2">
        <f t="shared" si="40"/>
        <v>4</v>
      </c>
      <c r="Q135" s="2">
        <f t="shared" si="41"/>
        <v>9</v>
      </c>
      <c r="R135" s="1">
        <f t="shared" si="33"/>
        <v>1299423.6321435859</v>
      </c>
      <c r="S135" s="4">
        <f>IF($G$4="mensual",S132,IF($G$4="trimestral",S132,0))</f>
        <v>10000</v>
      </c>
      <c r="U135" s="1">
        <f t="shared" si="42"/>
        <v>10441.527923638179</v>
      </c>
      <c r="V135" s="35">
        <f t="shared" si="44"/>
        <v>-108.45636010651717</v>
      </c>
      <c r="X135" s="35">
        <f t="shared" si="43"/>
        <v>-1319.8651600672242</v>
      </c>
      <c r="Y135" s="1">
        <f t="shared" si="28"/>
        <v>1318436.8385470503</v>
      </c>
      <c r="AA135" s="2">
        <f>+Bono!J135</f>
        <v>168101.07051002013</v>
      </c>
      <c r="AC135" s="10">
        <f t="shared" si="34"/>
        <v>9.3333333333333339</v>
      </c>
      <c r="AD135" s="1">
        <f t="shared" si="35"/>
        <v>1756129.1372904878</v>
      </c>
    </row>
    <row r="136" spans="2:30">
      <c r="B136" s="1">
        <f t="shared" si="29"/>
        <v>113</v>
      </c>
      <c r="C136" s="2">
        <f t="shared" si="36"/>
        <v>9</v>
      </c>
      <c r="D136" s="2">
        <f t="shared" si="37"/>
        <v>5</v>
      </c>
      <c r="E136" s="2">
        <f t="shared" si="38"/>
        <v>38</v>
      </c>
      <c r="F136" s="1">
        <f t="shared" si="30"/>
        <v>269591.22823341732</v>
      </c>
      <c r="H136" s="1">
        <f t="shared" si="26"/>
        <v>2149.758312333915</v>
      </c>
      <c r="I136" s="1">
        <v>0</v>
      </c>
      <c r="J136" s="1">
        <v>0</v>
      </c>
      <c r="K136" s="1">
        <f t="shared" si="31"/>
        <v>-271.74098654575124</v>
      </c>
      <c r="L136" s="1">
        <f t="shared" si="27"/>
        <v>271469.24555920548</v>
      </c>
      <c r="N136" s="1">
        <f t="shared" si="32"/>
        <v>113</v>
      </c>
      <c r="O136" s="2">
        <f t="shared" si="39"/>
        <v>9</v>
      </c>
      <c r="P136" s="2">
        <f t="shared" si="40"/>
        <v>5</v>
      </c>
      <c r="Q136" s="2">
        <f t="shared" si="41"/>
        <v>9</v>
      </c>
      <c r="R136" s="1">
        <f t="shared" si="33"/>
        <v>1318436.8385470503</v>
      </c>
      <c r="S136" s="4">
        <f>IF($G$4="mensual",S135,0)</f>
        <v>10000</v>
      </c>
      <c r="U136" s="1">
        <f t="shared" si="42"/>
        <v>10593.141901503135</v>
      </c>
      <c r="V136" s="35">
        <f t="shared" si="44"/>
        <v>-108.45636010651717</v>
      </c>
      <c r="X136" s="35">
        <f t="shared" si="43"/>
        <v>-1339.0299804485533</v>
      </c>
      <c r="Y136" s="1">
        <f t="shared" si="28"/>
        <v>1337582.4941079982</v>
      </c>
      <c r="AA136" s="2">
        <f>+Bono!J136</f>
        <v>169143.31664569958</v>
      </c>
      <c r="AC136" s="10">
        <f t="shared" si="34"/>
        <v>9.4166666666666661</v>
      </c>
      <c r="AD136" s="1">
        <f t="shared" si="35"/>
        <v>1778195.0563129033</v>
      </c>
    </row>
    <row r="137" spans="2:30">
      <c r="B137" s="1">
        <f t="shared" si="29"/>
        <v>114</v>
      </c>
      <c r="C137" s="2">
        <f t="shared" si="36"/>
        <v>9</v>
      </c>
      <c r="D137" s="2">
        <f t="shared" si="37"/>
        <v>6</v>
      </c>
      <c r="E137" s="2">
        <f t="shared" si="38"/>
        <v>38</v>
      </c>
      <c r="F137" s="1">
        <f t="shared" si="30"/>
        <v>271469.24555920548</v>
      </c>
      <c r="H137" s="1">
        <f t="shared" si="26"/>
        <v>2164.7338862176639</v>
      </c>
      <c r="I137" s="1">
        <v>0</v>
      </c>
      <c r="J137" s="69">
        <f>-SUM(F137:H137)*$J$21</f>
        <v>-2462.7058150088083</v>
      </c>
      <c r="K137" s="1">
        <f t="shared" si="31"/>
        <v>-271.17127363041436</v>
      </c>
      <c r="L137" s="1">
        <f t="shared" si="27"/>
        <v>270900.10235678393</v>
      </c>
      <c r="N137" s="1">
        <f t="shared" si="32"/>
        <v>114</v>
      </c>
      <c r="O137" s="2">
        <f t="shared" si="39"/>
        <v>9</v>
      </c>
      <c r="P137" s="2">
        <f t="shared" si="40"/>
        <v>6</v>
      </c>
      <c r="Q137" s="2">
        <f t="shared" si="41"/>
        <v>9</v>
      </c>
      <c r="R137" s="1">
        <f t="shared" si="33"/>
        <v>1337582.4941079982</v>
      </c>
      <c r="S137" s="4">
        <f>IF($G$4="mensual",S136,0)</f>
        <v>10000</v>
      </c>
      <c r="U137" s="1">
        <f t="shared" si="42"/>
        <v>10745.812047549558</v>
      </c>
      <c r="V137" s="35">
        <f t="shared" si="44"/>
        <v>-108.45636010651717</v>
      </c>
      <c r="X137" s="35">
        <f t="shared" si="43"/>
        <v>-1358.3283061555478</v>
      </c>
      <c r="Y137" s="1">
        <f t="shared" si="28"/>
        <v>1356861.5214892856</v>
      </c>
      <c r="AA137" s="2">
        <f>+Bono!J137</f>
        <v>168658.76334337358</v>
      </c>
      <c r="AC137" s="10">
        <f t="shared" si="34"/>
        <v>9.5</v>
      </c>
      <c r="AD137" s="1">
        <f t="shared" si="35"/>
        <v>1796420.3871894432</v>
      </c>
    </row>
    <row r="138" spans="2:30">
      <c r="B138" s="1">
        <f t="shared" si="29"/>
        <v>115</v>
      </c>
      <c r="C138" s="2">
        <f t="shared" si="36"/>
        <v>9</v>
      </c>
      <c r="D138" s="2">
        <f t="shared" si="37"/>
        <v>7</v>
      </c>
      <c r="E138" s="2">
        <f t="shared" si="38"/>
        <v>38</v>
      </c>
      <c r="F138" s="1">
        <f t="shared" si="30"/>
        <v>270900.10235678393</v>
      </c>
      <c r="H138" s="1">
        <f t="shared" si="26"/>
        <v>2160.1954583973989</v>
      </c>
      <c r="I138" s="1">
        <v>0</v>
      </c>
      <c r="J138" s="1">
        <v>0</v>
      </c>
      <c r="K138" s="1">
        <f t="shared" si="31"/>
        <v>-273.06029781518134</v>
      </c>
      <c r="L138" s="1">
        <f t="shared" si="27"/>
        <v>272787.23751736613</v>
      </c>
      <c r="N138" s="1">
        <f t="shared" si="32"/>
        <v>115</v>
      </c>
      <c r="O138" s="2">
        <f t="shared" si="39"/>
        <v>9</v>
      </c>
      <c r="P138" s="2">
        <f t="shared" si="40"/>
        <v>7</v>
      </c>
      <c r="Q138" s="2">
        <f t="shared" si="41"/>
        <v>9</v>
      </c>
      <c r="R138" s="1">
        <f t="shared" si="33"/>
        <v>1356861.5214892856</v>
      </c>
      <c r="S138" s="1">
        <f>+IF($G$4="mensual",S132,IF($G$4="trimestral",S132,IF($G$4="semestral",S132,0)))</f>
        <v>10000</v>
      </c>
      <c r="U138" s="1">
        <f t="shared" si="42"/>
        <v>10899.545719220623</v>
      </c>
      <c r="V138" s="35">
        <f t="shared" si="44"/>
        <v>-108.45636010651717</v>
      </c>
      <c r="X138" s="35">
        <f t="shared" si="43"/>
        <v>-1377.7610672085061</v>
      </c>
      <c r="Y138" s="1">
        <f t="shared" si="28"/>
        <v>1376274.849781191</v>
      </c>
      <c r="AA138" s="2">
        <f>+Bono!J138</f>
        <v>169704.46723930814</v>
      </c>
      <c r="AC138" s="10">
        <f t="shared" si="34"/>
        <v>9.5833333333333339</v>
      </c>
      <c r="AD138" s="1">
        <f t="shared" si="35"/>
        <v>1818766.5545378653</v>
      </c>
    </row>
    <row r="139" spans="2:30">
      <c r="B139" s="1">
        <f t="shared" si="29"/>
        <v>116</v>
      </c>
      <c r="C139" s="2">
        <f t="shared" si="36"/>
        <v>9</v>
      </c>
      <c r="D139" s="2">
        <f t="shared" si="37"/>
        <v>8</v>
      </c>
      <c r="E139" s="2">
        <f t="shared" si="38"/>
        <v>38</v>
      </c>
      <c r="F139" s="1">
        <f t="shared" si="30"/>
        <v>272787.23751736613</v>
      </c>
      <c r="H139" s="1">
        <f t="shared" si="26"/>
        <v>2175.2437391762028</v>
      </c>
      <c r="I139" s="1">
        <v>0</v>
      </c>
      <c r="J139" s="1">
        <v>0</v>
      </c>
      <c r="K139" s="1">
        <f t="shared" si="31"/>
        <v>-274.96248125654233</v>
      </c>
      <c r="L139" s="1">
        <f t="shared" si="27"/>
        <v>274687.5187752858</v>
      </c>
      <c r="N139" s="1">
        <f t="shared" si="32"/>
        <v>116</v>
      </c>
      <c r="O139" s="2">
        <f t="shared" si="39"/>
        <v>9</v>
      </c>
      <c r="P139" s="2">
        <f t="shared" si="40"/>
        <v>8</v>
      </c>
      <c r="Q139" s="2">
        <f t="shared" si="41"/>
        <v>9</v>
      </c>
      <c r="R139" s="1">
        <f t="shared" si="33"/>
        <v>1376274.849781191</v>
      </c>
      <c r="S139" s="4">
        <f>IF($G$4="mensual",S138,0)</f>
        <v>10000</v>
      </c>
      <c r="U139" s="1">
        <f t="shared" si="42"/>
        <v>11054.350325212688</v>
      </c>
      <c r="V139" s="35">
        <f t="shared" si="44"/>
        <v>-108.45636010651717</v>
      </c>
      <c r="X139" s="35">
        <f t="shared" si="43"/>
        <v>-1397.3292001064035</v>
      </c>
      <c r="Y139" s="1">
        <f t="shared" si="28"/>
        <v>1395823.4145461905</v>
      </c>
      <c r="AA139" s="2">
        <f>+Bono!J139</f>
        <v>170756.65462069167</v>
      </c>
      <c r="AC139" s="10">
        <f t="shared" si="34"/>
        <v>9.6666666666666661</v>
      </c>
      <c r="AD139" s="1">
        <f t="shared" si="35"/>
        <v>1841267.5879421681</v>
      </c>
    </row>
    <row r="140" spans="2:30">
      <c r="B140" s="1">
        <f t="shared" si="29"/>
        <v>117</v>
      </c>
      <c r="C140" s="2">
        <f t="shared" si="36"/>
        <v>9</v>
      </c>
      <c r="D140" s="2">
        <f t="shared" si="37"/>
        <v>9</v>
      </c>
      <c r="E140" s="2">
        <f t="shared" si="38"/>
        <v>38</v>
      </c>
      <c r="F140" s="1">
        <f t="shared" si="30"/>
        <v>274687.5187752858</v>
      </c>
      <c r="H140" s="1">
        <f t="shared" si="26"/>
        <v>2190.3968487812685</v>
      </c>
      <c r="I140" s="1">
        <v>0</v>
      </c>
      <c r="J140" s="69">
        <f>-SUM(F140:H140)*$J$21</f>
        <v>-2491.9012406166039</v>
      </c>
      <c r="K140" s="1">
        <f t="shared" si="31"/>
        <v>-274.38601438345046</v>
      </c>
      <c r="L140" s="1">
        <f t="shared" si="27"/>
        <v>274111.62836906698</v>
      </c>
      <c r="N140" s="1">
        <f t="shared" si="32"/>
        <v>117</v>
      </c>
      <c r="O140" s="2">
        <f t="shared" si="39"/>
        <v>9</v>
      </c>
      <c r="P140" s="2">
        <f t="shared" si="40"/>
        <v>9</v>
      </c>
      <c r="Q140" s="2">
        <f t="shared" si="41"/>
        <v>9</v>
      </c>
      <c r="R140" s="1">
        <f t="shared" si="33"/>
        <v>1395823.4145461905</v>
      </c>
      <c r="S140" s="4">
        <f>IF($G$4="mensual",S139,0)</f>
        <v>10000</v>
      </c>
      <c r="U140" s="1">
        <f t="shared" si="42"/>
        <v>11210.233325832314</v>
      </c>
      <c r="V140" s="35">
        <f t="shared" si="44"/>
        <v>-108.45636010651717</v>
      </c>
      <c r="X140" s="35">
        <f t="shared" si="43"/>
        <v>-1417.0336478720228</v>
      </c>
      <c r="Y140" s="1">
        <f t="shared" si="28"/>
        <v>1415508.1578640442</v>
      </c>
      <c r="AA140" s="2">
        <f>+Bono!J140</f>
        <v>170267.47950853565</v>
      </c>
      <c r="AC140" s="10">
        <f t="shared" si="34"/>
        <v>9.75</v>
      </c>
      <c r="AD140" s="1">
        <f t="shared" si="35"/>
        <v>1859887.2657416468</v>
      </c>
    </row>
    <row r="141" spans="2:30">
      <c r="B141" s="1">
        <f t="shared" si="29"/>
        <v>118</v>
      </c>
      <c r="C141" s="2">
        <f t="shared" si="36"/>
        <v>9</v>
      </c>
      <c r="D141" s="2">
        <f t="shared" si="37"/>
        <v>10</v>
      </c>
      <c r="E141" s="2">
        <f t="shared" si="38"/>
        <v>38</v>
      </c>
      <c r="F141" s="1">
        <f t="shared" si="30"/>
        <v>274111.62836906698</v>
      </c>
      <c r="H141" s="1">
        <f t="shared" si="26"/>
        <v>2185.804617810421</v>
      </c>
      <c r="I141" s="1">
        <v>0</v>
      </c>
      <c r="J141" s="1">
        <v>0</v>
      </c>
      <c r="K141" s="1">
        <f t="shared" si="31"/>
        <v>-276.29743298687742</v>
      </c>
      <c r="L141" s="1">
        <f t="shared" si="27"/>
        <v>276021.13555389049</v>
      </c>
      <c r="N141" s="1">
        <f t="shared" si="32"/>
        <v>118</v>
      </c>
      <c r="O141" s="2">
        <f t="shared" si="39"/>
        <v>9</v>
      </c>
      <c r="P141" s="2">
        <f t="shared" si="40"/>
        <v>10</v>
      </c>
      <c r="Q141" s="2">
        <f t="shared" si="41"/>
        <v>9</v>
      </c>
      <c r="R141" s="1">
        <f t="shared" si="33"/>
        <v>1415508.1578640442</v>
      </c>
      <c r="S141" s="4">
        <f>IF($G$4="mensual",S132,IF($G$4="trimestral",S132,0))</f>
        <v>10000</v>
      </c>
      <c r="U141" s="1">
        <f t="shared" si="42"/>
        <v>11367.202233355803</v>
      </c>
      <c r="V141" s="35">
        <f t="shared" si="44"/>
        <v>-108.45636010651717</v>
      </c>
      <c r="X141" s="35">
        <f t="shared" si="43"/>
        <v>-1436.8753600973998</v>
      </c>
      <c r="Y141" s="1">
        <f t="shared" si="28"/>
        <v>1435330.0283771958</v>
      </c>
      <c r="AA141" s="2">
        <f>+Bono!J141</f>
        <v>171323.15763129375</v>
      </c>
      <c r="AC141" s="10">
        <f t="shared" si="34"/>
        <v>9.8333333333333339</v>
      </c>
      <c r="AD141" s="1">
        <f t="shared" si="35"/>
        <v>1882674.3215623801</v>
      </c>
    </row>
    <row r="142" spans="2:30">
      <c r="B142" s="1">
        <f t="shared" si="29"/>
        <v>119</v>
      </c>
      <c r="C142" s="2">
        <f t="shared" si="36"/>
        <v>9</v>
      </c>
      <c r="D142" s="2">
        <f t="shared" si="37"/>
        <v>11</v>
      </c>
      <c r="E142" s="2">
        <f t="shared" si="38"/>
        <v>38</v>
      </c>
      <c r="F142" s="1">
        <f t="shared" si="30"/>
        <v>276021.13555389049</v>
      </c>
      <c r="H142" s="1">
        <f t="shared" si="26"/>
        <v>2201.0312962522044</v>
      </c>
      <c r="I142" s="1">
        <v>0</v>
      </c>
      <c r="J142" s="1">
        <v>0</v>
      </c>
      <c r="K142" s="1">
        <f t="shared" si="31"/>
        <v>-278.22216685014268</v>
      </c>
      <c r="L142" s="1">
        <f t="shared" si="27"/>
        <v>277943.94468329259</v>
      </c>
      <c r="N142" s="1">
        <f t="shared" si="32"/>
        <v>119</v>
      </c>
      <c r="O142" s="2">
        <f t="shared" si="39"/>
        <v>9</v>
      </c>
      <c r="P142" s="2">
        <f t="shared" si="40"/>
        <v>11</v>
      </c>
      <c r="Q142" s="2">
        <f t="shared" si="41"/>
        <v>9</v>
      </c>
      <c r="R142" s="1">
        <f t="shared" si="33"/>
        <v>1435330.0283771958</v>
      </c>
      <c r="S142" s="1">
        <f>IF($G$17="si",S130*(1+$G$20),S130)</f>
        <v>10000</v>
      </c>
      <c r="U142" s="1">
        <f t="shared" si="42"/>
        <v>11525.264612391222</v>
      </c>
      <c r="V142" s="35">
        <f t="shared" si="44"/>
        <v>-108.45636010651717</v>
      </c>
      <c r="X142" s="35">
        <f t="shared" si="43"/>
        <v>-1456.855292989587</v>
      </c>
      <c r="Y142" s="1">
        <f t="shared" si="28"/>
        <v>1455289.9813364907</v>
      </c>
      <c r="AA142" s="2">
        <f>+Bono!J142</f>
        <v>172385.38108086406</v>
      </c>
      <c r="AC142" s="10">
        <f t="shared" si="34"/>
        <v>9.9166666666666661</v>
      </c>
      <c r="AD142" s="1">
        <f t="shared" si="35"/>
        <v>1905619.3071006474</v>
      </c>
    </row>
    <row r="143" spans="2:30">
      <c r="B143" s="1">
        <f t="shared" si="29"/>
        <v>120</v>
      </c>
      <c r="C143" s="2">
        <f t="shared" si="36"/>
        <v>9</v>
      </c>
      <c r="D143" s="2">
        <f t="shared" si="37"/>
        <v>12</v>
      </c>
      <c r="E143" s="2">
        <f t="shared" si="38"/>
        <v>38</v>
      </c>
      <c r="F143" s="1">
        <f t="shared" si="30"/>
        <v>277943.94468329259</v>
      </c>
      <c r="H143" s="1">
        <f t="shared" si="26"/>
        <v>2216.3640462680351</v>
      </c>
      <c r="I143" s="1">
        <v>0</v>
      </c>
      <c r="J143" s="69">
        <f>-SUM(F143:H143)*$J$21</f>
        <v>-2521.4427785660459</v>
      </c>
      <c r="K143" s="1">
        <f t="shared" si="31"/>
        <v>-277.63886595099461</v>
      </c>
      <c r="L143" s="1">
        <f t="shared" si="27"/>
        <v>277361.22708504362</v>
      </c>
      <c r="N143" s="1">
        <f t="shared" si="32"/>
        <v>120</v>
      </c>
      <c r="O143" s="2">
        <f t="shared" si="39"/>
        <v>9</v>
      </c>
      <c r="P143" s="2">
        <f t="shared" si="40"/>
        <v>12</v>
      </c>
      <c r="Q143" s="2">
        <f t="shared" si="41"/>
        <v>9</v>
      </c>
      <c r="R143" s="1">
        <f t="shared" si="33"/>
        <v>1455289.9813364907</v>
      </c>
      <c r="S143" s="4">
        <f>IF($G$4="mensual",S142,0)</f>
        <v>10000</v>
      </c>
      <c r="U143" s="1">
        <f t="shared" si="42"/>
        <v>11684.428080242953</v>
      </c>
      <c r="V143" s="35">
        <f t="shared" si="44"/>
        <v>-108.45636010651717</v>
      </c>
      <c r="X143" s="35">
        <f t="shared" si="43"/>
        <v>-1476.9744094167338</v>
      </c>
      <c r="Y143" s="1">
        <f t="shared" si="28"/>
        <v>1475388.9786472104</v>
      </c>
      <c r="AA143" s="2">
        <f>+Bono!J143</f>
        <v>171891.54007471638</v>
      </c>
      <c r="AC143" s="10">
        <f t="shared" si="34"/>
        <v>10</v>
      </c>
      <c r="AD143" s="1">
        <f t="shared" si="35"/>
        <v>1924641.7458069704</v>
      </c>
    </row>
    <row r="144" spans="2:30">
      <c r="B144" s="1">
        <f t="shared" si="29"/>
        <v>121</v>
      </c>
      <c r="C144" s="2">
        <f t="shared" si="36"/>
        <v>10</v>
      </c>
      <c r="D144" s="2">
        <f t="shared" si="37"/>
        <v>1</v>
      </c>
      <c r="E144" s="2">
        <f t="shared" si="38"/>
        <v>39</v>
      </c>
      <c r="F144" s="1">
        <f t="shared" si="30"/>
        <v>277361.22708504362</v>
      </c>
      <c r="H144" s="1">
        <f t="shared" si="26"/>
        <v>2211.7173743092039</v>
      </c>
      <c r="I144" s="1">
        <v>0</v>
      </c>
      <c r="J144" s="1">
        <v>0</v>
      </c>
      <c r="K144" s="1">
        <f t="shared" si="31"/>
        <v>-279.57294445935281</v>
      </c>
      <c r="L144" s="1">
        <f t="shared" si="27"/>
        <v>279293.37151489349</v>
      </c>
      <c r="N144" s="1">
        <f t="shared" si="32"/>
        <v>121</v>
      </c>
      <c r="O144" s="2">
        <f t="shared" si="39"/>
        <v>10</v>
      </c>
      <c r="P144" s="2">
        <f t="shared" si="40"/>
        <v>1</v>
      </c>
      <c r="Q144" s="2">
        <f t="shared" si="41"/>
        <v>10</v>
      </c>
      <c r="R144" s="1">
        <f t="shared" si="33"/>
        <v>1475388.9786472104</v>
      </c>
      <c r="S144" s="1">
        <f>IF($G$17="si",S132*(1+$G$20),S132)</f>
        <v>10000</v>
      </c>
      <c r="U144" s="1">
        <f t="shared" si="42"/>
        <v>11844.70030727879</v>
      </c>
      <c r="V144" s="35">
        <f>(V143*(1+$G$18))</f>
        <v>-112.79461451077786</v>
      </c>
      <c r="X144" s="35">
        <f t="shared" si="43"/>
        <v>-1497.2336789544893</v>
      </c>
      <c r="Y144" s="1">
        <f t="shared" si="28"/>
        <v>1495623.650661024</v>
      </c>
      <c r="AA144" s="2">
        <f>+Bono!J144</f>
        <v>172957.28756136418</v>
      </c>
      <c r="AC144" s="10">
        <f t="shared" si="34"/>
        <v>10.083333333333334</v>
      </c>
      <c r="AD144" s="1">
        <f t="shared" si="35"/>
        <v>1947874.3097372819</v>
      </c>
    </row>
    <row r="145" spans="2:30">
      <c r="B145" s="1">
        <f t="shared" si="29"/>
        <v>122</v>
      </c>
      <c r="C145" s="2">
        <f t="shared" si="36"/>
        <v>10</v>
      </c>
      <c r="D145" s="2">
        <f t="shared" si="37"/>
        <v>2</v>
      </c>
      <c r="E145" s="2">
        <f t="shared" si="38"/>
        <v>39</v>
      </c>
      <c r="F145" s="1">
        <f t="shared" si="30"/>
        <v>279293.37151489349</v>
      </c>
      <c r="H145" s="1">
        <f t="shared" si="26"/>
        <v>2227.1245653217511</v>
      </c>
      <c r="I145" s="1">
        <v>0</v>
      </c>
      <c r="J145" s="1">
        <v>0</v>
      </c>
      <c r="K145" s="1">
        <f t="shared" si="31"/>
        <v>-281.52049608021525</v>
      </c>
      <c r="L145" s="1">
        <f t="shared" si="27"/>
        <v>281238.97558413504</v>
      </c>
      <c r="N145" s="1">
        <f t="shared" si="32"/>
        <v>122</v>
      </c>
      <c r="O145" s="2">
        <f t="shared" si="39"/>
        <v>10</v>
      </c>
      <c r="P145" s="2">
        <f t="shared" si="40"/>
        <v>2</v>
      </c>
      <c r="Q145" s="2">
        <f t="shared" si="41"/>
        <v>10</v>
      </c>
      <c r="R145" s="1">
        <f t="shared" si="33"/>
        <v>1495623.650661024</v>
      </c>
      <c r="S145" s="4">
        <f>IF($G$4="mensual",S144,0)</f>
        <v>10000</v>
      </c>
      <c r="U145" s="1">
        <f t="shared" si="42"/>
        <v>12006.05442344975</v>
      </c>
      <c r="V145" s="35">
        <f t="shared" si="44"/>
        <v>-112.79461451077786</v>
      </c>
      <c r="X145" s="35">
        <f t="shared" si="43"/>
        <v>-1517.6297050844739</v>
      </c>
      <c r="Y145" s="1">
        <f t="shared" si="28"/>
        <v>1515999.2807648785</v>
      </c>
      <c r="AA145" s="2">
        <f>+Bono!J145</f>
        <v>174029.64280604827</v>
      </c>
      <c r="AC145" s="10">
        <f t="shared" si="34"/>
        <v>10.166666666666666</v>
      </c>
      <c r="AD145" s="1">
        <f t="shared" si="35"/>
        <v>1971267.8991550617</v>
      </c>
    </row>
    <row r="146" spans="2:30">
      <c r="B146" s="1">
        <f t="shared" si="29"/>
        <v>123</v>
      </c>
      <c r="C146" s="2">
        <f t="shared" si="36"/>
        <v>10</v>
      </c>
      <c r="D146" s="2">
        <f t="shared" si="37"/>
        <v>3</v>
      </c>
      <c r="E146" s="2">
        <f t="shared" si="38"/>
        <v>39</v>
      </c>
      <c r="F146" s="1">
        <f t="shared" si="30"/>
        <v>281238.97558413504</v>
      </c>
      <c r="H146" s="1">
        <f t="shared" si="26"/>
        <v>2242.6390853889297</v>
      </c>
      <c r="I146" s="1">
        <v>0</v>
      </c>
      <c r="J146" s="69">
        <f>-SUM(F146:H146)*$J$21</f>
        <v>-2551.3345320257158</v>
      </c>
      <c r="K146" s="1">
        <f t="shared" si="31"/>
        <v>-280.93028013749824</v>
      </c>
      <c r="L146" s="1">
        <f t="shared" si="27"/>
        <v>280649.34985736071</v>
      </c>
      <c r="N146" s="1">
        <f t="shared" si="32"/>
        <v>123</v>
      </c>
      <c r="O146" s="2">
        <f t="shared" si="39"/>
        <v>10</v>
      </c>
      <c r="P146" s="2">
        <f t="shared" si="40"/>
        <v>3</v>
      </c>
      <c r="Q146" s="2">
        <f t="shared" si="41"/>
        <v>10</v>
      </c>
      <c r="R146" s="1">
        <f t="shared" si="33"/>
        <v>1515999.2807648785</v>
      </c>
      <c r="S146" s="4">
        <f>IF($G$4="mensual",S145,0)</f>
        <v>10000</v>
      </c>
      <c r="U146" s="1">
        <f t="shared" si="42"/>
        <v>12168.532559225285</v>
      </c>
      <c r="V146" s="35">
        <f t="shared" si="44"/>
        <v>-112.79461451077786</v>
      </c>
      <c r="X146" s="35">
        <f t="shared" si="43"/>
        <v>-1538.1678133241039</v>
      </c>
      <c r="Y146" s="1">
        <f t="shared" si="28"/>
        <v>1536516.8508962689</v>
      </c>
      <c r="AA146" s="2">
        <f>+Bono!J146</f>
        <v>173531.09140125982</v>
      </c>
      <c r="AC146" s="10">
        <f t="shared" si="34"/>
        <v>10.25</v>
      </c>
      <c r="AD146" s="1">
        <f t="shared" si="35"/>
        <v>1990697.2921548896</v>
      </c>
    </row>
    <row r="147" spans="2:30">
      <c r="B147" s="1">
        <f t="shared" si="29"/>
        <v>124</v>
      </c>
      <c r="C147" s="2">
        <f t="shared" si="36"/>
        <v>10</v>
      </c>
      <c r="D147" s="2">
        <f t="shared" si="37"/>
        <v>4</v>
      </c>
      <c r="E147" s="2">
        <f t="shared" si="38"/>
        <v>39</v>
      </c>
      <c r="F147" s="1">
        <f t="shared" si="30"/>
        <v>280649.34985736071</v>
      </c>
      <c r="H147" s="1">
        <f t="shared" si="26"/>
        <v>2237.937327043137</v>
      </c>
      <c r="I147" s="1">
        <v>0</v>
      </c>
      <c r="J147" s="1">
        <v>0</v>
      </c>
      <c r="K147" s="1">
        <f t="shared" si="31"/>
        <v>-282.88728718440387</v>
      </c>
      <c r="L147" s="1">
        <f t="shared" si="27"/>
        <v>282604.39989721944</v>
      </c>
      <c r="N147" s="1">
        <f t="shared" si="32"/>
        <v>124</v>
      </c>
      <c r="O147" s="2">
        <f t="shared" si="39"/>
        <v>10</v>
      </c>
      <c r="P147" s="2">
        <f t="shared" si="40"/>
        <v>4</v>
      </c>
      <c r="Q147" s="2">
        <f t="shared" si="41"/>
        <v>10</v>
      </c>
      <c r="R147" s="1">
        <f t="shared" si="33"/>
        <v>1536516.8508962689</v>
      </c>
      <c r="S147" s="4">
        <f>IF($G$4="mensual",S144,IF($G$4="trimestral",S144,0))</f>
        <v>10000</v>
      </c>
      <c r="U147" s="1">
        <f t="shared" si="42"/>
        <v>12332.142544712871</v>
      </c>
      <c r="V147" s="35">
        <f t="shared" si="44"/>
        <v>-112.79461451077786</v>
      </c>
      <c r="X147" s="35">
        <f t="shared" si="43"/>
        <v>-1558.8489934409818</v>
      </c>
      <c r="Y147" s="1">
        <f t="shared" si="28"/>
        <v>1557177.3498330298</v>
      </c>
      <c r="AA147" s="2">
        <f>+Bono!J147</f>
        <v>174607.00429630838</v>
      </c>
      <c r="AC147" s="10">
        <f t="shared" si="34"/>
        <v>10.333333333333334</v>
      </c>
      <c r="AD147" s="1">
        <f t="shared" si="35"/>
        <v>2014388.7540265576</v>
      </c>
    </row>
    <row r="148" spans="2:30">
      <c r="B148" s="1">
        <f t="shared" si="29"/>
        <v>125</v>
      </c>
      <c r="C148" s="2">
        <f t="shared" si="36"/>
        <v>10</v>
      </c>
      <c r="D148" s="2">
        <f t="shared" si="37"/>
        <v>5</v>
      </c>
      <c r="E148" s="2">
        <f t="shared" si="38"/>
        <v>39</v>
      </c>
      <c r="F148" s="1">
        <f t="shared" si="30"/>
        <v>282604.39989721944</v>
      </c>
      <c r="H148" s="1">
        <f t="shared" si="26"/>
        <v>2253.5271706065041</v>
      </c>
      <c r="I148" s="1">
        <v>0</v>
      </c>
      <c r="J148" s="1">
        <v>0</v>
      </c>
      <c r="K148" s="1">
        <f t="shared" si="31"/>
        <v>-284.85792706782593</v>
      </c>
      <c r="L148" s="1">
        <f t="shared" si="27"/>
        <v>284573.06914075807</v>
      </c>
      <c r="N148" s="1">
        <f t="shared" si="32"/>
        <v>125</v>
      </c>
      <c r="O148" s="2">
        <f t="shared" si="39"/>
        <v>10</v>
      </c>
      <c r="P148" s="2">
        <f t="shared" si="40"/>
        <v>5</v>
      </c>
      <c r="Q148" s="2">
        <f t="shared" si="41"/>
        <v>10</v>
      </c>
      <c r="R148" s="1">
        <f t="shared" si="33"/>
        <v>1557177.3498330298</v>
      </c>
      <c r="S148" s="4">
        <f>IF($G$4="mensual",S147,0)</f>
        <v>10000</v>
      </c>
      <c r="U148" s="1">
        <f t="shared" si="42"/>
        <v>12496.89226456582</v>
      </c>
      <c r="V148" s="35">
        <f t="shared" si="44"/>
        <v>-112.79461451077786</v>
      </c>
      <c r="X148" s="35">
        <f t="shared" si="43"/>
        <v>-1579.6742420975957</v>
      </c>
      <c r="Y148" s="1">
        <f t="shared" si="28"/>
        <v>1577981.7732409872</v>
      </c>
      <c r="AA148" s="2">
        <f>+Bono!J148</f>
        <v>175689.58797610443</v>
      </c>
      <c r="AC148" s="10">
        <f t="shared" si="34"/>
        <v>10.416666666666666</v>
      </c>
      <c r="AD148" s="1">
        <f t="shared" si="35"/>
        <v>2038244.4303578497</v>
      </c>
    </row>
    <row r="149" spans="2:30">
      <c r="B149" s="1">
        <f t="shared" si="29"/>
        <v>126</v>
      </c>
      <c r="C149" s="2">
        <f t="shared" si="36"/>
        <v>10</v>
      </c>
      <c r="D149" s="2">
        <f t="shared" si="37"/>
        <v>6</v>
      </c>
      <c r="E149" s="2">
        <f t="shared" si="38"/>
        <v>39</v>
      </c>
      <c r="F149" s="1">
        <f t="shared" si="30"/>
        <v>284573.06914075807</v>
      </c>
      <c r="H149" s="1">
        <f t="shared" si="26"/>
        <v>2269.225615612545</v>
      </c>
      <c r="I149" s="1">
        <v>0</v>
      </c>
      <c r="J149" s="69">
        <f>-SUM(F149:H149)*$J$21</f>
        <v>-2581.5806528073358</v>
      </c>
      <c r="K149" s="1">
        <f t="shared" si="31"/>
        <v>-284.26071410356326</v>
      </c>
      <c r="L149" s="1">
        <f t="shared" si="27"/>
        <v>283976.4533894597</v>
      </c>
      <c r="N149" s="1">
        <f t="shared" si="32"/>
        <v>126</v>
      </c>
      <c r="O149" s="2">
        <f t="shared" si="39"/>
        <v>10</v>
      </c>
      <c r="P149" s="2">
        <f t="shared" si="40"/>
        <v>6</v>
      </c>
      <c r="Q149" s="2">
        <f t="shared" si="41"/>
        <v>10</v>
      </c>
      <c r="R149" s="1">
        <f t="shared" si="33"/>
        <v>1577981.7732409872</v>
      </c>
      <c r="S149" s="4">
        <f>IF($G$4="mensual",S148,0)</f>
        <v>10000</v>
      </c>
      <c r="U149" s="1">
        <f t="shared" si="42"/>
        <v>12662.789658363246</v>
      </c>
      <c r="V149" s="35">
        <f t="shared" si="44"/>
        <v>-112.79461451077786</v>
      </c>
      <c r="X149" s="35">
        <f t="shared" si="43"/>
        <v>-1600.6445628993504</v>
      </c>
      <c r="Y149" s="1">
        <f t="shared" si="28"/>
        <v>1598931.1237219402</v>
      </c>
      <c r="AA149" s="2">
        <f>+Bono!J149</f>
        <v>175186.28124352777</v>
      </c>
      <c r="AC149" s="10">
        <f t="shared" si="34"/>
        <v>10.5</v>
      </c>
      <c r="AD149" s="1">
        <f t="shared" si="35"/>
        <v>2058093.8583549277</v>
      </c>
    </row>
    <row r="150" spans="2:30">
      <c r="B150" s="1">
        <f t="shared" si="29"/>
        <v>127</v>
      </c>
      <c r="C150" s="2">
        <f t="shared" si="36"/>
        <v>10</v>
      </c>
      <c r="D150" s="2">
        <f t="shared" si="37"/>
        <v>7</v>
      </c>
      <c r="E150" s="2">
        <f t="shared" si="38"/>
        <v>39</v>
      </c>
      <c r="F150" s="1">
        <f t="shared" si="30"/>
        <v>283976.4533894597</v>
      </c>
      <c r="H150" s="1">
        <f t="shared" si="26"/>
        <v>2264.4681178295959</v>
      </c>
      <c r="I150" s="1">
        <v>0</v>
      </c>
      <c r="J150" s="1">
        <v>0</v>
      </c>
      <c r="K150" s="1">
        <f t="shared" si="31"/>
        <v>-286.24092150728927</v>
      </c>
      <c r="L150" s="1">
        <f t="shared" si="27"/>
        <v>285954.68058578199</v>
      </c>
      <c r="N150" s="1">
        <f t="shared" si="32"/>
        <v>127</v>
      </c>
      <c r="O150" s="2">
        <f t="shared" si="39"/>
        <v>10</v>
      </c>
      <c r="P150" s="2">
        <f t="shared" si="40"/>
        <v>7</v>
      </c>
      <c r="Q150" s="2">
        <f t="shared" si="41"/>
        <v>10</v>
      </c>
      <c r="R150" s="1">
        <f t="shared" si="33"/>
        <v>1598931.1237219402</v>
      </c>
      <c r="S150" s="1">
        <f>+IF($G$4="mensual",S144,IF($G$4="trimestral",S144,IF($G$4="semestral",S144,0)))</f>
        <v>10000</v>
      </c>
      <c r="U150" s="1">
        <f t="shared" si="42"/>
        <v>12829.842720992689</v>
      </c>
      <c r="V150" s="35">
        <f t="shared" si="44"/>
        <v>-112.79461451077786</v>
      </c>
      <c r="X150" s="35">
        <f t="shared" si="43"/>
        <v>-1621.7609664429328</v>
      </c>
      <c r="Y150" s="1">
        <f t="shared" si="28"/>
        <v>1620026.410861979</v>
      </c>
      <c r="AA150" s="2">
        <f>+Bono!J150</f>
        <v>176272.45650758853</v>
      </c>
      <c r="AC150" s="10">
        <f t="shared" si="34"/>
        <v>10.583333333333334</v>
      </c>
      <c r="AD150" s="1">
        <f t="shared" si="35"/>
        <v>2082253.5479553496</v>
      </c>
    </row>
    <row r="151" spans="2:30">
      <c r="B151" s="1">
        <f t="shared" si="29"/>
        <v>128</v>
      </c>
      <c r="C151" s="2">
        <f t="shared" si="36"/>
        <v>10</v>
      </c>
      <c r="D151" s="2">
        <f t="shared" si="37"/>
        <v>8</v>
      </c>
      <c r="E151" s="2">
        <f t="shared" si="38"/>
        <v>39</v>
      </c>
      <c r="F151" s="1">
        <f t="shared" si="30"/>
        <v>285954.68058578199</v>
      </c>
      <c r="H151" s="1">
        <f t="shared" si="26"/>
        <v>2280.2427792933463</v>
      </c>
      <c r="I151" s="1">
        <v>0</v>
      </c>
      <c r="J151" s="1">
        <v>0</v>
      </c>
      <c r="K151" s="1">
        <f t="shared" si="31"/>
        <v>-288.2349233650753</v>
      </c>
      <c r="L151" s="1">
        <f t="shared" si="27"/>
        <v>287946.68844171026</v>
      </c>
      <c r="N151" s="1">
        <f t="shared" si="32"/>
        <v>128</v>
      </c>
      <c r="O151" s="2">
        <f t="shared" si="39"/>
        <v>10</v>
      </c>
      <c r="P151" s="2">
        <f t="shared" si="40"/>
        <v>8</v>
      </c>
      <c r="Q151" s="2">
        <f t="shared" si="41"/>
        <v>10</v>
      </c>
      <c r="R151" s="1">
        <f t="shared" si="33"/>
        <v>1620026.410861979</v>
      </c>
      <c r="S151" s="4">
        <f>IF($G$4="mensual",S150,0)</f>
        <v>10000</v>
      </c>
      <c r="U151" s="1">
        <f t="shared" si="42"/>
        <v>12998.059503035405</v>
      </c>
      <c r="V151" s="35">
        <f t="shared" si="44"/>
        <v>-112.79461451077786</v>
      </c>
      <c r="X151" s="35">
        <f t="shared" si="43"/>
        <v>-1643.0244703650144</v>
      </c>
      <c r="Y151" s="1">
        <f t="shared" si="28"/>
        <v>1641268.6512801386</v>
      </c>
      <c r="AA151" s="2">
        <f>+Bono!J151</f>
        <v>177365.36618427499</v>
      </c>
      <c r="AC151" s="10">
        <f t="shared" si="34"/>
        <v>10.666666666666666</v>
      </c>
      <c r="AD151" s="1">
        <f t="shared" si="35"/>
        <v>2106580.7059061239</v>
      </c>
    </row>
    <row r="152" spans="2:30">
      <c r="B152" s="1">
        <f t="shared" si="29"/>
        <v>129</v>
      </c>
      <c r="C152" s="2">
        <f t="shared" si="36"/>
        <v>10</v>
      </c>
      <c r="D152" s="2">
        <f t="shared" si="37"/>
        <v>9</v>
      </c>
      <c r="E152" s="2">
        <f t="shared" si="38"/>
        <v>39</v>
      </c>
      <c r="F152" s="1">
        <f t="shared" si="30"/>
        <v>287946.68844171026</v>
      </c>
      <c r="H152" s="1">
        <f t="shared" ref="H152:H215" si="45">SUM(F152:G152)*$G$8</f>
        <v>2296.1273296719978</v>
      </c>
      <c r="I152" s="1">
        <v>0</v>
      </c>
      <c r="J152" s="69">
        <f>-SUM(F152:H152)*$J$21</f>
        <v>-2612.1853419424406</v>
      </c>
      <c r="K152" s="1">
        <f t="shared" si="31"/>
        <v>-287.63063042943986</v>
      </c>
      <c r="L152" s="1">
        <f t="shared" ref="L152:L215" si="46">SUM(F152:K152)</f>
        <v>287342.9997990104</v>
      </c>
      <c r="N152" s="1">
        <f t="shared" si="32"/>
        <v>129</v>
      </c>
      <c r="O152" s="2">
        <f t="shared" si="39"/>
        <v>10</v>
      </c>
      <c r="P152" s="2">
        <f t="shared" si="40"/>
        <v>9</v>
      </c>
      <c r="Q152" s="2">
        <f t="shared" si="41"/>
        <v>10</v>
      </c>
      <c r="R152" s="1">
        <f t="shared" si="33"/>
        <v>1641268.6512801386</v>
      </c>
      <c r="S152" s="4">
        <f>IF($G$4="mensual",S151,0)</f>
        <v>10000</v>
      </c>
      <c r="U152" s="1">
        <f t="shared" si="42"/>
        <v>13167.448111154345</v>
      </c>
      <c r="V152" s="35">
        <f t="shared" si="44"/>
        <v>-112.79461451077786</v>
      </c>
      <c r="X152" s="35">
        <f t="shared" si="43"/>
        <v>-1664.4360993912931</v>
      </c>
      <c r="Y152" s="1">
        <f t="shared" ref="Y152:Y215" si="47">SUM(R152:X152)</f>
        <v>1662658.868677391</v>
      </c>
      <c r="AA152" s="2">
        <f>+Bono!J152</f>
        <v>176857.25876621556</v>
      </c>
      <c r="AC152" s="10">
        <f t="shared" si="34"/>
        <v>10.75</v>
      </c>
      <c r="AD152" s="1">
        <f t="shared" si="35"/>
        <v>2126859.1272426168</v>
      </c>
    </row>
    <row r="153" spans="2:30">
      <c r="B153" s="1">
        <f t="shared" ref="B153:B216" si="48">+B152+1</f>
        <v>130</v>
      </c>
      <c r="C153" s="2">
        <f t="shared" si="36"/>
        <v>10</v>
      </c>
      <c r="D153" s="2">
        <f t="shared" si="37"/>
        <v>10</v>
      </c>
      <c r="E153" s="2">
        <f t="shared" si="38"/>
        <v>39</v>
      </c>
      <c r="F153" s="1">
        <f t="shared" ref="F153:F216" si="49">L152</f>
        <v>287342.9997990104</v>
      </c>
      <c r="H153" s="1">
        <f t="shared" si="45"/>
        <v>2291.3134316597752</v>
      </c>
      <c r="I153" s="1">
        <v>0</v>
      </c>
      <c r="J153" s="1">
        <v>0</v>
      </c>
      <c r="K153" s="1">
        <f t="shared" ref="K153:K216" si="50">-SUM(F153:J153)*0.1%</f>
        <v>-289.63431323067016</v>
      </c>
      <c r="L153" s="1">
        <f t="shared" si="46"/>
        <v>289344.67891743948</v>
      </c>
      <c r="N153" s="1">
        <f t="shared" ref="N153:N216" si="51">+N152+1</f>
        <v>130</v>
      </c>
      <c r="O153" s="2">
        <f t="shared" si="39"/>
        <v>10</v>
      </c>
      <c r="P153" s="2">
        <f t="shared" si="40"/>
        <v>10</v>
      </c>
      <c r="Q153" s="2">
        <f t="shared" si="41"/>
        <v>10</v>
      </c>
      <c r="R153" s="1">
        <f t="shared" ref="R153:R216" si="52">Y152</f>
        <v>1662658.868677391</v>
      </c>
      <c r="S153" s="4">
        <f>IF($G$4="mensual",S144,IF($G$4="trimestral",S144,0))</f>
        <v>10000</v>
      </c>
      <c r="U153" s="1">
        <f t="shared" si="42"/>
        <v>13338.016708484816</v>
      </c>
      <c r="V153" s="35">
        <f t="shared" si="44"/>
        <v>-112.79461451077786</v>
      </c>
      <c r="X153" s="35">
        <f t="shared" si="43"/>
        <v>-1685.9968853858759</v>
      </c>
      <c r="Y153" s="1">
        <f t="shared" si="47"/>
        <v>1684198.0938859791</v>
      </c>
      <c r="AA153" s="2">
        <f>+Bono!J153</f>
        <v>177953.79428473837</v>
      </c>
      <c r="AC153" s="10">
        <f t="shared" ref="AC153:AC216" si="53">+B153/12</f>
        <v>10.833333333333334</v>
      </c>
      <c r="AD153" s="1">
        <f t="shared" ref="AD153:AD216" si="54">+AA153+Y153+L153</f>
        <v>2151496.5670881569</v>
      </c>
    </row>
    <row r="154" spans="2:30">
      <c r="B154" s="1">
        <f t="shared" si="48"/>
        <v>131</v>
      </c>
      <c r="C154" s="2">
        <f t="shared" si="36"/>
        <v>10</v>
      </c>
      <c r="D154" s="2">
        <f t="shared" si="37"/>
        <v>11</v>
      </c>
      <c r="E154" s="2">
        <f t="shared" si="38"/>
        <v>39</v>
      </c>
      <c r="F154" s="1">
        <f t="shared" si="49"/>
        <v>289344.67891743948</v>
      </c>
      <c r="H154" s="1">
        <f t="shared" si="45"/>
        <v>2307.2751020437327</v>
      </c>
      <c r="I154" s="1">
        <v>0</v>
      </c>
      <c r="J154" s="1">
        <v>0</v>
      </c>
      <c r="K154" s="1">
        <f t="shared" si="50"/>
        <v>-291.65195401948324</v>
      </c>
      <c r="L154" s="1">
        <f t="shared" si="46"/>
        <v>291360.30206546374</v>
      </c>
      <c r="N154" s="1">
        <f t="shared" si="51"/>
        <v>131</v>
      </c>
      <c r="O154" s="2">
        <f t="shared" si="39"/>
        <v>10</v>
      </c>
      <c r="P154" s="2">
        <f t="shared" si="40"/>
        <v>11</v>
      </c>
      <c r="Q154" s="2">
        <f t="shared" si="41"/>
        <v>10</v>
      </c>
      <c r="R154" s="1">
        <f t="shared" si="52"/>
        <v>1684198.0938859791</v>
      </c>
      <c r="S154" s="1">
        <f>IF($G$17="si",S142*(1+$G$20),S142)</f>
        <v>10000</v>
      </c>
      <c r="U154" s="1">
        <f t="shared" si="42"/>
        <v>13509.773515027882</v>
      </c>
      <c r="V154" s="35">
        <f t="shared" si="44"/>
        <v>-112.79461451077786</v>
      </c>
      <c r="X154" s="35">
        <f t="shared" si="43"/>
        <v>-1707.7078674010072</v>
      </c>
      <c r="Y154" s="1">
        <f t="shared" si="47"/>
        <v>1705887.3649190953</v>
      </c>
      <c r="AA154" s="2">
        <f>+Bono!J154</f>
        <v>179057.12845066629</v>
      </c>
      <c r="AC154" s="10">
        <f t="shared" si="53"/>
        <v>10.916666666666666</v>
      </c>
      <c r="AD154" s="1">
        <f t="shared" si="54"/>
        <v>2176304.7954352256</v>
      </c>
    </row>
    <row r="155" spans="2:30">
      <c r="B155" s="1">
        <f t="shared" si="48"/>
        <v>132</v>
      </c>
      <c r="C155" s="2">
        <f t="shared" si="36"/>
        <v>10</v>
      </c>
      <c r="D155" s="2">
        <f t="shared" si="37"/>
        <v>12</v>
      </c>
      <c r="E155" s="2">
        <f t="shared" si="38"/>
        <v>39</v>
      </c>
      <c r="F155" s="1">
        <f t="shared" si="49"/>
        <v>291360.30206546374</v>
      </c>
      <c r="H155" s="1">
        <f t="shared" si="45"/>
        <v>2323.3479640778273</v>
      </c>
      <c r="I155" s="1">
        <v>0</v>
      </c>
      <c r="J155" s="69">
        <f>-SUM(F155:H155)*$J$21</f>
        <v>-2643.1528502658743</v>
      </c>
      <c r="K155" s="1">
        <f t="shared" si="50"/>
        <v>-291.04049717927575</v>
      </c>
      <c r="L155" s="1">
        <f t="shared" si="46"/>
        <v>290749.45668209647</v>
      </c>
      <c r="N155" s="1">
        <f t="shared" si="51"/>
        <v>132</v>
      </c>
      <c r="O155" s="2">
        <f t="shared" si="39"/>
        <v>10</v>
      </c>
      <c r="P155" s="2">
        <f t="shared" si="40"/>
        <v>12</v>
      </c>
      <c r="Q155" s="2">
        <f t="shared" si="41"/>
        <v>10</v>
      </c>
      <c r="R155" s="1">
        <f t="shared" si="52"/>
        <v>1705887.3649190953</v>
      </c>
      <c r="S155" s="4">
        <f>IF($G$4="mensual",S154,0)</f>
        <v>10000</v>
      </c>
      <c r="U155" s="1">
        <f t="shared" si="42"/>
        <v>13682.726808046504</v>
      </c>
      <c r="V155" s="35">
        <f t="shared" si="44"/>
        <v>-112.79461451077786</v>
      </c>
      <c r="X155" s="35">
        <f t="shared" si="43"/>
        <v>-1729.5700917271417</v>
      </c>
      <c r="Y155" s="1">
        <f t="shared" si="47"/>
        <v>1727727.7270209037</v>
      </c>
      <c r="AA155" s="2">
        <f>+Bono!J155</f>
        <v>178544.17455679458</v>
      </c>
      <c r="AC155" s="10">
        <f t="shared" si="53"/>
        <v>11</v>
      </c>
      <c r="AD155" s="1">
        <f t="shared" si="54"/>
        <v>2197021.3582597948</v>
      </c>
    </row>
    <row r="156" spans="2:30">
      <c r="B156" s="1">
        <f t="shared" si="48"/>
        <v>133</v>
      </c>
      <c r="C156" s="2">
        <f t="shared" si="36"/>
        <v>11</v>
      </c>
      <c r="D156" s="2">
        <f t="shared" si="37"/>
        <v>1</v>
      </c>
      <c r="E156" s="2">
        <f t="shared" si="38"/>
        <v>40</v>
      </c>
      <c r="F156" s="1">
        <f t="shared" si="49"/>
        <v>290749.45668209647</v>
      </c>
      <c r="H156" s="1">
        <f t="shared" si="45"/>
        <v>2318.4769972105091</v>
      </c>
      <c r="I156" s="1">
        <v>0</v>
      </c>
      <c r="J156" s="1">
        <v>0</v>
      </c>
      <c r="K156" s="1">
        <f t="shared" si="50"/>
        <v>-293.06793367930698</v>
      </c>
      <c r="L156" s="1">
        <f t="shared" si="46"/>
        <v>292774.86574562767</v>
      </c>
      <c r="N156" s="1">
        <f t="shared" si="51"/>
        <v>133</v>
      </c>
      <c r="O156" s="2">
        <f t="shared" si="39"/>
        <v>11</v>
      </c>
      <c r="P156" s="2">
        <f t="shared" si="40"/>
        <v>1</v>
      </c>
      <c r="Q156" s="2">
        <f t="shared" si="41"/>
        <v>11</v>
      </c>
      <c r="R156" s="1">
        <f t="shared" si="52"/>
        <v>1727727.7270209037</v>
      </c>
      <c r="S156" s="1">
        <f>IF($G$17="si",S144*(1+$G$20),S144)</f>
        <v>10000</v>
      </c>
      <c r="U156" s="1">
        <f t="shared" si="42"/>
        <v>13856.884922464433</v>
      </c>
      <c r="V156" s="35">
        <f>(V155*(1+$G$18))</f>
        <v>-117.30639909120897</v>
      </c>
      <c r="X156" s="35">
        <f t="shared" si="43"/>
        <v>-1751.5846119433681</v>
      </c>
      <c r="Y156" s="1">
        <f t="shared" si="47"/>
        <v>1749715.7209323335</v>
      </c>
      <c r="AA156" s="2">
        <f>+Bono!J156</f>
        <v>179651.16914888911</v>
      </c>
      <c r="AC156" s="10">
        <f t="shared" si="53"/>
        <v>11.083333333333334</v>
      </c>
      <c r="AD156" s="1">
        <f t="shared" si="54"/>
        <v>2222141.7558268504</v>
      </c>
    </row>
    <row r="157" spans="2:30">
      <c r="B157" s="1">
        <f t="shared" si="48"/>
        <v>134</v>
      </c>
      <c r="C157" s="2">
        <f t="shared" si="36"/>
        <v>11</v>
      </c>
      <c r="D157" s="2">
        <f t="shared" si="37"/>
        <v>2</v>
      </c>
      <c r="E157" s="2">
        <f t="shared" si="38"/>
        <v>40</v>
      </c>
      <c r="F157" s="1">
        <f t="shared" si="49"/>
        <v>292774.86574562767</v>
      </c>
      <c r="H157" s="1">
        <f t="shared" si="45"/>
        <v>2334.6278935090813</v>
      </c>
      <c r="I157" s="1">
        <v>0</v>
      </c>
      <c r="J157" s="1">
        <v>0</v>
      </c>
      <c r="K157" s="1">
        <f t="shared" si="50"/>
        <v>-295.10949363913682</v>
      </c>
      <c r="L157" s="1">
        <f t="shared" si="46"/>
        <v>294814.38414549764</v>
      </c>
      <c r="N157" s="1">
        <f t="shared" si="51"/>
        <v>134</v>
      </c>
      <c r="O157" s="2">
        <f t="shared" si="39"/>
        <v>11</v>
      </c>
      <c r="P157" s="2">
        <f t="shared" si="40"/>
        <v>2</v>
      </c>
      <c r="Q157" s="2">
        <f t="shared" si="41"/>
        <v>11</v>
      </c>
      <c r="R157" s="1">
        <f t="shared" si="52"/>
        <v>1749715.7209323335</v>
      </c>
      <c r="S157" s="4">
        <f>IF($G$4="mensual",S156,0)</f>
        <v>10000</v>
      </c>
      <c r="U157" s="1">
        <f t="shared" si="42"/>
        <v>14032.220273664054</v>
      </c>
      <c r="V157" s="35">
        <f t="shared" si="44"/>
        <v>-117.30639909120897</v>
      </c>
      <c r="X157" s="35">
        <f t="shared" si="43"/>
        <v>-1773.7479412059974</v>
      </c>
      <c r="Y157" s="1">
        <f t="shared" si="47"/>
        <v>1771856.8868657004</v>
      </c>
      <c r="AA157" s="2">
        <f>+Bono!J157</f>
        <v>180765.02723585806</v>
      </c>
      <c r="AC157" s="10">
        <f t="shared" si="53"/>
        <v>11.166666666666666</v>
      </c>
      <c r="AD157" s="1">
        <f t="shared" si="54"/>
        <v>2247436.2982470561</v>
      </c>
    </row>
    <row r="158" spans="2:30">
      <c r="B158" s="1">
        <f t="shared" si="48"/>
        <v>135</v>
      </c>
      <c r="C158" s="2">
        <f t="shared" si="36"/>
        <v>11</v>
      </c>
      <c r="D158" s="2">
        <f t="shared" si="37"/>
        <v>3</v>
      </c>
      <c r="E158" s="2">
        <f t="shared" si="38"/>
        <v>40</v>
      </c>
      <c r="F158" s="1">
        <f t="shared" si="49"/>
        <v>294814.38414549764</v>
      </c>
      <c r="H158" s="1">
        <f t="shared" si="45"/>
        <v>2350.8912996369777</v>
      </c>
      <c r="I158" s="1">
        <v>0</v>
      </c>
      <c r="J158" s="69">
        <f>-SUM(F158:H158)*$J$21</f>
        <v>-2674.4874790062117</v>
      </c>
      <c r="K158" s="1">
        <f t="shared" si="50"/>
        <v>-294.49078796612838</v>
      </c>
      <c r="L158" s="1">
        <f t="shared" si="46"/>
        <v>294196.29717816226</v>
      </c>
      <c r="N158" s="1">
        <f t="shared" si="51"/>
        <v>135</v>
      </c>
      <c r="O158" s="2">
        <f t="shared" si="39"/>
        <v>11</v>
      </c>
      <c r="P158" s="2">
        <f t="shared" si="40"/>
        <v>3</v>
      </c>
      <c r="Q158" s="2">
        <f t="shared" si="41"/>
        <v>11</v>
      </c>
      <c r="R158" s="1">
        <f t="shared" si="52"/>
        <v>1771856.8868657004</v>
      </c>
      <c r="S158" s="4">
        <f>IF($G$4="mensual",S157,0)</f>
        <v>10000</v>
      </c>
      <c r="U158" s="1">
        <f t="shared" si="42"/>
        <v>14208.777040076382</v>
      </c>
      <c r="V158" s="35">
        <f t="shared" si="44"/>
        <v>-117.30639909120897</v>
      </c>
      <c r="X158" s="35">
        <f t="shared" si="43"/>
        <v>-1796.0656639057768</v>
      </c>
      <c r="Y158" s="1">
        <f t="shared" si="47"/>
        <v>1794152.2918427798</v>
      </c>
      <c r="AA158" s="2">
        <f>+Bono!J158</f>
        <v>180247.18063908315</v>
      </c>
      <c r="AC158" s="10">
        <f t="shared" si="53"/>
        <v>11.25</v>
      </c>
      <c r="AD158" s="1">
        <f t="shared" si="54"/>
        <v>2268595.7696600254</v>
      </c>
    </row>
    <row r="159" spans="2:30">
      <c r="B159" s="1">
        <f t="shared" si="48"/>
        <v>136</v>
      </c>
      <c r="C159" s="2">
        <f t="shared" si="36"/>
        <v>11</v>
      </c>
      <c r="D159" s="2">
        <f t="shared" si="37"/>
        <v>4</v>
      </c>
      <c r="E159" s="2">
        <f t="shared" si="38"/>
        <v>40</v>
      </c>
      <c r="F159" s="1">
        <f t="shared" si="49"/>
        <v>294196.29717816226</v>
      </c>
      <c r="H159" s="1">
        <f t="shared" si="45"/>
        <v>2345.9625873621703</v>
      </c>
      <c r="I159" s="1">
        <v>0</v>
      </c>
      <c r="J159" s="1">
        <v>0</v>
      </c>
      <c r="K159" s="1">
        <f t="shared" si="50"/>
        <v>-296.54225976552442</v>
      </c>
      <c r="L159" s="1">
        <f t="shared" si="46"/>
        <v>296245.71750575892</v>
      </c>
      <c r="N159" s="1">
        <f t="shared" si="51"/>
        <v>136</v>
      </c>
      <c r="O159" s="2">
        <f t="shared" si="39"/>
        <v>11</v>
      </c>
      <c r="P159" s="2">
        <f t="shared" si="40"/>
        <v>4</v>
      </c>
      <c r="Q159" s="2">
        <f t="shared" si="41"/>
        <v>11</v>
      </c>
      <c r="R159" s="1">
        <f t="shared" si="52"/>
        <v>1794152.2918427798</v>
      </c>
      <c r="S159" s="4">
        <f>IF($G$4="mensual",S156,IF($G$4="trimestral",S156,0))</f>
        <v>10000</v>
      </c>
      <c r="U159" s="1">
        <f t="shared" si="42"/>
        <v>14386.563730282895</v>
      </c>
      <c r="V159" s="35">
        <f t="shared" si="44"/>
        <v>-117.30639909120897</v>
      </c>
      <c r="X159" s="35">
        <f t="shared" si="43"/>
        <v>-1818.5388555730628</v>
      </c>
      <c r="Y159" s="1">
        <f t="shared" si="47"/>
        <v>1816603.0103183985</v>
      </c>
      <c r="AA159" s="2">
        <f>+Bono!J159</f>
        <v>181364.73406642434</v>
      </c>
      <c r="AC159" s="10">
        <f t="shared" si="53"/>
        <v>11.333333333333334</v>
      </c>
      <c r="AD159" s="1">
        <f t="shared" si="54"/>
        <v>2294213.461890582</v>
      </c>
    </row>
    <row r="160" spans="2:30">
      <c r="B160" s="1">
        <f t="shared" si="48"/>
        <v>137</v>
      </c>
      <c r="C160" s="2">
        <f t="shared" si="36"/>
        <v>11</v>
      </c>
      <c r="D160" s="2">
        <f t="shared" si="37"/>
        <v>5</v>
      </c>
      <c r="E160" s="2">
        <f t="shared" si="38"/>
        <v>40</v>
      </c>
      <c r="F160" s="1">
        <f t="shared" si="49"/>
        <v>296245.71750575892</v>
      </c>
      <c r="H160" s="1">
        <f t="shared" si="45"/>
        <v>2362.3049528522756</v>
      </c>
      <c r="I160" s="1">
        <v>0</v>
      </c>
      <c r="J160" s="1">
        <v>0</v>
      </c>
      <c r="K160" s="1">
        <f t="shared" si="50"/>
        <v>-298.60802245861117</v>
      </c>
      <c r="L160" s="1">
        <f t="shared" si="46"/>
        <v>298309.41443615255</v>
      </c>
      <c r="N160" s="1">
        <f t="shared" si="51"/>
        <v>137</v>
      </c>
      <c r="O160" s="2">
        <f t="shared" si="39"/>
        <v>11</v>
      </c>
      <c r="P160" s="2">
        <f t="shared" si="40"/>
        <v>5</v>
      </c>
      <c r="Q160" s="2">
        <f t="shared" si="41"/>
        <v>11</v>
      </c>
      <c r="R160" s="1">
        <f t="shared" si="52"/>
        <v>1816603.0103183985</v>
      </c>
      <c r="S160" s="4">
        <f>IF($G$4="mensual",S159,0)</f>
        <v>10000</v>
      </c>
      <c r="U160" s="1">
        <f t="shared" si="42"/>
        <v>14565.58891213726</v>
      </c>
      <c r="V160" s="35">
        <f t="shared" si="44"/>
        <v>-117.30639909120897</v>
      </c>
      <c r="X160" s="35">
        <f t="shared" si="43"/>
        <v>-1841.1685992305358</v>
      </c>
      <c r="Y160" s="1">
        <f t="shared" si="47"/>
        <v>1839210.1242322142</v>
      </c>
      <c r="AA160" s="2">
        <f>+Bono!J160</f>
        <v>182489.2164546432</v>
      </c>
      <c r="AC160" s="10">
        <f t="shared" si="53"/>
        <v>11.416666666666666</v>
      </c>
      <c r="AD160" s="1">
        <f t="shared" si="54"/>
        <v>2320008.7551230099</v>
      </c>
    </row>
    <row r="161" spans="2:30">
      <c r="B161" s="1">
        <f t="shared" si="48"/>
        <v>138</v>
      </c>
      <c r="C161" s="2">
        <f t="shared" si="36"/>
        <v>11</v>
      </c>
      <c r="D161" s="2">
        <f t="shared" si="37"/>
        <v>6</v>
      </c>
      <c r="E161" s="2">
        <f t="shared" si="38"/>
        <v>40</v>
      </c>
      <c r="F161" s="1">
        <f t="shared" si="49"/>
        <v>298309.41443615255</v>
      </c>
      <c r="H161" s="1">
        <f t="shared" si="45"/>
        <v>2378.7611619779323</v>
      </c>
      <c r="I161" s="1">
        <v>0</v>
      </c>
      <c r="J161" s="69">
        <f>-SUM(F161:H161)*$J$21</f>
        <v>-2706.1935803831748</v>
      </c>
      <c r="K161" s="1">
        <f t="shared" si="50"/>
        <v>-297.98198201774733</v>
      </c>
      <c r="L161" s="1">
        <f t="shared" si="46"/>
        <v>297684.00003572955</v>
      </c>
      <c r="N161" s="1">
        <f t="shared" si="51"/>
        <v>138</v>
      </c>
      <c r="O161" s="2">
        <f t="shared" si="39"/>
        <v>11</v>
      </c>
      <c r="P161" s="2">
        <f t="shared" si="40"/>
        <v>6</v>
      </c>
      <c r="Q161" s="2">
        <f t="shared" si="41"/>
        <v>11</v>
      </c>
      <c r="R161" s="1">
        <f t="shared" si="52"/>
        <v>1839210.1242322142</v>
      </c>
      <c r="S161" s="4">
        <f>IF($G$4="mensual",S160,0)</f>
        <v>10000</v>
      </c>
      <c r="U161" s="1">
        <f t="shared" si="42"/>
        <v>14745.861213178252</v>
      </c>
      <c r="V161" s="35">
        <f t="shared" si="44"/>
        <v>-117.30639909120897</v>
      </c>
      <c r="X161" s="35">
        <f t="shared" si="43"/>
        <v>-1863.9559854453923</v>
      </c>
      <c r="Y161" s="1">
        <f t="shared" si="47"/>
        <v>1861974.7230608559</v>
      </c>
      <c r="AA161" s="2">
        <f>+Bono!J161</f>
        <v>181966.43048694689</v>
      </c>
      <c r="AC161" s="10">
        <f t="shared" si="53"/>
        <v>11.5</v>
      </c>
      <c r="AD161" s="1">
        <f t="shared" si="54"/>
        <v>2341625.1535835322</v>
      </c>
    </row>
    <row r="162" spans="2:30">
      <c r="B162" s="1">
        <f t="shared" si="48"/>
        <v>139</v>
      </c>
      <c r="C162" s="2">
        <f t="shared" si="36"/>
        <v>11</v>
      </c>
      <c r="D162" s="2">
        <f t="shared" si="37"/>
        <v>7</v>
      </c>
      <c r="E162" s="2">
        <f t="shared" si="38"/>
        <v>40</v>
      </c>
      <c r="F162" s="1">
        <f t="shared" si="49"/>
        <v>297684.00003572955</v>
      </c>
      <c r="H162" s="1">
        <f t="shared" si="45"/>
        <v>2373.7740197227008</v>
      </c>
      <c r="I162" s="1">
        <v>0</v>
      </c>
      <c r="J162" s="1">
        <v>0</v>
      </c>
      <c r="K162" s="1">
        <f t="shared" si="50"/>
        <v>-300.05777405545228</v>
      </c>
      <c r="L162" s="1">
        <f t="shared" si="46"/>
        <v>299757.7162813968</v>
      </c>
      <c r="N162" s="1">
        <f t="shared" si="51"/>
        <v>139</v>
      </c>
      <c r="O162" s="2">
        <f t="shared" si="39"/>
        <v>11</v>
      </c>
      <c r="P162" s="2">
        <f t="shared" si="40"/>
        <v>7</v>
      </c>
      <c r="Q162" s="2">
        <f t="shared" si="41"/>
        <v>11</v>
      </c>
      <c r="R162" s="1">
        <f t="shared" si="52"/>
        <v>1861974.7230608559</v>
      </c>
      <c r="S162" s="1">
        <f>+IF($G$4="mensual",S156,IF($G$4="trimestral",S156,IF($G$4="semestral",S156,0)))</f>
        <v>10000</v>
      </c>
      <c r="U162" s="1">
        <f t="shared" si="42"/>
        <v>14927.389321045499</v>
      </c>
      <c r="V162" s="35">
        <f t="shared" si="44"/>
        <v>-117.30639909120897</v>
      </c>
      <c r="X162" s="35">
        <f t="shared" si="43"/>
        <v>-1886.9021123819014</v>
      </c>
      <c r="Y162" s="1">
        <f t="shared" si="47"/>
        <v>1884897.9038704282</v>
      </c>
      <c r="AA162" s="2">
        <f>+Bono!J162</f>
        <v>183094.6434627655</v>
      </c>
      <c r="AC162" s="10">
        <f t="shared" si="53"/>
        <v>11.583333333333334</v>
      </c>
      <c r="AD162" s="1">
        <f t="shared" si="54"/>
        <v>2367750.2636145903</v>
      </c>
    </row>
    <row r="163" spans="2:30">
      <c r="B163" s="1">
        <f t="shared" si="48"/>
        <v>140</v>
      </c>
      <c r="C163" s="2">
        <f t="shared" si="36"/>
        <v>11</v>
      </c>
      <c r="D163" s="2">
        <f t="shared" si="37"/>
        <v>8</v>
      </c>
      <c r="E163" s="2">
        <f t="shared" si="38"/>
        <v>40</v>
      </c>
      <c r="F163" s="1">
        <f t="shared" si="49"/>
        <v>299757.7162813968</v>
      </c>
      <c r="H163" s="1">
        <f t="shared" si="45"/>
        <v>2390.3101242753505</v>
      </c>
      <c r="I163" s="1">
        <v>0</v>
      </c>
      <c r="J163" s="1">
        <v>0</v>
      </c>
      <c r="K163" s="1">
        <f t="shared" si="50"/>
        <v>-302.14802640567217</v>
      </c>
      <c r="L163" s="1">
        <f t="shared" si="46"/>
        <v>301845.87837926648</v>
      </c>
      <c r="N163" s="1">
        <f t="shared" si="51"/>
        <v>140</v>
      </c>
      <c r="O163" s="2">
        <f t="shared" si="39"/>
        <v>11</v>
      </c>
      <c r="P163" s="2">
        <f t="shared" si="40"/>
        <v>8</v>
      </c>
      <c r="Q163" s="2">
        <f t="shared" si="41"/>
        <v>11</v>
      </c>
      <c r="R163" s="1">
        <f t="shared" si="52"/>
        <v>1884897.9038704282</v>
      </c>
      <c r="S163" s="4">
        <f>IF($G$4="mensual",S162,0)</f>
        <v>10000</v>
      </c>
      <c r="U163" s="1">
        <f t="shared" si="42"/>
        <v>15110.181983898181</v>
      </c>
      <c r="V163" s="35">
        <f t="shared" si="44"/>
        <v>-117.30639909120897</v>
      </c>
      <c r="X163" s="35">
        <f t="shared" si="43"/>
        <v>-1910.0080858543265</v>
      </c>
      <c r="Y163" s="1">
        <f t="shared" si="47"/>
        <v>1907980.7713693809</v>
      </c>
      <c r="AA163" s="2">
        <f>+Bono!J163</f>
        <v>184229.85148989878</v>
      </c>
      <c r="AC163" s="10">
        <f t="shared" si="53"/>
        <v>11.666666666666666</v>
      </c>
      <c r="AD163" s="1">
        <f t="shared" si="54"/>
        <v>2394056.5012385463</v>
      </c>
    </row>
    <row r="164" spans="2:30">
      <c r="B164" s="1">
        <f t="shared" si="48"/>
        <v>141</v>
      </c>
      <c r="C164" s="2">
        <f t="shared" ref="C164:C227" si="55">C152+1</f>
        <v>11</v>
      </c>
      <c r="D164" s="2">
        <f t="shared" ref="D164:D227" si="56">D152</f>
        <v>9</v>
      </c>
      <c r="E164" s="2">
        <f t="shared" ref="E164:E227" si="57">E152+1</f>
        <v>40</v>
      </c>
      <c r="F164" s="1">
        <f t="shared" si="49"/>
        <v>301845.87837926648</v>
      </c>
      <c r="H164" s="1">
        <f t="shared" si="45"/>
        <v>2406.9614220820777</v>
      </c>
      <c r="I164" s="1">
        <v>0</v>
      </c>
      <c r="J164" s="69">
        <f>-SUM(F164:H164)*$J$21</f>
        <v>-2738.2755582121376</v>
      </c>
      <c r="K164" s="1">
        <f t="shared" si="50"/>
        <v>-301.51456424313642</v>
      </c>
      <c r="L164" s="1">
        <f t="shared" si="46"/>
        <v>301213.04967889329</v>
      </c>
      <c r="N164" s="1">
        <f t="shared" si="51"/>
        <v>141</v>
      </c>
      <c r="O164" s="2">
        <f t="shared" ref="O164:O227" si="58">O152+1</f>
        <v>11</v>
      </c>
      <c r="P164" s="2">
        <f t="shared" ref="P164:P227" si="59">P152</f>
        <v>9</v>
      </c>
      <c r="Q164" s="2">
        <f t="shared" ref="Q164:Q227" si="60">Q152+1</f>
        <v>11</v>
      </c>
      <c r="R164" s="1">
        <f t="shared" si="52"/>
        <v>1907980.7713693809</v>
      </c>
      <c r="S164" s="4">
        <f>IF($G$4="mensual",S163,0)</f>
        <v>10000</v>
      </c>
      <c r="U164" s="1">
        <f t="shared" ref="U164:U227" si="61">SUM(R164:T164)*$G$8</f>
        <v>15294.248010836607</v>
      </c>
      <c r="V164" s="35">
        <f t="shared" si="44"/>
        <v>-117.30639909120897</v>
      </c>
      <c r="X164" s="35">
        <f t="shared" si="43"/>
        <v>-1933.2750193802174</v>
      </c>
      <c r="Y164" s="1">
        <f t="shared" si="47"/>
        <v>1931224.437961746</v>
      </c>
      <c r="AA164" s="2">
        <f>+Bono!J164</f>
        <v>183702.07903812962</v>
      </c>
      <c r="AC164" s="10">
        <f t="shared" si="53"/>
        <v>11.75</v>
      </c>
      <c r="AD164" s="1">
        <f t="shared" si="54"/>
        <v>2416139.566678769</v>
      </c>
    </row>
    <row r="165" spans="2:30">
      <c r="B165" s="1">
        <f t="shared" si="48"/>
        <v>142</v>
      </c>
      <c r="C165" s="2">
        <f t="shared" si="55"/>
        <v>11</v>
      </c>
      <c r="D165" s="2">
        <f t="shared" si="56"/>
        <v>10</v>
      </c>
      <c r="E165" s="2">
        <f t="shared" si="57"/>
        <v>40</v>
      </c>
      <c r="F165" s="1">
        <f t="shared" si="49"/>
        <v>301213.04967889329</v>
      </c>
      <c r="H165" s="1">
        <f t="shared" si="45"/>
        <v>2401.9151571578609</v>
      </c>
      <c r="I165" s="1">
        <v>0</v>
      </c>
      <c r="J165" s="1">
        <v>0</v>
      </c>
      <c r="K165" s="1">
        <f t="shared" si="50"/>
        <v>-303.61496483605117</v>
      </c>
      <c r="L165" s="1">
        <f t="shared" si="46"/>
        <v>303311.34987121512</v>
      </c>
      <c r="N165" s="1">
        <f t="shared" si="51"/>
        <v>142</v>
      </c>
      <c r="O165" s="2">
        <f t="shared" si="58"/>
        <v>11</v>
      </c>
      <c r="P165" s="2">
        <f t="shared" si="59"/>
        <v>10</v>
      </c>
      <c r="Q165" s="2">
        <f t="shared" si="60"/>
        <v>11</v>
      </c>
      <c r="R165" s="1">
        <f t="shared" si="52"/>
        <v>1931224.437961746</v>
      </c>
      <c r="S165" s="4">
        <f>IF($G$4="mensual",S156,IF($G$4="trimestral",S156,0))</f>
        <v>10000</v>
      </c>
      <c r="U165" s="1">
        <f t="shared" si="61"/>
        <v>15479.596272326746</v>
      </c>
      <c r="V165" s="35">
        <f t="shared" si="44"/>
        <v>-117.30639909120897</v>
      </c>
      <c r="X165" s="35">
        <f t="shared" si="43"/>
        <v>-1956.7040342340729</v>
      </c>
      <c r="Y165" s="1">
        <f t="shared" si="47"/>
        <v>1954630.0238007475</v>
      </c>
      <c r="AA165" s="2">
        <f>+Bono!J165</f>
        <v>184841.05323628831</v>
      </c>
      <c r="AC165" s="10">
        <f t="shared" si="53"/>
        <v>11.833333333333334</v>
      </c>
      <c r="AD165" s="1">
        <f t="shared" si="54"/>
        <v>2442782.4269082509</v>
      </c>
    </row>
    <row r="166" spans="2:30">
      <c r="B166" s="1">
        <f t="shared" si="48"/>
        <v>143</v>
      </c>
      <c r="C166" s="2">
        <f t="shared" si="55"/>
        <v>11</v>
      </c>
      <c r="D166" s="2">
        <f t="shared" si="56"/>
        <v>11</v>
      </c>
      <c r="E166" s="2">
        <f t="shared" si="57"/>
        <v>40</v>
      </c>
      <c r="F166" s="1">
        <f t="shared" si="49"/>
        <v>303311.34987121512</v>
      </c>
      <c r="H166" s="1">
        <f t="shared" si="45"/>
        <v>2418.6472975534311</v>
      </c>
      <c r="I166" s="1">
        <v>0</v>
      </c>
      <c r="J166" s="1">
        <v>0</v>
      </c>
      <c r="K166" s="1">
        <f t="shared" si="50"/>
        <v>-305.72999716876853</v>
      </c>
      <c r="L166" s="1">
        <f t="shared" si="46"/>
        <v>305424.26717159979</v>
      </c>
      <c r="N166" s="1">
        <f t="shared" si="51"/>
        <v>143</v>
      </c>
      <c r="O166" s="2">
        <f t="shared" si="58"/>
        <v>11</v>
      </c>
      <c r="P166" s="2">
        <f t="shared" si="59"/>
        <v>11</v>
      </c>
      <c r="Q166" s="2">
        <f t="shared" si="60"/>
        <v>11</v>
      </c>
      <c r="R166" s="1">
        <f t="shared" si="52"/>
        <v>1954630.0238007475</v>
      </c>
      <c r="S166" s="1">
        <f>IF($G$17="si",S154*(1+$G$20),S154)</f>
        <v>10000</v>
      </c>
      <c r="U166" s="1">
        <f t="shared" si="61"/>
        <v>15666.235700627705</v>
      </c>
      <c r="V166" s="35">
        <f t="shared" si="44"/>
        <v>-117.30639909120897</v>
      </c>
      <c r="X166" s="35">
        <f t="shared" si="43"/>
        <v>-1980.2962595013753</v>
      </c>
      <c r="Y166" s="1">
        <f t="shared" si="47"/>
        <v>1978198.6568427826</v>
      </c>
      <c r="AA166" s="2">
        <f>+Bono!J166</f>
        <v>185987.08920658843</v>
      </c>
      <c r="AC166" s="10">
        <f t="shared" si="53"/>
        <v>11.916666666666666</v>
      </c>
      <c r="AD166" s="1">
        <f t="shared" si="54"/>
        <v>2469610.013220971</v>
      </c>
    </row>
    <row r="167" spans="2:30">
      <c r="B167" s="1">
        <f t="shared" si="48"/>
        <v>144</v>
      </c>
      <c r="C167" s="2">
        <f t="shared" si="55"/>
        <v>11</v>
      </c>
      <c r="D167" s="2">
        <f t="shared" si="56"/>
        <v>12</v>
      </c>
      <c r="E167" s="2">
        <f t="shared" si="57"/>
        <v>40</v>
      </c>
      <c r="F167" s="1">
        <f t="shared" si="49"/>
        <v>305424.26717159979</v>
      </c>
      <c r="H167" s="1">
        <f t="shared" si="45"/>
        <v>2435.4959968213584</v>
      </c>
      <c r="I167" s="1">
        <v>0</v>
      </c>
      <c r="J167" s="69">
        <f>-SUM(F167:H167)*$J$21</f>
        <v>-2770.737868515791</v>
      </c>
      <c r="K167" s="1">
        <f t="shared" si="50"/>
        <v>-305.08902529990542</v>
      </c>
      <c r="L167" s="1">
        <f t="shared" si="46"/>
        <v>304783.93627460551</v>
      </c>
      <c r="N167" s="1">
        <f t="shared" si="51"/>
        <v>144</v>
      </c>
      <c r="O167" s="2">
        <f t="shared" si="58"/>
        <v>11</v>
      </c>
      <c r="P167" s="2">
        <f t="shared" si="59"/>
        <v>12</v>
      </c>
      <c r="Q167" s="2">
        <f t="shared" si="60"/>
        <v>11</v>
      </c>
      <c r="R167" s="1">
        <f t="shared" si="52"/>
        <v>1978198.6568427826</v>
      </c>
      <c r="S167" s="4">
        <f>IF($G$4="mensual",S166,0)</f>
        <v>10000</v>
      </c>
      <c r="U167" s="1">
        <f t="shared" si="61"/>
        <v>15854.175290222194</v>
      </c>
      <c r="V167" s="35">
        <f t="shared" si="44"/>
        <v>-117.30639909120897</v>
      </c>
      <c r="X167" s="35">
        <f t="shared" si="43"/>
        <v>-2004.052832133005</v>
      </c>
      <c r="Y167" s="1">
        <f t="shared" si="47"/>
        <v>2001931.4729017809</v>
      </c>
      <c r="AA167" s="2">
        <f>+Bono!J167</f>
        <v>185454.2827082162</v>
      </c>
      <c r="AC167" s="10">
        <f t="shared" si="53"/>
        <v>12</v>
      </c>
      <c r="AD167" s="1">
        <f t="shared" si="54"/>
        <v>2492169.6918846024</v>
      </c>
    </row>
    <row r="168" spans="2:30">
      <c r="B168" s="1">
        <f t="shared" si="48"/>
        <v>145</v>
      </c>
      <c r="C168" s="2">
        <f t="shared" si="55"/>
        <v>12</v>
      </c>
      <c r="D168" s="2">
        <f t="shared" si="56"/>
        <v>1</v>
      </c>
      <c r="E168" s="2">
        <f t="shared" si="57"/>
        <v>41</v>
      </c>
      <c r="F168" s="1">
        <f t="shared" si="49"/>
        <v>304783.93627460551</v>
      </c>
      <c r="H168" s="1">
        <f t="shared" si="45"/>
        <v>2430.3899083277602</v>
      </c>
      <c r="I168" s="1">
        <v>0</v>
      </c>
      <c r="J168" s="1">
        <v>0</v>
      </c>
      <c r="K168" s="1">
        <f t="shared" si="50"/>
        <v>-307.21432618293329</v>
      </c>
      <c r="L168" s="1">
        <f t="shared" si="46"/>
        <v>306907.11185675033</v>
      </c>
      <c r="N168" s="1">
        <f t="shared" si="51"/>
        <v>145</v>
      </c>
      <c r="O168" s="2">
        <f t="shared" si="58"/>
        <v>12</v>
      </c>
      <c r="P168" s="2">
        <f t="shared" si="59"/>
        <v>1</v>
      </c>
      <c r="Q168" s="2">
        <f t="shared" si="60"/>
        <v>12</v>
      </c>
      <c r="R168" s="1">
        <f t="shared" si="52"/>
        <v>2001931.4729017809</v>
      </c>
      <c r="S168" s="1">
        <f>IF($G$17="si",S156*(1+$G$20),S156)</f>
        <v>10000</v>
      </c>
      <c r="U168" s="1">
        <f t="shared" si="61"/>
        <v>16043.424098249989</v>
      </c>
      <c r="V168" s="35">
        <f>(V167*(1+$G$18))</f>
        <v>-121.99865505485734</v>
      </c>
      <c r="X168" s="35">
        <f t="shared" si="43"/>
        <v>-2027.974897000031</v>
      </c>
      <c r="Y168" s="1">
        <f t="shared" si="47"/>
        <v>2025824.9234479759</v>
      </c>
      <c r="AA168" s="2">
        <f>+Bono!J168</f>
        <v>186604.12077237249</v>
      </c>
      <c r="AC168" s="10">
        <f t="shared" si="53"/>
        <v>12.083333333333334</v>
      </c>
      <c r="AD168" s="1">
        <f t="shared" si="54"/>
        <v>2519336.1560770986</v>
      </c>
    </row>
    <row r="169" spans="2:30">
      <c r="B169" s="1">
        <f t="shared" si="48"/>
        <v>146</v>
      </c>
      <c r="C169" s="2">
        <f t="shared" si="55"/>
        <v>12</v>
      </c>
      <c r="D169" s="2">
        <f t="shared" si="56"/>
        <v>2</v>
      </c>
      <c r="E169" s="2">
        <f t="shared" si="57"/>
        <v>41</v>
      </c>
      <c r="F169" s="1">
        <f t="shared" si="49"/>
        <v>306907.11185675033</v>
      </c>
      <c r="H169" s="1">
        <f t="shared" si="45"/>
        <v>2447.3204085750026</v>
      </c>
      <c r="I169" s="1">
        <v>0</v>
      </c>
      <c r="J169" s="1">
        <v>0</v>
      </c>
      <c r="K169" s="1">
        <f t="shared" si="50"/>
        <v>-309.35443226532533</v>
      </c>
      <c r="L169" s="1">
        <f t="shared" si="46"/>
        <v>309045.07783306</v>
      </c>
      <c r="N169" s="1">
        <f t="shared" si="51"/>
        <v>146</v>
      </c>
      <c r="O169" s="2">
        <f t="shared" si="58"/>
        <v>12</v>
      </c>
      <c r="P169" s="2">
        <f t="shared" si="59"/>
        <v>2</v>
      </c>
      <c r="Q169" s="2">
        <f t="shared" si="60"/>
        <v>12</v>
      </c>
      <c r="R169" s="1">
        <f t="shared" si="52"/>
        <v>2025824.9234479759</v>
      </c>
      <c r="S169" s="4">
        <f>IF($G$4="mensual",S168,0)</f>
        <v>10000</v>
      </c>
      <c r="U169" s="1">
        <f t="shared" si="61"/>
        <v>16233.953828236416</v>
      </c>
      <c r="V169" s="35">
        <f t="shared" si="44"/>
        <v>-121.99865505485734</v>
      </c>
      <c r="X169" s="35">
        <f t="shared" si="43"/>
        <v>-2052.0588772762121</v>
      </c>
      <c r="Y169" s="1">
        <f t="shared" si="47"/>
        <v>2049884.819743881</v>
      </c>
      <c r="AA169" s="2">
        <f>+Bono!J169</f>
        <v>187761.08796589953</v>
      </c>
      <c r="AC169" s="10">
        <f t="shared" si="53"/>
        <v>12.166666666666666</v>
      </c>
      <c r="AD169" s="1">
        <f t="shared" si="54"/>
        <v>2546690.9855428408</v>
      </c>
    </row>
    <row r="170" spans="2:30">
      <c r="B170" s="1">
        <f t="shared" si="48"/>
        <v>147</v>
      </c>
      <c r="C170" s="2">
        <f t="shared" si="55"/>
        <v>12</v>
      </c>
      <c r="D170" s="2">
        <f t="shared" si="56"/>
        <v>3</v>
      </c>
      <c r="E170" s="2">
        <f t="shared" si="57"/>
        <v>41</v>
      </c>
      <c r="F170" s="1">
        <f t="shared" si="49"/>
        <v>309045.07783306</v>
      </c>
      <c r="H170" s="1">
        <f t="shared" si="45"/>
        <v>2464.3688495023143</v>
      </c>
      <c r="I170" s="1">
        <v>0</v>
      </c>
      <c r="J170" s="69">
        <f>-SUM(F170:H170)*$J$21</f>
        <v>-2803.5850201430608</v>
      </c>
      <c r="K170" s="1">
        <f t="shared" si="50"/>
        <v>-308.70586166241924</v>
      </c>
      <c r="L170" s="1">
        <f t="shared" si="46"/>
        <v>308397.15580075682</v>
      </c>
      <c r="N170" s="1">
        <f t="shared" si="51"/>
        <v>147</v>
      </c>
      <c r="O170" s="2">
        <f t="shared" si="58"/>
        <v>12</v>
      </c>
      <c r="P170" s="2">
        <f t="shared" si="59"/>
        <v>3</v>
      </c>
      <c r="Q170" s="2">
        <f t="shared" si="60"/>
        <v>12</v>
      </c>
      <c r="R170" s="1">
        <f t="shared" si="52"/>
        <v>2049884.819743881</v>
      </c>
      <c r="S170" s="4">
        <f>IF($G$4="mensual",S169,0)</f>
        <v>10000</v>
      </c>
      <c r="U170" s="1">
        <f t="shared" si="61"/>
        <v>16425.810820004823</v>
      </c>
      <c r="V170" s="35">
        <f t="shared" si="44"/>
        <v>-121.99865505485734</v>
      </c>
      <c r="X170" s="35">
        <f t="shared" si="43"/>
        <v>-2076.3106305638858</v>
      </c>
      <c r="Y170" s="1">
        <f t="shared" si="47"/>
        <v>2074112.3212782671</v>
      </c>
      <c r="AA170" s="2">
        <f>+Bono!J170</f>
        <v>187223.19940472874</v>
      </c>
      <c r="AC170" s="10">
        <f t="shared" si="53"/>
        <v>12.25</v>
      </c>
      <c r="AD170" s="1">
        <f t="shared" si="54"/>
        <v>2569732.6764837527</v>
      </c>
    </row>
    <row r="171" spans="2:30">
      <c r="B171" s="1">
        <f t="shared" si="48"/>
        <v>148</v>
      </c>
      <c r="C171" s="2">
        <f t="shared" si="55"/>
        <v>12</v>
      </c>
      <c r="D171" s="2">
        <f t="shared" si="56"/>
        <v>4</v>
      </c>
      <c r="E171" s="2">
        <f t="shared" si="57"/>
        <v>41</v>
      </c>
      <c r="F171" s="1">
        <f t="shared" si="49"/>
        <v>308397.15580075682</v>
      </c>
      <c r="H171" s="1">
        <f t="shared" si="45"/>
        <v>2459.202228229748</v>
      </c>
      <c r="I171" s="1">
        <v>0</v>
      </c>
      <c r="J171" s="1">
        <v>0</v>
      </c>
      <c r="K171" s="1">
        <f t="shared" si="50"/>
        <v>-310.85635802898656</v>
      </c>
      <c r="L171" s="1">
        <f t="shared" si="46"/>
        <v>310545.50167095754</v>
      </c>
      <c r="N171" s="1">
        <f t="shared" si="51"/>
        <v>148</v>
      </c>
      <c r="O171" s="2">
        <f t="shared" si="58"/>
        <v>12</v>
      </c>
      <c r="P171" s="2">
        <f t="shared" si="59"/>
        <v>4</v>
      </c>
      <c r="Q171" s="2">
        <f t="shared" si="60"/>
        <v>12</v>
      </c>
      <c r="R171" s="1">
        <f t="shared" si="52"/>
        <v>2074112.3212782671</v>
      </c>
      <c r="S171" s="4">
        <f>IF($G$4="mensual",S168,IF($G$4="trimestral",S168,0))</f>
        <v>10000</v>
      </c>
      <c r="U171" s="1">
        <f t="shared" si="61"/>
        <v>16619.004319481501</v>
      </c>
      <c r="V171" s="35">
        <f t="shared" si="44"/>
        <v>-121.99865505485734</v>
      </c>
      <c r="X171" s="35">
        <f t="shared" ref="X171:X234" si="62">-SUM(R171:U171)*0.1%</f>
        <v>-2100.7313255977488</v>
      </c>
      <c r="Y171" s="1">
        <f t="shared" si="47"/>
        <v>2098508.5956170959</v>
      </c>
      <c r="AA171" s="2">
        <f>+Bono!J171</f>
        <v>188384.00495758504</v>
      </c>
      <c r="AC171" s="10">
        <f t="shared" si="53"/>
        <v>12.333333333333334</v>
      </c>
      <c r="AD171" s="1">
        <f t="shared" si="54"/>
        <v>2597438.1022456386</v>
      </c>
    </row>
    <row r="172" spans="2:30">
      <c r="B172" s="1">
        <f t="shared" si="48"/>
        <v>149</v>
      </c>
      <c r="C172" s="2">
        <f t="shared" si="55"/>
        <v>12</v>
      </c>
      <c r="D172" s="2">
        <f t="shared" si="56"/>
        <v>5</v>
      </c>
      <c r="E172" s="2">
        <f t="shared" si="57"/>
        <v>41</v>
      </c>
      <c r="F172" s="1">
        <f t="shared" si="49"/>
        <v>310545.50167095754</v>
      </c>
      <c r="H172" s="1">
        <f t="shared" si="45"/>
        <v>2476.3334398885841</v>
      </c>
      <c r="I172" s="1">
        <v>0</v>
      </c>
      <c r="J172" s="1">
        <v>0</v>
      </c>
      <c r="K172" s="1">
        <f t="shared" si="50"/>
        <v>-313.02183511084615</v>
      </c>
      <c r="L172" s="1">
        <f t="shared" si="46"/>
        <v>312708.8132757353</v>
      </c>
      <c r="N172" s="1">
        <f t="shared" si="51"/>
        <v>149</v>
      </c>
      <c r="O172" s="2">
        <f t="shared" si="58"/>
        <v>12</v>
      </c>
      <c r="P172" s="2">
        <f t="shared" si="59"/>
        <v>5</v>
      </c>
      <c r="Q172" s="2">
        <f t="shared" si="60"/>
        <v>12</v>
      </c>
      <c r="R172" s="1">
        <f t="shared" si="52"/>
        <v>2098508.5956170959</v>
      </c>
      <c r="S172" s="4">
        <f>IF($G$4="mensual",S171,0)</f>
        <v>10000</v>
      </c>
      <c r="U172" s="1">
        <f t="shared" si="61"/>
        <v>16813.543637001385</v>
      </c>
      <c r="V172" s="35">
        <f t="shared" si="44"/>
        <v>-121.99865505485734</v>
      </c>
      <c r="X172" s="35">
        <f t="shared" si="62"/>
        <v>-2125.3221392540972</v>
      </c>
      <c r="Y172" s="1">
        <f t="shared" si="47"/>
        <v>2123074.8184597883</v>
      </c>
      <c r="AA172" s="2">
        <f>+Bono!J172</f>
        <v>189552.00763951417</v>
      </c>
      <c r="AC172" s="10">
        <f t="shared" si="53"/>
        <v>12.416666666666666</v>
      </c>
      <c r="AD172" s="1">
        <f t="shared" si="54"/>
        <v>2625335.639375038</v>
      </c>
    </row>
    <row r="173" spans="2:30">
      <c r="B173" s="1">
        <f t="shared" si="48"/>
        <v>150</v>
      </c>
      <c r="C173" s="2">
        <f t="shared" si="55"/>
        <v>12</v>
      </c>
      <c r="D173" s="2">
        <f t="shared" si="56"/>
        <v>6</v>
      </c>
      <c r="E173" s="2">
        <f t="shared" si="57"/>
        <v>41</v>
      </c>
      <c r="F173" s="1">
        <f t="shared" si="49"/>
        <v>312708.8132757353</v>
      </c>
      <c r="H173" s="1">
        <f t="shared" si="45"/>
        <v>2493.5839904165591</v>
      </c>
      <c r="I173" s="1">
        <v>0</v>
      </c>
      <c r="J173" s="69">
        <f>-SUM(F173:H173)*$J$21</f>
        <v>-2836.8215753953668</v>
      </c>
      <c r="K173" s="1">
        <f t="shared" si="50"/>
        <v>-312.36557569075649</v>
      </c>
      <c r="L173" s="1">
        <f t="shared" si="46"/>
        <v>312053.21011506574</v>
      </c>
      <c r="N173" s="1">
        <f t="shared" si="51"/>
        <v>150</v>
      </c>
      <c r="O173" s="2">
        <f t="shared" si="58"/>
        <v>12</v>
      </c>
      <c r="P173" s="2">
        <f t="shared" si="59"/>
        <v>6</v>
      </c>
      <c r="Q173" s="2">
        <f t="shared" si="60"/>
        <v>12</v>
      </c>
      <c r="R173" s="1">
        <f t="shared" si="52"/>
        <v>2123074.8184597883</v>
      </c>
      <c r="S173" s="4">
        <f>IF($G$4="mensual",S172,0)</f>
        <v>10000</v>
      </c>
      <c r="U173" s="1">
        <f t="shared" si="61"/>
        <v>17009.438147756755</v>
      </c>
      <c r="V173" s="35">
        <f t="shared" si="44"/>
        <v>-121.99865505485734</v>
      </c>
      <c r="X173" s="35">
        <f t="shared" si="62"/>
        <v>-2150.0842566075453</v>
      </c>
      <c r="Y173" s="1">
        <f t="shared" si="47"/>
        <v>2147812.1736958828</v>
      </c>
      <c r="AA173" s="2">
        <f>+Bono!J173</f>
        <v>189008.98854135702</v>
      </c>
      <c r="AC173" s="10">
        <f t="shared" si="53"/>
        <v>12.5</v>
      </c>
      <c r="AD173" s="1">
        <f t="shared" si="54"/>
        <v>2648874.3723523058</v>
      </c>
    </row>
    <row r="174" spans="2:30">
      <c r="B174" s="1">
        <f t="shared" si="48"/>
        <v>151</v>
      </c>
      <c r="C174" s="2">
        <f t="shared" si="55"/>
        <v>12</v>
      </c>
      <c r="D174" s="2">
        <f t="shared" si="56"/>
        <v>7</v>
      </c>
      <c r="E174" s="2">
        <f t="shared" si="57"/>
        <v>41</v>
      </c>
      <c r="F174" s="1">
        <f t="shared" si="49"/>
        <v>312053.21011506574</v>
      </c>
      <c r="H174" s="1">
        <f t="shared" si="45"/>
        <v>2488.3561187477467</v>
      </c>
      <c r="I174" s="1">
        <v>0</v>
      </c>
      <c r="J174" s="1">
        <v>0</v>
      </c>
      <c r="K174" s="1">
        <f t="shared" si="50"/>
        <v>-314.54156623381346</v>
      </c>
      <c r="L174" s="1">
        <f t="shared" si="46"/>
        <v>314227.02466757968</v>
      </c>
      <c r="N174" s="1">
        <f t="shared" si="51"/>
        <v>151</v>
      </c>
      <c r="O174" s="2">
        <f t="shared" si="58"/>
        <v>12</v>
      </c>
      <c r="P174" s="2">
        <f t="shared" si="59"/>
        <v>7</v>
      </c>
      <c r="Q174" s="2">
        <f t="shared" si="60"/>
        <v>12</v>
      </c>
      <c r="R174" s="1">
        <f t="shared" si="52"/>
        <v>2147812.1736958828</v>
      </c>
      <c r="S174" s="1">
        <f>+IF($G$4="mensual",S168,IF($G$4="trimestral",S168,IF($G$4="semestral",S168,0)))</f>
        <v>10000</v>
      </c>
      <c r="U174" s="1">
        <f t="shared" si="61"/>
        <v>17206.697292249049</v>
      </c>
      <c r="V174" s="35">
        <f t="shared" si="44"/>
        <v>-121.99865505485734</v>
      </c>
      <c r="X174" s="35">
        <f t="shared" si="62"/>
        <v>-2175.0188709881322</v>
      </c>
      <c r="Y174" s="1">
        <f t="shared" si="47"/>
        <v>2172721.8534620893</v>
      </c>
      <c r="AA174" s="2">
        <f>+Bono!J174</f>
        <v>190180.86619399913</v>
      </c>
      <c r="AC174" s="10">
        <f t="shared" si="53"/>
        <v>12.583333333333334</v>
      </c>
      <c r="AD174" s="1">
        <f t="shared" si="54"/>
        <v>2677129.7443236681</v>
      </c>
    </row>
    <row r="175" spans="2:30">
      <c r="B175" s="1">
        <f t="shared" si="48"/>
        <v>152</v>
      </c>
      <c r="C175" s="2">
        <f t="shared" si="55"/>
        <v>12</v>
      </c>
      <c r="D175" s="2">
        <f t="shared" si="56"/>
        <v>8</v>
      </c>
      <c r="E175" s="2">
        <f t="shared" si="57"/>
        <v>41</v>
      </c>
      <c r="F175" s="1">
        <f t="shared" si="49"/>
        <v>314227.02466757968</v>
      </c>
      <c r="H175" s="1">
        <f t="shared" si="45"/>
        <v>2505.6904212558875</v>
      </c>
      <c r="I175" s="1">
        <v>0</v>
      </c>
      <c r="J175" s="1">
        <v>0</v>
      </c>
      <c r="K175" s="1">
        <f t="shared" si="50"/>
        <v>-316.73271508883556</v>
      </c>
      <c r="L175" s="1">
        <f t="shared" si="46"/>
        <v>316415.98237374675</v>
      </c>
      <c r="N175" s="1">
        <f t="shared" si="51"/>
        <v>152</v>
      </c>
      <c r="O175" s="2">
        <f t="shared" si="58"/>
        <v>12</v>
      </c>
      <c r="P175" s="2">
        <f t="shared" si="59"/>
        <v>8</v>
      </c>
      <c r="Q175" s="2">
        <f t="shared" si="60"/>
        <v>12</v>
      </c>
      <c r="R175" s="1">
        <f t="shared" si="52"/>
        <v>2172721.8534620893</v>
      </c>
      <c r="S175" s="4">
        <f>IF($G$4="mensual",S174,0)</f>
        <v>10000</v>
      </c>
      <c r="U175" s="1">
        <f t="shared" si="61"/>
        <v>17405.330576743803</v>
      </c>
      <c r="V175" s="35">
        <f t="shared" si="44"/>
        <v>-121.99865505485734</v>
      </c>
      <c r="X175" s="35">
        <f t="shared" si="62"/>
        <v>-2200.1271840388331</v>
      </c>
      <c r="Y175" s="1">
        <f t="shared" si="47"/>
        <v>2197805.0581997395</v>
      </c>
      <c r="AA175" s="2">
        <f>+Bono!J175</f>
        <v>191360.00962401702</v>
      </c>
      <c r="AC175" s="10">
        <f t="shared" si="53"/>
        <v>12.666666666666666</v>
      </c>
      <c r="AD175" s="1">
        <f t="shared" si="54"/>
        <v>2705581.0501975031</v>
      </c>
    </row>
    <row r="176" spans="2:30">
      <c r="B176" s="1">
        <f t="shared" si="48"/>
        <v>153</v>
      </c>
      <c r="C176" s="2">
        <f t="shared" si="55"/>
        <v>12</v>
      </c>
      <c r="D176" s="2">
        <f t="shared" si="56"/>
        <v>9</v>
      </c>
      <c r="E176" s="2">
        <f t="shared" si="57"/>
        <v>41</v>
      </c>
      <c r="F176" s="1">
        <f t="shared" si="49"/>
        <v>316415.98237374675</v>
      </c>
      <c r="H176" s="1">
        <f t="shared" si="45"/>
        <v>2523.1454773977948</v>
      </c>
      <c r="I176" s="1">
        <v>0</v>
      </c>
      <c r="J176" s="69">
        <f>-SUM(F176:H176)*$J$21</f>
        <v>-2870.452150660301</v>
      </c>
      <c r="K176" s="1">
        <f t="shared" si="50"/>
        <v>-316.06867570048428</v>
      </c>
      <c r="L176" s="1">
        <f t="shared" si="46"/>
        <v>315752.60702478379</v>
      </c>
      <c r="N176" s="1">
        <f t="shared" si="51"/>
        <v>153</v>
      </c>
      <c r="O176" s="2">
        <f t="shared" si="58"/>
        <v>12</v>
      </c>
      <c r="P176" s="2">
        <f t="shared" si="59"/>
        <v>9</v>
      </c>
      <c r="Q176" s="2">
        <f t="shared" si="60"/>
        <v>12</v>
      </c>
      <c r="R176" s="1">
        <f t="shared" si="52"/>
        <v>2197805.0581997395</v>
      </c>
      <c r="S176" s="4">
        <f>IF($G$4="mensual",S175,0)</f>
        <v>10000</v>
      </c>
      <c r="U176" s="1">
        <f t="shared" si="61"/>
        <v>17605.34757372877</v>
      </c>
      <c r="V176" s="35">
        <f t="shared" si="44"/>
        <v>-121.99865505485734</v>
      </c>
      <c r="X176" s="35">
        <f t="shared" si="62"/>
        <v>-2225.4104057734685</v>
      </c>
      <c r="Y176" s="1">
        <f t="shared" si="47"/>
        <v>2223062.9967126399</v>
      </c>
      <c r="AA176" s="2">
        <f>+Bono!J176</f>
        <v>190811.81105232477</v>
      </c>
      <c r="AC176" s="10">
        <f t="shared" si="53"/>
        <v>12.75</v>
      </c>
      <c r="AD176" s="1">
        <f t="shared" si="54"/>
        <v>2729627.4147897484</v>
      </c>
    </row>
    <row r="177" spans="2:30">
      <c r="B177" s="1">
        <f t="shared" si="48"/>
        <v>154</v>
      </c>
      <c r="C177" s="2">
        <f t="shared" si="55"/>
        <v>12</v>
      </c>
      <c r="D177" s="2">
        <f t="shared" si="56"/>
        <v>10</v>
      </c>
      <c r="E177" s="2">
        <f t="shared" si="57"/>
        <v>41</v>
      </c>
      <c r="F177" s="1">
        <f t="shared" si="49"/>
        <v>315752.60702478379</v>
      </c>
      <c r="H177" s="1">
        <f t="shared" si="45"/>
        <v>2517.8556292080912</v>
      </c>
      <c r="I177" s="1">
        <v>0</v>
      </c>
      <c r="J177" s="1">
        <v>0</v>
      </c>
      <c r="K177" s="1">
        <f t="shared" si="50"/>
        <v>-318.2704626539919</v>
      </c>
      <c r="L177" s="1">
        <f t="shared" si="46"/>
        <v>317952.19219133788</v>
      </c>
      <c r="N177" s="1">
        <f t="shared" si="51"/>
        <v>154</v>
      </c>
      <c r="O177" s="2">
        <f t="shared" si="58"/>
        <v>12</v>
      </c>
      <c r="P177" s="2">
        <f t="shared" si="59"/>
        <v>10</v>
      </c>
      <c r="Q177" s="2">
        <f t="shared" si="60"/>
        <v>12</v>
      </c>
      <c r="R177" s="1">
        <f t="shared" si="52"/>
        <v>2223062.9967126399</v>
      </c>
      <c r="S177" s="4">
        <f>IF($G$4="mensual",S168,IF($G$4="trimestral",S168,0))</f>
        <v>10000</v>
      </c>
      <c r="U177" s="1">
        <f t="shared" si="61"/>
        <v>17806.757922375255</v>
      </c>
      <c r="V177" s="35">
        <f t="shared" ref="V177:V239" si="63">V176</f>
        <v>-121.99865505485734</v>
      </c>
      <c r="X177" s="35">
        <f t="shared" si="62"/>
        <v>-2250.8697546350149</v>
      </c>
      <c r="Y177" s="1">
        <f t="shared" si="47"/>
        <v>2248496.8862253255</v>
      </c>
      <c r="AA177" s="2">
        <f>+Bono!J177</f>
        <v>191994.86641364935</v>
      </c>
      <c r="AC177" s="10">
        <f t="shared" si="53"/>
        <v>12.833333333333334</v>
      </c>
      <c r="AD177" s="1">
        <f t="shared" si="54"/>
        <v>2758443.9448303124</v>
      </c>
    </row>
    <row r="178" spans="2:30">
      <c r="B178" s="1">
        <f t="shared" si="48"/>
        <v>155</v>
      </c>
      <c r="C178" s="2">
        <f t="shared" si="55"/>
        <v>12</v>
      </c>
      <c r="D178" s="2">
        <f t="shared" si="56"/>
        <v>11</v>
      </c>
      <c r="E178" s="2">
        <f t="shared" si="57"/>
        <v>41</v>
      </c>
      <c r="F178" s="1">
        <f t="shared" si="49"/>
        <v>317952.19219133788</v>
      </c>
      <c r="H178" s="1">
        <f t="shared" si="45"/>
        <v>2535.3954302115271</v>
      </c>
      <c r="I178" s="1">
        <v>0</v>
      </c>
      <c r="J178" s="1">
        <v>0</v>
      </c>
      <c r="K178" s="1">
        <f t="shared" si="50"/>
        <v>-320.48758762154938</v>
      </c>
      <c r="L178" s="1">
        <f t="shared" si="46"/>
        <v>320167.10003392783</v>
      </c>
      <c r="N178" s="1">
        <f t="shared" si="51"/>
        <v>155</v>
      </c>
      <c r="O178" s="2">
        <f t="shared" si="58"/>
        <v>12</v>
      </c>
      <c r="P178" s="2">
        <f t="shared" si="59"/>
        <v>11</v>
      </c>
      <c r="Q178" s="2">
        <f t="shared" si="60"/>
        <v>12</v>
      </c>
      <c r="R178" s="1">
        <f t="shared" si="52"/>
        <v>2248496.8862253255</v>
      </c>
      <c r="S178" s="1">
        <f>IF($G$17="si",S166*(1+$G$20),S166)</f>
        <v>10000</v>
      </c>
      <c r="U178" s="1">
        <f t="shared" si="61"/>
        <v>18009.571329002632</v>
      </c>
      <c r="V178" s="35">
        <f t="shared" si="63"/>
        <v>-121.99865505485734</v>
      </c>
      <c r="X178" s="35">
        <f t="shared" si="62"/>
        <v>-2276.5064575543283</v>
      </c>
      <c r="Y178" s="1">
        <f t="shared" si="47"/>
        <v>2274107.9524417194</v>
      </c>
      <c r="AA178" s="2">
        <f>+Bono!J178</f>
        <v>193185.25685544006</v>
      </c>
      <c r="AC178" s="10">
        <f t="shared" si="53"/>
        <v>12.916666666666666</v>
      </c>
      <c r="AD178" s="1">
        <f t="shared" si="54"/>
        <v>2787460.3093310869</v>
      </c>
    </row>
    <row r="179" spans="2:30">
      <c r="B179" s="1">
        <f t="shared" si="48"/>
        <v>156</v>
      </c>
      <c r="C179" s="2">
        <f t="shared" si="55"/>
        <v>12</v>
      </c>
      <c r="D179" s="2">
        <f t="shared" si="56"/>
        <v>12</v>
      </c>
      <c r="E179" s="2">
        <f t="shared" si="57"/>
        <v>41</v>
      </c>
      <c r="F179" s="1">
        <f t="shared" si="49"/>
        <v>320167.10003392783</v>
      </c>
      <c r="H179" s="1">
        <f t="shared" si="45"/>
        <v>2553.0574163854199</v>
      </c>
      <c r="I179" s="1">
        <v>0</v>
      </c>
      <c r="J179" s="69">
        <f>-SUM(F179:H179)*$J$21</f>
        <v>-2904.4814170528198</v>
      </c>
      <c r="K179" s="1">
        <f t="shared" si="50"/>
        <v>-319.8156760332605</v>
      </c>
      <c r="L179" s="1">
        <f t="shared" si="46"/>
        <v>319495.86035722721</v>
      </c>
      <c r="N179" s="1">
        <f t="shared" si="51"/>
        <v>156</v>
      </c>
      <c r="O179" s="2">
        <f t="shared" si="58"/>
        <v>12</v>
      </c>
      <c r="P179" s="2">
        <f t="shared" si="59"/>
        <v>12</v>
      </c>
      <c r="Q179" s="2">
        <f t="shared" si="60"/>
        <v>12</v>
      </c>
      <c r="R179" s="1">
        <f t="shared" si="52"/>
        <v>2274107.9524417194</v>
      </c>
      <c r="S179" s="4">
        <f>IF($G$4="mensual",S178,0)</f>
        <v>10000</v>
      </c>
      <c r="U179" s="1">
        <f t="shared" si="61"/>
        <v>18213.797567546109</v>
      </c>
      <c r="V179" s="35">
        <f t="shared" si="63"/>
        <v>-121.99865505485734</v>
      </c>
      <c r="X179" s="35">
        <f t="shared" si="62"/>
        <v>-2302.3217500092651</v>
      </c>
      <c r="Y179" s="1">
        <f t="shared" si="47"/>
        <v>2299897.4296042011</v>
      </c>
      <c r="AA179" s="2">
        <f>+Bono!J179</f>
        <v>192631.82940689308</v>
      </c>
      <c r="AC179" s="10">
        <f t="shared" si="53"/>
        <v>13</v>
      </c>
      <c r="AD179" s="1">
        <f t="shared" si="54"/>
        <v>2812025.1193683213</v>
      </c>
    </row>
    <row r="180" spans="2:30">
      <c r="B180" s="1">
        <f t="shared" si="48"/>
        <v>157</v>
      </c>
      <c r="C180" s="2">
        <f t="shared" si="55"/>
        <v>13</v>
      </c>
      <c r="D180" s="2">
        <f t="shared" si="56"/>
        <v>1</v>
      </c>
      <c r="E180" s="2">
        <f t="shared" si="57"/>
        <v>42</v>
      </c>
      <c r="F180" s="1">
        <f t="shared" si="49"/>
        <v>319495.86035722721</v>
      </c>
      <c r="H180" s="1">
        <f t="shared" si="45"/>
        <v>2547.7048569419571</v>
      </c>
      <c r="I180" s="1">
        <v>0</v>
      </c>
      <c r="J180" s="1">
        <v>0</v>
      </c>
      <c r="K180" s="1">
        <f t="shared" si="50"/>
        <v>-322.04356521416918</v>
      </c>
      <c r="L180" s="1">
        <f t="shared" si="46"/>
        <v>321721.52164895501</v>
      </c>
      <c r="N180" s="1">
        <f t="shared" si="51"/>
        <v>157</v>
      </c>
      <c r="O180" s="2">
        <f t="shared" si="58"/>
        <v>13</v>
      </c>
      <c r="P180" s="2">
        <f t="shared" si="59"/>
        <v>1</v>
      </c>
      <c r="Q180" s="2">
        <f t="shared" si="60"/>
        <v>13</v>
      </c>
      <c r="R180" s="1">
        <f t="shared" si="52"/>
        <v>2299897.4296042011</v>
      </c>
      <c r="S180" s="1">
        <f>IF($G$17="si",S168*(1+$G$20),S168)</f>
        <v>10000</v>
      </c>
      <c r="U180" s="1">
        <f t="shared" si="61"/>
        <v>18419.446480027746</v>
      </c>
      <c r="V180" s="35">
        <f>(V179*(1+$G$18))</f>
        <v>-126.87860125705164</v>
      </c>
      <c r="X180" s="35">
        <f t="shared" si="62"/>
        <v>-2328.3168760842291</v>
      </c>
      <c r="Y180" s="1">
        <f t="shared" si="47"/>
        <v>2325861.6806068877</v>
      </c>
      <c r="AA180" s="2">
        <f>+Bono!J180</f>
        <v>193826.16909312506</v>
      </c>
      <c r="AC180" s="10">
        <f t="shared" si="53"/>
        <v>13.083333333333334</v>
      </c>
      <c r="AD180" s="1">
        <f t="shared" si="54"/>
        <v>2841409.3713489678</v>
      </c>
    </row>
    <row r="181" spans="2:30">
      <c r="B181" s="1">
        <f t="shared" si="48"/>
        <v>158</v>
      </c>
      <c r="C181" s="2">
        <f t="shared" si="55"/>
        <v>13</v>
      </c>
      <c r="D181" s="2">
        <f t="shared" si="56"/>
        <v>2</v>
      </c>
      <c r="E181" s="2">
        <f t="shared" si="57"/>
        <v>42</v>
      </c>
      <c r="F181" s="1">
        <f t="shared" si="49"/>
        <v>321721.52164895501</v>
      </c>
      <c r="H181" s="1">
        <f t="shared" si="45"/>
        <v>2565.45259262937</v>
      </c>
      <c r="I181" s="1">
        <v>0</v>
      </c>
      <c r="J181" s="1">
        <v>0</v>
      </c>
      <c r="K181" s="1">
        <f t="shared" si="50"/>
        <v>-324.28697424158435</v>
      </c>
      <c r="L181" s="1">
        <f t="shared" si="46"/>
        <v>323962.68726734276</v>
      </c>
      <c r="N181" s="1">
        <f t="shared" si="51"/>
        <v>158</v>
      </c>
      <c r="O181" s="2">
        <f t="shared" si="58"/>
        <v>13</v>
      </c>
      <c r="P181" s="2">
        <f t="shared" si="59"/>
        <v>2</v>
      </c>
      <c r="Q181" s="2">
        <f t="shared" si="60"/>
        <v>13</v>
      </c>
      <c r="R181" s="1">
        <f t="shared" si="52"/>
        <v>2325861.6806068877</v>
      </c>
      <c r="S181" s="4">
        <f>IF($G$4="mensual",S180,0)</f>
        <v>10000</v>
      </c>
      <c r="U181" s="1">
        <f t="shared" si="61"/>
        <v>18626.489063654473</v>
      </c>
      <c r="V181" s="35">
        <f t="shared" si="63"/>
        <v>-126.87860125705164</v>
      </c>
      <c r="X181" s="35">
        <f t="shared" si="62"/>
        <v>-2354.4881696705424</v>
      </c>
      <c r="Y181" s="1">
        <f t="shared" si="47"/>
        <v>2352006.8028996144</v>
      </c>
      <c r="AA181" s="2">
        <f>+Bono!J181</f>
        <v>195027.9138239465</v>
      </c>
      <c r="AC181" s="10">
        <f t="shared" si="53"/>
        <v>13.166666666666666</v>
      </c>
      <c r="AD181" s="1">
        <f t="shared" si="54"/>
        <v>2870997.4039909034</v>
      </c>
    </row>
    <row r="182" spans="2:30">
      <c r="B182" s="1">
        <f t="shared" si="48"/>
        <v>159</v>
      </c>
      <c r="C182" s="2">
        <f t="shared" si="55"/>
        <v>13</v>
      </c>
      <c r="D182" s="2">
        <f t="shared" si="56"/>
        <v>3</v>
      </c>
      <c r="E182" s="2">
        <f t="shared" si="57"/>
        <v>42</v>
      </c>
      <c r="F182" s="1">
        <f t="shared" si="49"/>
        <v>323962.68726734276</v>
      </c>
      <c r="H182" s="1">
        <f t="shared" si="45"/>
        <v>2583.3239619948245</v>
      </c>
      <c r="I182" s="1">
        <v>0</v>
      </c>
      <c r="J182" s="69">
        <f>-SUM(F182:H182)*$J$21</f>
        <v>-2938.9141010640387</v>
      </c>
      <c r="K182" s="1">
        <f t="shared" si="50"/>
        <v>-323.60709712827355</v>
      </c>
      <c r="L182" s="1">
        <f t="shared" si="46"/>
        <v>323283.49003114528</v>
      </c>
      <c r="N182" s="1">
        <f t="shared" si="51"/>
        <v>159</v>
      </c>
      <c r="O182" s="2">
        <f t="shared" si="58"/>
        <v>13</v>
      </c>
      <c r="P182" s="2">
        <f t="shared" si="59"/>
        <v>3</v>
      </c>
      <c r="Q182" s="2">
        <f t="shared" si="60"/>
        <v>13</v>
      </c>
      <c r="R182" s="1">
        <f t="shared" si="52"/>
        <v>2352006.8028996144</v>
      </c>
      <c r="S182" s="4">
        <f>IF($G$4="mensual",S181,0)</f>
        <v>10000</v>
      </c>
      <c r="U182" s="1">
        <f t="shared" si="61"/>
        <v>18834.97394034754</v>
      </c>
      <c r="V182" s="35">
        <f t="shared" si="63"/>
        <v>-126.87860125705164</v>
      </c>
      <c r="X182" s="35">
        <f t="shared" si="62"/>
        <v>-2380.8417768399618</v>
      </c>
      <c r="Y182" s="1">
        <f t="shared" si="47"/>
        <v>2378334.0564618646</v>
      </c>
      <c r="AA182" s="2">
        <f>+Bono!J182</f>
        <v>194469.20762400184</v>
      </c>
      <c r="AC182" s="10">
        <f t="shared" si="53"/>
        <v>13.25</v>
      </c>
      <c r="AD182" s="1">
        <f t="shared" si="54"/>
        <v>2896086.754117012</v>
      </c>
    </row>
    <row r="183" spans="2:30">
      <c r="B183" s="1">
        <f t="shared" si="48"/>
        <v>160</v>
      </c>
      <c r="C183" s="2">
        <f t="shared" si="55"/>
        <v>13</v>
      </c>
      <c r="D183" s="2">
        <f t="shared" si="56"/>
        <v>4</v>
      </c>
      <c r="E183" s="2">
        <f t="shared" si="57"/>
        <v>42</v>
      </c>
      <c r="F183" s="1">
        <f t="shared" si="49"/>
        <v>323283.49003114528</v>
      </c>
      <c r="H183" s="1">
        <f t="shared" si="45"/>
        <v>2577.9079478544627</v>
      </c>
      <c r="I183" s="1">
        <v>0</v>
      </c>
      <c r="J183" s="1">
        <v>0</v>
      </c>
      <c r="K183" s="1">
        <f t="shared" si="50"/>
        <v>-325.86139797899978</v>
      </c>
      <c r="L183" s="1">
        <f t="shared" si="46"/>
        <v>325535.53658102074</v>
      </c>
      <c r="N183" s="1">
        <f t="shared" si="51"/>
        <v>160</v>
      </c>
      <c r="O183" s="2">
        <f t="shared" si="58"/>
        <v>13</v>
      </c>
      <c r="P183" s="2">
        <f t="shared" si="59"/>
        <v>4</v>
      </c>
      <c r="Q183" s="2">
        <f t="shared" si="60"/>
        <v>13</v>
      </c>
      <c r="R183" s="1">
        <f t="shared" si="52"/>
        <v>2378334.0564618646</v>
      </c>
      <c r="S183" s="4">
        <f>IF($G$4="mensual",S180,IF($G$4="trimestral",S180,0))</f>
        <v>10000</v>
      </c>
      <c r="U183" s="1">
        <f t="shared" si="61"/>
        <v>19044.911157360279</v>
      </c>
      <c r="V183" s="35">
        <f t="shared" si="63"/>
        <v>-126.87860125705164</v>
      </c>
      <c r="X183" s="35">
        <f t="shared" si="62"/>
        <v>-2407.378967619225</v>
      </c>
      <c r="Y183" s="1">
        <f t="shared" si="47"/>
        <v>2404844.7100503487</v>
      </c>
      <c r="AA183" s="2">
        <f>+Bono!J183</f>
        <v>195674.93926830258</v>
      </c>
      <c r="AC183" s="10">
        <f t="shared" si="53"/>
        <v>13.333333333333334</v>
      </c>
      <c r="AD183" s="1">
        <f t="shared" si="54"/>
        <v>2926055.1858996721</v>
      </c>
    </row>
    <row r="184" spans="2:30">
      <c r="B184" s="1">
        <f t="shared" si="48"/>
        <v>161</v>
      </c>
      <c r="C184" s="2">
        <f t="shared" si="55"/>
        <v>13</v>
      </c>
      <c r="D184" s="2">
        <f t="shared" si="56"/>
        <v>5</v>
      </c>
      <c r="E184" s="2">
        <f t="shared" si="57"/>
        <v>42</v>
      </c>
      <c r="F184" s="1">
        <f t="shared" si="49"/>
        <v>325535.53658102074</v>
      </c>
      <c r="H184" s="1">
        <f t="shared" si="45"/>
        <v>2595.8660832955979</v>
      </c>
      <c r="I184" s="1">
        <v>0</v>
      </c>
      <c r="J184" s="1">
        <v>0</v>
      </c>
      <c r="K184" s="1">
        <f t="shared" si="50"/>
        <v>-328.13140266431634</v>
      </c>
      <c r="L184" s="1">
        <f t="shared" si="46"/>
        <v>327803.27126165206</v>
      </c>
      <c r="N184" s="1">
        <f t="shared" si="51"/>
        <v>161</v>
      </c>
      <c r="O184" s="2">
        <f t="shared" si="58"/>
        <v>13</v>
      </c>
      <c r="P184" s="2">
        <f t="shared" si="59"/>
        <v>5</v>
      </c>
      <c r="Q184" s="2">
        <f t="shared" si="60"/>
        <v>13</v>
      </c>
      <c r="R184" s="1">
        <f t="shared" si="52"/>
        <v>2404844.7100503487</v>
      </c>
      <c r="S184" s="4">
        <f>IF($G$4="mensual",S183,0)</f>
        <v>10000</v>
      </c>
      <c r="U184" s="1">
        <f t="shared" si="61"/>
        <v>19256.310831936873</v>
      </c>
      <c r="V184" s="35">
        <f t="shared" si="63"/>
        <v>-126.87860125705164</v>
      </c>
      <c r="X184" s="35">
        <f t="shared" si="62"/>
        <v>-2434.1010208822859</v>
      </c>
      <c r="Y184" s="1">
        <f t="shared" si="47"/>
        <v>2431540.0412601461</v>
      </c>
      <c r="AA184" s="2">
        <f>+Bono!J184</f>
        <v>196888.14658865417</v>
      </c>
      <c r="AC184" s="10">
        <f t="shared" si="53"/>
        <v>13.416666666666666</v>
      </c>
      <c r="AD184" s="1">
        <f t="shared" si="54"/>
        <v>2956231.4591104523</v>
      </c>
    </row>
    <row r="185" spans="2:30">
      <c r="B185" s="1">
        <f t="shared" si="48"/>
        <v>162</v>
      </c>
      <c r="C185" s="2">
        <f t="shared" si="55"/>
        <v>13</v>
      </c>
      <c r="D185" s="2">
        <f t="shared" si="56"/>
        <v>6</v>
      </c>
      <c r="E185" s="2">
        <f t="shared" si="57"/>
        <v>42</v>
      </c>
      <c r="F185" s="1">
        <f t="shared" si="49"/>
        <v>327803.27126165206</v>
      </c>
      <c r="H185" s="1">
        <f t="shared" si="45"/>
        <v>2613.9493180944473</v>
      </c>
      <c r="I185" s="1">
        <v>0</v>
      </c>
      <c r="J185" s="69">
        <f>-SUM(F185:H185)*$J$21</f>
        <v>-2973.754985217719</v>
      </c>
      <c r="K185" s="1">
        <f t="shared" si="50"/>
        <v>-327.44346559452885</v>
      </c>
      <c r="L185" s="1">
        <f t="shared" si="46"/>
        <v>327116.02212893427</v>
      </c>
      <c r="N185" s="1">
        <f t="shared" si="51"/>
        <v>162</v>
      </c>
      <c r="O185" s="2">
        <f t="shared" si="58"/>
        <v>13</v>
      </c>
      <c r="P185" s="2">
        <f t="shared" si="59"/>
        <v>6</v>
      </c>
      <c r="Q185" s="2">
        <f t="shared" si="60"/>
        <v>13</v>
      </c>
      <c r="R185" s="1">
        <f t="shared" si="52"/>
        <v>2431540.0412601461</v>
      </c>
      <c r="S185" s="4">
        <f>IF($G$4="mensual",S184,0)</f>
        <v>10000</v>
      </c>
      <c r="U185" s="1">
        <f t="shared" si="61"/>
        <v>19469.183151799894</v>
      </c>
      <c r="V185" s="35">
        <f t="shared" si="63"/>
        <v>-126.87860125705164</v>
      </c>
      <c r="X185" s="35">
        <f t="shared" si="62"/>
        <v>-2461.009224411946</v>
      </c>
      <c r="Y185" s="1">
        <f t="shared" si="47"/>
        <v>2458421.3365862765</v>
      </c>
      <c r="AA185" s="2">
        <f>+Bono!J185</f>
        <v>196324.11128705117</v>
      </c>
      <c r="AC185" s="10">
        <f t="shared" si="53"/>
        <v>13.5</v>
      </c>
      <c r="AD185" s="1">
        <f t="shared" si="54"/>
        <v>2981861.4700022619</v>
      </c>
    </row>
    <row r="186" spans="2:30">
      <c r="B186" s="1">
        <f t="shared" si="48"/>
        <v>163</v>
      </c>
      <c r="C186" s="2">
        <f t="shared" si="55"/>
        <v>13</v>
      </c>
      <c r="D186" s="2">
        <f t="shared" si="56"/>
        <v>7</v>
      </c>
      <c r="E186" s="2">
        <f t="shared" si="57"/>
        <v>42</v>
      </c>
      <c r="F186" s="1">
        <f t="shared" si="49"/>
        <v>327116.02212893427</v>
      </c>
      <c r="H186" s="1">
        <f t="shared" si="45"/>
        <v>2608.4690970005131</v>
      </c>
      <c r="I186" s="1">
        <v>0</v>
      </c>
      <c r="J186" s="1">
        <v>0</v>
      </c>
      <c r="K186" s="1">
        <f t="shared" si="50"/>
        <v>-329.72449122593474</v>
      </c>
      <c r="L186" s="1">
        <f t="shared" si="46"/>
        <v>329394.7667347088</v>
      </c>
      <c r="N186" s="1">
        <f t="shared" si="51"/>
        <v>163</v>
      </c>
      <c r="O186" s="2">
        <f t="shared" si="58"/>
        <v>13</v>
      </c>
      <c r="P186" s="2">
        <f t="shared" si="59"/>
        <v>7</v>
      </c>
      <c r="Q186" s="2">
        <f t="shared" si="60"/>
        <v>13</v>
      </c>
      <c r="R186" s="1">
        <f t="shared" si="52"/>
        <v>2458421.3365862765</v>
      </c>
      <c r="S186" s="1">
        <f>+IF($G$4="mensual",S180,IF($G$4="trimestral",S180,IF($G$4="semestral",S180,0)))</f>
        <v>10000</v>
      </c>
      <c r="U186" s="1">
        <f t="shared" si="61"/>
        <v>19683.538375641296</v>
      </c>
      <c r="V186" s="35">
        <f t="shared" si="63"/>
        <v>-126.87860125705164</v>
      </c>
      <c r="X186" s="35">
        <f t="shared" si="62"/>
        <v>-2488.1048749619176</v>
      </c>
      <c r="Y186" s="1">
        <f t="shared" si="47"/>
        <v>2485489.8914856985</v>
      </c>
      <c r="AA186" s="2">
        <f>+Bono!J186</f>
        <v>197541.34354921829</v>
      </c>
      <c r="AC186" s="10">
        <f t="shared" si="53"/>
        <v>13.583333333333334</v>
      </c>
      <c r="AD186" s="1">
        <f t="shared" si="54"/>
        <v>3012426.0017696256</v>
      </c>
    </row>
    <row r="187" spans="2:30">
      <c r="B187" s="1">
        <f t="shared" si="48"/>
        <v>164</v>
      </c>
      <c r="C187" s="2">
        <f t="shared" si="55"/>
        <v>13</v>
      </c>
      <c r="D187" s="2">
        <f t="shared" si="56"/>
        <v>8</v>
      </c>
      <c r="E187" s="2">
        <f t="shared" si="57"/>
        <v>42</v>
      </c>
      <c r="F187" s="1">
        <f t="shared" si="49"/>
        <v>329394.7667347088</v>
      </c>
      <c r="H187" s="1">
        <f t="shared" si="45"/>
        <v>2626.6401264885662</v>
      </c>
      <c r="I187" s="1">
        <v>0</v>
      </c>
      <c r="J187" s="1">
        <v>0</v>
      </c>
      <c r="K187" s="1">
        <f t="shared" si="50"/>
        <v>-332.02140686119736</v>
      </c>
      <c r="L187" s="1">
        <f t="shared" si="46"/>
        <v>331689.38545433618</v>
      </c>
      <c r="N187" s="1">
        <f t="shared" si="51"/>
        <v>164</v>
      </c>
      <c r="O187" s="2">
        <f t="shared" si="58"/>
        <v>13</v>
      </c>
      <c r="P187" s="2">
        <f t="shared" si="59"/>
        <v>8</v>
      </c>
      <c r="Q187" s="2">
        <f t="shared" si="60"/>
        <v>13</v>
      </c>
      <c r="R187" s="1">
        <f t="shared" si="52"/>
        <v>2485489.8914856985</v>
      </c>
      <c r="S187" s="4">
        <f>IF($G$4="mensual",S186,0)</f>
        <v>10000</v>
      </c>
      <c r="U187" s="1">
        <f t="shared" si="61"/>
        <v>19899.386833616776</v>
      </c>
      <c r="V187" s="35">
        <f t="shared" si="63"/>
        <v>-126.87860125705164</v>
      </c>
      <c r="X187" s="35">
        <f t="shared" si="62"/>
        <v>-2515.3892783193155</v>
      </c>
      <c r="Y187" s="1">
        <f t="shared" si="47"/>
        <v>2512747.0104397391</v>
      </c>
      <c r="AA187" s="2">
        <f>+Bono!J187</f>
        <v>198766.12279260109</v>
      </c>
      <c r="AC187" s="10">
        <f t="shared" si="53"/>
        <v>13.666666666666666</v>
      </c>
      <c r="AD187" s="1">
        <f t="shared" si="54"/>
        <v>3043202.5186866764</v>
      </c>
    </row>
    <row r="188" spans="2:30">
      <c r="B188" s="1">
        <f t="shared" si="48"/>
        <v>165</v>
      </c>
      <c r="C188" s="2">
        <f t="shared" si="55"/>
        <v>13</v>
      </c>
      <c r="D188" s="2">
        <f t="shared" si="56"/>
        <v>9</v>
      </c>
      <c r="E188" s="2">
        <f t="shared" si="57"/>
        <v>42</v>
      </c>
      <c r="F188" s="1">
        <f t="shared" si="49"/>
        <v>331689.38545433618</v>
      </c>
      <c r="H188" s="1">
        <f t="shared" si="45"/>
        <v>2644.9377383896663</v>
      </c>
      <c r="I188" s="1">
        <v>0</v>
      </c>
      <c r="J188" s="69">
        <f>-SUM(F188:H188)*$J$21</f>
        <v>-3009.0089087345327</v>
      </c>
      <c r="K188" s="1">
        <f t="shared" si="50"/>
        <v>-331.3253142839913</v>
      </c>
      <c r="L188" s="1">
        <f t="shared" si="46"/>
        <v>330993.98896970728</v>
      </c>
      <c r="N188" s="1">
        <f t="shared" si="51"/>
        <v>165</v>
      </c>
      <c r="O188" s="2">
        <f t="shared" si="58"/>
        <v>13</v>
      </c>
      <c r="P188" s="2">
        <f t="shared" si="59"/>
        <v>9</v>
      </c>
      <c r="Q188" s="2">
        <f t="shared" si="60"/>
        <v>13</v>
      </c>
      <c r="R188" s="1">
        <f t="shared" si="52"/>
        <v>2512747.0104397391</v>
      </c>
      <c r="S188" s="4">
        <f>IF($G$4="mensual",S187,0)</f>
        <v>10000</v>
      </c>
      <c r="U188" s="1">
        <f t="shared" si="61"/>
        <v>20116.738927843631</v>
      </c>
      <c r="V188" s="35">
        <f t="shared" si="63"/>
        <v>-126.87860125705164</v>
      </c>
      <c r="X188" s="35">
        <f t="shared" si="62"/>
        <v>-2542.8637493675828</v>
      </c>
      <c r="Y188" s="1">
        <f t="shared" si="47"/>
        <v>2540194.0070169577</v>
      </c>
      <c r="AA188" s="2">
        <f>+Bono!J188</f>
        <v>198196.70755882366</v>
      </c>
      <c r="AC188" s="10">
        <f t="shared" si="53"/>
        <v>13.75</v>
      </c>
      <c r="AD188" s="1">
        <f t="shared" si="54"/>
        <v>3069384.7035454889</v>
      </c>
    </row>
    <row r="189" spans="2:30">
      <c r="B189" s="1">
        <f t="shared" si="48"/>
        <v>166</v>
      </c>
      <c r="C189" s="2">
        <f t="shared" si="55"/>
        <v>13</v>
      </c>
      <c r="D189" s="2">
        <f t="shared" si="56"/>
        <v>10</v>
      </c>
      <c r="E189" s="2">
        <f t="shared" si="57"/>
        <v>42</v>
      </c>
      <c r="F189" s="1">
        <f t="shared" si="49"/>
        <v>330993.98896970728</v>
      </c>
      <c r="H189" s="1">
        <f t="shared" si="45"/>
        <v>2639.3925491674695</v>
      </c>
      <c r="I189" s="1">
        <v>0</v>
      </c>
      <c r="J189" s="1">
        <v>0</v>
      </c>
      <c r="K189" s="1">
        <f t="shared" si="50"/>
        <v>-333.63338151887473</v>
      </c>
      <c r="L189" s="1">
        <f t="shared" si="46"/>
        <v>333299.74813735584</v>
      </c>
      <c r="N189" s="1">
        <f t="shared" si="51"/>
        <v>166</v>
      </c>
      <c r="O189" s="2">
        <f t="shared" si="58"/>
        <v>13</v>
      </c>
      <c r="P189" s="2">
        <f t="shared" si="59"/>
        <v>10</v>
      </c>
      <c r="Q189" s="2">
        <f t="shared" si="60"/>
        <v>13</v>
      </c>
      <c r="R189" s="1">
        <f t="shared" si="52"/>
        <v>2540194.0070169577</v>
      </c>
      <c r="S189" s="4">
        <f>IF($G$4="mensual",S180,IF($G$4="trimestral",S180,0))</f>
        <v>10000</v>
      </c>
      <c r="U189" s="1">
        <f t="shared" si="61"/>
        <v>20335.605132902012</v>
      </c>
      <c r="V189" s="35">
        <f t="shared" si="63"/>
        <v>-126.87860125705164</v>
      </c>
      <c r="X189" s="35">
        <f t="shared" si="62"/>
        <v>-2570.52961214986</v>
      </c>
      <c r="Y189" s="1">
        <f t="shared" si="47"/>
        <v>2567832.2039364525</v>
      </c>
      <c r="AA189" s="2">
        <f>+Bono!J189</f>
        <v>199425.55013508353</v>
      </c>
      <c r="AC189" s="10">
        <f t="shared" si="53"/>
        <v>13.833333333333334</v>
      </c>
      <c r="AD189" s="1">
        <f t="shared" si="54"/>
        <v>3100557.5022088918</v>
      </c>
    </row>
    <row r="190" spans="2:30">
      <c r="B190" s="1">
        <f t="shared" si="48"/>
        <v>167</v>
      </c>
      <c r="C190" s="2">
        <f t="shared" si="55"/>
        <v>13</v>
      </c>
      <c r="D190" s="2">
        <f t="shared" si="56"/>
        <v>11</v>
      </c>
      <c r="E190" s="2">
        <f t="shared" si="57"/>
        <v>42</v>
      </c>
      <c r="F190" s="1">
        <f t="shared" si="49"/>
        <v>333299.74813735584</v>
      </c>
      <c r="H190" s="1">
        <f t="shared" si="45"/>
        <v>2657.7789965655311</v>
      </c>
      <c r="I190" s="1">
        <v>0</v>
      </c>
      <c r="J190" s="1">
        <v>0</v>
      </c>
      <c r="K190" s="1">
        <f t="shared" si="50"/>
        <v>-335.95752713392142</v>
      </c>
      <c r="L190" s="1">
        <f t="shared" si="46"/>
        <v>335621.56960678747</v>
      </c>
      <c r="N190" s="1">
        <f t="shared" si="51"/>
        <v>167</v>
      </c>
      <c r="O190" s="2">
        <f t="shared" si="58"/>
        <v>13</v>
      </c>
      <c r="P190" s="2">
        <f t="shared" si="59"/>
        <v>11</v>
      </c>
      <c r="Q190" s="2">
        <f t="shared" si="60"/>
        <v>13</v>
      </c>
      <c r="R190" s="1">
        <f t="shared" si="52"/>
        <v>2567832.2039364525</v>
      </c>
      <c r="S190" s="1">
        <f>IF($G$17="si",S178*(1+$G$20),S178)</f>
        <v>10000</v>
      </c>
      <c r="U190" s="1">
        <f t="shared" si="61"/>
        <v>20555.99599633976</v>
      </c>
      <c r="V190" s="35">
        <f t="shared" si="63"/>
        <v>-126.87860125705164</v>
      </c>
      <c r="X190" s="35">
        <f t="shared" si="62"/>
        <v>-2598.3881999327923</v>
      </c>
      <c r="Y190" s="1">
        <f t="shared" si="47"/>
        <v>2595662.9331316021</v>
      </c>
      <c r="AA190" s="2">
        <f>+Bono!J190</f>
        <v>200662.01167785309</v>
      </c>
      <c r="AC190" s="10">
        <f t="shared" si="53"/>
        <v>13.916666666666666</v>
      </c>
      <c r="AD190" s="1">
        <f t="shared" si="54"/>
        <v>3131946.5144162429</v>
      </c>
    </row>
    <row r="191" spans="2:30">
      <c r="B191" s="1">
        <f t="shared" si="48"/>
        <v>168</v>
      </c>
      <c r="C191" s="2">
        <f t="shared" si="55"/>
        <v>13</v>
      </c>
      <c r="D191" s="2">
        <f t="shared" si="56"/>
        <v>12</v>
      </c>
      <c r="E191" s="2">
        <f t="shared" si="57"/>
        <v>42</v>
      </c>
      <c r="F191" s="1">
        <f t="shared" si="49"/>
        <v>335621.56960678747</v>
      </c>
      <c r="H191" s="1">
        <f t="shared" si="45"/>
        <v>2676.2935270136227</v>
      </c>
      <c r="I191" s="1">
        <v>0</v>
      </c>
      <c r="J191" s="69">
        <f>-SUM(F191:H191)*$J$21</f>
        <v>-3044.6807682042104</v>
      </c>
      <c r="K191" s="1">
        <f t="shared" si="50"/>
        <v>-335.2531823655969</v>
      </c>
      <c r="L191" s="1">
        <f t="shared" si="46"/>
        <v>334917.92918323126</v>
      </c>
      <c r="N191" s="1">
        <f t="shared" si="51"/>
        <v>168</v>
      </c>
      <c r="O191" s="2">
        <f t="shared" si="58"/>
        <v>13</v>
      </c>
      <c r="P191" s="2">
        <f t="shared" si="59"/>
        <v>12</v>
      </c>
      <c r="Q191" s="2">
        <f t="shared" si="60"/>
        <v>13</v>
      </c>
      <c r="R191" s="1">
        <f t="shared" si="52"/>
        <v>2595662.9331316021</v>
      </c>
      <c r="S191" s="4">
        <f>IF($G$4="mensual",S190,0)</f>
        <v>10000</v>
      </c>
      <c r="U191" s="1">
        <f t="shared" si="61"/>
        <v>20777.922139180675</v>
      </c>
      <c r="V191" s="35">
        <f t="shared" si="63"/>
        <v>-126.87860125705164</v>
      </c>
      <c r="X191" s="35">
        <f t="shared" si="62"/>
        <v>-2626.4408552707832</v>
      </c>
      <c r="Y191" s="1">
        <f t="shared" si="47"/>
        <v>2623687.535814255</v>
      </c>
      <c r="AA191" s="2">
        <f>+Bono!J191</f>
        <v>200087.16519654897</v>
      </c>
      <c r="AC191" s="10">
        <f t="shared" si="53"/>
        <v>14</v>
      </c>
      <c r="AD191" s="1">
        <f t="shared" si="54"/>
        <v>3158692.6301940354</v>
      </c>
    </row>
    <row r="192" spans="2:30">
      <c r="B192" s="1">
        <f t="shared" si="48"/>
        <v>169</v>
      </c>
      <c r="C192" s="2">
        <f t="shared" si="55"/>
        <v>14</v>
      </c>
      <c r="D192" s="2">
        <f t="shared" si="56"/>
        <v>1</v>
      </c>
      <c r="E192" s="2">
        <f t="shared" si="57"/>
        <v>43</v>
      </c>
      <c r="F192" s="1">
        <f t="shared" si="49"/>
        <v>334917.92918323126</v>
      </c>
      <c r="H192" s="1">
        <f t="shared" si="45"/>
        <v>2670.6825994647324</v>
      </c>
      <c r="I192" s="1">
        <v>0</v>
      </c>
      <c r="J192" s="1">
        <v>0</v>
      </c>
      <c r="K192" s="1">
        <f t="shared" si="50"/>
        <v>-337.58861178269598</v>
      </c>
      <c r="L192" s="1">
        <f t="shared" si="46"/>
        <v>337251.02317091328</v>
      </c>
      <c r="N192" s="1">
        <f t="shared" si="51"/>
        <v>169</v>
      </c>
      <c r="O192" s="2">
        <f t="shared" si="58"/>
        <v>14</v>
      </c>
      <c r="P192" s="2">
        <f t="shared" si="59"/>
        <v>1</v>
      </c>
      <c r="Q192" s="2">
        <f t="shared" si="60"/>
        <v>14</v>
      </c>
      <c r="R192" s="1">
        <f t="shared" si="52"/>
        <v>2623687.535814255</v>
      </c>
      <c r="S192" s="1">
        <f>IF($G$17="si",S180*(1+$G$20),S180)</f>
        <v>10000</v>
      </c>
      <c r="U192" s="1">
        <f t="shared" si="61"/>
        <v>21001.394256436382</v>
      </c>
      <c r="V192" s="35">
        <f>(V191*(1+$G$18))</f>
        <v>-131.95374530733372</v>
      </c>
      <c r="X192" s="35">
        <f t="shared" si="62"/>
        <v>-2654.6889300706912</v>
      </c>
      <c r="Y192" s="1">
        <f t="shared" si="47"/>
        <v>2651902.2873953134</v>
      </c>
      <c r="AA192" s="2">
        <f>+Bono!J192</f>
        <v>201327.72882944223</v>
      </c>
      <c r="AC192" s="10">
        <f t="shared" si="53"/>
        <v>14.083333333333334</v>
      </c>
      <c r="AD192" s="1">
        <f t="shared" si="54"/>
        <v>3190481.0393956685</v>
      </c>
    </row>
    <row r="193" spans="2:30">
      <c r="B193" s="1">
        <f t="shared" si="48"/>
        <v>170</v>
      </c>
      <c r="C193" s="2">
        <f t="shared" si="55"/>
        <v>14</v>
      </c>
      <c r="D193" s="2">
        <f t="shared" si="56"/>
        <v>2</v>
      </c>
      <c r="E193" s="2">
        <f t="shared" si="57"/>
        <v>43</v>
      </c>
      <c r="F193" s="1">
        <f t="shared" si="49"/>
        <v>337251.02317091328</v>
      </c>
      <c r="H193" s="1">
        <f t="shared" si="45"/>
        <v>2689.2870185563397</v>
      </c>
      <c r="I193" s="1">
        <v>0</v>
      </c>
      <c r="J193" s="1">
        <v>0</v>
      </c>
      <c r="K193" s="1">
        <f t="shared" si="50"/>
        <v>-339.94031018946959</v>
      </c>
      <c r="L193" s="1">
        <f t="shared" si="46"/>
        <v>339600.36987928016</v>
      </c>
      <c r="N193" s="1">
        <f t="shared" si="51"/>
        <v>170</v>
      </c>
      <c r="O193" s="2">
        <f t="shared" si="58"/>
        <v>14</v>
      </c>
      <c r="P193" s="2">
        <f t="shared" si="59"/>
        <v>2</v>
      </c>
      <c r="Q193" s="2">
        <f t="shared" si="60"/>
        <v>14</v>
      </c>
      <c r="R193" s="1">
        <f t="shared" si="52"/>
        <v>2651902.2873953134</v>
      </c>
      <c r="S193" s="4">
        <f>IF($G$4="mensual",S192,0)</f>
        <v>10000</v>
      </c>
      <c r="U193" s="1">
        <f t="shared" si="61"/>
        <v>21226.382647710376</v>
      </c>
      <c r="V193" s="35">
        <f t="shared" si="63"/>
        <v>-131.95374530733372</v>
      </c>
      <c r="X193" s="35">
        <f t="shared" si="62"/>
        <v>-2683.1286700430237</v>
      </c>
      <c r="Y193" s="1">
        <f t="shared" si="47"/>
        <v>2680313.5876276735</v>
      </c>
      <c r="AA193" s="2">
        <f>+Bono!J193</f>
        <v>202575.98410075589</v>
      </c>
      <c r="AC193" s="10">
        <f t="shared" si="53"/>
        <v>14.166666666666666</v>
      </c>
      <c r="AD193" s="1">
        <f t="shared" si="54"/>
        <v>3222489.9416077095</v>
      </c>
    </row>
    <row r="194" spans="2:30">
      <c r="B194" s="1">
        <f t="shared" si="48"/>
        <v>171</v>
      </c>
      <c r="C194" s="2">
        <f t="shared" si="55"/>
        <v>14</v>
      </c>
      <c r="D194" s="2">
        <f t="shared" si="56"/>
        <v>3</v>
      </c>
      <c r="E194" s="2">
        <f t="shared" si="57"/>
        <v>43</v>
      </c>
      <c r="F194" s="1">
        <f t="shared" si="49"/>
        <v>339600.36987928016</v>
      </c>
      <c r="H194" s="1">
        <f t="shared" si="45"/>
        <v>2708.0210391250403</v>
      </c>
      <c r="I194" s="1">
        <v>0</v>
      </c>
      <c r="J194" s="69">
        <f>-SUM(F194:H194)*$J$21</f>
        <v>-3080.7755182656474</v>
      </c>
      <c r="K194" s="1">
        <f t="shared" si="50"/>
        <v>-339.22761540013954</v>
      </c>
      <c r="L194" s="1">
        <f t="shared" si="46"/>
        <v>338888.38778473937</v>
      </c>
      <c r="N194" s="1">
        <f t="shared" si="51"/>
        <v>171</v>
      </c>
      <c r="O194" s="2">
        <f t="shared" si="58"/>
        <v>14</v>
      </c>
      <c r="P194" s="2">
        <f t="shared" si="59"/>
        <v>3</v>
      </c>
      <c r="Q194" s="2">
        <f t="shared" si="60"/>
        <v>14</v>
      </c>
      <c r="R194" s="1">
        <f t="shared" si="52"/>
        <v>2680313.5876276735</v>
      </c>
      <c r="S194" s="4">
        <f>IF($G$4="mensual",S193,0)</f>
        <v>10000</v>
      </c>
      <c r="U194" s="1">
        <f t="shared" si="61"/>
        <v>21452.938345530962</v>
      </c>
      <c r="V194" s="35">
        <f t="shared" si="63"/>
        <v>-131.95374530733372</v>
      </c>
      <c r="X194" s="35">
        <f t="shared" si="62"/>
        <v>-2711.7665259732048</v>
      </c>
      <c r="Y194" s="1">
        <f t="shared" si="47"/>
        <v>2708922.805701924</v>
      </c>
      <c r="AA194" s="2">
        <f>+Bono!J194</f>
        <v>201995.65456711204</v>
      </c>
      <c r="AC194" s="10">
        <f t="shared" si="53"/>
        <v>14.25</v>
      </c>
      <c r="AD194" s="1">
        <f t="shared" si="54"/>
        <v>3249806.8480537757</v>
      </c>
    </row>
    <row r="195" spans="2:30">
      <c r="B195" s="1">
        <f t="shared" si="48"/>
        <v>172</v>
      </c>
      <c r="C195" s="2">
        <f t="shared" si="55"/>
        <v>14</v>
      </c>
      <c r="D195" s="2">
        <f t="shared" si="56"/>
        <v>4</v>
      </c>
      <c r="E195" s="2">
        <f t="shared" si="57"/>
        <v>43</v>
      </c>
      <c r="F195" s="1">
        <f t="shared" si="49"/>
        <v>338888.38778473937</v>
      </c>
      <c r="H195" s="1">
        <f t="shared" si="45"/>
        <v>2702.3435939203068</v>
      </c>
      <c r="I195" s="1">
        <v>0</v>
      </c>
      <c r="J195" s="1">
        <v>0</v>
      </c>
      <c r="K195" s="1">
        <f t="shared" si="50"/>
        <v>-341.59073137865965</v>
      </c>
      <c r="L195" s="1">
        <f t="shared" si="46"/>
        <v>341249.14064728102</v>
      </c>
      <c r="N195" s="1">
        <f t="shared" si="51"/>
        <v>172</v>
      </c>
      <c r="O195" s="2">
        <f t="shared" si="58"/>
        <v>14</v>
      </c>
      <c r="P195" s="2">
        <f t="shared" si="59"/>
        <v>4</v>
      </c>
      <c r="Q195" s="2">
        <f t="shared" si="60"/>
        <v>14</v>
      </c>
      <c r="R195" s="1">
        <f t="shared" si="52"/>
        <v>2708922.805701924</v>
      </c>
      <c r="S195" s="4">
        <f>IF($G$4="mensual",S192,IF($G$4="trimestral",S192,0))</f>
        <v>10000</v>
      </c>
      <c r="U195" s="1">
        <f t="shared" si="61"/>
        <v>21681.072268016167</v>
      </c>
      <c r="V195" s="35">
        <f t="shared" si="63"/>
        <v>-131.95374530733372</v>
      </c>
      <c r="X195" s="35">
        <f t="shared" si="62"/>
        <v>-2740.6038779699402</v>
      </c>
      <c r="Y195" s="1">
        <f t="shared" si="47"/>
        <v>2737731.3203466628</v>
      </c>
      <c r="AA195" s="2">
        <f>+Bono!J195</f>
        <v>203248.05105547386</v>
      </c>
      <c r="AC195" s="10">
        <f t="shared" si="53"/>
        <v>14.333333333333334</v>
      </c>
      <c r="AD195" s="1">
        <f t="shared" si="54"/>
        <v>3282228.5120494175</v>
      </c>
    </row>
    <row r="196" spans="2:30">
      <c r="B196" s="1">
        <f t="shared" si="48"/>
        <v>173</v>
      </c>
      <c r="C196" s="2">
        <f t="shared" si="55"/>
        <v>14</v>
      </c>
      <c r="D196" s="2">
        <f t="shared" si="56"/>
        <v>5</v>
      </c>
      <c r="E196" s="2">
        <f t="shared" si="57"/>
        <v>43</v>
      </c>
      <c r="F196" s="1">
        <f t="shared" si="49"/>
        <v>341249.14064728102</v>
      </c>
      <c r="H196" s="1">
        <f t="shared" si="45"/>
        <v>2721.1685687641507</v>
      </c>
      <c r="I196" s="1">
        <v>0</v>
      </c>
      <c r="J196" s="1">
        <v>0</v>
      </c>
      <c r="K196" s="1">
        <f t="shared" si="50"/>
        <v>-343.97030921604522</v>
      </c>
      <c r="L196" s="1">
        <f t="shared" si="46"/>
        <v>343626.33890682913</v>
      </c>
      <c r="N196" s="1">
        <f t="shared" si="51"/>
        <v>173</v>
      </c>
      <c r="O196" s="2">
        <f t="shared" si="58"/>
        <v>14</v>
      </c>
      <c r="P196" s="2">
        <f t="shared" si="59"/>
        <v>5</v>
      </c>
      <c r="Q196" s="2">
        <f t="shared" si="60"/>
        <v>14</v>
      </c>
      <c r="R196" s="1">
        <f t="shared" si="52"/>
        <v>2737731.3203466628</v>
      </c>
      <c r="S196" s="4">
        <f>IF($G$4="mensual",S195,0)</f>
        <v>10000</v>
      </c>
      <c r="U196" s="1">
        <f t="shared" si="61"/>
        <v>21910.795409341445</v>
      </c>
      <c r="V196" s="35">
        <f t="shared" si="63"/>
        <v>-131.95374530733372</v>
      </c>
      <c r="X196" s="35">
        <f t="shared" si="62"/>
        <v>-2769.6421157560044</v>
      </c>
      <c r="Y196" s="1">
        <f t="shared" si="47"/>
        <v>2766740.5198949408</v>
      </c>
      <c r="AA196" s="2">
        <f>+Bono!J196</f>
        <v>204508.21254733251</v>
      </c>
      <c r="AC196" s="10">
        <f t="shared" si="53"/>
        <v>14.416666666666666</v>
      </c>
      <c r="AD196" s="1">
        <f t="shared" si="54"/>
        <v>3314875.0713491025</v>
      </c>
    </row>
    <row r="197" spans="2:30">
      <c r="B197" s="1">
        <f t="shared" si="48"/>
        <v>174</v>
      </c>
      <c r="C197" s="2">
        <f t="shared" si="55"/>
        <v>14</v>
      </c>
      <c r="D197" s="2">
        <f t="shared" si="56"/>
        <v>6</v>
      </c>
      <c r="E197" s="2">
        <f t="shared" si="57"/>
        <v>43</v>
      </c>
      <c r="F197" s="1">
        <f t="shared" si="49"/>
        <v>343626.33890682913</v>
      </c>
      <c r="H197" s="1">
        <f t="shared" si="45"/>
        <v>2740.1246815131326</v>
      </c>
      <c r="I197" s="1">
        <v>0</v>
      </c>
      <c r="J197" s="69">
        <f>-SUM(F197:H197)*$J$21</f>
        <v>-3117.2981722950803</v>
      </c>
      <c r="K197" s="1">
        <f t="shared" si="50"/>
        <v>-343.24916541604716</v>
      </c>
      <c r="L197" s="1">
        <f t="shared" si="46"/>
        <v>342905.9162506311</v>
      </c>
      <c r="N197" s="1">
        <f t="shared" si="51"/>
        <v>174</v>
      </c>
      <c r="O197" s="2">
        <f t="shared" si="58"/>
        <v>14</v>
      </c>
      <c r="P197" s="2">
        <f t="shared" si="59"/>
        <v>6</v>
      </c>
      <c r="Q197" s="2">
        <f t="shared" si="60"/>
        <v>14</v>
      </c>
      <c r="R197" s="1">
        <f t="shared" si="52"/>
        <v>2766740.5198949408</v>
      </c>
      <c r="S197" s="4">
        <f>IF($G$4="mensual",S196,0)</f>
        <v>10000</v>
      </c>
      <c r="U197" s="1">
        <f t="shared" si="61"/>
        <v>22142.118840269504</v>
      </c>
      <c r="V197" s="35">
        <f t="shared" si="63"/>
        <v>-131.95374530733372</v>
      </c>
      <c r="X197" s="35">
        <f t="shared" si="62"/>
        <v>-2798.8826387352101</v>
      </c>
      <c r="Y197" s="1">
        <f t="shared" si="47"/>
        <v>2795951.8023511674</v>
      </c>
      <c r="AA197" s="2">
        <f>+Bono!J197</f>
        <v>203922.34766240668</v>
      </c>
      <c r="AC197" s="10">
        <f t="shared" si="53"/>
        <v>14.5</v>
      </c>
      <c r="AD197" s="1">
        <f t="shared" si="54"/>
        <v>3342780.0662642051</v>
      </c>
    </row>
    <row r="198" spans="2:30">
      <c r="B198" s="1">
        <f t="shared" si="48"/>
        <v>175</v>
      </c>
      <c r="C198" s="2">
        <f t="shared" si="55"/>
        <v>14</v>
      </c>
      <c r="D198" s="2">
        <f t="shared" si="56"/>
        <v>7</v>
      </c>
      <c r="E198" s="2">
        <f t="shared" si="57"/>
        <v>43</v>
      </c>
      <c r="F198" s="1">
        <f t="shared" si="49"/>
        <v>342905.9162506311</v>
      </c>
      <c r="H198" s="1">
        <f t="shared" si="45"/>
        <v>2734.3799300844457</v>
      </c>
      <c r="I198" s="1">
        <v>0</v>
      </c>
      <c r="J198" s="1">
        <v>0</v>
      </c>
      <c r="K198" s="1">
        <f t="shared" si="50"/>
        <v>-345.64029618071555</v>
      </c>
      <c r="L198" s="1">
        <f t="shared" si="46"/>
        <v>345294.65588453482</v>
      </c>
      <c r="N198" s="1">
        <f t="shared" si="51"/>
        <v>175</v>
      </c>
      <c r="O198" s="2">
        <f t="shared" si="58"/>
        <v>14</v>
      </c>
      <c r="P198" s="2">
        <f t="shared" si="59"/>
        <v>7</v>
      </c>
      <c r="Q198" s="2">
        <f t="shared" si="60"/>
        <v>14</v>
      </c>
      <c r="R198" s="1">
        <f t="shared" si="52"/>
        <v>2795951.8023511674</v>
      </c>
      <c r="S198" s="1">
        <f>+IF($G$4="mensual",S192,IF($G$4="trimestral",S192,IF($G$4="semestral",S192,0)))</f>
        <v>10000</v>
      </c>
      <c r="U198" s="1">
        <f t="shared" si="61"/>
        <v>22375.05370868383</v>
      </c>
      <c r="V198" s="35">
        <f t="shared" si="63"/>
        <v>-131.95374530733372</v>
      </c>
      <c r="X198" s="35">
        <f t="shared" si="62"/>
        <v>-2828.3268560598513</v>
      </c>
      <c r="Y198" s="1">
        <f t="shared" si="47"/>
        <v>2825366.5754584838</v>
      </c>
      <c r="AA198" s="2">
        <f>+Bono!J198</f>
        <v>205186.68987144189</v>
      </c>
      <c r="AC198" s="10">
        <f t="shared" si="53"/>
        <v>14.583333333333334</v>
      </c>
      <c r="AD198" s="1">
        <f t="shared" si="54"/>
        <v>3375847.9212144604</v>
      </c>
    </row>
    <row r="199" spans="2:30">
      <c r="B199" s="1">
        <f t="shared" si="48"/>
        <v>176</v>
      </c>
      <c r="C199" s="2">
        <f t="shared" si="55"/>
        <v>14</v>
      </c>
      <c r="D199" s="2">
        <f t="shared" si="56"/>
        <v>8</v>
      </c>
      <c r="E199" s="2">
        <f t="shared" si="57"/>
        <v>43</v>
      </c>
      <c r="F199" s="1">
        <f t="shared" si="49"/>
        <v>345294.65588453482</v>
      </c>
      <c r="H199" s="1">
        <f t="shared" si="45"/>
        <v>2753.4280753732824</v>
      </c>
      <c r="I199" s="1">
        <v>0</v>
      </c>
      <c r="J199" s="1">
        <v>0</v>
      </c>
      <c r="K199" s="1">
        <f t="shared" si="50"/>
        <v>-348.04808395990813</v>
      </c>
      <c r="L199" s="1">
        <f t="shared" si="46"/>
        <v>347700.0358759482</v>
      </c>
      <c r="N199" s="1">
        <f t="shared" si="51"/>
        <v>176</v>
      </c>
      <c r="O199" s="2">
        <f t="shared" si="58"/>
        <v>14</v>
      </c>
      <c r="P199" s="2">
        <f t="shared" si="59"/>
        <v>8</v>
      </c>
      <c r="Q199" s="2">
        <f t="shared" si="60"/>
        <v>14</v>
      </c>
      <c r="R199" s="1">
        <f t="shared" si="52"/>
        <v>2825366.5754584838</v>
      </c>
      <c r="S199" s="4">
        <f>IF($G$4="mensual",S198,0)</f>
        <v>10000</v>
      </c>
      <c r="U199" s="1">
        <f t="shared" si="61"/>
        <v>22609.611240125912</v>
      </c>
      <c r="V199" s="35">
        <f t="shared" si="63"/>
        <v>-131.95374530733372</v>
      </c>
      <c r="X199" s="35">
        <f t="shared" si="62"/>
        <v>-2857.9761866986096</v>
      </c>
      <c r="Y199" s="1">
        <f t="shared" si="47"/>
        <v>2854986.2567666033</v>
      </c>
      <c r="AA199" s="2">
        <f>+Bono!J199</f>
        <v>206458.87114882772</v>
      </c>
      <c r="AC199" s="10">
        <f t="shared" si="53"/>
        <v>14.666666666666666</v>
      </c>
      <c r="AD199" s="1">
        <f t="shared" si="54"/>
        <v>3409145.163791379</v>
      </c>
    </row>
    <row r="200" spans="2:30">
      <c r="B200" s="1">
        <f t="shared" si="48"/>
        <v>177</v>
      </c>
      <c r="C200" s="2">
        <f t="shared" si="55"/>
        <v>14</v>
      </c>
      <c r="D200" s="2">
        <f t="shared" si="56"/>
        <v>9</v>
      </c>
      <c r="E200" s="2">
        <f t="shared" si="57"/>
        <v>43</v>
      </c>
      <c r="F200" s="1">
        <f t="shared" si="49"/>
        <v>347700.0358759482</v>
      </c>
      <c r="H200" s="1">
        <f t="shared" si="45"/>
        <v>2772.6089132096877</v>
      </c>
      <c r="I200" s="1">
        <v>0</v>
      </c>
      <c r="J200" s="69">
        <f>-SUM(F200:H200)*$J$21</f>
        <v>-3154.2538031024214</v>
      </c>
      <c r="K200" s="1">
        <f t="shared" si="50"/>
        <v>-347.31839098605548</v>
      </c>
      <c r="L200" s="1">
        <f t="shared" si="46"/>
        <v>346971.07259506942</v>
      </c>
      <c r="N200" s="1">
        <f t="shared" si="51"/>
        <v>177</v>
      </c>
      <c r="O200" s="2">
        <f t="shared" si="58"/>
        <v>14</v>
      </c>
      <c r="P200" s="2">
        <f t="shared" si="59"/>
        <v>9</v>
      </c>
      <c r="Q200" s="2">
        <f t="shared" si="60"/>
        <v>14</v>
      </c>
      <c r="R200" s="1">
        <f t="shared" si="52"/>
        <v>2854986.2567666033</v>
      </c>
      <c r="S200" s="4">
        <f>IF($G$4="mensual",S199,0)</f>
        <v>10000</v>
      </c>
      <c r="U200" s="1">
        <f t="shared" si="61"/>
        <v>22845.802738336231</v>
      </c>
      <c r="V200" s="35">
        <f t="shared" si="63"/>
        <v>-131.95374530733372</v>
      </c>
      <c r="X200" s="35">
        <f t="shared" si="62"/>
        <v>-2887.8320595049399</v>
      </c>
      <c r="Y200" s="1">
        <f t="shared" si="47"/>
        <v>2884812.2737001274</v>
      </c>
      <c r="AA200" s="2">
        <f>+Bono!J200</f>
        <v>205867.41811483511</v>
      </c>
      <c r="AC200" s="10">
        <f t="shared" si="53"/>
        <v>14.75</v>
      </c>
      <c r="AD200" s="1">
        <f t="shared" si="54"/>
        <v>3437650.764410032</v>
      </c>
    </row>
    <row r="201" spans="2:30">
      <c r="B201" s="1">
        <f t="shared" si="48"/>
        <v>178</v>
      </c>
      <c r="C201" s="2">
        <f t="shared" si="55"/>
        <v>14</v>
      </c>
      <c r="D201" s="2">
        <f t="shared" si="56"/>
        <v>10</v>
      </c>
      <c r="E201" s="2">
        <f t="shared" si="57"/>
        <v>43</v>
      </c>
      <c r="F201" s="1">
        <f t="shared" si="49"/>
        <v>346971.07259506942</v>
      </c>
      <c r="H201" s="1">
        <f t="shared" si="45"/>
        <v>2766.7960576404462</v>
      </c>
      <c r="I201" s="1">
        <v>0</v>
      </c>
      <c r="J201" s="1">
        <v>0</v>
      </c>
      <c r="K201" s="1">
        <f t="shared" si="50"/>
        <v>-349.73786865270989</v>
      </c>
      <c r="L201" s="1">
        <f t="shared" si="46"/>
        <v>349388.13078405714</v>
      </c>
      <c r="N201" s="1">
        <f t="shared" si="51"/>
        <v>178</v>
      </c>
      <c r="O201" s="2">
        <f t="shared" si="58"/>
        <v>14</v>
      </c>
      <c r="P201" s="2">
        <f t="shared" si="59"/>
        <v>10</v>
      </c>
      <c r="Q201" s="2">
        <f t="shared" si="60"/>
        <v>14</v>
      </c>
      <c r="R201" s="1">
        <f t="shared" si="52"/>
        <v>2884812.2737001274</v>
      </c>
      <c r="S201" s="4">
        <f>IF($G$4="mensual",S192,IF($G$4="trimestral",S192,0))</f>
        <v>10000</v>
      </c>
      <c r="U201" s="1">
        <f t="shared" si="61"/>
        <v>23083.639585799014</v>
      </c>
      <c r="V201" s="35">
        <f t="shared" si="63"/>
        <v>-131.95374530733372</v>
      </c>
      <c r="X201" s="35">
        <f t="shared" si="62"/>
        <v>-2917.8959132859263</v>
      </c>
      <c r="Y201" s="1">
        <f t="shared" si="47"/>
        <v>2914846.0636273329</v>
      </c>
      <c r="AA201" s="2">
        <f>+Bono!J201</f>
        <v>207143.81998628957</v>
      </c>
      <c r="AC201" s="10">
        <f t="shared" si="53"/>
        <v>14.833333333333334</v>
      </c>
      <c r="AD201" s="1">
        <f t="shared" si="54"/>
        <v>3471378.0143976794</v>
      </c>
    </row>
    <row r="202" spans="2:30">
      <c r="B202" s="1">
        <f t="shared" si="48"/>
        <v>179</v>
      </c>
      <c r="C202" s="2">
        <f t="shared" si="55"/>
        <v>14</v>
      </c>
      <c r="D202" s="2">
        <f t="shared" si="56"/>
        <v>11</v>
      </c>
      <c r="E202" s="2">
        <f t="shared" si="57"/>
        <v>43</v>
      </c>
      <c r="F202" s="1">
        <f t="shared" si="49"/>
        <v>349388.13078405714</v>
      </c>
      <c r="H202" s="1">
        <f t="shared" si="45"/>
        <v>2786.070019064266</v>
      </c>
      <c r="I202" s="1">
        <v>0</v>
      </c>
      <c r="J202" s="1">
        <v>0</v>
      </c>
      <c r="K202" s="1">
        <f t="shared" si="50"/>
        <v>-352.17420080312138</v>
      </c>
      <c r="L202" s="1">
        <f t="shared" si="46"/>
        <v>351822.02660231828</v>
      </c>
      <c r="N202" s="1">
        <f t="shared" si="51"/>
        <v>179</v>
      </c>
      <c r="O202" s="2">
        <f t="shared" si="58"/>
        <v>14</v>
      </c>
      <c r="P202" s="2">
        <f t="shared" si="59"/>
        <v>11</v>
      </c>
      <c r="Q202" s="2">
        <f t="shared" si="60"/>
        <v>14</v>
      </c>
      <c r="R202" s="1">
        <f t="shared" si="52"/>
        <v>2914846.0636273329</v>
      </c>
      <c r="S202" s="1">
        <f>IF($G$17="si",S190*(1+$G$20),S190)</f>
        <v>10000</v>
      </c>
      <c r="U202" s="1">
        <f t="shared" si="61"/>
        <v>23323.133244290748</v>
      </c>
      <c r="V202" s="35">
        <f t="shared" si="63"/>
        <v>-131.95374530733372</v>
      </c>
      <c r="X202" s="35">
        <f t="shared" si="62"/>
        <v>-2948.1691968716241</v>
      </c>
      <c r="Y202" s="1">
        <f t="shared" si="47"/>
        <v>2945089.0739294449</v>
      </c>
      <c r="AA202" s="2">
        <f>+Bono!J202</f>
        <v>208428.13569740052</v>
      </c>
      <c r="AC202" s="10">
        <f t="shared" si="53"/>
        <v>14.916666666666666</v>
      </c>
      <c r="AD202" s="1">
        <f t="shared" si="54"/>
        <v>3505339.2362291636</v>
      </c>
    </row>
    <row r="203" spans="2:30">
      <c r="B203" s="1">
        <f t="shared" si="48"/>
        <v>180</v>
      </c>
      <c r="C203" s="2">
        <f t="shared" si="55"/>
        <v>14</v>
      </c>
      <c r="D203" s="2">
        <f t="shared" si="56"/>
        <v>12</v>
      </c>
      <c r="E203" s="2">
        <f t="shared" si="57"/>
        <v>43</v>
      </c>
      <c r="F203" s="1">
        <f t="shared" si="49"/>
        <v>351822.02660231828</v>
      </c>
      <c r="H203" s="1">
        <f t="shared" si="45"/>
        <v>2805.4782461084019</v>
      </c>
      <c r="I203" s="1">
        <v>0</v>
      </c>
      <c r="J203" s="69">
        <f>-SUM(F203:H203)*$J$21</f>
        <v>-3191.6475436358405</v>
      </c>
      <c r="K203" s="1">
        <f t="shared" si="50"/>
        <v>-351.43585730479083</v>
      </c>
      <c r="L203" s="1">
        <f t="shared" si="46"/>
        <v>351084.42144748603</v>
      </c>
      <c r="N203" s="1">
        <f t="shared" si="51"/>
        <v>180</v>
      </c>
      <c r="O203" s="2">
        <f t="shared" si="58"/>
        <v>14</v>
      </c>
      <c r="P203" s="2">
        <f t="shared" si="59"/>
        <v>12</v>
      </c>
      <c r="Q203" s="2">
        <f t="shared" si="60"/>
        <v>14</v>
      </c>
      <c r="R203" s="1">
        <f t="shared" si="52"/>
        <v>2945089.0739294449</v>
      </c>
      <c r="S203" s="4">
        <f>IF($G$4="mensual",S202,0)</f>
        <v>10000</v>
      </c>
      <c r="U203" s="1">
        <f t="shared" si="61"/>
        <v>23564.295255432571</v>
      </c>
      <c r="V203" s="35">
        <f t="shared" si="63"/>
        <v>-131.95374530733372</v>
      </c>
      <c r="X203" s="35">
        <f t="shared" si="62"/>
        <v>-2978.6533691848772</v>
      </c>
      <c r="Y203" s="1">
        <f t="shared" si="47"/>
        <v>2975542.7620703848</v>
      </c>
      <c r="AA203" s="2">
        <f>+Bono!J203</f>
        <v>207831.04121295581</v>
      </c>
      <c r="AC203" s="10">
        <f t="shared" si="53"/>
        <v>15</v>
      </c>
      <c r="AD203" s="1">
        <f t="shared" si="54"/>
        <v>3534458.2247308269</v>
      </c>
    </row>
    <row r="204" spans="2:30">
      <c r="B204" s="1">
        <f t="shared" si="48"/>
        <v>181</v>
      </c>
      <c r="C204" s="2">
        <f t="shared" si="55"/>
        <v>15</v>
      </c>
      <c r="D204" s="2">
        <f t="shared" si="56"/>
        <v>1</v>
      </c>
      <c r="E204" s="2">
        <f t="shared" si="57"/>
        <v>44</v>
      </c>
      <c r="F204" s="1">
        <f t="shared" si="49"/>
        <v>351084.42144748603</v>
      </c>
      <c r="H204" s="1">
        <f t="shared" si="45"/>
        <v>2799.5964790226863</v>
      </c>
      <c r="I204" s="1">
        <v>0</v>
      </c>
      <c r="J204" s="1">
        <v>0</v>
      </c>
      <c r="K204" s="1">
        <f t="shared" si="50"/>
        <v>-353.88401792650876</v>
      </c>
      <c r="L204" s="1">
        <f t="shared" si="46"/>
        <v>353530.13390858221</v>
      </c>
      <c r="N204" s="1">
        <f t="shared" si="51"/>
        <v>181</v>
      </c>
      <c r="O204" s="2">
        <f t="shared" si="58"/>
        <v>15</v>
      </c>
      <c r="P204" s="2">
        <f t="shared" si="59"/>
        <v>1</v>
      </c>
      <c r="Q204" s="2">
        <f t="shared" si="60"/>
        <v>15</v>
      </c>
      <c r="R204" s="1">
        <f t="shared" si="52"/>
        <v>2975542.7620703848</v>
      </c>
      <c r="S204" s="1">
        <f>IF($G$17="si",S192*(1+$G$20),S192)</f>
        <v>10000</v>
      </c>
      <c r="U204" s="1">
        <f t="shared" si="61"/>
        <v>23807.137241246466</v>
      </c>
      <c r="V204" s="35">
        <f>(V203*(1+$G$18))</f>
        <v>-137.23189511962707</v>
      </c>
      <c r="X204" s="35">
        <f t="shared" si="62"/>
        <v>-3009.3498993116314</v>
      </c>
      <c r="Y204" s="1">
        <f t="shared" si="47"/>
        <v>3006203.3175172005</v>
      </c>
      <c r="AA204" s="2">
        <f>+Bono!J204</f>
        <v>209119.6177753848</v>
      </c>
      <c r="AC204" s="10">
        <f t="shared" si="53"/>
        <v>15.083333333333334</v>
      </c>
      <c r="AD204" s="1">
        <f t="shared" si="54"/>
        <v>3568853.0692011677</v>
      </c>
    </row>
    <row r="205" spans="2:30">
      <c r="B205" s="1">
        <f t="shared" si="48"/>
        <v>182</v>
      </c>
      <c r="C205" s="2">
        <f t="shared" si="55"/>
        <v>15</v>
      </c>
      <c r="D205" s="2">
        <f t="shared" si="56"/>
        <v>2</v>
      </c>
      <c r="E205" s="2">
        <f t="shared" si="57"/>
        <v>44</v>
      </c>
      <c r="F205" s="1">
        <f t="shared" si="49"/>
        <v>353530.13390858221</v>
      </c>
      <c r="H205" s="1">
        <f t="shared" si="45"/>
        <v>2819.0989336361868</v>
      </c>
      <c r="I205" s="1">
        <v>0</v>
      </c>
      <c r="J205" s="1">
        <v>0</v>
      </c>
      <c r="K205" s="1">
        <f t="shared" si="50"/>
        <v>-356.34923284221844</v>
      </c>
      <c r="L205" s="1">
        <f t="shared" si="46"/>
        <v>355992.88360937621</v>
      </c>
      <c r="N205" s="1">
        <f t="shared" si="51"/>
        <v>182</v>
      </c>
      <c r="O205" s="2">
        <f t="shared" si="58"/>
        <v>15</v>
      </c>
      <c r="P205" s="2">
        <f t="shared" si="59"/>
        <v>2</v>
      </c>
      <c r="Q205" s="2">
        <f t="shared" si="60"/>
        <v>15</v>
      </c>
      <c r="R205" s="1">
        <f t="shared" si="52"/>
        <v>3006203.3175172005</v>
      </c>
      <c r="S205" s="4">
        <f>IF($G$4="mensual",S204,0)</f>
        <v>10000</v>
      </c>
      <c r="U205" s="1">
        <f t="shared" si="61"/>
        <v>24051.628816007567</v>
      </c>
      <c r="V205" s="35">
        <f t="shared" si="63"/>
        <v>-137.23189511962707</v>
      </c>
      <c r="X205" s="35">
        <f t="shared" si="62"/>
        <v>-3040.2549463332084</v>
      </c>
      <c r="Y205" s="1">
        <f t="shared" si="47"/>
        <v>3037077.4594917553</v>
      </c>
      <c r="AA205" s="2">
        <f>+Bono!J205</f>
        <v>210416.1836619665</v>
      </c>
      <c r="AC205" s="10">
        <f t="shared" si="53"/>
        <v>15.166666666666666</v>
      </c>
      <c r="AD205" s="1">
        <f t="shared" si="54"/>
        <v>3603486.5267630983</v>
      </c>
    </row>
    <row r="206" spans="2:30">
      <c r="B206" s="1">
        <f t="shared" si="48"/>
        <v>183</v>
      </c>
      <c r="C206" s="2">
        <f t="shared" si="55"/>
        <v>15</v>
      </c>
      <c r="D206" s="2">
        <f t="shared" si="56"/>
        <v>3</v>
      </c>
      <c r="E206" s="2">
        <f t="shared" si="57"/>
        <v>44</v>
      </c>
      <c r="F206" s="1">
        <f t="shared" si="49"/>
        <v>355992.88360937621</v>
      </c>
      <c r="H206" s="1">
        <f t="shared" si="45"/>
        <v>2838.7372455915593</v>
      </c>
      <c r="I206" s="1">
        <v>0</v>
      </c>
      <c r="J206" s="69">
        <f>-SUM(F206:H206)*$J$21</f>
        <v>-3229.4845876947102</v>
      </c>
      <c r="K206" s="1">
        <f t="shared" si="50"/>
        <v>-355.60213626727307</v>
      </c>
      <c r="L206" s="1">
        <f t="shared" si="46"/>
        <v>355246.53413100576</v>
      </c>
      <c r="N206" s="1">
        <f t="shared" si="51"/>
        <v>183</v>
      </c>
      <c r="O206" s="2">
        <f t="shared" si="58"/>
        <v>15</v>
      </c>
      <c r="P206" s="2">
        <f t="shared" si="59"/>
        <v>3</v>
      </c>
      <c r="Q206" s="2">
        <f t="shared" si="60"/>
        <v>15</v>
      </c>
      <c r="R206" s="1">
        <f t="shared" si="52"/>
        <v>3037077.4594917553</v>
      </c>
      <c r="S206" s="4">
        <f>IF($G$4="mensual",S205,0)</f>
        <v>10000</v>
      </c>
      <c r="U206" s="1">
        <f t="shared" si="61"/>
        <v>24297.823559734577</v>
      </c>
      <c r="V206" s="35">
        <f t="shared" si="63"/>
        <v>-137.23189511962707</v>
      </c>
      <c r="X206" s="35">
        <f t="shared" si="62"/>
        <v>-3071.37528305149</v>
      </c>
      <c r="Y206" s="1">
        <f t="shared" si="47"/>
        <v>3068166.6758733192</v>
      </c>
      <c r="AA206" s="2">
        <f>+Bono!J206</f>
        <v>209813.39391728025</v>
      </c>
      <c r="AC206" s="10">
        <f t="shared" si="53"/>
        <v>15.25</v>
      </c>
      <c r="AD206" s="1">
        <f t="shared" si="54"/>
        <v>3633226.6039216053</v>
      </c>
    </row>
    <row r="207" spans="2:30">
      <c r="B207" s="1">
        <f t="shared" si="48"/>
        <v>184</v>
      </c>
      <c r="C207" s="2">
        <f t="shared" si="55"/>
        <v>15</v>
      </c>
      <c r="D207" s="2">
        <f t="shared" si="56"/>
        <v>4</v>
      </c>
      <c r="E207" s="2">
        <f t="shared" si="57"/>
        <v>44</v>
      </c>
      <c r="F207" s="1">
        <f t="shared" si="49"/>
        <v>355246.53413100576</v>
      </c>
      <c r="H207" s="1">
        <f t="shared" si="45"/>
        <v>2832.7857500419941</v>
      </c>
      <c r="I207" s="1">
        <v>0</v>
      </c>
      <c r="J207" s="1">
        <v>0</v>
      </c>
      <c r="K207" s="1">
        <f t="shared" si="50"/>
        <v>-358.07931988104775</v>
      </c>
      <c r="L207" s="1">
        <f t="shared" si="46"/>
        <v>357721.24056116672</v>
      </c>
      <c r="N207" s="1">
        <f t="shared" si="51"/>
        <v>184</v>
      </c>
      <c r="O207" s="2">
        <f t="shared" si="58"/>
        <v>15</v>
      </c>
      <c r="P207" s="2">
        <f t="shared" si="59"/>
        <v>4</v>
      </c>
      <c r="Q207" s="2">
        <f t="shared" si="60"/>
        <v>15</v>
      </c>
      <c r="R207" s="1">
        <f t="shared" si="52"/>
        <v>3068166.6758733192</v>
      </c>
      <c r="S207" s="4">
        <f>IF($G$4="mensual",S204,IF($G$4="trimestral",S204,0))</f>
        <v>10000</v>
      </c>
      <c r="U207" s="1">
        <f t="shared" si="61"/>
        <v>24545.733336985744</v>
      </c>
      <c r="V207" s="35">
        <f t="shared" si="63"/>
        <v>-137.23189511962707</v>
      </c>
      <c r="X207" s="35">
        <f t="shared" si="62"/>
        <v>-3102.7124092103049</v>
      </c>
      <c r="Y207" s="1">
        <f t="shared" si="47"/>
        <v>3099472.4649059749</v>
      </c>
      <c r="AA207" s="2">
        <f>+Bono!J207</f>
        <v>211114.26129641474</v>
      </c>
      <c r="AC207" s="10">
        <f t="shared" si="53"/>
        <v>15.333333333333334</v>
      </c>
      <c r="AD207" s="1">
        <f t="shared" si="54"/>
        <v>3668307.9667635565</v>
      </c>
    </row>
    <row r="208" spans="2:30">
      <c r="B208" s="1">
        <f t="shared" si="48"/>
        <v>185</v>
      </c>
      <c r="C208" s="2">
        <f t="shared" si="55"/>
        <v>15</v>
      </c>
      <c r="D208" s="2">
        <f t="shared" si="56"/>
        <v>5</v>
      </c>
      <c r="E208" s="2">
        <f t="shared" si="57"/>
        <v>44</v>
      </c>
      <c r="F208" s="1">
        <f t="shared" si="49"/>
        <v>357721.24056116672</v>
      </c>
      <c r="H208" s="1">
        <f t="shared" si="45"/>
        <v>2852.5194066364088</v>
      </c>
      <c r="I208" s="1">
        <v>0</v>
      </c>
      <c r="J208" s="1">
        <v>0</v>
      </c>
      <c r="K208" s="1">
        <f t="shared" si="50"/>
        <v>-360.57375996780314</v>
      </c>
      <c r="L208" s="1">
        <f t="shared" si="46"/>
        <v>360213.18620783533</v>
      </c>
      <c r="N208" s="1">
        <f t="shared" si="51"/>
        <v>185</v>
      </c>
      <c r="O208" s="2">
        <f t="shared" si="58"/>
        <v>15</v>
      </c>
      <c r="P208" s="2">
        <f t="shared" si="59"/>
        <v>5</v>
      </c>
      <c r="Q208" s="2">
        <f t="shared" si="60"/>
        <v>15</v>
      </c>
      <c r="R208" s="1">
        <f t="shared" si="52"/>
        <v>3099472.4649059749</v>
      </c>
      <c r="S208" s="4">
        <f>IF($G$4="mensual",S207,0)</f>
        <v>10000</v>
      </c>
      <c r="U208" s="1">
        <f t="shared" si="61"/>
        <v>24795.370094969778</v>
      </c>
      <c r="V208" s="35">
        <f t="shared" si="63"/>
        <v>-137.23189511962707</v>
      </c>
      <c r="X208" s="35">
        <f t="shared" si="62"/>
        <v>-3134.2678350009451</v>
      </c>
      <c r="Y208" s="1">
        <f t="shared" si="47"/>
        <v>3130996.3352708244</v>
      </c>
      <c r="AA208" s="2">
        <f>+Bono!J208</f>
        <v>212423.19420419115</v>
      </c>
      <c r="AC208" s="10">
        <f t="shared" si="53"/>
        <v>15.416666666666666</v>
      </c>
      <c r="AD208" s="1">
        <f t="shared" si="54"/>
        <v>3703632.7156828512</v>
      </c>
    </row>
    <row r="209" spans="2:30">
      <c r="B209" s="1">
        <f t="shared" si="48"/>
        <v>186</v>
      </c>
      <c r="C209" s="2">
        <f t="shared" si="55"/>
        <v>15</v>
      </c>
      <c r="D209" s="2">
        <f t="shared" si="56"/>
        <v>6</v>
      </c>
      <c r="E209" s="2">
        <f t="shared" si="57"/>
        <v>44</v>
      </c>
      <c r="F209" s="1">
        <f t="shared" si="49"/>
        <v>360213.18620783533</v>
      </c>
      <c r="H209" s="1">
        <f t="shared" si="45"/>
        <v>2872.3905311641397</v>
      </c>
      <c r="I209" s="1">
        <v>0</v>
      </c>
      <c r="J209" s="69">
        <f>-SUM(F209:H209)*$J$21</f>
        <v>-3267.7701906509956</v>
      </c>
      <c r="K209" s="1">
        <f t="shared" si="50"/>
        <v>-359.81780654834847</v>
      </c>
      <c r="L209" s="1">
        <f t="shared" si="46"/>
        <v>359457.98874180013</v>
      </c>
      <c r="N209" s="1">
        <f t="shared" si="51"/>
        <v>186</v>
      </c>
      <c r="O209" s="2">
        <f t="shared" si="58"/>
        <v>15</v>
      </c>
      <c r="P209" s="2">
        <f t="shared" si="59"/>
        <v>6</v>
      </c>
      <c r="Q209" s="2">
        <f t="shared" si="60"/>
        <v>15</v>
      </c>
      <c r="R209" s="1">
        <f t="shared" si="52"/>
        <v>3130996.3352708244</v>
      </c>
      <c r="S209" s="4">
        <f>IF($G$4="mensual",S208,0)</f>
        <v>10000</v>
      </c>
      <c r="U209" s="1">
        <f t="shared" si="61"/>
        <v>25046.745864121644</v>
      </c>
      <c r="V209" s="35">
        <f t="shared" si="63"/>
        <v>-137.23189511962707</v>
      </c>
      <c r="X209" s="35">
        <f t="shared" si="62"/>
        <v>-3166.0430811349461</v>
      </c>
      <c r="Y209" s="1">
        <f t="shared" si="47"/>
        <v>3162739.8061586916</v>
      </c>
      <c r="AA209" s="2">
        <f>+Bono!J209</f>
        <v>211814.65487622059</v>
      </c>
      <c r="AC209" s="10">
        <f t="shared" si="53"/>
        <v>15.5</v>
      </c>
      <c r="AD209" s="1">
        <f t="shared" si="54"/>
        <v>3734012.4497767123</v>
      </c>
    </row>
    <row r="210" spans="2:30">
      <c r="B210" s="1">
        <f t="shared" si="48"/>
        <v>187</v>
      </c>
      <c r="C210" s="2">
        <f t="shared" si="55"/>
        <v>15</v>
      </c>
      <c r="D210" s="2">
        <f t="shared" si="56"/>
        <v>7</v>
      </c>
      <c r="E210" s="2">
        <f t="shared" si="57"/>
        <v>44</v>
      </c>
      <c r="F210" s="1">
        <f t="shared" si="49"/>
        <v>359457.98874180013</v>
      </c>
      <c r="H210" s="1">
        <f t="shared" si="45"/>
        <v>2866.3684805184225</v>
      </c>
      <c r="I210" s="1">
        <v>0</v>
      </c>
      <c r="J210" s="1">
        <v>0</v>
      </c>
      <c r="K210" s="1">
        <f t="shared" si="50"/>
        <v>-362.32435722231855</v>
      </c>
      <c r="L210" s="1">
        <f t="shared" si="46"/>
        <v>361962.03286509623</v>
      </c>
      <c r="N210" s="1">
        <f t="shared" si="51"/>
        <v>187</v>
      </c>
      <c r="O210" s="2">
        <f t="shared" si="58"/>
        <v>15</v>
      </c>
      <c r="P210" s="2">
        <f t="shared" si="59"/>
        <v>7</v>
      </c>
      <c r="Q210" s="2">
        <f t="shared" si="60"/>
        <v>15</v>
      </c>
      <c r="R210" s="1">
        <f t="shared" si="52"/>
        <v>3162739.8061586916</v>
      </c>
      <c r="S210" s="1">
        <f>+IF($G$4="mensual",S204,IF($G$4="trimestral",S204,IF($G$4="semestral",S204,0)))</f>
        <v>10000</v>
      </c>
      <c r="U210" s="1">
        <f t="shared" si="61"/>
        <v>25299.872758682315</v>
      </c>
      <c r="V210" s="35">
        <f t="shared" si="63"/>
        <v>-137.23189511962707</v>
      </c>
      <c r="X210" s="35">
        <f t="shared" si="62"/>
        <v>-3198.0396789173742</v>
      </c>
      <c r="Y210" s="1">
        <f t="shared" si="47"/>
        <v>3194704.4073433373</v>
      </c>
      <c r="AA210" s="2">
        <f>+Bono!J210</f>
        <v>213127.93030543244</v>
      </c>
      <c r="AC210" s="10">
        <f t="shared" si="53"/>
        <v>15.583333333333334</v>
      </c>
      <c r="AD210" s="1">
        <f t="shared" si="54"/>
        <v>3769794.3705138662</v>
      </c>
    </row>
    <row r="211" spans="2:30">
      <c r="B211" s="1">
        <f t="shared" si="48"/>
        <v>188</v>
      </c>
      <c r="C211" s="2">
        <f t="shared" si="55"/>
        <v>15</v>
      </c>
      <c r="D211" s="2">
        <f t="shared" si="56"/>
        <v>8</v>
      </c>
      <c r="E211" s="2">
        <f t="shared" si="57"/>
        <v>44</v>
      </c>
      <c r="F211" s="1">
        <f t="shared" si="49"/>
        <v>361962.03286509623</v>
      </c>
      <c r="H211" s="1">
        <f t="shared" si="45"/>
        <v>2886.3360799977568</v>
      </c>
      <c r="I211" s="1">
        <v>0</v>
      </c>
      <c r="J211" s="1">
        <v>0</v>
      </c>
      <c r="K211" s="1">
        <f t="shared" si="50"/>
        <v>-364.84836894509402</v>
      </c>
      <c r="L211" s="1">
        <f t="shared" si="46"/>
        <v>364483.52057614893</v>
      </c>
      <c r="N211" s="1">
        <f t="shared" si="51"/>
        <v>188</v>
      </c>
      <c r="O211" s="2">
        <f t="shared" si="58"/>
        <v>15</v>
      </c>
      <c r="P211" s="2">
        <f t="shared" si="59"/>
        <v>8</v>
      </c>
      <c r="Q211" s="2">
        <f t="shared" si="60"/>
        <v>15</v>
      </c>
      <c r="R211" s="1">
        <f t="shared" si="52"/>
        <v>3194704.4073433373</v>
      </c>
      <c r="S211" s="4">
        <f>IF($G$4="mensual",S210,0)</f>
        <v>10000</v>
      </c>
      <c r="U211" s="1">
        <f t="shared" si="61"/>
        <v>25554.762977282582</v>
      </c>
      <c r="V211" s="35">
        <f t="shared" si="63"/>
        <v>-137.23189511962707</v>
      </c>
      <c r="X211" s="35">
        <f t="shared" si="62"/>
        <v>-3230.2591703206199</v>
      </c>
      <c r="Y211" s="1">
        <f t="shared" si="47"/>
        <v>3226891.6792551796</v>
      </c>
      <c r="AA211" s="2">
        <f>+Bono!J211</f>
        <v>214449.34819463591</v>
      </c>
      <c r="AC211" s="10">
        <f t="shared" si="53"/>
        <v>15.666666666666666</v>
      </c>
      <c r="AD211" s="1">
        <f t="shared" si="54"/>
        <v>3805824.5480259643</v>
      </c>
    </row>
    <row r="212" spans="2:30">
      <c r="B212" s="1">
        <f t="shared" si="48"/>
        <v>189</v>
      </c>
      <c r="C212" s="2">
        <f t="shared" si="55"/>
        <v>15</v>
      </c>
      <c r="D212" s="2">
        <f t="shared" si="56"/>
        <v>9</v>
      </c>
      <c r="E212" s="2">
        <f t="shared" si="57"/>
        <v>44</v>
      </c>
      <c r="F212" s="1">
        <f t="shared" si="49"/>
        <v>364483.52057614893</v>
      </c>
      <c r="H212" s="1">
        <f t="shared" si="45"/>
        <v>2906.4427770954462</v>
      </c>
      <c r="I212" s="1">
        <v>0</v>
      </c>
      <c r="J212" s="69">
        <f>-SUM(F212:H212)*$J$21</f>
        <v>-3306.5096701791995</v>
      </c>
      <c r="K212" s="1">
        <f t="shared" si="50"/>
        <v>-364.08345368306516</v>
      </c>
      <c r="L212" s="1">
        <f t="shared" si="46"/>
        <v>363719.37022938207</v>
      </c>
      <c r="N212" s="1">
        <f t="shared" si="51"/>
        <v>189</v>
      </c>
      <c r="O212" s="2">
        <f t="shared" si="58"/>
        <v>15</v>
      </c>
      <c r="P212" s="2">
        <f t="shared" si="59"/>
        <v>9</v>
      </c>
      <c r="Q212" s="2">
        <f t="shared" si="60"/>
        <v>15</v>
      </c>
      <c r="R212" s="1">
        <f t="shared" si="52"/>
        <v>3226891.6792551796</v>
      </c>
      <c r="S212" s="4">
        <f>IF($G$4="mensual",S211,0)</f>
        <v>10000</v>
      </c>
      <c r="U212" s="1">
        <f t="shared" si="61"/>
        <v>25811.428803530922</v>
      </c>
      <c r="V212" s="35">
        <f t="shared" si="63"/>
        <v>-137.23189511962707</v>
      </c>
      <c r="X212" s="35">
        <f t="shared" si="62"/>
        <v>-3262.7031080587108</v>
      </c>
      <c r="Y212" s="1">
        <f t="shared" si="47"/>
        <v>3259303.1730555324</v>
      </c>
      <c r="AA212" s="2">
        <f>+Bono!J212</f>
        <v>213835.00444218935</v>
      </c>
      <c r="AC212" s="10">
        <f t="shared" si="53"/>
        <v>15.75</v>
      </c>
      <c r="AD212" s="1">
        <f t="shared" si="54"/>
        <v>3836857.5477271038</v>
      </c>
    </row>
    <row r="213" spans="2:30">
      <c r="B213" s="1">
        <f t="shared" si="48"/>
        <v>190</v>
      </c>
      <c r="C213" s="2">
        <f t="shared" si="55"/>
        <v>15</v>
      </c>
      <c r="D213" s="2">
        <f t="shared" si="56"/>
        <v>10</v>
      </c>
      <c r="E213" s="2">
        <f t="shared" si="57"/>
        <v>44</v>
      </c>
      <c r="F213" s="1">
        <f t="shared" si="49"/>
        <v>363719.37022938207</v>
      </c>
      <c r="H213" s="1">
        <f t="shared" si="45"/>
        <v>2900.3493349215319</v>
      </c>
      <c r="I213" s="1">
        <v>0</v>
      </c>
      <c r="J213" s="1">
        <v>0</v>
      </c>
      <c r="K213" s="1">
        <f t="shared" si="50"/>
        <v>-366.61971956430358</v>
      </c>
      <c r="L213" s="1">
        <f t="shared" si="46"/>
        <v>366253.09984473925</v>
      </c>
      <c r="N213" s="1">
        <f t="shared" si="51"/>
        <v>190</v>
      </c>
      <c r="O213" s="2">
        <f t="shared" si="58"/>
        <v>15</v>
      </c>
      <c r="P213" s="2">
        <f t="shared" si="59"/>
        <v>10</v>
      </c>
      <c r="Q213" s="2">
        <f t="shared" si="60"/>
        <v>15</v>
      </c>
      <c r="R213" s="1">
        <f t="shared" si="52"/>
        <v>3259303.1730555324</v>
      </c>
      <c r="S213" s="4">
        <f>IF($G$4="mensual",S204,IF($G$4="trimestral",S204,0))</f>
        <v>10000</v>
      </c>
      <c r="U213" s="1">
        <f t="shared" si="61"/>
        <v>26069.882606605479</v>
      </c>
      <c r="V213" s="35">
        <f t="shared" si="63"/>
        <v>-137.23189511962707</v>
      </c>
      <c r="X213" s="35">
        <f t="shared" si="62"/>
        <v>-3295.3730556621381</v>
      </c>
      <c r="Y213" s="1">
        <f t="shared" si="47"/>
        <v>3291940.4507113565</v>
      </c>
      <c r="AA213" s="2">
        <f>+Bono!J213</f>
        <v>215160.80627305622</v>
      </c>
      <c r="AC213" s="10">
        <f t="shared" si="53"/>
        <v>15.833333333333334</v>
      </c>
      <c r="AD213" s="1">
        <f t="shared" si="54"/>
        <v>3873354.356829152</v>
      </c>
    </row>
    <row r="214" spans="2:30">
      <c r="B214" s="1">
        <f t="shared" si="48"/>
        <v>191</v>
      </c>
      <c r="C214" s="2">
        <f t="shared" si="55"/>
        <v>15</v>
      </c>
      <c r="D214" s="2">
        <f t="shared" si="56"/>
        <v>11</v>
      </c>
      <c r="E214" s="2">
        <f t="shared" si="57"/>
        <v>44</v>
      </c>
      <c r="F214" s="1">
        <f t="shared" si="49"/>
        <v>366253.09984473925</v>
      </c>
      <c r="H214" s="1">
        <f t="shared" si="45"/>
        <v>2920.5536506832623</v>
      </c>
      <c r="I214" s="1">
        <v>0</v>
      </c>
      <c r="J214" s="1">
        <v>0</v>
      </c>
      <c r="K214" s="1">
        <f t="shared" si="50"/>
        <v>-369.17365349542251</v>
      </c>
      <c r="L214" s="1">
        <f t="shared" si="46"/>
        <v>368804.47984192707</v>
      </c>
      <c r="N214" s="1">
        <f t="shared" si="51"/>
        <v>191</v>
      </c>
      <c r="O214" s="2">
        <f t="shared" si="58"/>
        <v>15</v>
      </c>
      <c r="P214" s="2">
        <f t="shared" si="59"/>
        <v>11</v>
      </c>
      <c r="Q214" s="2">
        <f t="shared" si="60"/>
        <v>15</v>
      </c>
      <c r="R214" s="1">
        <f t="shared" si="52"/>
        <v>3291940.4507113565</v>
      </c>
      <c r="S214" s="1">
        <f>IF($G$17="si",S202*(1+$G$20),S202)</f>
        <v>10000</v>
      </c>
      <c r="U214" s="1">
        <f t="shared" si="61"/>
        <v>26330.136841850144</v>
      </c>
      <c r="V214" s="35">
        <f t="shared" si="63"/>
        <v>-137.23189511962707</v>
      </c>
      <c r="X214" s="35">
        <f t="shared" si="62"/>
        <v>-3328.270587553207</v>
      </c>
      <c r="Y214" s="1">
        <f t="shared" si="47"/>
        <v>3324805.0850705341</v>
      </c>
      <c r="AA214" s="2">
        <f>+Bono!J214</f>
        <v>216494.82822905798</v>
      </c>
      <c r="AC214" s="10">
        <f t="shared" si="53"/>
        <v>15.916666666666666</v>
      </c>
      <c r="AD214" s="1">
        <f t="shared" si="54"/>
        <v>3910104.3931415193</v>
      </c>
    </row>
    <row r="215" spans="2:30">
      <c r="B215" s="1">
        <f t="shared" si="48"/>
        <v>192</v>
      </c>
      <c r="C215" s="2">
        <f t="shared" si="55"/>
        <v>15</v>
      </c>
      <c r="D215" s="2">
        <f t="shared" si="56"/>
        <v>12</v>
      </c>
      <c r="E215" s="2">
        <f t="shared" si="57"/>
        <v>44</v>
      </c>
      <c r="F215" s="1">
        <f t="shared" si="49"/>
        <v>368804.47984192707</v>
      </c>
      <c r="H215" s="1">
        <f t="shared" si="45"/>
        <v>2940.898713068334</v>
      </c>
      <c r="I215" s="1">
        <v>0</v>
      </c>
      <c r="J215" s="69">
        <f>-SUM(F215:H215)*$J$21</f>
        <v>-3345.7084069949592</v>
      </c>
      <c r="K215" s="1">
        <f t="shared" si="50"/>
        <v>-368.3996701480005</v>
      </c>
      <c r="L215" s="1">
        <f t="shared" si="46"/>
        <v>368031.27047785249</v>
      </c>
      <c r="N215" s="1">
        <f t="shared" si="51"/>
        <v>192</v>
      </c>
      <c r="O215" s="2">
        <f t="shared" si="58"/>
        <v>15</v>
      </c>
      <c r="P215" s="2">
        <f t="shared" si="59"/>
        <v>12</v>
      </c>
      <c r="Q215" s="2">
        <f t="shared" si="60"/>
        <v>15</v>
      </c>
      <c r="R215" s="1">
        <f t="shared" si="52"/>
        <v>3324805.0850705341</v>
      </c>
      <c r="S215" s="4">
        <f>IF($G$4="mensual",S214,0)</f>
        <v>10000</v>
      </c>
      <c r="U215" s="1">
        <f t="shared" si="61"/>
        <v>26592.204051374803</v>
      </c>
      <c r="V215" s="35">
        <f t="shared" si="63"/>
        <v>-137.23189511962707</v>
      </c>
      <c r="X215" s="35">
        <f t="shared" si="62"/>
        <v>-3361.3972891219091</v>
      </c>
      <c r="Y215" s="1">
        <f t="shared" si="47"/>
        <v>3357898.6599376677</v>
      </c>
      <c r="AA215" s="2">
        <f>+Bono!J215</f>
        <v>215874.62468785251</v>
      </c>
      <c r="AC215" s="10">
        <f t="shared" si="53"/>
        <v>16</v>
      </c>
      <c r="AD215" s="1">
        <f t="shared" si="54"/>
        <v>3941804.5551033723</v>
      </c>
    </row>
    <row r="216" spans="2:30">
      <c r="B216" s="1">
        <f t="shared" si="48"/>
        <v>193</v>
      </c>
      <c r="C216" s="2">
        <f t="shared" si="55"/>
        <v>16</v>
      </c>
      <c r="D216" s="2">
        <f t="shared" si="56"/>
        <v>1</v>
      </c>
      <c r="E216" s="2">
        <f t="shared" si="57"/>
        <v>45</v>
      </c>
      <c r="F216" s="1">
        <f t="shared" si="49"/>
        <v>368031.27047785249</v>
      </c>
      <c r="H216" s="1">
        <f t="shared" ref="H216:H279" si="64">SUM(F216:G216)*$G$8</f>
        <v>2934.7330330182599</v>
      </c>
      <c r="I216" s="1">
        <v>0</v>
      </c>
      <c r="J216" s="1">
        <v>0</v>
      </c>
      <c r="K216" s="1">
        <f t="shared" si="50"/>
        <v>-370.96600351087073</v>
      </c>
      <c r="L216" s="1">
        <f t="shared" ref="L216:L279" si="65">SUM(F216:K216)</f>
        <v>370595.03750735987</v>
      </c>
      <c r="N216" s="1">
        <f t="shared" si="51"/>
        <v>193</v>
      </c>
      <c r="O216" s="2">
        <f t="shared" si="58"/>
        <v>16</v>
      </c>
      <c r="P216" s="2">
        <f t="shared" si="59"/>
        <v>1</v>
      </c>
      <c r="Q216" s="2">
        <f t="shared" si="60"/>
        <v>16</v>
      </c>
      <c r="R216" s="1">
        <f t="shared" si="52"/>
        <v>3357898.6599376677</v>
      </c>
      <c r="S216" s="1">
        <f>IF($G$17="si",S204*(1+$G$20),S204)</f>
        <v>10000</v>
      </c>
      <c r="U216" s="1">
        <f t="shared" si="61"/>
        <v>26856.096864659765</v>
      </c>
      <c r="V216" s="35">
        <f>(V215*(1+$G$18))</f>
        <v>-142.72117092441215</v>
      </c>
      <c r="X216" s="35">
        <f t="shared" si="62"/>
        <v>-3394.7547568023274</v>
      </c>
      <c r="Y216" s="1">
        <f t="shared" ref="Y216:Y279" si="66">SUM(R216:X216)</f>
        <v>3391217.2808746006</v>
      </c>
      <c r="AA216" s="2">
        <f>+Bono!J216</f>
        <v>217213.07240082379</v>
      </c>
      <c r="AC216" s="10">
        <f t="shared" si="53"/>
        <v>16.083333333333332</v>
      </c>
      <c r="AD216" s="1">
        <f t="shared" si="54"/>
        <v>3979025.3907827842</v>
      </c>
    </row>
    <row r="217" spans="2:30">
      <c r="B217" s="1">
        <f t="shared" ref="B217:B280" si="67">+B216+1</f>
        <v>194</v>
      </c>
      <c r="C217" s="2">
        <f t="shared" si="55"/>
        <v>16</v>
      </c>
      <c r="D217" s="2">
        <f t="shared" si="56"/>
        <v>2</v>
      </c>
      <c r="E217" s="2">
        <f t="shared" si="57"/>
        <v>45</v>
      </c>
      <c r="F217" s="1">
        <f t="shared" ref="F217:F280" si="68">L216</f>
        <v>370595.03750735987</v>
      </c>
      <c r="H217" s="1">
        <f t="shared" si="64"/>
        <v>2955.1768713385454</v>
      </c>
      <c r="I217" s="1">
        <v>0</v>
      </c>
      <c r="J217" s="1">
        <v>0</v>
      </c>
      <c r="K217" s="1">
        <f t="shared" ref="K217:K280" si="69">-SUM(F217:J217)*0.1%</f>
        <v>-373.55021437869846</v>
      </c>
      <c r="L217" s="1">
        <f t="shared" si="65"/>
        <v>373176.66416431975</v>
      </c>
      <c r="N217" s="1">
        <f t="shared" ref="N217:N280" si="70">+N216+1</f>
        <v>194</v>
      </c>
      <c r="O217" s="2">
        <f t="shared" si="58"/>
        <v>16</v>
      </c>
      <c r="P217" s="2">
        <f t="shared" si="59"/>
        <v>2</v>
      </c>
      <c r="Q217" s="2">
        <f t="shared" si="60"/>
        <v>16</v>
      </c>
      <c r="R217" s="1">
        <f t="shared" ref="R217:R280" si="71">Y216</f>
        <v>3391217.2808746006</v>
      </c>
      <c r="S217" s="4">
        <f>IF($G$4="mensual",S216,0)</f>
        <v>10000</v>
      </c>
      <c r="U217" s="1">
        <f t="shared" si="61"/>
        <v>27121.784226908283</v>
      </c>
      <c r="V217" s="35">
        <f t="shared" si="63"/>
        <v>-142.72117092441215</v>
      </c>
      <c r="X217" s="35">
        <f t="shared" si="62"/>
        <v>-3428.3390651015093</v>
      </c>
      <c r="Y217" s="1">
        <f t="shared" si="66"/>
        <v>3424768.0048654829</v>
      </c>
      <c r="AA217" s="2">
        <f>+Bono!J217</f>
        <v>218559.81864486582</v>
      </c>
      <c r="AC217" s="10">
        <f t="shared" ref="AC217:AC280" si="72">+B217/12</f>
        <v>16.166666666666668</v>
      </c>
      <c r="AD217" s="1">
        <f t="shared" ref="AD217:AD280" si="73">+AA217+Y217+L217</f>
        <v>4016504.4876746684</v>
      </c>
    </row>
    <row r="218" spans="2:30">
      <c r="B218" s="1">
        <f t="shared" si="67"/>
        <v>195</v>
      </c>
      <c r="C218" s="2">
        <f t="shared" si="55"/>
        <v>16</v>
      </c>
      <c r="D218" s="2">
        <f t="shared" si="56"/>
        <v>3</v>
      </c>
      <c r="E218" s="2">
        <f t="shared" si="57"/>
        <v>45</v>
      </c>
      <c r="F218" s="1">
        <f t="shared" si="68"/>
        <v>373176.66416431975</v>
      </c>
      <c r="H218" s="1">
        <f t="shared" si="64"/>
        <v>2975.7631248361449</v>
      </c>
      <c r="I218" s="1">
        <v>0</v>
      </c>
      <c r="J218" s="69">
        <f>-SUM(F218:H218)*$J$21</f>
        <v>-3385.3718456024035</v>
      </c>
      <c r="K218" s="1">
        <f t="shared" si="69"/>
        <v>-372.76705544355349</v>
      </c>
      <c r="L218" s="1">
        <f t="shared" si="65"/>
        <v>372394.28838810994</v>
      </c>
      <c r="N218" s="1">
        <f t="shared" si="70"/>
        <v>195</v>
      </c>
      <c r="O218" s="2">
        <f t="shared" si="58"/>
        <v>16</v>
      </c>
      <c r="P218" s="2">
        <f t="shared" si="59"/>
        <v>3</v>
      </c>
      <c r="Q218" s="2">
        <f t="shared" si="60"/>
        <v>16</v>
      </c>
      <c r="R218" s="1">
        <f t="shared" si="71"/>
        <v>3424768.0048654829</v>
      </c>
      <c r="S218" s="4">
        <f>IF($G$4="mensual",S217,0)</f>
        <v>10000</v>
      </c>
      <c r="U218" s="1">
        <f t="shared" si="61"/>
        <v>27389.32241150297</v>
      </c>
      <c r="V218" s="35">
        <f t="shared" si="63"/>
        <v>-142.72117092441215</v>
      </c>
      <c r="X218" s="35">
        <f t="shared" si="62"/>
        <v>-3462.1573272769861</v>
      </c>
      <c r="Y218" s="1">
        <f t="shared" si="66"/>
        <v>3458552.4487787844</v>
      </c>
      <c r="AA218" s="2">
        <f>+Bono!J218</f>
        <v>217933.69942253802</v>
      </c>
      <c r="AC218" s="10">
        <f t="shared" si="72"/>
        <v>16.25</v>
      </c>
      <c r="AD218" s="1">
        <f t="shared" si="73"/>
        <v>4048880.4365894319</v>
      </c>
    </row>
    <row r="219" spans="2:30">
      <c r="B219" s="1">
        <f t="shared" si="67"/>
        <v>196</v>
      </c>
      <c r="C219" s="2">
        <f t="shared" si="55"/>
        <v>16</v>
      </c>
      <c r="D219" s="2">
        <f t="shared" si="56"/>
        <v>4</v>
      </c>
      <c r="E219" s="2">
        <f t="shared" si="57"/>
        <v>45</v>
      </c>
      <c r="F219" s="1">
        <f t="shared" si="68"/>
        <v>372394.28838810994</v>
      </c>
      <c r="H219" s="1">
        <f t="shared" si="64"/>
        <v>2969.5243505284752</v>
      </c>
      <c r="I219" s="1">
        <v>0</v>
      </c>
      <c r="J219" s="1">
        <v>0</v>
      </c>
      <c r="K219" s="1">
        <f t="shared" si="69"/>
        <v>-375.36381273863844</v>
      </c>
      <c r="L219" s="1">
        <f t="shared" si="65"/>
        <v>374988.44892589981</v>
      </c>
      <c r="N219" s="1">
        <f t="shared" si="70"/>
        <v>196</v>
      </c>
      <c r="O219" s="2">
        <f t="shared" si="58"/>
        <v>16</v>
      </c>
      <c r="P219" s="2">
        <f t="shared" si="59"/>
        <v>4</v>
      </c>
      <c r="Q219" s="2">
        <f t="shared" si="60"/>
        <v>16</v>
      </c>
      <c r="R219" s="1">
        <f t="shared" si="71"/>
        <v>3458552.4487787844</v>
      </c>
      <c r="S219" s="4">
        <f>IF($G$4="mensual",S216,IF($G$4="trimestral",S216,0))</f>
        <v>10000</v>
      </c>
      <c r="U219" s="1">
        <f t="shared" si="61"/>
        <v>27658.724311580059</v>
      </c>
      <c r="V219" s="35">
        <f t="shared" si="63"/>
        <v>-142.72117092441215</v>
      </c>
      <c r="X219" s="35">
        <f t="shared" si="62"/>
        <v>-3496.2111730903644</v>
      </c>
      <c r="Y219" s="1">
        <f t="shared" si="66"/>
        <v>3492572.2407463496</v>
      </c>
      <c r="AA219" s="2">
        <f>+Bono!J219</f>
        <v>219284.91363770224</v>
      </c>
      <c r="AC219" s="10">
        <f t="shared" si="72"/>
        <v>16.333333333333332</v>
      </c>
      <c r="AD219" s="1">
        <f t="shared" si="73"/>
        <v>4086845.6033099517</v>
      </c>
    </row>
    <row r="220" spans="2:30">
      <c r="B220" s="1">
        <f t="shared" si="67"/>
        <v>197</v>
      </c>
      <c r="C220" s="2">
        <f t="shared" si="55"/>
        <v>16</v>
      </c>
      <c r="D220" s="2">
        <f t="shared" si="56"/>
        <v>5</v>
      </c>
      <c r="E220" s="2">
        <f t="shared" si="57"/>
        <v>45</v>
      </c>
      <c r="F220" s="1">
        <f t="shared" si="68"/>
        <v>374988.44892589981</v>
      </c>
      <c r="H220" s="1">
        <f t="shared" si="64"/>
        <v>2990.210550951932</v>
      </c>
      <c r="I220" s="1">
        <v>0</v>
      </c>
      <c r="J220" s="1">
        <v>0</v>
      </c>
      <c r="K220" s="1">
        <f t="shared" si="69"/>
        <v>-377.97865947685176</v>
      </c>
      <c r="L220" s="1">
        <f t="shared" si="65"/>
        <v>377600.6808173749</v>
      </c>
      <c r="N220" s="1">
        <f t="shared" si="70"/>
        <v>197</v>
      </c>
      <c r="O220" s="2">
        <f t="shared" si="58"/>
        <v>16</v>
      </c>
      <c r="P220" s="2">
        <f t="shared" si="59"/>
        <v>5</v>
      </c>
      <c r="Q220" s="2">
        <f t="shared" si="60"/>
        <v>16</v>
      </c>
      <c r="R220" s="1">
        <f t="shared" si="71"/>
        <v>3492572.2407463496</v>
      </c>
      <c r="S220" s="4">
        <f>IF($G$4="mensual",S219,0)</f>
        <v>10000</v>
      </c>
      <c r="U220" s="1">
        <f t="shared" si="61"/>
        <v>27930.002910091516</v>
      </c>
      <c r="V220" s="35">
        <f t="shared" si="63"/>
        <v>-142.72117092441215</v>
      </c>
      <c r="X220" s="35">
        <f t="shared" si="62"/>
        <v>-3530.5022436564414</v>
      </c>
      <c r="Y220" s="1">
        <f t="shared" si="66"/>
        <v>3526829.0202418598</v>
      </c>
      <c r="AA220" s="2">
        <f>+Bono!J220</f>
        <v>220644.50553773163</v>
      </c>
      <c r="AC220" s="10">
        <f t="shared" si="72"/>
        <v>16.416666666666668</v>
      </c>
      <c r="AD220" s="1">
        <f t="shared" si="73"/>
        <v>4125074.2065969664</v>
      </c>
    </row>
    <row r="221" spans="2:30">
      <c r="B221" s="1">
        <f t="shared" si="67"/>
        <v>198</v>
      </c>
      <c r="C221" s="2">
        <f t="shared" si="55"/>
        <v>16</v>
      </c>
      <c r="D221" s="2">
        <f t="shared" si="56"/>
        <v>6</v>
      </c>
      <c r="E221" s="2">
        <f t="shared" si="57"/>
        <v>45</v>
      </c>
      <c r="F221" s="1">
        <f t="shared" si="68"/>
        <v>377600.6808173749</v>
      </c>
      <c r="H221" s="1">
        <f t="shared" si="64"/>
        <v>3011.0408548874152</v>
      </c>
      <c r="I221" s="1">
        <v>0</v>
      </c>
      <c r="J221" s="69">
        <f>-SUM(F221:H221)*$J$21</f>
        <v>-3425.5054950503609</v>
      </c>
      <c r="K221" s="1">
        <f t="shared" si="69"/>
        <v>-377.18621617721197</v>
      </c>
      <c r="L221" s="1">
        <f t="shared" si="65"/>
        <v>376809.02996103477</v>
      </c>
      <c r="N221" s="1">
        <f t="shared" si="70"/>
        <v>198</v>
      </c>
      <c r="O221" s="2">
        <f t="shared" si="58"/>
        <v>16</v>
      </c>
      <c r="P221" s="2">
        <f t="shared" si="59"/>
        <v>6</v>
      </c>
      <c r="Q221" s="2">
        <f t="shared" si="60"/>
        <v>16</v>
      </c>
      <c r="R221" s="1">
        <f t="shared" si="71"/>
        <v>3526829.0202418598</v>
      </c>
      <c r="S221" s="4">
        <f>IF($G$4="mensual",S220,0)</f>
        <v>10000</v>
      </c>
      <c r="U221" s="1">
        <f t="shared" si="61"/>
        <v>28203.171280430706</v>
      </c>
      <c r="V221" s="35">
        <f t="shared" si="63"/>
        <v>-142.72117092441215</v>
      </c>
      <c r="X221" s="35">
        <f t="shared" si="62"/>
        <v>-3565.0321915222908</v>
      </c>
      <c r="Y221" s="1">
        <f t="shared" si="66"/>
        <v>3561324.4381598434</v>
      </c>
      <c r="AA221" s="2">
        <f>+Bono!J221</f>
        <v>220012.41420880044</v>
      </c>
      <c r="AC221" s="10">
        <f t="shared" si="72"/>
        <v>16.5</v>
      </c>
      <c r="AD221" s="1">
        <f t="shared" si="73"/>
        <v>4158145.8823296786</v>
      </c>
    </row>
    <row r="222" spans="2:30">
      <c r="B222" s="1">
        <f t="shared" si="67"/>
        <v>199</v>
      </c>
      <c r="C222" s="2">
        <f t="shared" si="55"/>
        <v>16</v>
      </c>
      <c r="D222" s="2">
        <f t="shared" si="56"/>
        <v>7</v>
      </c>
      <c r="E222" s="2">
        <f t="shared" si="57"/>
        <v>45</v>
      </c>
      <c r="F222" s="1">
        <f t="shared" si="68"/>
        <v>376809.02996103477</v>
      </c>
      <c r="H222" s="1">
        <f t="shared" si="64"/>
        <v>3004.7281197882971</v>
      </c>
      <c r="I222" s="1">
        <v>0</v>
      </c>
      <c r="J222" s="1">
        <v>0</v>
      </c>
      <c r="K222" s="1">
        <f t="shared" si="69"/>
        <v>-379.81375808082305</v>
      </c>
      <c r="L222" s="1">
        <f t="shared" si="65"/>
        <v>379433.94432274223</v>
      </c>
      <c r="N222" s="1">
        <f t="shared" si="70"/>
        <v>199</v>
      </c>
      <c r="O222" s="2">
        <f t="shared" si="58"/>
        <v>16</v>
      </c>
      <c r="P222" s="2">
        <f t="shared" si="59"/>
        <v>7</v>
      </c>
      <c r="Q222" s="2">
        <f t="shared" si="60"/>
        <v>16</v>
      </c>
      <c r="R222" s="1">
        <f t="shared" si="71"/>
        <v>3561324.4381598434</v>
      </c>
      <c r="S222" s="1">
        <f>+IF($G$4="mensual",S216,IF($G$4="trimestral",S216,IF($G$4="semestral",S216,0)))</f>
        <v>10000</v>
      </c>
      <c r="U222" s="1">
        <f t="shared" si="61"/>
        <v>28478.242587062428</v>
      </c>
      <c r="V222" s="35">
        <f t="shared" si="63"/>
        <v>-142.72117092441215</v>
      </c>
      <c r="X222" s="35">
        <f t="shared" si="62"/>
        <v>-3599.8026807469059</v>
      </c>
      <c r="Y222" s="1">
        <f t="shared" si="66"/>
        <v>3596060.1568952342</v>
      </c>
      <c r="AA222" s="2">
        <f>+Bono!J222</f>
        <v>221376.51669675551</v>
      </c>
      <c r="AC222" s="10">
        <f t="shared" si="72"/>
        <v>16.583333333333332</v>
      </c>
      <c r="AD222" s="1">
        <f t="shared" si="73"/>
        <v>4196870.6179147316</v>
      </c>
    </row>
    <row r="223" spans="2:30">
      <c r="B223" s="1">
        <f t="shared" si="67"/>
        <v>200</v>
      </c>
      <c r="C223" s="2">
        <f t="shared" si="55"/>
        <v>16</v>
      </c>
      <c r="D223" s="2">
        <f t="shared" si="56"/>
        <v>8</v>
      </c>
      <c r="E223" s="2">
        <f t="shared" si="57"/>
        <v>45</v>
      </c>
      <c r="F223" s="1">
        <f t="shared" si="68"/>
        <v>379433.94432274223</v>
      </c>
      <c r="H223" s="1">
        <f t="shared" si="64"/>
        <v>3025.6595555223989</v>
      </c>
      <c r="I223" s="1">
        <v>0</v>
      </c>
      <c r="J223" s="1">
        <v>0</v>
      </c>
      <c r="K223" s="1">
        <f t="shared" si="69"/>
        <v>-382.4596038782646</v>
      </c>
      <c r="L223" s="1">
        <f t="shared" si="65"/>
        <v>382077.14427438634</v>
      </c>
      <c r="N223" s="1">
        <f t="shared" si="70"/>
        <v>200</v>
      </c>
      <c r="O223" s="2">
        <f t="shared" si="58"/>
        <v>16</v>
      </c>
      <c r="P223" s="2">
        <f t="shared" si="59"/>
        <v>8</v>
      </c>
      <c r="Q223" s="2">
        <f t="shared" si="60"/>
        <v>16</v>
      </c>
      <c r="R223" s="1">
        <f t="shared" si="71"/>
        <v>3596060.1568952342</v>
      </c>
      <c r="S223" s="4">
        <f>IF($G$4="mensual",S222,0)</f>
        <v>10000</v>
      </c>
      <c r="U223" s="1">
        <f t="shared" si="61"/>
        <v>28755.230086157339</v>
      </c>
      <c r="V223" s="35">
        <f t="shared" si="63"/>
        <v>-142.72117092441215</v>
      </c>
      <c r="X223" s="35">
        <f t="shared" si="62"/>
        <v>-3634.8153869813918</v>
      </c>
      <c r="Y223" s="1">
        <f t="shared" si="66"/>
        <v>3631037.850423486</v>
      </c>
      <c r="AA223" s="2">
        <f>+Bono!J223</f>
        <v>222749.07677836198</v>
      </c>
      <c r="AC223" s="10">
        <f t="shared" si="72"/>
        <v>16.666666666666668</v>
      </c>
      <c r="AD223" s="1">
        <f t="shared" si="73"/>
        <v>4235864.0714762341</v>
      </c>
    </row>
    <row r="224" spans="2:30">
      <c r="B224" s="1">
        <f t="shared" si="67"/>
        <v>201</v>
      </c>
      <c r="C224" s="2">
        <f t="shared" si="55"/>
        <v>16</v>
      </c>
      <c r="D224" s="2">
        <f t="shared" si="56"/>
        <v>9</v>
      </c>
      <c r="E224" s="2">
        <f t="shared" si="57"/>
        <v>45</v>
      </c>
      <c r="F224" s="1">
        <f t="shared" si="68"/>
        <v>382077.14427438634</v>
      </c>
      <c r="H224" s="1">
        <f t="shared" si="64"/>
        <v>3046.7368031184806</v>
      </c>
      <c r="I224" s="1">
        <v>0</v>
      </c>
      <c r="J224" s="69">
        <f>-SUM(F224:H224)*$J$21</f>
        <v>-3466.1149296975441</v>
      </c>
      <c r="K224" s="1">
        <f t="shared" si="69"/>
        <v>-381.65776614780731</v>
      </c>
      <c r="L224" s="1">
        <f t="shared" si="65"/>
        <v>381276.10838165949</v>
      </c>
      <c r="N224" s="1">
        <f t="shared" si="70"/>
        <v>201</v>
      </c>
      <c r="O224" s="2">
        <f t="shared" si="58"/>
        <v>16</v>
      </c>
      <c r="P224" s="2">
        <f t="shared" si="59"/>
        <v>9</v>
      </c>
      <c r="Q224" s="2">
        <f t="shared" si="60"/>
        <v>16</v>
      </c>
      <c r="R224" s="1">
        <f t="shared" si="71"/>
        <v>3631037.850423486</v>
      </c>
      <c r="S224" s="4">
        <f>IF($G$4="mensual",S223,0)</f>
        <v>10000</v>
      </c>
      <c r="U224" s="1">
        <f t="shared" si="61"/>
        <v>29034.147126230775</v>
      </c>
      <c r="V224" s="35">
        <f t="shared" si="63"/>
        <v>-142.72117092441215</v>
      </c>
      <c r="X224" s="35">
        <f t="shared" si="62"/>
        <v>-3670.0719975497168</v>
      </c>
      <c r="Y224" s="1">
        <f t="shared" si="66"/>
        <v>3666259.2043812424</v>
      </c>
      <c r="AA224" s="2">
        <f>+Bono!J224</f>
        <v>222110.95637914387</v>
      </c>
      <c r="AC224" s="10">
        <f t="shared" si="72"/>
        <v>16.75</v>
      </c>
      <c r="AD224" s="1">
        <f t="shared" si="73"/>
        <v>4269646.2691420456</v>
      </c>
    </row>
    <row r="225" spans="2:30">
      <c r="B225" s="1">
        <f t="shared" si="67"/>
        <v>202</v>
      </c>
      <c r="C225" s="2">
        <f t="shared" si="55"/>
        <v>16</v>
      </c>
      <c r="D225" s="2">
        <f t="shared" si="56"/>
        <v>10</v>
      </c>
      <c r="E225" s="2">
        <f t="shared" si="57"/>
        <v>45</v>
      </c>
      <c r="F225" s="1">
        <f t="shared" si="68"/>
        <v>381276.10838165949</v>
      </c>
      <c r="H225" s="1">
        <f t="shared" si="64"/>
        <v>3040.3492304212841</v>
      </c>
      <c r="I225" s="1">
        <v>0</v>
      </c>
      <c r="J225" s="1">
        <v>0</v>
      </c>
      <c r="K225" s="1">
        <f t="shared" si="69"/>
        <v>-384.3164576120808</v>
      </c>
      <c r="L225" s="1">
        <f t="shared" si="65"/>
        <v>383932.1411544687</v>
      </c>
      <c r="N225" s="1">
        <f t="shared" si="70"/>
        <v>202</v>
      </c>
      <c r="O225" s="2">
        <f t="shared" si="58"/>
        <v>16</v>
      </c>
      <c r="P225" s="2">
        <f t="shared" si="59"/>
        <v>10</v>
      </c>
      <c r="Q225" s="2">
        <f t="shared" si="60"/>
        <v>16</v>
      </c>
      <c r="R225" s="1">
        <f t="shared" si="71"/>
        <v>3666259.2043812424</v>
      </c>
      <c r="S225" s="4">
        <f>IF($G$4="mensual",S216,IF($G$4="trimestral",S216,0))</f>
        <v>10000</v>
      </c>
      <c r="U225" s="1">
        <f t="shared" si="61"/>
        <v>29315.007148786051</v>
      </c>
      <c r="V225" s="35">
        <f t="shared" si="63"/>
        <v>-142.72117092441215</v>
      </c>
      <c r="X225" s="35">
        <f t="shared" si="62"/>
        <v>-3705.5742115300286</v>
      </c>
      <c r="Y225" s="1">
        <f t="shared" si="66"/>
        <v>3701725.9161475739</v>
      </c>
      <c r="AA225" s="2">
        <f>+Bono!J225</f>
        <v>223488.07007197087</v>
      </c>
      <c r="AC225" s="10">
        <f t="shared" si="72"/>
        <v>16.833333333333332</v>
      </c>
      <c r="AD225" s="1">
        <f t="shared" si="73"/>
        <v>4309146.1273740139</v>
      </c>
    </row>
    <row r="226" spans="2:30">
      <c r="B226" s="1">
        <f t="shared" si="67"/>
        <v>203</v>
      </c>
      <c r="C226" s="2">
        <f t="shared" si="55"/>
        <v>16</v>
      </c>
      <c r="D226" s="2">
        <f t="shared" si="56"/>
        <v>11</v>
      </c>
      <c r="E226" s="2">
        <f t="shared" si="57"/>
        <v>45</v>
      </c>
      <c r="F226" s="1">
        <f t="shared" si="68"/>
        <v>383932.1411544687</v>
      </c>
      <c r="H226" s="1">
        <f t="shared" si="64"/>
        <v>3061.5288087354356</v>
      </c>
      <c r="I226" s="1">
        <v>0</v>
      </c>
      <c r="J226" s="1">
        <v>0</v>
      </c>
      <c r="K226" s="1">
        <f t="shared" si="69"/>
        <v>-386.99366996320413</v>
      </c>
      <c r="L226" s="1">
        <f t="shared" si="65"/>
        <v>386606.67629324092</v>
      </c>
      <c r="N226" s="1">
        <f t="shared" si="70"/>
        <v>203</v>
      </c>
      <c r="O226" s="2">
        <f t="shared" si="58"/>
        <v>16</v>
      </c>
      <c r="P226" s="2">
        <f t="shared" si="59"/>
        <v>11</v>
      </c>
      <c r="Q226" s="2">
        <f t="shared" si="60"/>
        <v>16</v>
      </c>
      <c r="R226" s="1">
        <f t="shared" si="71"/>
        <v>3701725.9161475739</v>
      </c>
      <c r="S226" s="1">
        <f>IF($G$17="si",S214*(1+$G$20),S214)</f>
        <v>10000</v>
      </c>
      <c r="U226" s="1">
        <f t="shared" si="61"/>
        <v>29597.823688962231</v>
      </c>
      <c r="V226" s="35">
        <f t="shared" si="63"/>
        <v>-142.72117092441215</v>
      </c>
      <c r="X226" s="35">
        <f t="shared" si="62"/>
        <v>-3741.3237398365359</v>
      </c>
      <c r="Y226" s="1">
        <f t="shared" si="66"/>
        <v>3737439.6949257748</v>
      </c>
      <c r="AA226" s="2">
        <f>+Bono!J226</f>
        <v>224873.7220294287</v>
      </c>
      <c r="AC226" s="10">
        <f t="shared" si="72"/>
        <v>16.916666666666668</v>
      </c>
      <c r="AD226" s="1">
        <f t="shared" si="73"/>
        <v>4348920.0932484446</v>
      </c>
    </row>
    <row r="227" spans="2:30">
      <c r="B227" s="1">
        <f t="shared" si="67"/>
        <v>204</v>
      </c>
      <c r="C227" s="2">
        <f t="shared" si="55"/>
        <v>16</v>
      </c>
      <c r="D227" s="2">
        <f t="shared" si="56"/>
        <v>12</v>
      </c>
      <c r="E227" s="2">
        <f t="shared" si="57"/>
        <v>45</v>
      </c>
      <c r="F227" s="1">
        <f t="shared" si="68"/>
        <v>386606.67629324092</v>
      </c>
      <c r="H227" s="1">
        <f t="shared" si="64"/>
        <v>3082.8559275140428</v>
      </c>
      <c r="I227" s="1">
        <v>0</v>
      </c>
      <c r="J227" s="69">
        <f>-SUM(F227:H227)*$J$21</f>
        <v>-3507.205789986795</v>
      </c>
      <c r="K227" s="1">
        <f t="shared" si="69"/>
        <v>-386.18232643076811</v>
      </c>
      <c r="L227" s="1">
        <f t="shared" si="65"/>
        <v>385796.14410433738</v>
      </c>
      <c r="N227" s="1">
        <f t="shared" si="70"/>
        <v>204</v>
      </c>
      <c r="O227" s="2">
        <f t="shared" si="58"/>
        <v>16</v>
      </c>
      <c r="P227" s="2">
        <f t="shared" si="59"/>
        <v>12</v>
      </c>
      <c r="Q227" s="2">
        <f t="shared" si="60"/>
        <v>16</v>
      </c>
      <c r="R227" s="1">
        <f t="shared" si="71"/>
        <v>3737439.6949257748</v>
      </c>
      <c r="S227" s="4">
        <f>IF($G$4="mensual",S226,0)</f>
        <v>10000</v>
      </c>
      <c r="U227" s="1">
        <f t="shared" si="61"/>
        <v>29882.610376186411</v>
      </c>
      <c r="V227" s="35">
        <f t="shared" si="63"/>
        <v>-142.72117092441215</v>
      </c>
      <c r="X227" s="35">
        <f t="shared" si="62"/>
        <v>-3777.322305301961</v>
      </c>
      <c r="Y227" s="1">
        <f t="shared" si="66"/>
        <v>3773402.2618257343</v>
      </c>
      <c r="AA227" s="2">
        <f>+Bono!J227</f>
        <v>224229.51505290385</v>
      </c>
      <c r="AC227" s="10">
        <f t="shared" si="72"/>
        <v>17</v>
      </c>
      <c r="AD227" s="1">
        <f t="shared" si="73"/>
        <v>4383427.9209829755</v>
      </c>
    </row>
    <row r="228" spans="2:30">
      <c r="B228" s="1">
        <f t="shared" si="67"/>
        <v>205</v>
      </c>
      <c r="C228" s="2">
        <f t="shared" ref="C228:C291" si="74">C216+1</f>
        <v>17</v>
      </c>
      <c r="D228" s="2">
        <f t="shared" ref="D228:D291" si="75">D216</f>
        <v>1</v>
      </c>
      <c r="E228" s="2">
        <f t="shared" ref="E228:E291" si="76">E216+1</f>
        <v>46</v>
      </c>
      <c r="F228" s="1">
        <f t="shared" si="68"/>
        <v>385796.14410433738</v>
      </c>
      <c r="H228" s="1">
        <f t="shared" si="64"/>
        <v>3076.3926300175794</v>
      </c>
      <c r="I228" s="1">
        <v>0</v>
      </c>
      <c r="J228" s="1">
        <v>0</v>
      </c>
      <c r="K228" s="1">
        <f t="shared" si="69"/>
        <v>-388.87253673435498</v>
      </c>
      <c r="L228" s="1">
        <f t="shared" si="65"/>
        <v>388483.66419762064</v>
      </c>
      <c r="N228" s="1">
        <f t="shared" si="70"/>
        <v>205</v>
      </c>
      <c r="O228" s="2">
        <f t="shared" ref="O228:O291" si="77">O216+1</f>
        <v>17</v>
      </c>
      <c r="P228" s="2">
        <f t="shared" ref="P228:P291" si="78">P216</f>
        <v>1</v>
      </c>
      <c r="Q228" s="2">
        <f t="shared" ref="Q228:Q291" si="79">Q216+1</f>
        <v>17</v>
      </c>
      <c r="R228" s="1">
        <f t="shared" si="71"/>
        <v>3773402.2618257343</v>
      </c>
      <c r="S228" s="1">
        <f>IF($G$17="si",S216*(1+$G$20),S216)</f>
        <v>10000</v>
      </c>
      <c r="U228" s="1">
        <f t="shared" ref="U228:U291" si="80">SUM(R228:T228)*$G$8</f>
        <v>30169.380934830533</v>
      </c>
      <c r="V228" s="35">
        <f>(V227*(1+$G$18))</f>
        <v>-148.43001776138863</v>
      </c>
      <c r="X228" s="35">
        <f t="shared" si="62"/>
        <v>-3813.5716427605653</v>
      </c>
      <c r="Y228" s="1">
        <f t="shared" si="66"/>
        <v>3809609.641100043</v>
      </c>
      <c r="AA228" s="2">
        <f>+Bono!J228</f>
        <v>225619.76405524576</v>
      </c>
      <c r="AC228" s="10">
        <f t="shared" si="72"/>
        <v>17.083333333333332</v>
      </c>
      <c r="AD228" s="1">
        <f t="shared" si="73"/>
        <v>4423713.069352909</v>
      </c>
    </row>
    <row r="229" spans="2:30">
      <c r="B229" s="1">
        <f t="shared" si="67"/>
        <v>206</v>
      </c>
      <c r="C229" s="2">
        <f t="shared" si="74"/>
        <v>17</v>
      </c>
      <c r="D229" s="2">
        <f t="shared" si="75"/>
        <v>2</v>
      </c>
      <c r="E229" s="2">
        <f t="shared" si="76"/>
        <v>46</v>
      </c>
      <c r="F229" s="1">
        <f t="shared" si="68"/>
        <v>388483.66419762064</v>
      </c>
      <c r="H229" s="1">
        <f t="shared" si="64"/>
        <v>3097.8232926469204</v>
      </c>
      <c r="I229" s="1">
        <v>0</v>
      </c>
      <c r="J229" s="1">
        <v>0</v>
      </c>
      <c r="K229" s="1">
        <f t="shared" si="69"/>
        <v>-391.58148749026753</v>
      </c>
      <c r="L229" s="1">
        <f t="shared" si="65"/>
        <v>391189.90600277728</v>
      </c>
      <c r="N229" s="1">
        <f t="shared" si="70"/>
        <v>206</v>
      </c>
      <c r="O229" s="2">
        <f t="shared" si="77"/>
        <v>17</v>
      </c>
      <c r="P229" s="2">
        <f t="shared" si="78"/>
        <v>2</v>
      </c>
      <c r="Q229" s="2">
        <f t="shared" si="79"/>
        <v>17</v>
      </c>
      <c r="R229" s="1">
        <f t="shared" si="71"/>
        <v>3809609.641100043</v>
      </c>
      <c r="S229" s="4">
        <f>IF($G$4="mensual",S228,0)</f>
        <v>10000</v>
      </c>
      <c r="U229" s="1">
        <f t="shared" si="80"/>
        <v>30458.103661726451</v>
      </c>
      <c r="V229" s="35">
        <f t="shared" si="63"/>
        <v>-148.43001776138863</v>
      </c>
      <c r="X229" s="35">
        <f t="shared" si="62"/>
        <v>-3850.0677447617691</v>
      </c>
      <c r="Y229" s="1">
        <f t="shared" si="66"/>
        <v>3846069.2469992461</v>
      </c>
      <c r="AA229" s="2">
        <f>+Bono!J229</f>
        <v>227018.63276266112</v>
      </c>
      <c r="AC229" s="10">
        <f t="shared" si="72"/>
        <v>17.166666666666668</v>
      </c>
      <c r="AD229" s="1">
        <f t="shared" si="73"/>
        <v>4464277.7857646849</v>
      </c>
    </row>
    <row r="230" spans="2:30">
      <c r="B230" s="1">
        <f t="shared" si="67"/>
        <v>207</v>
      </c>
      <c r="C230" s="2">
        <f t="shared" si="74"/>
        <v>17</v>
      </c>
      <c r="D230" s="2">
        <f t="shared" si="75"/>
        <v>3</v>
      </c>
      <c r="E230" s="2">
        <f t="shared" si="76"/>
        <v>46</v>
      </c>
      <c r="F230" s="1">
        <f t="shared" si="68"/>
        <v>391189.90600277728</v>
      </c>
      <c r="H230" s="1">
        <f t="shared" si="64"/>
        <v>3119.4032448358098</v>
      </c>
      <c r="I230" s="1">
        <v>0</v>
      </c>
      <c r="J230" s="69">
        <f>-SUM(F230:H230)*$J$21</f>
        <v>-3548.7837832285181</v>
      </c>
      <c r="K230" s="1">
        <f t="shared" si="69"/>
        <v>-390.76052546438456</v>
      </c>
      <c r="L230" s="1">
        <f t="shared" si="65"/>
        <v>390369.76493892015</v>
      </c>
      <c r="N230" s="1">
        <f t="shared" si="70"/>
        <v>207</v>
      </c>
      <c r="O230" s="2">
        <f t="shared" si="77"/>
        <v>17</v>
      </c>
      <c r="P230" s="2">
        <f t="shared" si="78"/>
        <v>3</v>
      </c>
      <c r="Q230" s="2">
        <f t="shared" si="79"/>
        <v>17</v>
      </c>
      <c r="R230" s="1">
        <f t="shared" si="71"/>
        <v>3846069.2469992461</v>
      </c>
      <c r="S230" s="4">
        <f>IF($G$4="mensual",S229,0)</f>
        <v>10000</v>
      </c>
      <c r="U230" s="1">
        <f t="shared" si="80"/>
        <v>30748.837679149183</v>
      </c>
      <c r="V230" s="35">
        <f t="shared" si="63"/>
        <v>-148.43001776138863</v>
      </c>
      <c r="X230" s="35">
        <f t="shared" si="62"/>
        <v>-3886.8180846783953</v>
      </c>
      <c r="Y230" s="1">
        <f t="shared" si="66"/>
        <v>3882782.8365759552</v>
      </c>
      <c r="AA230" s="2">
        <f>+Bono!J230</f>
        <v>226368.28115329123</v>
      </c>
      <c r="AC230" s="10">
        <f t="shared" si="72"/>
        <v>17.25</v>
      </c>
      <c r="AD230" s="1">
        <f t="shared" si="73"/>
        <v>4499520.8826681664</v>
      </c>
    </row>
    <row r="231" spans="2:30">
      <c r="B231" s="1">
        <f t="shared" si="67"/>
        <v>208</v>
      </c>
      <c r="C231" s="2">
        <f t="shared" si="74"/>
        <v>17</v>
      </c>
      <c r="D231" s="2">
        <f t="shared" si="75"/>
        <v>4</v>
      </c>
      <c r="E231" s="2">
        <f t="shared" si="76"/>
        <v>46</v>
      </c>
      <c r="F231" s="1">
        <f t="shared" si="68"/>
        <v>390369.76493892015</v>
      </c>
      <c r="H231" s="1">
        <f t="shared" si="64"/>
        <v>3112.8633248211022</v>
      </c>
      <c r="I231" s="1">
        <v>0</v>
      </c>
      <c r="J231" s="1">
        <v>0</v>
      </c>
      <c r="K231" s="1">
        <f t="shared" si="69"/>
        <v>-393.48262826374128</v>
      </c>
      <c r="L231" s="1">
        <f t="shared" si="65"/>
        <v>393089.1456354775</v>
      </c>
      <c r="N231" s="1">
        <f t="shared" si="70"/>
        <v>208</v>
      </c>
      <c r="O231" s="2">
        <f t="shared" si="77"/>
        <v>17</v>
      </c>
      <c r="P231" s="2">
        <f t="shared" si="78"/>
        <v>4</v>
      </c>
      <c r="Q231" s="2">
        <f t="shared" si="79"/>
        <v>17</v>
      </c>
      <c r="R231" s="1">
        <f t="shared" si="71"/>
        <v>3882782.8365759552</v>
      </c>
      <c r="S231" s="4">
        <f>IF($G$4="mensual",S228,IF($G$4="trimestral",S228,0))</f>
        <v>10000</v>
      </c>
      <c r="U231" s="1">
        <f t="shared" si="80"/>
        <v>31041.596998082998</v>
      </c>
      <c r="V231" s="35">
        <f t="shared" si="63"/>
        <v>-148.43001776138863</v>
      </c>
      <c r="X231" s="35">
        <f t="shared" si="62"/>
        <v>-3923.8244335740383</v>
      </c>
      <c r="Y231" s="1">
        <f t="shared" si="66"/>
        <v>3919752.1791227027</v>
      </c>
      <c r="AA231" s="2">
        <f>+Bono!J231</f>
        <v>227771.79075353706</v>
      </c>
      <c r="AC231" s="10">
        <f t="shared" si="72"/>
        <v>17.333333333333332</v>
      </c>
      <c r="AD231" s="1">
        <f t="shared" si="73"/>
        <v>4540613.1155117173</v>
      </c>
    </row>
    <row r="232" spans="2:30">
      <c r="B232" s="1">
        <f t="shared" si="67"/>
        <v>209</v>
      </c>
      <c r="C232" s="2">
        <f t="shared" si="74"/>
        <v>17</v>
      </c>
      <c r="D232" s="2">
        <f t="shared" si="75"/>
        <v>5</v>
      </c>
      <c r="E232" s="2">
        <f t="shared" si="76"/>
        <v>46</v>
      </c>
      <c r="F232" s="1">
        <f t="shared" si="68"/>
        <v>393089.1456354775</v>
      </c>
      <c r="H232" s="1">
        <f t="shared" si="64"/>
        <v>3134.5480483751007</v>
      </c>
      <c r="I232" s="1">
        <v>0</v>
      </c>
      <c r="J232" s="1">
        <v>0</v>
      </c>
      <c r="K232" s="1">
        <f t="shared" si="69"/>
        <v>-396.22369368385262</v>
      </c>
      <c r="L232" s="1">
        <f t="shared" si="65"/>
        <v>395827.46999016876</v>
      </c>
      <c r="N232" s="1">
        <f t="shared" si="70"/>
        <v>209</v>
      </c>
      <c r="O232" s="2">
        <f t="shared" si="77"/>
        <v>17</v>
      </c>
      <c r="P232" s="2">
        <f t="shared" si="78"/>
        <v>5</v>
      </c>
      <c r="Q232" s="2">
        <f t="shared" si="79"/>
        <v>17</v>
      </c>
      <c r="R232" s="1">
        <f t="shared" si="71"/>
        <v>3919752.1791227027</v>
      </c>
      <c r="S232" s="4">
        <f>IF($G$4="mensual",S231,0)</f>
        <v>10000</v>
      </c>
      <c r="U232" s="1">
        <f t="shared" si="80"/>
        <v>31336.39572711501</v>
      </c>
      <c r="V232" s="35">
        <f t="shared" si="63"/>
        <v>-148.43001776138863</v>
      </c>
      <c r="X232" s="35">
        <f t="shared" si="62"/>
        <v>-3961.0885748498181</v>
      </c>
      <c r="Y232" s="1">
        <f t="shared" si="66"/>
        <v>3956979.0562572065</v>
      </c>
      <c r="AA232" s="2">
        <f>+Bono!J232</f>
        <v>229184.00227610147</v>
      </c>
      <c r="AC232" s="10">
        <f t="shared" si="72"/>
        <v>17.416666666666668</v>
      </c>
      <c r="AD232" s="1">
        <f t="shared" si="73"/>
        <v>4581990.5285234768</v>
      </c>
    </row>
    <row r="233" spans="2:30">
      <c r="B233" s="1">
        <f t="shared" si="67"/>
        <v>210</v>
      </c>
      <c r="C233" s="2">
        <f t="shared" si="74"/>
        <v>17</v>
      </c>
      <c r="D233" s="2">
        <f t="shared" si="75"/>
        <v>6</v>
      </c>
      <c r="E233" s="2">
        <f t="shared" si="76"/>
        <v>46</v>
      </c>
      <c r="F233" s="1">
        <f t="shared" si="68"/>
        <v>395827.46999016876</v>
      </c>
      <c r="H233" s="1">
        <f t="shared" si="64"/>
        <v>3156.383831319296</v>
      </c>
      <c r="I233" s="1">
        <v>0</v>
      </c>
      <c r="J233" s="69">
        <f>-SUM(F233:H233)*$J$21</f>
        <v>-3590.8546843933927</v>
      </c>
      <c r="K233" s="1">
        <f t="shared" si="69"/>
        <v>-395.39299913709465</v>
      </c>
      <c r="L233" s="1">
        <f t="shared" si="65"/>
        <v>394997.60613795754</v>
      </c>
      <c r="N233" s="1">
        <f t="shared" si="70"/>
        <v>210</v>
      </c>
      <c r="O233" s="2">
        <f t="shared" si="77"/>
        <v>17</v>
      </c>
      <c r="P233" s="2">
        <f t="shared" si="78"/>
        <v>6</v>
      </c>
      <c r="Q233" s="2">
        <f t="shared" si="79"/>
        <v>17</v>
      </c>
      <c r="R233" s="1">
        <f t="shared" si="71"/>
        <v>3956979.0562572065</v>
      </c>
      <c r="S233" s="4">
        <f>IF($G$4="mensual",S232,0)</f>
        <v>10000</v>
      </c>
      <c r="U233" s="1">
        <f t="shared" si="80"/>
        <v>31633.24807311509</v>
      </c>
      <c r="V233" s="35">
        <f t="shared" si="63"/>
        <v>-148.43001776138863</v>
      </c>
      <c r="X233" s="35">
        <f t="shared" si="62"/>
        <v>-3998.6123043303214</v>
      </c>
      <c r="Y233" s="1">
        <f t="shared" si="66"/>
        <v>3994465.2620082297</v>
      </c>
      <c r="AA233" s="2">
        <f>+Bono!J233</f>
        <v>228527.44742459763</v>
      </c>
      <c r="AC233" s="10">
        <f t="shared" si="72"/>
        <v>17.5</v>
      </c>
      <c r="AD233" s="1">
        <f t="shared" si="73"/>
        <v>4617990.3155707847</v>
      </c>
    </row>
    <row r="234" spans="2:30">
      <c r="B234" s="1">
        <f t="shared" si="67"/>
        <v>211</v>
      </c>
      <c r="C234" s="2">
        <f t="shared" si="74"/>
        <v>17</v>
      </c>
      <c r="D234" s="2">
        <f t="shared" si="75"/>
        <v>7</v>
      </c>
      <c r="E234" s="2">
        <f t="shared" si="76"/>
        <v>46</v>
      </c>
      <c r="F234" s="1">
        <f t="shared" si="68"/>
        <v>394997.60613795754</v>
      </c>
      <c r="H234" s="1">
        <f t="shared" si="64"/>
        <v>3149.7663804248928</v>
      </c>
      <c r="I234" s="1">
        <v>0</v>
      </c>
      <c r="J234" s="1">
        <v>0</v>
      </c>
      <c r="K234" s="1">
        <f t="shared" si="69"/>
        <v>-398.14737251838244</v>
      </c>
      <c r="L234" s="1">
        <f t="shared" si="65"/>
        <v>397749.22514586407</v>
      </c>
      <c r="N234" s="1">
        <f t="shared" si="70"/>
        <v>211</v>
      </c>
      <c r="O234" s="2">
        <f t="shared" si="77"/>
        <v>17</v>
      </c>
      <c r="P234" s="2">
        <f t="shared" si="78"/>
        <v>7</v>
      </c>
      <c r="Q234" s="2">
        <f t="shared" si="79"/>
        <v>17</v>
      </c>
      <c r="R234" s="1">
        <f t="shared" si="71"/>
        <v>3994465.2620082297</v>
      </c>
      <c r="S234" s="1">
        <f>+IF($G$4="mensual",S228,IF($G$4="trimestral",S228,IF($G$4="semestral",S228,0)))</f>
        <v>10000</v>
      </c>
      <c r="U234" s="1">
        <f t="shared" si="80"/>
        <v>31932.168341920529</v>
      </c>
      <c r="V234" s="35">
        <f t="shared" si="63"/>
        <v>-148.43001776138863</v>
      </c>
      <c r="X234" s="35">
        <f t="shared" si="62"/>
        <v>-4036.3974303501504</v>
      </c>
      <c r="Y234" s="1">
        <f t="shared" si="66"/>
        <v>4032212.602902039</v>
      </c>
      <c r="AA234" s="2">
        <f>+Bono!J234</f>
        <v>229944.34410617335</v>
      </c>
      <c r="AC234" s="10">
        <f t="shared" si="72"/>
        <v>17.583333333333332</v>
      </c>
      <c r="AD234" s="1">
        <f t="shared" si="73"/>
        <v>4659906.1721540764</v>
      </c>
    </row>
    <row r="235" spans="2:30">
      <c r="B235" s="1">
        <f t="shared" si="67"/>
        <v>212</v>
      </c>
      <c r="C235" s="2">
        <f t="shared" si="74"/>
        <v>17</v>
      </c>
      <c r="D235" s="2">
        <f t="shared" si="75"/>
        <v>8</v>
      </c>
      <c r="E235" s="2">
        <f t="shared" si="76"/>
        <v>46</v>
      </c>
      <c r="F235" s="1">
        <f t="shared" si="68"/>
        <v>397749.22514586407</v>
      </c>
      <c r="H235" s="1">
        <f t="shared" si="64"/>
        <v>3171.7081768007806</v>
      </c>
      <c r="I235" s="1">
        <v>0</v>
      </c>
      <c r="J235" s="1">
        <v>0</v>
      </c>
      <c r="K235" s="1">
        <f t="shared" si="69"/>
        <v>-400.92093332266489</v>
      </c>
      <c r="L235" s="1">
        <f t="shared" si="65"/>
        <v>400520.01238934218</v>
      </c>
      <c r="N235" s="1">
        <f t="shared" si="70"/>
        <v>212</v>
      </c>
      <c r="O235" s="2">
        <f t="shared" si="77"/>
        <v>17</v>
      </c>
      <c r="P235" s="2">
        <f t="shared" si="78"/>
        <v>8</v>
      </c>
      <c r="Q235" s="2">
        <f t="shared" si="79"/>
        <v>17</v>
      </c>
      <c r="R235" s="1">
        <f t="shared" si="71"/>
        <v>4032212.602902039</v>
      </c>
      <c r="S235" s="4">
        <f>IF($G$4="mensual",S234,0)</f>
        <v>10000</v>
      </c>
      <c r="U235" s="1">
        <f t="shared" si="80"/>
        <v>32233.170939025465</v>
      </c>
      <c r="V235" s="35">
        <f t="shared" si="63"/>
        <v>-148.43001776138863</v>
      </c>
      <c r="X235" s="35">
        <f t="shared" ref="X235:X298" si="81">-SUM(R235:U235)*0.1%</f>
        <v>-4074.4457738410647</v>
      </c>
      <c r="Y235" s="1">
        <f t="shared" si="66"/>
        <v>4070222.8980494621</v>
      </c>
      <c r="AA235" s="2">
        <f>+Bono!J235</f>
        <v>231370.02571152468</v>
      </c>
      <c r="AC235" s="10">
        <f t="shared" si="72"/>
        <v>17.666666666666668</v>
      </c>
      <c r="AD235" s="1">
        <f t="shared" si="73"/>
        <v>4702112.9361503292</v>
      </c>
    </row>
    <row r="236" spans="2:30">
      <c r="B236" s="1">
        <f t="shared" si="67"/>
        <v>213</v>
      </c>
      <c r="C236" s="2">
        <f t="shared" si="74"/>
        <v>17</v>
      </c>
      <c r="D236" s="2">
        <f t="shared" si="75"/>
        <v>9</v>
      </c>
      <c r="E236" s="2">
        <f t="shared" si="76"/>
        <v>46</v>
      </c>
      <c r="F236" s="1">
        <f t="shared" si="68"/>
        <v>400520.01238934218</v>
      </c>
      <c r="H236" s="1">
        <f t="shared" si="64"/>
        <v>3193.80282337889</v>
      </c>
      <c r="I236" s="1">
        <v>0</v>
      </c>
      <c r="J236" s="69">
        <f>-SUM(F236:H236)*$J$21</f>
        <v>-3633.4243369144901</v>
      </c>
      <c r="K236" s="1">
        <f t="shared" si="69"/>
        <v>-400.08039087580659</v>
      </c>
      <c r="L236" s="1">
        <f t="shared" si="65"/>
        <v>399680.31048493076</v>
      </c>
      <c r="N236" s="1">
        <f t="shared" si="70"/>
        <v>213</v>
      </c>
      <c r="O236" s="2">
        <f t="shared" si="77"/>
        <v>17</v>
      </c>
      <c r="P236" s="2">
        <f t="shared" si="78"/>
        <v>9</v>
      </c>
      <c r="Q236" s="2">
        <f t="shared" si="79"/>
        <v>17</v>
      </c>
      <c r="R236" s="1">
        <f t="shared" si="71"/>
        <v>4070222.8980494621</v>
      </c>
      <c r="S236" s="4">
        <f>IF($G$4="mensual",S235,0)</f>
        <v>10000</v>
      </c>
      <c r="U236" s="1">
        <f t="shared" si="80"/>
        <v>32536.270370275099</v>
      </c>
      <c r="V236" s="35">
        <f t="shared" si="63"/>
        <v>-148.43001776138863</v>
      </c>
      <c r="X236" s="35">
        <f t="shared" si="81"/>
        <v>-4112.7591684197378</v>
      </c>
      <c r="Y236" s="1">
        <f t="shared" si="66"/>
        <v>4108497.9792335564</v>
      </c>
      <c r="AA236" s="2">
        <f>+Bono!J236</f>
        <v>230707.2084495656</v>
      </c>
      <c r="AC236" s="10">
        <f t="shared" si="72"/>
        <v>17.75</v>
      </c>
      <c r="AD236" s="1">
        <f t="shared" si="73"/>
        <v>4738885.4981680531</v>
      </c>
    </row>
    <row r="237" spans="2:30">
      <c r="B237" s="1">
        <f t="shared" si="67"/>
        <v>214</v>
      </c>
      <c r="C237" s="2">
        <f t="shared" si="74"/>
        <v>17</v>
      </c>
      <c r="D237" s="2">
        <f t="shared" si="75"/>
        <v>10</v>
      </c>
      <c r="E237" s="2">
        <f t="shared" si="76"/>
        <v>46</v>
      </c>
      <c r="F237" s="1">
        <f t="shared" si="68"/>
        <v>399680.31048493076</v>
      </c>
      <c r="H237" s="1">
        <f t="shared" si="64"/>
        <v>3187.1069224746952</v>
      </c>
      <c r="I237" s="1">
        <v>0</v>
      </c>
      <c r="J237" s="1">
        <v>0</v>
      </c>
      <c r="K237" s="1">
        <f t="shared" si="69"/>
        <v>-402.86741740740547</v>
      </c>
      <c r="L237" s="1">
        <f t="shared" si="65"/>
        <v>402464.54998999805</v>
      </c>
      <c r="N237" s="1">
        <f t="shared" si="70"/>
        <v>214</v>
      </c>
      <c r="O237" s="2">
        <f t="shared" si="77"/>
        <v>17</v>
      </c>
      <c r="P237" s="2">
        <f t="shared" si="78"/>
        <v>10</v>
      </c>
      <c r="Q237" s="2">
        <f t="shared" si="79"/>
        <v>17</v>
      </c>
      <c r="R237" s="1">
        <f t="shared" si="71"/>
        <v>4108497.9792335564</v>
      </c>
      <c r="S237" s="4">
        <f>IF($G$4="mensual",S228,IF($G$4="trimestral",S228,0))</f>
        <v>10000</v>
      </c>
      <c r="U237" s="1">
        <f t="shared" si="80"/>
        <v>32841.481242564761</v>
      </c>
      <c r="V237" s="35">
        <f t="shared" si="63"/>
        <v>-148.43001776138863</v>
      </c>
      <c r="X237" s="35">
        <f t="shared" si="81"/>
        <v>-4151.3394604761215</v>
      </c>
      <c r="Y237" s="1">
        <f t="shared" si="66"/>
        <v>4147039.6909978837</v>
      </c>
      <c r="AA237" s="2">
        <f>+Bono!J237</f>
        <v>232137.61990233272</v>
      </c>
      <c r="AC237" s="10">
        <f t="shared" si="72"/>
        <v>17.833333333333332</v>
      </c>
      <c r="AD237" s="1">
        <f t="shared" si="73"/>
        <v>4781641.8608902143</v>
      </c>
    </row>
    <row r="238" spans="2:30">
      <c r="B238" s="1">
        <f t="shared" si="67"/>
        <v>215</v>
      </c>
      <c r="C238" s="2">
        <f t="shared" si="74"/>
        <v>17</v>
      </c>
      <c r="D238" s="2">
        <f t="shared" si="75"/>
        <v>11</v>
      </c>
      <c r="E238" s="2">
        <f t="shared" si="76"/>
        <v>46</v>
      </c>
      <c r="F238" s="1">
        <f t="shared" si="68"/>
        <v>402464.54998999805</v>
      </c>
      <c r="H238" s="1">
        <f t="shared" si="64"/>
        <v>3209.3088392758036</v>
      </c>
      <c r="I238" s="1">
        <v>0</v>
      </c>
      <c r="J238" s="1">
        <v>0</v>
      </c>
      <c r="K238" s="1">
        <f t="shared" si="69"/>
        <v>-405.67385882927385</v>
      </c>
      <c r="L238" s="1">
        <f t="shared" si="65"/>
        <v>405268.18497044459</v>
      </c>
      <c r="N238" s="1">
        <f t="shared" si="70"/>
        <v>215</v>
      </c>
      <c r="O238" s="2">
        <f t="shared" si="77"/>
        <v>17</v>
      </c>
      <c r="P238" s="2">
        <f t="shared" si="78"/>
        <v>11</v>
      </c>
      <c r="Q238" s="2">
        <f t="shared" si="79"/>
        <v>17</v>
      </c>
      <c r="R238" s="1">
        <f t="shared" si="71"/>
        <v>4147039.6909978837</v>
      </c>
      <c r="S238" s="1">
        <f>IF($G$17="si",S226*(1+$G$20),S226)</f>
        <v>10000</v>
      </c>
      <c r="U238" s="1">
        <f t="shared" si="80"/>
        <v>33148.818264543836</v>
      </c>
      <c r="V238" s="35">
        <f t="shared" si="63"/>
        <v>-148.43001776138863</v>
      </c>
      <c r="X238" s="35">
        <f t="shared" si="81"/>
        <v>-4190.1885092624279</v>
      </c>
      <c r="Y238" s="1">
        <f t="shared" si="66"/>
        <v>4185849.8907354036</v>
      </c>
      <c r="AA238" s="2">
        <f>+Bono!J238</f>
        <v>233576.90007202449</v>
      </c>
      <c r="AC238" s="10">
        <f t="shared" si="72"/>
        <v>17.916666666666668</v>
      </c>
      <c r="AD238" s="1">
        <f t="shared" si="73"/>
        <v>4824694.9757778728</v>
      </c>
    </row>
    <row r="239" spans="2:30">
      <c r="B239" s="1">
        <f t="shared" si="67"/>
        <v>216</v>
      </c>
      <c r="C239" s="2">
        <f t="shared" si="74"/>
        <v>17</v>
      </c>
      <c r="D239" s="2">
        <f t="shared" si="75"/>
        <v>12</v>
      </c>
      <c r="E239" s="2">
        <f t="shared" si="76"/>
        <v>46</v>
      </c>
      <c r="F239" s="1">
        <f t="shared" si="68"/>
        <v>405268.18497044459</v>
      </c>
      <c r="H239" s="1">
        <f t="shared" si="64"/>
        <v>3231.6654183212713</v>
      </c>
      <c r="I239" s="1">
        <v>0</v>
      </c>
      <c r="J239" s="69">
        <f>-SUM(F239:H239)*$J$21</f>
        <v>-3676.498653498893</v>
      </c>
      <c r="K239" s="1">
        <f t="shared" si="69"/>
        <v>-404.82335173526695</v>
      </c>
      <c r="L239" s="1">
        <f t="shared" si="65"/>
        <v>404418.52838353172</v>
      </c>
      <c r="N239" s="1">
        <f t="shared" si="70"/>
        <v>216</v>
      </c>
      <c r="O239" s="2">
        <f t="shared" si="77"/>
        <v>17</v>
      </c>
      <c r="P239" s="2">
        <f t="shared" si="78"/>
        <v>12</v>
      </c>
      <c r="Q239" s="2">
        <f t="shared" si="79"/>
        <v>17</v>
      </c>
      <c r="R239" s="1">
        <f t="shared" si="71"/>
        <v>4185849.8907354036</v>
      </c>
      <c r="S239" s="4">
        <f>IF($G$4="mensual",S238,0)</f>
        <v>10000</v>
      </c>
      <c r="U239" s="1">
        <f t="shared" si="80"/>
        <v>33458.296247324623</v>
      </c>
      <c r="V239" s="35">
        <f t="shared" si="63"/>
        <v>-148.43001776138863</v>
      </c>
      <c r="X239" s="35">
        <f t="shared" si="81"/>
        <v>-4229.3081869827283</v>
      </c>
      <c r="Y239" s="1">
        <f t="shared" si="66"/>
        <v>4224930.4487779848</v>
      </c>
      <c r="AA239" s="2">
        <f>+Bono!J239</f>
        <v>232907.7606669243</v>
      </c>
      <c r="AC239" s="10">
        <f t="shared" si="72"/>
        <v>18</v>
      </c>
      <c r="AD239" s="1">
        <f t="shared" si="73"/>
        <v>4862256.737828441</v>
      </c>
    </row>
    <row r="240" spans="2:30">
      <c r="B240" s="1">
        <f t="shared" si="67"/>
        <v>217</v>
      </c>
      <c r="C240" s="2">
        <f t="shared" si="74"/>
        <v>18</v>
      </c>
      <c r="D240" s="2">
        <f t="shared" si="75"/>
        <v>1</v>
      </c>
      <c r="E240" s="2">
        <f t="shared" si="76"/>
        <v>47</v>
      </c>
      <c r="F240" s="1">
        <f t="shared" si="68"/>
        <v>404418.52838353172</v>
      </c>
      <c r="H240" s="1">
        <f t="shared" si="64"/>
        <v>3224.8901373808849</v>
      </c>
      <c r="I240" s="1">
        <v>0</v>
      </c>
      <c r="J240" s="1">
        <v>0</v>
      </c>
      <c r="K240" s="1">
        <f t="shared" si="69"/>
        <v>-407.64341852091258</v>
      </c>
      <c r="L240" s="1">
        <f t="shared" si="65"/>
        <v>407235.77510239166</v>
      </c>
      <c r="N240" s="1">
        <f t="shared" si="70"/>
        <v>217</v>
      </c>
      <c r="O240" s="2">
        <f t="shared" si="77"/>
        <v>18</v>
      </c>
      <c r="P240" s="2">
        <f t="shared" si="78"/>
        <v>1</v>
      </c>
      <c r="Q240" s="2">
        <f t="shared" si="79"/>
        <v>18</v>
      </c>
      <c r="R240" s="1">
        <f t="shared" si="71"/>
        <v>4224930.4487779848</v>
      </c>
      <c r="S240" s="1">
        <f>IF($G$17="si",S228*(1+$G$20),S228)</f>
        <v>10000</v>
      </c>
      <c r="U240" s="1">
        <f t="shared" si="80"/>
        <v>33769.930105196094</v>
      </c>
      <c r="V240" s="35">
        <f>(V239*(1+$G$18))</f>
        <v>-154.36721847184418</v>
      </c>
      <c r="X240" s="35">
        <f t="shared" si="81"/>
        <v>-4268.7003788831817</v>
      </c>
      <c r="Y240" s="1">
        <f t="shared" si="66"/>
        <v>4264277.3112858254</v>
      </c>
      <c r="AA240" s="2">
        <f>+Bono!J240</f>
        <v>234351.81579868731</v>
      </c>
      <c r="AC240" s="10">
        <f t="shared" si="72"/>
        <v>18.083333333333332</v>
      </c>
      <c r="AD240" s="1">
        <f t="shared" si="73"/>
        <v>4905864.902186905</v>
      </c>
    </row>
    <row r="241" spans="2:30">
      <c r="B241" s="1">
        <f t="shared" si="67"/>
        <v>218</v>
      </c>
      <c r="C241" s="2">
        <f t="shared" si="74"/>
        <v>18</v>
      </c>
      <c r="D241" s="2">
        <f t="shared" si="75"/>
        <v>2</v>
      </c>
      <c r="E241" s="2">
        <f t="shared" si="76"/>
        <v>47</v>
      </c>
      <c r="F241" s="1">
        <f t="shared" si="68"/>
        <v>407235.77510239166</v>
      </c>
      <c r="H241" s="1">
        <f t="shared" si="64"/>
        <v>3247.3552583399423</v>
      </c>
      <c r="I241" s="1">
        <v>0</v>
      </c>
      <c r="J241" s="1">
        <v>0</v>
      </c>
      <c r="K241" s="1">
        <f t="shared" si="69"/>
        <v>-410.48313036073165</v>
      </c>
      <c r="L241" s="1">
        <f t="shared" si="65"/>
        <v>410072.6472303709</v>
      </c>
      <c r="N241" s="1">
        <f t="shared" si="70"/>
        <v>218</v>
      </c>
      <c r="O241" s="2">
        <f t="shared" si="77"/>
        <v>18</v>
      </c>
      <c r="P241" s="2">
        <f t="shared" si="78"/>
        <v>2</v>
      </c>
      <c r="Q241" s="2">
        <f t="shared" si="79"/>
        <v>18</v>
      </c>
      <c r="R241" s="1">
        <f t="shared" si="71"/>
        <v>4264277.3112858254</v>
      </c>
      <c r="S241" s="4">
        <f>IF($G$4="mensual",S240,0)</f>
        <v>10000</v>
      </c>
      <c r="U241" s="1">
        <f t="shared" si="80"/>
        <v>34083.687512270379</v>
      </c>
      <c r="V241" s="35">
        <f t="shared" ref="V241:V304" si="82">V240</f>
        <v>-154.36721847184418</v>
      </c>
      <c r="X241" s="35">
        <f t="shared" si="81"/>
        <v>-4308.3609987980954</v>
      </c>
      <c r="Y241" s="1">
        <f t="shared" si="66"/>
        <v>4303898.2705808254</v>
      </c>
      <c r="AA241" s="2">
        <f>+Bono!J241</f>
        <v>235804.8242397673</v>
      </c>
      <c r="AC241" s="10">
        <f t="shared" si="72"/>
        <v>18.166666666666668</v>
      </c>
      <c r="AD241" s="1">
        <f t="shared" si="73"/>
        <v>4949775.7420509635</v>
      </c>
    </row>
    <row r="242" spans="2:30">
      <c r="B242" s="1">
        <f t="shared" si="67"/>
        <v>219</v>
      </c>
      <c r="C242" s="2">
        <f t="shared" si="74"/>
        <v>18</v>
      </c>
      <c r="D242" s="2">
        <f t="shared" si="75"/>
        <v>3</v>
      </c>
      <c r="E242" s="2">
        <f t="shared" si="76"/>
        <v>47</v>
      </c>
      <c r="F242" s="1">
        <f t="shared" si="68"/>
        <v>410072.6472303709</v>
      </c>
      <c r="H242" s="1">
        <f t="shared" si="64"/>
        <v>3269.976875067292</v>
      </c>
      <c r="I242" s="1">
        <v>0</v>
      </c>
      <c r="J242" s="69">
        <f>-SUM(F242:H242)*$J$21</f>
        <v>-3720.0836169489439</v>
      </c>
      <c r="K242" s="1">
        <f t="shared" si="69"/>
        <v>-409.62254048848928</v>
      </c>
      <c r="L242" s="1">
        <f t="shared" si="65"/>
        <v>409212.91794800077</v>
      </c>
      <c r="N242" s="1">
        <f t="shared" si="70"/>
        <v>219</v>
      </c>
      <c r="O242" s="2">
        <f t="shared" si="77"/>
        <v>18</v>
      </c>
      <c r="P242" s="2">
        <f t="shared" si="78"/>
        <v>3</v>
      </c>
      <c r="Q242" s="2">
        <f t="shared" si="79"/>
        <v>18</v>
      </c>
      <c r="R242" s="1">
        <f t="shared" si="71"/>
        <v>4303898.2705808254</v>
      </c>
      <c r="S242" s="4">
        <f>IF($G$4="mensual",S241,0)</f>
        <v>10000</v>
      </c>
      <c r="U242" s="1">
        <f t="shared" si="80"/>
        <v>34399.630605616592</v>
      </c>
      <c r="V242" s="35">
        <f t="shared" si="82"/>
        <v>-154.36721847184418</v>
      </c>
      <c r="X242" s="35">
        <f t="shared" si="81"/>
        <v>-4348.2979011864418</v>
      </c>
      <c r="Y242" s="1">
        <f t="shared" si="66"/>
        <v>4343795.2360667838</v>
      </c>
      <c r="AA242" s="2">
        <f>+Bono!J242</f>
        <v>235129.30238909242</v>
      </c>
      <c r="AC242" s="10">
        <f t="shared" si="72"/>
        <v>18.25</v>
      </c>
      <c r="AD242" s="1">
        <f t="shared" si="73"/>
        <v>4988137.4564038776</v>
      </c>
    </row>
    <row r="243" spans="2:30">
      <c r="B243" s="1">
        <f t="shared" si="67"/>
        <v>220</v>
      </c>
      <c r="C243" s="2">
        <f t="shared" si="74"/>
        <v>18</v>
      </c>
      <c r="D243" s="2">
        <f t="shared" si="75"/>
        <v>4</v>
      </c>
      <c r="E243" s="2">
        <f t="shared" si="76"/>
        <v>47</v>
      </c>
      <c r="F243" s="1">
        <f t="shared" si="68"/>
        <v>409212.91794800077</v>
      </c>
      <c r="H243" s="1">
        <f t="shared" si="64"/>
        <v>3263.121273038832</v>
      </c>
      <c r="I243" s="1">
        <v>0</v>
      </c>
      <c r="J243" s="1">
        <v>0</v>
      </c>
      <c r="K243" s="1">
        <f t="shared" si="69"/>
        <v>-412.47603922103963</v>
      </c>
      <c r="L243" s="1">
        <f t="shared" si="65"/>
        <v>412063.56318181858</v>
      </c>
      <c r="N243" s="1">
        <f t="shared" si="70"/>
        <v>220</v>
      </c>
      <c r="O243" s="2">
        <f t="shared" si="77"/>
        <v>18</v>
      </c>
      <c r="P243" s="2">
        <f t="shared" si="78"/>
        <v>4</v>
      </c>
      <c r="Q243" s="2">
        <f t="shared" si="79"/>
        <v>18</v>
      </c>
      <c r="R243" s="1">
        <f t="shared" si="71"/>
        <v>4343795.2360667838</v>
      </c>
      <c r="S243" s="4">
        <f>IF($G$4="mensual",S240,IF($G$4="trimestral",S240,0))</f>
        <v>10000</v>
      </c>
      <c r="U243" s="1">
        <f t="shared" si="80"/>
        <v>34717.774611088746</v>
      </c>
      <c r="V243" s="35">
        <f t="shared" si="82"/>
        <v>-154.36721847184418</v>
      </c>
      <c r="X243" s="35">
        <f t="shared" si="81"/>
        <v>-4388.5130106778724</v>
      </c>
      <c r="Y243" s="1">
        <f t="shared" si="66"/>
        <v>4383970.1304487223</v>
      </c>
      <c r="AA243" s="2">
        <f>+Bono!J243</f>
        <v>236587.13133721577</v>
      </c>
      <c r="AC243" s="10">
        <f t="shared" si="72"/>
        <v>18.333333333333332</v>
      </c>
      <c r="AD243" s="1">
        <f t="shared" si="73"/>
        <v>5032620.8249677569</v>
      </c>
    </row>
    <row r="244" spans="2:30">
      <c r="B244" s="1">
        <f t="shared" si="67"/>
        <v>221</v>
      </c>
      <c r="C244" s="2">
        <f t="shared" si="74"/>
        <v>18</v>
      </c>
      <c r="D244" s="2">
        <f t="shared" si="75"/>
        <v>5</v>
      </c>
      <c r="E244" s="2">
        <f t="shared" si="76"/>
        <v>47</v>
      </c>
      <c r="F244" s="1">
        <f t="shared" si="68"/>
        <v>412063.56318181858</v>
      </c>
      <c r="H244" s="1">
        <f t="shared" si="64"/>
        <v>3285.8527184462801</v>
      </c>
      <c r="I244" s="1">
        <v>0</v>
      </c>
      <c r="J244" s="1">
        <v>0</v>
      </c>
      <c r="K244" s="1">
        <f t="shared" si="69"/>
        <v>-415.34941590026489</v>
      </c>
      <c r="L244" s="1">
        <f t="shared" si="65"/>
        <v>414934.06648436462</v>
      </c>
      <c r="N244" s="1">
        <f t="shared" si="70"/>
        <v>221</v>
      </c>
      <c r="O244" s="2">
        <f t="shared" si="77"/>
        <v>18</v>
      </c>
      <c r="P244" s="2">
        <f t="shared" si="78"/>
        <v>5</v>
      </c>
      <c r="Q244" s="2">
        <f t="shared" si="79"/>
        <v>18</v>
      </c>
      <c r="R244" s="1">
        <f t="shared" si="71"/>
        <v>4383970.1304487223</v>
      </c>
      <c r="S244" s="4">
        <f>IF($G$4="mensual",S243,0)</f>
        <v>10000</v>
      </c>
      <c r="U244" s="1">
        <f t="shared" si="80"/>
        <v>35038.134860606704</v>
      </c>
      <c r="V244" s="35">
        <f t="shared" si="82"/>
        <v>-154.36721847184418</v>
      </c>
      <c r="X244" s="35">
        <f t="shared" si="81"/>
        <v>-4429.0082653093295</v>
      </c>
      <c r="Y244" s="1">
        <f t="shared" si="66"/>
        <v>4424424.889825548</v>
      </c>
      <c r="AA244" s="2">
        <f>+Bono!J244</f>
        <v>238053.99899391519</v>
      </c>
      <c r="AC244" s="10">
        <f t="shared" si="72"/>
        <v>18.416666666666668</v>
      </c>
      <c r="AD244" s="1">
        <f t="shared" si="73"/>
        <v>5077412.9553038282</v>
      </c>
    </row>
    <row r="245" spans="2:30">
      <c r="B245" s="1">
        <f t="shared" si="67"/>
        <v>222</v>
      </c>
      <c r="C245" s="2">
        <f t="shared" si="74"/>
        <v>18</v>
      </c>
      <c r="D245" s="2">
        <f t="shared" si="75"/>
        <v>6</v>
      </c>
      <c r="E245" s="2">
        <f t="shared" si="76"/>
        <v>47</v>
      </c>
      <c r="F245" s="1">
        <f t="shared" si="68"/>
        <v>414934.06648436462</v>
      </c>
      <c r="H245" s="1">
        <f t="shared" si="64"/>
        <v>3308.7425148824145</v>
      </c>
      <c r="I245" s="1">
        <v>0</v>
      </c>
      <c r="J245" s="69">
        <f>-SUM(F245:H245)*$J$21</f>
        <v>-3764.1852809932238</v>
      </c>
      <c r="K245" s="1">
        <f t="shared" si="69"/>
        <v>-414.4786237182538</v>
      </c>
      <c r="L245" s="1">
        <f t="shared" si="65"/>
        <v>414064.14509453555</v>
      </c>
      <c r="N245" s="1">
        <f t="shared" si="70"/>
        <v>222</v>
      </c>
      <c r="O245" s="2">
        <f t="shared" si="77"/>
        <v>18</v>
      </c>
      <c r="P245" s="2">
        <f t="shared" si="78"/>
        <v>6</v>
      </c>
      <c r="Q245" s="2">
        <f t="shared" si="79"/>
        <v>18</v>
      </c>
      <c r="R245" s="1">
        <f t="shared" si="71"/>
        <v>4424424.889825548</v>
      </c>
      <c r="S245" s="4">
        <f>IF($G$4="mensual",S244,0)</f>
        <v>10000</v>
      </c>
      <c r="U245" s="1">
        <f t="shared" si="80"/>
        <v>35360.726792895024</v>
      </c>
      <c r="V245" s="35">
        <f t="shared" si="82"/>
        <v>-154.36721847184418</v>
      </c>
      <c r="X245" s="35">
        <f t="shared" si="81"/>
        <v>-4469.7856166184438</v>
      </c>
      <c r="Y245" s="1">
        <f t="shared" si="66"/>
        <v>4465161.4637833526</v>
      </c>
      <c r="AA245" s="2">
        <f>+Bono!J245</f>
        <v>237372.03382005001</v>
      </c>
      <c r="AC245" s="10">
        <f t="shared" si="72"/>
        <v>18.5</v>
      </c>
      <c r="AD245" s="1">
        <f t="shared" si="73"/>
        <v>5116597.6426979378</v>
      </c>
    </row>
    <row r="246" spans="2:30">
      <c r="B246" s="1">
        <f t="shared" si="67"/>
        <v>223</v>
      </c>
      <c r="C246" s="2">
        <f t="shared" si="74"/>
        <v>18</v>
      </c>
      <c r="D246" s="2">
        <f t="shared" si="75"/>
        <v>7</v>
      </c>
      <c r="E246" s="2">
        <f t="shared" si="76"/>
        <v>47</v>
      </c>
      <c r="F246" s="1">
        <f t="shared" si="68"/>
        <v>414064.14509453555</v>
      </c>
      <c r="H246" s="1">
        <f t="shared" si="64"/>
        <v>3301.8056395578101</v>
      </c>
      <c r="I246" s="1">
        <v>0</v>
      </c>
      <c r="J246" s="1">
        <v>0</v>
      </c>
      <c r="K246" s="1">
        <f t="shared" si="69"/>
        <v>-417.36595073409336</v>
      </c>
      <c r="L246" s="1">
        <f t="shared" si="65"/>
        <v>416948.58478335926</v>
      </c>
      <c r="N246" s="1">
        <f t="shared" si="70"/>
        <v>223</v>
      </c>
      <c r="O246" s="2">
        <f t="shared" si="77"/>
        <v>18</v>
      </c>
      <c r="P246" s="2">
        <f t="shared" si="78"/>
        <v>7</v>
      </c>
      <c r="Q246" s="2">
        <f t="shared" si="79"/>
        <v>18</v>
      </c>
      <c r="R246" s="1">
        <f t="shared" si="71"/>
        <v>4465161.4637833526</v>
      </c>
      <c r="S246" s="1">
        <f>+IF($G$4="mensual",S240,IF($G$4="trimestral",S240,IF($G$4="semestral",S240,0)))</f>
        <v>10000</v>
      </c>
      <c r="U246" s="1">
        <f t="shared" si="80"/>
        <v>35685.565954226979</v>
      </c>
      <c r="V246" s="35">
        <f t="shared" si="82"/>
        <v>-154.36721847184418</v>
      </c>
      <c r="X246" s="35">
        <f t="shared" si="81"/>
        <v>-4510.8470297375798</v>
      </c>
      <c r="Y246" s="1">
        <f t="shared" si="66"/>
        <v>4506181.8154893704</v>
      </c>
      <c r="AA246" s="2">
        <f>+Bono!J246</f>
        <v>238843.76796318605</v>
      </c>
      <c r="AC246" s="10">
        <f t="shared" si="72"/>
        <v>18.583333333333332</v>
      </c>
      <c r="AD246" s="1">
        <f t="shared" si="73"/>
        <v>5161974.1682359157</v>
      </c>
    </row>
    <row r="247" spans="2:30">
      <c r="B247" s="1">
        <f t="shared" si="67"/>
        <v>224</v>
      </c>
      <c r="C247" s="2">
        <f t="shared" si="74"/>
        <v>18</v>
      </c>
      <c r="D247" s="2">
        <f t="shared" si="75"/>
        <v>8</v>
      </c>
      <c r="E247" s="2">
        <f t="shared" si="76"/>
        <v>47</v>
      </c>
      <c r="F247" s="1">
        <f t="shared" si="68"/>
        <v>416948.58478335926</v>
      </c>
      <c r="H247" s="1">
        <f t="shared" si="64"/>
        <v>3324.8065666951939</v>
      </c>
      <c r="I247" s="1">
        <v>0</v>
      </c>
      <c r="J247" s="1">
        <v>0</v>
      </c>
      <c r="K247" s="1">
        <f t="shared" si="69"/>
        <v>-420.27339135005451</v>
      </c>
      <c r="L247" s="1">
        <f t="shared" si="65"/>
        <v>419853.11795870442</v>
      </c>
      <c r="N247" s="1">
        <f t="shared" si="70"/>
        <v>224</v>
      </c>
      <c r="O247" s="2">
        <f t="shared" si="77"/>
        <v>18</v>
      </c>
      <c r="P247" s="2">
        <f t="shared" si="78"/>
        <v>8</v>
      </c>
      <c r="Q247" s="2">
        <f t="shared" si="79"/>
        <v>18</v>
      </c>
      <c r="R247" s="1">
        <f t="shared" si="71"/>
        <v>4506181.8154893704</v>
      </c>
      <c r="S247" s="4">
        <f>IF($G$4="mensual",S246,0)</f>
        <v>10000</v>
      </c>
      <c r="U247" s="1">
        <f t="shared" si="80"/>
        <v>36012.667999173791</v>
      </c>
      <c r="V247" s="35">
        <f t="shared" si="82"/>
        <v>-154.36721847184418</v>
      </c>
      <c r="X247" s="35">
        <f t="shared" si="81"/>
        <v>-4552.1944834885444</v>
      </c>
      <c r="Y247" s="1">
        <f t="shared" si="66"/>
        <v>4547487.921786583</v>
      </c>
      <c r="AA247" s="2">
        <f>+Bono!J247</f>
        <v>240324.62702872013</v>
      </c>
      <c r="AC247" s="10">
        <f t="shared" si="72"/>
        <v>18.666666666666668</v>
      </c>
      <c r="AD247" s="1">
        <f t="shared" si="73"/>
        <v>5207665.6667740075</v>
      </c>
    </row>
    <row r="248" spans="2:30">
      <c r="B248" s="1">
        <f t="shared" si="67"/>
        <v>225</v>
      </c>
      <c r="C248" s="2">
        <f t="shared" si="74"/>
        <v>18</v>
      </c>
      <c r="D248" s="2">
        <f t="shared" si="75"/>
        <v>9</v>
      </c>
      <c r="E248" s="2">
        <f t="shared" si="76"/>
        <v>47</v>
      </c>
      <c r="F248" s="1">
        <f t="shared" si="68"/>
        <v>419853.11795870442</v>
      </c>
      <c r="H248" s="1">
        <f t="shared" si="64"/>
        <v>3347.9677221158058</v>
      </c>
      <c r="I248" s="1">
        <v>0</v>
      </c>
      <c r="J248" s="69">
        <f>-SUM(F248:H248)*$J$21</f>
        <v>-3808.8097711273826</v>
      </c>
      <c r="K248" s="1">
        <f t="shared" si="69"/>
        <v>-419.3922759096929</v>
      </c>
      <c r="L248" s="1">
        <f t="shared" si="65"/>
        <v>418972.88363378315</v>
      </c>
      <c r="N248" s="1">
        <f t="shared" si="70"/>
        <v>225</v>
      </c>
      <c r="O248" s="2">
        <f t="shared" si="77"/>
        <v>18</v>
      </c>
      <c r="P248" s="2">
        <f t="shared" si="78"/>
        <v>9</v>
      </c>
      <c r="Q248" s="2">
        <f t="shared" si="79"/>
        <v>18</v>
      </c>
      <c r="R248" s="1">
        <f t="shared" si="71"/>
        <v>4547487.921786583</v>
      </c>
      <c r="S248" s="4">
        <f>IF($G$4="mensual",S247,0)</f>
        <v>10000</v>
      </c>
      <c r="U248" s="1">
        <f t="shared" si="80"/>
        <v>36342.048691358992</v>
      </c>
      <c r="V248" s="35">
        <f t="shared" si="82"/>
        <v>-154.36721847184418</v>
      </c>
      <c r="X248" s="35">
        <f t="shared" si="81"/>
        <v>-4593.8299704779429</v>
      </c>
      <c r="Y248" s="1">
        <f t="shared" si="66"/>
        <v>4589081.7732889922</v>
      </c>
      <c r="AA248" s="2">
        <f>+Bono!J248</f>
        <v>239636.1570733806</v>
      </c>
      <c r="AC248" s="10">
        <f t="shared" si="72"/>
        <v>18.75</v>
      </c>
      <c r="AD248" s="1">
        <f t="shared" si="73"/>
        <v>5247690.8139961557</v>
      </c>
    </row>
    <row r="249" spans="2:30">
      <c r="B249" s="1">
        <f t="shared" si="67"/>
        <v>226</v>
      </c>
      <c r="C249" s="2">
        <f t="shared" si="74"/>
        <v>18</v>
      </c>
      <c r="D249" s="2">
        <f t="shared" si="75"/>
        <v>10</v>
      </c>
      <c r="E249" s="2">
        <f t="shared" si="76"/>
        <v>47</v>
      </c>
      <c r="F249" s="1">
        <f t="shared" si="68"/>
        <v>418972.88363378315</v>
      </c>
      <c r="H249" s="1">
        <f t="shared" si="64"/>
        <v>3340.9486099985425</v>
      </c>
      <c r="I249" s="1">
        <v>0</v>
      </c>
      <c r="J249" s="1">
        <v>0</v>
      </c>
      <c r="K249" s="1">
        <f t="shared" si="69"/>
        <v>-422.31383224378175</v>
      </c>
      <c r="L249" s="1">
        <f t="shared" si="65"/>
        <v>421891.51841153792</v>
      </c>
      <c r="N249" s="1">
        <f t="shared" si="70"/>
        <v>226</v>
      </c>
      <c r="O249" s="2">
        <f t="shared" si="77"/>
        <v>18</v>
      </c>
      <c r="P249" s="2">
        <f t="shared" si="78"/>
        <v>10</v>
      </c>
      <c r="Q249" s="2">
        <f t="shared" si="79"/>
        <v>18</v>
      </c>
      <c r="R249" s="1">
        <f t="shared" si="71"/>
        <v>4589081.7732889922</v>
      </c>
      <c r="S249" s="4">
        <f>IF($G$4="mensual",S240,IF($G$4="trimestral",S240,0))</f>
        <v>10000</v>
      </c>
      <c r="U249" s="1">
        <f t="shared" si="80"/>
        <v>36673.723904218168</v>
      </c>
      <c r="V249" s="35">
        <f t="shared" si="82"/>
        <v>-154.36721847184418</v>
      </c>
      <c r="X249" s="35">
        <f t="shared" si="81"/>
        <v>-4635.7554971932104</v>
      </c>
      <c r="Y249" s="1">
        <f t="shared" si="66"/>
        <v>4630965.3744775457</v>
      </c>
      <c r="AA249" s="2">
        <f>+Bono!J249</f>
        <v>241121.92904330933</v>
      </c>
      <c r="AC249" s="10">
        <f t="shared" si="72"/>
        <v>18.833333333333332</v>
      </c>
      <c r="AD249" s="1">
        <f t="shared" si="73"/>
        <v>5293978.8219323931</v>
      </c>
    </row>
    <row r="250" spans="2:30">
      <c r="B250" s="1">
        <f t="shared" si="67"/>
        <v>227</v>
      </c>
      <c r="C250" s="2">
        <f t="shared" si="74"/>
        <v>18</v>
      </c>
      <c r="D250" s="2">
        <f t="shared" si="75"/>
        <v>11</v>
      </c>
      <c r="E250" s="2">
        <f t="shared" si="76"/>
        <v>47</v>
      </c>
      <c r="F250" s="1">
        <f t="shared" si="68"/>
        <v>421891.51841153792</v>
      </c>
      <c r="H250" s="1">
        <f t="shared" si="64"/>
        <v>3364.2222135770412</v>
      </c>
      <c r="I250" s="1">
        <v>0</v>
      </c>
      <c r="J250" s="1">
        <v>0</v>
      </c>
      <c r="K250" s="1">
        <f t="shared" si="69"/>
        <v>-425.25574062511492</v>
      </c>
      <c r="L250" s="1">
        <f t="shared" si="65"/>
        <v>424830.48488448979</v>
      </c>
      <c r="N250" s="1">
        <f t="shared" si="70"/>
        <v>227</v>
      </c>
      <c r="O250" s="2">
        <f t="shared" si="77"/>
        <v>18</v>
      </c>
      <c r="P250" s="2">
        <f t="shared" si="78"/>
        <v>11</v>
      </c>
      <c r="Q250" s="2">
        <f t="shared" si="79"/>
        <v>18</v>
      </c>
      <c r="R250" s="1">
        <f t="shared" si="71"/>
        <v>4630965.3744775457</v>
      </c>
      <c r="S250" s="1">
        <f>IF($G$17="si",S238*(1+$G$20),S238)</f>
        <v>10000</v>
      </c>
      <c r="U250" s="1">
        <f t="shared" si="80"/>
        <v>37007.709621763897</v>
      </c>
      <c r="V250" s="35">
        <f t="shared" si="82"/>
        <v>-154.36721847184418</v>
      </c>
      <c r="X250" s="35">
        <f t="shared" si="81"/>
        <v>-4677.9730840993097</v>
      </c>
      <c r="Y250" s="1">
        <f t="shared" si="66"/>
        <v>4673140.7437967379</v>
      </c>
      <c r="AA250" s="2">
        <f>+Bono!J250</f>
        <v>242616.9129717905</v>
      </c>
      <c r="AC250" s="10">
        <f t="shared" si="72"/>
        <v>18.916666666666668</v>
      </c>
      <c r="AD250" s="1">
        <f t="shared" si="73"/>
        <v>5340588.1416530181</v>
      </c>
    </row>
    <row r="251" spans="2:30">
      <c r="B251" s="1">
        <f t="shared" si="67"/>
        <v>228</v>
      </c>
      <c r="C251" s="2">
        <f t="shared" si="74"/>
        <v>18</v>
      </c>
      <c r="D251" s="2">
        <f t="shared" si="75"/>
        <v>12</v>
      </c>
      <c r="E251" s="2">
        <f t="shared" si="76"/>
        <v>47</v>
      </c>
      <c r="F251" s="1">
        <f t="shared" si="68"/>
        <v>424830.48488448979</v>
      </c>
      <c r="H251" s="1">
        <f t="shared" si="64"/>
        <v>3387.6579449481997</v>
      </c>
      <c r="I251" s="1">
        <v>0</v>
      </c>
      <c r="J251" s="69">
        <f>-SUM(F251:H251)*$J$21</f>
        <v>-3853.9632854649421</v>
      </c>
      <c r="K251" s="1">
        <f t="shared" si="69"/>
        <v>-424.36417954397302</v>
      </c>
      <c r="L251" s="1">
        <f t="shared" si="65"/>
        <v>423939.81536442903</v>
      </c>
      <c r="N251" s="1">
        <f t="shared" si="70"/>
        <v>228</v>
      </c>
      <c r="O251" s="2">
        <f t="shared" si="77"/>
        <v>18</v>
      </c>
      <c r="P251" s="2">
        <f t="shared" si="78"/>
        <v>12</v>
      </c>
      <c r="Q251" s="2">
        <f t="shared" si="79"/>
        <v>18</v>
      </c>
      <c r="R251" s="1">
        <f t="shared" si="71"/>
        <v>4673140.7437967379</v>
      </c>
      <c r="S251" s="4">
        <f>IF($G$4="mensual",S250,0)</f>
        <v>10000</v>
      </c>
      <c r="U251" s="1">
        <f t="shared" si="80"/>
        <v>37344.021939356011</v>
      </c>
      <c r="V251" s="35">
        <f t="shared" si="82"/>
        <v>-154.36721847184418</v>
      </c>
      <c r="X251" s="35">
        <f t="shared" si="81"/>
        <v>-4720.4847657360942</v>
      </c>
      <c r="Y251" s="1">
        <f t="shared" si="66"/>
        <v>4715609.9137518853</v>
      </c>
      <c r="AA251" s="2">
        <f>+Bono!J251</f>
        <v>241921.87619048578</v>
      </c>
      <c r="AC251" s="10">
        <f t="shared" si="72"/>
        <v>19</v>
      </c>
      <c r="AD251" s="1">
        <f t="shared" si="73"/>
        <v>5381471.6053067995</v>
      </c>
    </row>
    <row r="252" spans="2:30">
      <c r="B252" s="1">
        <f t="shared" si="67"/>
        <v>229</v>
      </c>
      <c r="C252" s="2">
        <f t="shared" si="74"/>
        <v>19</v>
      </c>
      <c r="D252" s="2">
        <f t="shared" si="75"/>
        <v>1</v>
      </c>
      <c r="E252" s="2">
        <f t="shared" si="76"/>
        <v>48</v>
      </c>
      <c r="F252" s="1">
        <f t="shared" si="68"/>
        <v>423939.81536442903</v>
      </c>
      <c r="H252" s="1">
        <f t="shared" si="64"/>
        <v>3380.5556211194908</v>
      </c>
      <c r="I252" s="1">
        <v>0</v>
      </c>
      <c r="J252" s="1">
        <v>0</v>
      </c>
      <c r="K252" s="1">
        <f t="shared" si="69"/>
        <v>-427.32037098554855</v>
      </c>
      <c r="L252" s="1">
        <f t="shared" si="65"/>
        <v>426893.05061456299</v>
      </c>
      <c r="N252" s="1">
        <f t="shared" si="70"/>
        <v>229</v>
      </c>
      <c r="O252" s="2">
        <f t="shared" si="77"/>
        <v>19</v>
      </c>
      <c r="P252" s="2">
        <f t="shared" si="78"/>
        <v>1</v>
      </c>
      <c r="Q252" s="2">
        <f t="shared" si="79"/>
        <v>19</v>
      </c>
      <c r="R252" s="1">
        <f t="shared" si="71"/>
        <v>4715609.9137518853</v>
      </c>
      <c r="S252" s="1">
        <f>IF($G$17="si",S240*(1+$G$20),S240)</f>
        <v>10000</v>
      </c>
      <c r="U252" s="1">
        <f t="shared" si="80"/>
        <v>37682.677064477342</v>
      </c>
      <c r="V252" s="35">
        <f>(V251*(1+$G$18))</f>
        <v>-160.54190721071797</v>
      </c>
      <c r="X252" s="35">
        <f t="shared" si="81"/>
        <v>-4763.2925908163625</v>
      </c>
      <c r="Y252" s="1">
        <f t="shared" si="66"/>
        <v>4758368.7563183354</v>
      </c>
      <c r="AA252" s="2">
        <f>+Bono!J252</f>
        <v>243421.81988406755</v>
      </c>
      <c r="AC252" s="10">
        <f t="shared" si="72"/>
        <v>19.083333333333332</v>
      </c>
      <c r="AD252" s="1">
        <f t="shared" si="73"/>
        <v>5428683.6268169656</v>
      </c>
    </row>
    <row r="253" spans="2:30">
      <c r="B253" s="1">
        <f t="shared" si="67"/>
        <v>230</v>
      </c>
      <c r="C253" s="2">
        <f t="shared" si="74"/>
        <v>19</v>
      </c>
      <c r="D253" s="2">
        <f t="shared" si="75"/>
        <v>2</v>
      </c>
      <c r="E253" s="2">
        <f t="shared" si="76"/>
        <v>48</v>
      </c>
      <c r="F253" s="1">
        <f t="shared" si="68"/>
        <v>426893.05061456299</v>
      </c>
      <c r="H253" s="1">
        <f t="shared" si="64"/>
        <v>3404.1051337236477</v>
      </c>
      <c r="I253" s="1">
        <v>0</v>
      </c>
      <c r="J253" s="1">
        <v>0</v>
      </c>
      <c r="K253" s="1">
        <f t="shared" si="69"/>
        <v>-430.29715574828663</v>
      </c>
      <c r="L253" s="1">
        <f t="shared" si="65"/>
        <v>429866.85859253834</v>
      </c>
      <c r="N253" s="1">
        <f t="shared" si="70"/>
        <v>230</v>
      </c>
      <c r="O253" s="2">
        <f t="shared" si="77"/>
        <v>19</v>
      </c>
      <c r="P253" s="2">
        <f t="shared" si="78"/>
        <v>2</v>
      </c>
      <c r="Q253" s="2">
        <f t="shared" si="79"/>
        <v>19</v>
      </c>
      <c r="R253" s="1">
        <f t="shared" si="71"/>
        <v>4758368.7563183354</v>
      </c>
      <c r="S253" s="4">
        <f>IF($G$4="mensual",S252,0)</f>
        <v>10000</v>
      </c>
      <c r="U253" s="1">
        <f t="shared" si="80"/>
        <v>38023.642079679601</v>
      </c>
      <c r="V253" s="35">
        <f t="shared" si="82"/>
        <v>-160.54190721071797</v>
      </c>
      <c r="X253" s="35">
        <f t="shared" si="81"/>
        <v>-4806.3923983980148</v>
      </c>
      <c r="Y253" s="1">
        <f t="shared" si="66"/>
        <v>4801425.4640924055</v>
      </c>
      <c r="AA253" s="2">
        <f>+Bono!J253</f>
        <v>244931.06340253225</v>
      </c>
      <c r="AC253" s="10">
        <f t="shared" si="72"/>
        <v>19.166666666666668</v>
      </c>
      <c r="AD253" s="1">
        <f t="shared" si="73"/>
        <v>5476223.3860874763</v>
      </c>
    </row>
    <row r="254" spans="2:30">
      <c r="B254" s="1">
        <f t="shared" si="67"/>
        <v>231</v>
      </c>
      <c r="C254" s="2">
        <f t="shared" si="74"/>
        <v>19</v>
      </c>
      <c r="D254" s="2">
        <f t="shared" si="75"/>
        <v>3</v>
      </c>
      <c r="E254" s="2">
        <f t="shared" si="76"/>
        <v>48</v>
      </c>
      <c r="F254" s="1">
        <f t="shared" si="68"/>
        <v>429866.85859253834</v>
      </c>
      <c r="H254" s="1">
        <f t="shared" si="64"/>
        <v>3427.8186961486176</v>
      </c>
      <c r="I254" s="1">
        <v>0</v>
      </c>
      <c r="J254" s="69">
        <f>-SUM(F254:H254)*$J$21</f>
        <v>-3899.6520955981832</v>
      </c>
      <c r="K254" s="1">
        <f t="shared" si="69"/>
        <v>-429.39502519308883</v>
      </c>
      <c r="L254" s="1">
        <f t="shared" si="65"/>
        <v>428965.6301678957</v>
      </c>
      <c r="N254" s="1">
        <f t="shared" si="70"/>
        <v>231</v>
      </c>
      <c r="O254" s="2">
        <f t="shared" si="77"/>
        <v>19</v>
      </c>
      <c r="P254" s="2">
        <f t="shared" si="78"/>
        <v>3</v>
      </c>
      <c r="Q254" s="2">
        <f t="shared" si="79"/>
        <v>19</v>
      </c>
      <c r="R254" s="1">
        <f t="shared" si="71"/>
        <v>4801425.4640924055</v>
      </c>
      <c r="S254" s="4">
        <f>IF($G$4="mensual",S253,0)</f>
        <v>10000</v>
      </c>
      <c r="U254" s="1">
        <f t="shared" si="80"/>
        <v>38366.982313876309</v>
      </c>
      <c r="V254" s="35">
        <f t="shared" si="82"/>
        <v>-160.54190721071797</v>
      </c>
      <c r="X254" s="35">
        <f t="shared" si="81"/>
        <v>-4849.7924464062817</v>
      </c>
      <c r="Y254" s="1">
        <f t="shared" si="66"/>
        <v>4844782.1120526642</v>
      </c>
      <c r="AA254" s="2">
        <f>+Bono!J254</f>
        <v>244229.39715897309</v>
      </c>
      <c r="AC254" s="10">
        <f t="shared" si="72"/>
        <v>19.25</v>
      </c>
      <c r="AD254" s="1">
        <f t="shared" si="73"/>
        <v>5517977.139379533</v>
      </c>
    </row>
    <row r="255" spans="2:30">
      <c r="B255" s="1">
        <f t="shared" si="67"/>
        <v>232</v>
      </c>
      <c r="C255" s="2">
        <f t="shared" si="74"/>
        <v>19</v>
      </c>
      <c r="D255" s="2">
        <f t="shared" si="75"/>
        <v>4</v>
      </c>
      <c r="E255" s="2">
        <f t="shared" si="76"/>
        <v>48</v>
      </c>
      <c r="F255" s="1">
        <f t="shared" si="68"/>
        <v>428965.6301678957</v>
      </c>
      <c r="H255" s="1">
        <f t="shared" si="64"/>
        <v>3420.6321741319971</v>
      </c>
      <c r="I255" s="1">
        <v>0</v>
      </c>
      <c r="J255" s="1">
        <v>0</v>
      </c>
      <c r="K255" s="1">
        <f t="shared" si="69"/>
        <v>-432.38626234202769</v>
      </c>
      <c r="L255" s="1">
        <f t="shared" si="65"/>
        <v>431953.87607968564</v>
      </c>
      <c r="N255" s="1">
        <f t="shared" si="70"/>
        <v>232</v>
      </c>
      <c r="O255" s="2">
        <f t="shared" si="77"/>
        <v>19</v>
      </c>
      <c r="P255" s="2">
        <f t="shared" si="78"/>
        <v>4</v>
      </c>
      <c r="Q255" s="2">
        <f t="shared" si="79"/>
        <v>19</v>
      </c>
      <c r="R255" s="1">
        <f t="shared" si="71"/>
        <v>4844782.1120526642</v>
      </c>
      <c r="S255" s="4">
        <f>IF($G$4="mensual",S252,IF($G$4="trimestral",S252,0))</f>
        <v>10000</v>
      </c>
      <c r="U255" s="1">
        <f t="shared" si="80"/>
        <v>38712.714313237957</v>
      </c>
      <c r="V255" s="35">
        <f t="shared" si="82"/>
        <v>-160.54190721071797</v>
      </c>
      <c r="X255" s="35">
        <f t="shared" si="81"/>
        <v>-4893.4948263659026</v>
      </c>
      <c r="Y255" s="1">
        <f t="shared" si="66"/>
        <v>4888440.7896323251</v>
      </c>
      <c r="AA255" s="2">
        <f>+Bono!J255</f>
        <v>245743.64775021537</v>
      </c>
      <c r="AC255" s="10">
        <f t="shared" si="72"/>
        <v>19.333333333333332</v>
      </c>
      <c r="AD255" s="1">
        <f t="shared" si="73"/>
        <v>5566138.3134622267</v>
      </c>
    </row>
    <row r="256" spans="2:30">
      <c r="B256" s="1">
        <f t="shared" si="67"/>
        <v>233</v>
      </c>
      <c r="C256" s="2">
        <f t="shared" si="74"/>
        <v>19</v>
      </c>
      <c r="D256" s="2">
        <f t="shared" si="75"/>
        <v>5</v>
      </c>
      <c r="E256" s="2">
        <f t="shared" si="76"/>
        <v>48</v>
      </c>
      <c r="F256" s="1">
        <f t="shared" si="68"/>
        <v>431953.87607968564</v>
      </c>
      <c r="H256" s="1">
        <f t="shared" si="64"/>
        <v>3444.4608666687077</v>
      </c>
      <c r="I256" s="1">
        <v>0</v>
      </c>
      <c r="J256" s="1">
        <v>0</v>
      </c>
      <c r="K256" s="1">
        <f t="shared" si="69"/>
        <v>-435.39833694635439</v>
      </c>
      <c r="L256" s="1">
        <f t="shared" si="65"/>
        <v>434962.93860940798</v>
      </c>
      <c r="N256" s="1">
        <f t="shared" si="70"/>
        <v>233</v>
      </c>
      <c r="O256" s="2">
        <f t="shared" si="77"/>
        <v>19</v>
      </c>
      <c r="P256" s="2">
        <f t="shared" si="78"/>
        <v>5</v>
      </c>
      <c r="Q256" s="2">
        <f t="shared" si="79"/>
        <v>19</v>
      </c>
      <c r="R256" s="1">
        <f t="shared" si="71"/>
        <v>4888440.7896323251</v>
      </c>
      <c r="S256" s="4">
        <f>IF($G$4="mensual",S255,0)</f>
        <v>10000</v>
      </c>
      <c r="U256" s="1">
        <f t="shared" si="80"/>
        <v>39060.854739198403</v>
      </c>
      <c r="V256" s="35">
        <f t="shared" si="82"/>
        <v>-160.54190721071797</v>
      </c>
      <c r="X256" s="35">
        <f t="shared" si="81"/>
        <v>-4937.501644371524</v>
      </c>
      <c r="Y256" s="1">
        <f t="shared" si="66"/>
        <v>4932403.6008199416</v>
      </c>
      <c r="AA256" s="2">
        <f>+Bono!J256</f>
        <v>247267.28687076556</v>
      </c>
      <c r="AC256" s="10">
        <f t="shared" si="72"/>
        <v>19.416666666666668</v>
      </c>
      <c r="AD256" s="1">
        <f t="shared" si="73"/>
        <v>5614633.8263001153</v>
      </c>
    </row>
    <row r="257" spans="2:30">
      <c r="B257" s="1">
        <f t="shared" si="67"/>
        <v>234</v>
      </c>
      <c r="C257" s="2">
        <f t="shared" si="74"/>
        <v>19</v>
      </c>
      <c r="D257" s="2">
        <f t="shared" si="75"/>
        <v>6</v>
      </c>
      <c r="E257" s="2">
        <f t="shared" si="76"/>
        <v>48</v>
      </c>
      <c r="F257" s="1">
        <f t="shared" si="68"/>
        <v>434962.93860940798</v>
      </c>
      <c r="H257" s="1">
        <f t="shared" si="64"/>
        <v>3468.4555538400664</v>
      </c>
      <c r="I257" s="1">
        <v>0</v>
      </c>
      <c r="J257" s="69">
        <f>-SUM(F257:H257)*$J$21</f>
        <v>-3945.882547469233</v>
      </c>
      <c r="K257" s="1">
        <f t="shared" si="69"/>
        <v>-434.48551161577888</v>
      </c>
      <c r="L257" s="1">
        <f t="shared" si="65"/>
        <v>434051.02610416309</v>
      </c>
      <c r="N257" s="1">
        <f t="shared" si="70"/>
        <v>234</v>
      </c>
      <c r="O257" s="2">
        <f t="shared" si="77"/>
        <v>19</v>
      </c>
      <c r="P257" s="2">
        <f t="shared" si="78"/>
        <v>6</v>
      </c>
      <c r="Q257" s="2">
        <f t="shared" si="79"/>
        <v>19</v>
      </c>
      <c r="R257" s="1">
        <f t="shared" si="71"/>
        <v>4932403.6008199416</v>
      </c>
      <c r="S257" s="4">
        <f>IF($G$4="mensual",S256,0)</f>
        <v>10000</v>
      </c>
      <c r="U257" s="1">
        <f t="shared" si="80"/>
        <v>39411.420369257838</v>
      </c>
      <c r="V257" s="35">
        <f t="shared" si="82"/>
        <v>-160.54190721071797</v>
      </c>
      <c r="X257" s="35">
        <f t="shared" si="81"/>
        <v>-4981.8150211891998</v>
      </c>
      <c r="Y257" s="1">
        <f t="shared" si="66"/>
        <v>4976672.6642608</v>
      </c>
      <c r="AA257" s="2">
        <f>+Bono!J257</f>
        <v>246558.9279312196</v>
      </c>
      <c r="AC257" s="10">
        <f t="shared" si="72"/>
        <v>19.5</v>
      </c>
      <c r="AD257" s="1">
        <f t="shared" si="73"/>
        <v>5657282.6182961827</v>
      </c>
    </row>
    <row r="258" spans="2:30">
      <c r="B258" s="1">
        <f t="shared" si="67"/>
        <v>235</v>
      </c>
      <c r="C258" s="2">
        <f t="shared" si="74"/>
        <v>19</v>
      </c>
      <c r="D258" s="2">
        <f t="shared" si="75"/>
        <v>7</v>
      </c>
      <c r="E258" s="2">
        <f t="shared" si="76"/>
        <v>48</v>
      </c>
      <c r="F258" s="1">
        <f t="shared" si="68"/>
        <v>434051.02610416309</v>
      </c>
      <c r="H258" s="1">
        <f t="shared" si="64"/>
        <v>3461.1838354643701</v>
      </c>
      <c r="I258" s="1">
        <v>0</v>
      </c>
      <c r="J258" s="1">
        <v>0</v>
      </c>
      <c r="K258" s="1">
        <f t="shared" si="69"/>
        <v>-437.51220993962744</v>
      </c>
      <c r="L258" s="1">
        <f t="shared" si="65"/>
        <v>437074.69772968779</v>
      </c>
      <c r="N258" s="1">
        <f t="shared" si="70"/>
        <v>235</v>
      </c>
      <c r="O258" s="2">
        <f t="shared" si="77"/>
        <v>19</v>
      </c>
      <c r="P258" s="2">
        <f t="shared" si="78"/>
        <v>7</v>
      </c>
      <c r="Q258" s="2">
        <f t="shared" si="79"/>
        <v>19</v>
      </c>
      <c r="R258" s="1">
        <f t="shared" si="71"/>
        <v>4976672.6642608</v>
      </c>
      <c r="S258" s="1">
        <f>+IF($G$4="mensual",S252,IF($G$4="trimestral",S252,IF($G$4="semestral",S252,0)))</f>
        <v>10000</v>
      </c>
      <c r="U258" s="1">
        <f t="shared" si="80"/>
        <v>39764.428097791293</v>
      </c>
      <c r="V258" s="35">
        <f t="shared" si="82"/>
        <v>-160.54190721071797</v>
      </c>
      <c r="X258" s="35">
        <f t="shared" si="81"/>
        <v>-5026.4370923585911</v>
      </c>
      <c r="Y258" s="1">
        <f t="shared" si="66"/>
        <v>5021250.113359022</v>
      </c>
      <c r="AA258" s="2">
        <f>+Bono!J258</f>
        <v>248087.62188345863</v>
      </c>
      <c r="AC258" s="10">
        <f t="shared" si="72"/>
        <v>19.583333333333332</v>
      </c>
      <c r="AD258" s="1">
        <f t="shared" si="73"/>
        <v>5706412.4329721685</v>
      </c>
    </row>
    <row r="259" spans="2:30">
      <c r="B259" s="1">
        <f t="shared" si="67"/>
        <v>236</v>
      </c>
      <c r="C259" s="2">
        <f t="shared" si="74"/>
        <v>19</v>
      </c>
      <c r="D259" s="2">
        <f t="shared" si="75"/>
        <v>8</v>
      </c>
      <c r="E259" s="2">
        <f t="shared" si="76"/>
        <v>48</v>
      </c>
      <c r="F259" s="1">
        <f t="shared" si="68"/>
        <v>437074.69772968779</v>
      </c>
      <c r="H259" s="1">
        <f t="shared" si="64"/>
        <v>3485.2950176171958</v>
      </c>
      <c r="I259" s="1">
        <v>0</v>
      </c>
      <c r="J259" s="1">
        <v>0</v>
      </c>
      <c r="K259" s="1">
        <f t="shared" si="69"/>
        <v>-440.55999274730499</v>
      </c>
      <c r="L259" s="1">
        <f t="shared" si="65"/>
        <v>440119.43275455764</v>
      </c>
      <c r="N259" s="1">
        <f t="shared" si="70"/>
        <v>236</v>
      </c>
      <c r="O259" s="2">
        <f t="shared" si="77"/>
        <v>19</v>
      </c>
      <c r="P259" s="2">
        <f t="shared" si="78"/>
        <v>8</v>
      </c>
      <c r="Q259" s="2">
        <f t="shared" si="79"/>
        <v>19</v>
      </c>
      <c r="R259" s="1">
        <f t="shared" si="71"/>
        <v>5021250.113359022</v>
      </c>
      <c r="S259" s="4">
        <f>IF($G$4="mensual",S258,0)</f>
        <v>10000</v>
      </c>
      <c r="U259" s="1">
        <f t="shared" si="80"/>
        <v>40119.894936862824</v>
      </c>
      <c r="V259" s="35">
        <f t="shared" si="82"/>
        <v>-160.54190721071797</v>
      </c>
      <c r="X259" s="35">
        <f t="shared" si="81"/>
        <v>-5071.3700082958849</v>
      </c>
      <c r="Y259" s="1">
        <f t="shared" si="66"/>
        <v>5066138.0963803772</v>
      </c>
      <c r="AA259" s="2">
        <f>+Bono!J259</f>
        <v>249625.79391551908</v>
      </c>
      <c r="AC259" s="10">
        <f t="shared" si="72"/>
        <v>19.666666666666668</v>
      </c>
      <c r="AD259" s="1">
        <f t="shared" si="73"/>
        <v>5755883.3230504543</v>
      </c>
    </row>
    <row r="260" spans="2:30">
      <c r="B260" s="1">
        <f t="shared" si="67"/>
        <v>237</v>
      </c>
      <c r="C260" s="2">
        <f t="shared" si="74"/>
        <v>19</v>
      </c>
      <c r="D260" s="2">
        <f t="shared" si="75"/>
        <v>9</v>
      </c>
      <c r="E260" s="2">
        <f t="shared" si="76"/>
        <v>48</v>
      </c>
      <c r="F260" s="1">
        <f t="shared" si="68"/>
        <v>440119.43275455764</v>
      </c>
      <c r="H260" s="1">
        <f t="shared" si="64"/>
        <v>3509.5741622743099</v>
      </c>
      <c r="I260" s="1">
        <v>0</v>
      </c>
      <c r="J260" s="69">
        <f>-SUM(F260:H260)*$J$21</f>
        <v>-3992.6610622514881</v>
      </c>
      <c r="K260" s="1">
        <f t="shared" si="69"/>
        <v>-439.6363458545805</v>
      </c>
      <c r="L260" s="1">
        <f t="shared" si="65"/>
        <v>439196.70950872591</v>
      </c>
      <c r="N260" s="1">
        <f t="shared" si="70"/>
        <v>237</v>
      </c>
      <c r="O260" s="2">
        <f t="shared" si="77"/>
        <v>19</v>
      </c>
      <c r="P260" s="2">
        <f t="shared" si="78"/>
        <v>9</v>
      </c>
      <c r="Q260" s="2">
        <f t="shared" si="79"/>
        <v>19</v>
      </c>
      <c r="R260" s="1">
        <f t="shared" si="71"/>
        <v>5066138.0963803772</v>
      </c>
      <c r="S260" s="4">
        <f>IF($G$4="mensual",S259,0)</f>
        <v>10000</v>
      </c>
      <c r="U260" s="1">
        <f t="shared" si="80"/>
        <v>40477.83801704536</v>
      </c>
      <c r="V260" s="35">
        <f t="shared" si="82"/>
        <v>-160.54190721071797</v>
      </c>
      <c r="X260" s="35">
        <f t="shared" si="81"/>
        <v>-5116.6159343974232</v>
      </c>
      <c r="Y260" s="1">
        <f t="shared" si="66"/>
        <v>5111338.7765558148</v>
      </c>
      <c r="AA260" s="2">
        <f>+Bono!J260</f>
        <v>248910.67844311241</v>
      </c>
      <c r="AC260" s="10">
        <f t="shared" si="72"/>
        <v>19.75</v>
      </c>
      <c r="AD260" s="1">
        <f t="shared" si="73"/>
        <v>5799446.1645076536</v>
      </c>
    </row>
    <row r="261" spans="2:30">
      <c r="B261" s="1">
        <f t="shared" si="67"/>
        <v>238</v>
      </c>
      <c r="C261" s="2">
        <f t="shared" si="74"/>
        <v>19</v>
      </c>
      <c r="D261" s="2">
        <f t="shared" si="75"/>
        <v>10</v>
      </c>
      <c r="E261" s="2">
        <f t="shared" si="76"/>
        <v>48</v>
      </c>
      <c r="F261" s="1">
        <f t="shared" si="68"/>
        <v>439196.70950872591</v>
      </c>
      <c r="H261" s="1">
        <f t="shared" si="64"/>
        <v>3502.2162375350335</v>
      </c>
      <c r="I261" s="1">
        <v>0</v>
      </c>
      <c r="J261" s="1">
        <v>0</v>
      </c>
      <c r="K261" s="1">
        <f t="shared" si="69"/>
        <v>-442.69892574626095</v>
      </c>
      <c r="L261" s="1">
        <f t="shared" si="65"/>
        <v>442256.22682051471</v>
      </c>
      <c r="N261" s="1">
        <f t="shared" si="70"/>
        <v>238</v>
      </c>
      <c r="O261" s="2">
        <f t="shared" si="77"/>
        <v>19</v>
      </c>
      <c r="P261" s="2">
        <f t="shared" si="78"/>
        <v>10</v>
      </c>
      <c r="Q261" s="2">
        <f t="shared" si="79"/>
        <v>19</v>
      </c>
      <c r="R261" s="1">
        <f t="shared" si="71"/>
        <v>5111338.7765558148</v>
      </c>
      <c r="S261" s="4">
        <f>IF($G$4="mensual",S252,IF($G$4="trimestral",S252,0))</f>
        <v>10000</v>
      </c>
      <c r="U261" s="1">
        <f t="shared" si="80"/>
        <v>40838.274588246262</v>
      </c>
      <c r="V261" s="35">
        <f t="shared" si="82"/>
        <v>-160.54190721071797</v>
      </c>
      <c r="X261" s="35">
        <f t="shared" si="81"/>
        <v>-5162.1770511440609</v>
      </c>
      <c r="Y261" s="1">
        <f t="shared" si="66"/>
        <v>5156854.3321857061</v>
      </c>
      <c r="AA261" s="2">
        <f>+Bono!J261</f>
        <v>250453.95352131137</v>
      </c>
      <c r="AC261" s="10">
        <f t="shared" si="72"/>
        <v>19.833333333333332</v>
      </c>
      <c r="AD261" s="1">
        <f t="shared" si="73"/>
        <v>5849564.5125275319</v>
      </c>
    </row>
    <row r="262" spans="2:30">
      <c r="B262" s="1">
        <f t="shared" si="67"/>
        <v>239</v>
      </c>
      <c r="C262" s="2">
        <f t="shared" si="74"/>
        <v>19</v>
      </c>
      <c r="D262" s="2">
        <f t="shared" si="75"/>
        <v>11</v>
      </c>
      <c r="E262" s="2">
        <f t="shared" si="76"/>
        <v>48</v>
      </c>
      <c r="F262" s="1">
        <f t="shared" si="68"/>
        <v>442256.22682051471</v>
      </c>
      <c r="H262" s="1">
        <f t="shared" si="64"/>
        <v>3526.6132582238997</v>
      </c>
      <c r="I262" s="1">
        <v>0</v>
      </c>
      <c r="J262" s="1">
        <v>0</v>
      </c>
      <c r="K262" s="1">
        <f t="shared" si="69"/>
        <v>-445.78284007873862</v>
      </c>
      <c r="L262" s="1">
        <f t="shared" si="65"/>
        <v>445337.05723865988</v>
      </c>
      <c r="N262" s="1">
        <f t="shared" si="70"/>
        <v>239</v>
      </c>
      <c r="O262" s="2">
        <f t="shared" si="77"/>
        <v>19</v>
      </c>
      <c r="P262" s="2">
        <f t="shared" si="78"/>
        <v>11</v>
      </c>
      <c r="Q262" s="2">
        <f t="shared" si="79"/>
        <v>19</v>
      </c>
      <c r="R262" s="1">
        <f t="shared" si="71"/>
        <v>5156854.3321857061</v>
      </c>
      <c r="S262" s="1">
        <f>IF($G$17="si",S250*(1+$G$20),S250)</f>
        <v>10000</v>
      </c>
      <c r="U262" s="1">
        <f t="shared" si="80"/>
        <v>41201.222020538597</v>
      </c>
      <c r="V262" s="35">
        <f t="shared" si="82"/>
        <v>-160.54190721071797</v>
      </c>
      <c r="X262" s="35">
        <f t="shared" si="81"/>
        <v>-5208.0555542062448</v>
      </c>
      <c r="Y262" s="1">
        <f t="shared" si="66"/>
        <v>5202686.9567448273</v>
      </c>
      <c r="AA262" s="2">
        <f>+Bono!J262</f>
        <v>252006.79708400401</v>
      </c>
      <c r="AC262" s="10">
        <f t="shared" si="72"/>
        <v>19.916666666666668</v>
      </c>
      <c r="AD262" s="1">
        <f t="shared" si="73"/>
        <v>5900030.8110674908</v>
      </c>
    </row>
    <row r="263" spans="2:30">
      <c r="B263" s="1">
        <f t="shared" si="67"/>
        <v>240</v>
      </c>
      <c r="C263" s="2">
        <f t="shared" si="74"/>
        <v>19</v>
      </c>
      <c r="D263" s="2">
        <f t="shared" si="75"/>
        <v>12</v>
      </c>
      <c r="E263" s="2">
        <f t="shared" si="76"/>
        <v>48</v>
      </c>
      <c r="F263" s="1">
        <f t="shared" si="68"/>
        <v>445337.05723865988</v>
      </c>
      <c r="H263" s="1">
        <f t="shared" si="64"/>
        <v>3551.1802326158277</v>
      </c>
      <c r="I263" s="1">
        <v>0</v>
      </c>
      <c r="J263" s="69">
        <f>-SUM(F263:H263)*$J$21</f>
        <v>-4039.9941372414819</v>
      </c>
      <c r="K263" s="1">
        <f t="shared" si="69"/>
        <v>-444.84824333403424</v>
      </c>
      <c r="L263" s="1">
        <f t="shared" si="65"/>
        <v>444403.39509070019</v>
      </c>
      <c r="N263" s="1">
        <f t="shared" si="70"/>
        <v>240</v>
      </c>
      <c r="O263" s="2">
        <f t="shared" si="77"/>
        <v>19</v>
      </c>
      <c r="P263" s="2">
        <f t="shared" si="78"/>
        <v>12</v>
      </c>
      <c r="Q263" s="2">
        <f t="shared" si="79"/>
        <v>19</v>
      </c>
      <c r="R263" s="1">
        <f t="shared" si="71"/>
        <v>5202686.9567448273</v>
      </c>
      <c r="S263" s="4">
        <f>IF($G$4="mensual",S262,0)</f>
        <v>10000</v>
      </c>
      <c r="U263" s="1">
        <f t="shared" si="80"/>
        <v>41566.697804998257</v>
      </c>
      <c r="V263" s="35">
        <f t="shared" si="82"/>
        <v>-160.54190721071797</v>
      </c>
      <c r="X263" s="35">
        <f t="shared" si="81"/>
        <v>-5254.253654549826</v>
      </c>
      <c r="Y263" s="1">
        <f t="shared" si="66"/>
        <v>5248838.8589880653</v>
      </c>
      <c r="AA263" s="2">
        <f>+Bono!J263</f>
        <v>251284.86063296793</v>
      </c>
      <c r="AC263" s="10">
        <f t="shared" si="72"/>
        <v>20</v>
      </c>
      <c r="AD263" s="1">
        <f t="shared" si="73"/>
        <v>5944527.1147117335</v>
      </c>
    </row>
    <row r="264" spans="2:30">
      <c r="B264" s="1">
        <f t="shared" si="67"/>
        <v>241</v>
      </c>
      <c r="C264" s="2">
        <f t="shared" si="74"/>
        <v>20</v>
      </c>
      <c r="D264" s="2">
        <f t="shared" si="75"/>
        <v>1</v>
      </c>
      <c r="E264" s="2">
        <f t="shared" si="76"/>
        <v>49</v>
      </c>
      <c r="F264" s="1">
        <f t="shared" si="68"/>
        <v>444403.39509070019</v>
      </c>
      <c r="H264" s="1">
        <f t="shared" si="64"/>
        <v>3543.7350795348448</v>
      </c>
      <c r="I264" s="1">
        <v>0</v>
      </c>
      <c r="J264" s="1">
        <v>0</v>
      </c>
      <c r="K264" s="1">
        <f t="shared" si="69"/>
        <v>-447.94713017023503</v>
      </c>
      <c r="L264" s="1">
        <f t="shared" si="65"/>
        <v>447499.18304006476</v>
      </c>
      <c r="N264" s="1">
        <f t="shared" si="70"/>
        <v>241</v>
      </c>
      <c r="O264" s="2">
        <f t="shared" si="77"/>
        <v>20</v>
      </c>
      <c r="P264" s="2">
        <f t="shared" si="78"/>
        <v>1</v>
      </c>
      <c r="Q264" s="2">
        <f t="shared" si="79"/>
        <v>20</v>
      </c>
      <c r="R264" s="1">
        <f t="shared" si="71"/>
        <v>5248838.8589880653</v>
      </c>
      <c r="S264" s="1">
        <f>IF($G$17="si",S252*(1+$G$20),S252)</f>
        <v>10000</v>
      </c>
      <c r="U264" s="1">
        <f t="shared" si="80"/>
        <v>41934.719554546871</v>
      </c>
      <c r="V264" s="35">
        <f>(V263*(1+$G$18))</f>
        <v>-166.96358349914669</v>
      </c>
      <c r="X264" s="35">
        <f t="shared" si="81"/>
        <v>-5300.773578542613</v>
      </c>
      <c r="Y264" s="1">
        <f t="shared" si="66"/>
        <v>5295305.841380571</v>
      </c>
      <c r="AA264" s="2">
        <f>+Bono!J264</f>
        <v>252842.8559161321</v>
      </c>
      <c r="AC264" s="10">
        <f t="shared" si="72"/>
        <v>20.083333333333332</v>
      </c>
      <c r="AD264" s="1">
        <f t="shared" si="73"/>
        <v>5995647.880336768</v>
      </c>
    </row>
    <row r="265" spans="2:30">
      <c r="B265" s="1">
        <f t="shared" si="67"/>
        <v>242</v>
      </c>
      <c r="C265" s="2">
        <f t="shared" si="74"/>
        <v>20</v>
      </c>
      <c r="D265" s="2">
        <f t="shared" si="75"/>
        <v>2</v>
      </c>
      <c r="E265" s="2">
        <f t="shared" si="76"/>
        <v>49</v>
      </c>
      <c r="F265" s="1">
        <f t="shared" si="68"/>
        <v>447499.18304006476</v>
      </c>
      <c r="H265" s="1">
        <f t="shared" si="64"/>
        <v>3568.4213273811861</v>
      </c>
      <c r="I265" s="1">
        <v>0</v>
      </c>
      <c r="J265" s="1">
        <v>0</v>
      </c>
      <c r="K265" s="1">
        <f t="shared" si="69"/>
        <v>-451.06760436744594</v>
      </c>
      <c r="L265" s="1">
        <f t="shared" si="65"/>
        <v>450616.53676307847</v>
      </c>
      <c r="N265" s="1">
        <f t="shared" si="70"/>
        <v>242</v>
      </c>
      <c r="O265" s="2">
        <f t="shared" si="77"/>
        <v>20</v>
      </c>
      <c r="P265" s="2">
        <f t="shared" si="78"/>
        <v>2</v>
      </c>
      <c r="Q265" s="2">
        <f t="shared" si="79"/>
        <v>20</v>
      </c>
      <c r="R265" s="1">
        <f t="shared" si="71"/>
        <v>5295305.841380571</v>
      </c>
      <c r="S265" s="4">
        <f>IF($G$4="mensual",S264,0)</f>
        <v>10000</v>
      </c>
      <c r="U265" s="1">
        <f t="shared" si="80"/>
        <v>42305.253797452111</v>
      </c>
      <c r="V265" s="35">
        <f t="shared" si="82"/>
        <v>-166.96358349914669</v>
      </c>
      <c r="X265" s="35">
        <f t="shared" si="81"/>
        <v>-5347.6110951780229</v>
      </c>
      <c r="Y265" s="1">
        <f t="shared" si="66"/>
        <v>5342096.5204993458</v>
      </c>
      <c r="AA265" s="2">
        <f>+Bono!J265</f>
        <v>254410.51095076813</v>
      </c>
      <c r="AC265" s="10">
        <f t="shared" si="72"/>
        <v>20.166666666666668</v>
      </c>
      <c r="AD265" s="1">
        <f t="shared" si="73"/>
        <v>6047123.5682131927</v>
      </c>
    </row>
    <row r="266" spans="2:30">
      <c r="B266" s="1">
        <f t="shared" si="67"/>
        <v>243</v>
      </c>
      <c r="C266" s="2">
        <f t="shared" si="74"/>
        <v>20</v>
      </c>
      <c r="D266" s="2">
        <f t="shared" si="75"/>
        <v>3</v>
      </c>
      <c r="E266" s="2">
        <f t="shared" si="76"/>
        <v>49</v>
      </c>
      <c r="F266" s="1">
        <f t="shared" si="68"/>
        <v>450616.53676307847</v>
      </c>
      <c r="H266" s="1">
        <f t="shared" si="64"/>
        <v>3593.2795437350633</v>
      </c>
      <c r="I266" s="1">
        <v>0</v>
      </c>
      <c r="J266" s="69">
        <f>-SUM(F266:H266)*$J$21</f>
        <v>-4087.8883467613227</v>
      </c>
      <c r="K266" s="1">
        <f t="shared" si="69"/>
        <v>-450.12192796005223</v>
      </c>
      <c r="L266" s="1">
        <f t="shared" si="65"/>
        <v>449671.80603209214</v>
      </c>
      <c r="N266" s="1">
        <f t="shared" si="70"/>
        <v>243</v>
      </c>
      <c r="O266" s="2">
        <f t="shared" si="77"/>
        <v>20</v>
      </c>
      <c r="P266" s="2">
        <f t="shared" si="78"/>
        <v>3</v>
      </c>
      <c r="Q266" s="2">
        <f t="shared" si="79"/>
        <v>20</v>
      </c>
      <c r="R266" s="1">
        <f t="shared" si="71"/>
        <v>5342096.5204993458</v>
      </c>
      <c r="S266" s="4">
        <f>IF($G$4="mensual",S265,0)</f>
        <v>10000</v>
      </c>
      <c r="U266" s="1">
        <f t="shared" si="80"/>
        <v>42678.369243508998</v>
      </c>
      <c r="V266" s="35">
        <f t="shared" si="82"/>
        <v>-166.96358349914669</v>
      </c>
      <c r="X266" s="35">
        <f t="shared" si="81"/>
        <v>-5394.7748897428555</v>
      </c>
      <c r="Y266" s="1">
        <f t="shared" si="66"/>
        <v>5389213.1512696128</v>
      </c>
      <c r="AA266" s="2">
        <f>+Bono!J266</f>
        <v>253681.6884606317</v>
      </c>
      <c r="AC266" s="10">
        <f t="shared" si="72"/>
        <v>20.25</v>
      </c>
      <c r="AD266" s="1">
        <f t="shared" si="73"/>
        <v>6092566.6457623364</v>
      </c>
    </row>
    <row r="267" spans="2:30">
      <c r="B267" s="1">
        <f t="shared" si="67"/>
        <v>244</v>
      </c>
      <c r="C267" s="2">
        <f t="shared" si="74"/>
        <v>20</v>
      </c>
      <c r="D267" s="2">
        <f t="shared" si="75"/>
        <v>4</v>
      </c>
      <c r="E267" s="2">
        <f t="shared" si="76"/>
        <v>49</v>
      </c>
      <c r="F267" s="1">
        <f t="shared" si="68"/>
        <v>449671.80603209214</v>
      </c>
      <c r="H267" s="1">
        <f t="shared" si="64"/>
        <v>3585.7461282186773</v>
      </c>
      <c r="I267" s="1">
        <v>0</v>
      </c>
      <c r="J267" s="1">
        <v>0</v>
      </c>
      <c r="K267" s="1">
        <f t="shared" si="69"/>
        <v>-453.25755216031081</v>
      </c>
      <c r="L267" s="1">
        <f t="shared" si="65"/>
        <v>452804.29460815049</v>
      </c>
      <c r="N267" s="1">
        <f t="shared" si="70"/>
        <v>244</v>
      </c>
      <c r="O267" s="2">
        <f t="shared" si="77"/>
        <v>20</v>
      </c>
      <c r="P267" s="2">
        <f t="shared" si="78"/>
        <v>4</v>
      </c>
      <c r="Q267" s="2">
        <f t="shared" si="79"/>
        <v>20</v>
      </c>
      <c r="R267" s="1">
        <f t="shared" si="71"/>
        <v>5389213.1512696128</v>
      </c>
      <c r="S267" s="4">
        <f>IF($G$4="mensual",S264,IF($G$4="trimestral",S264,0))</f>
        <v>10000</v>
      </c>
      <c r="U267" s="1">
        <f t="shared" si="80"/>
        <v>43054.083873807918</v>
      </c>
      <c r="V267" s="35">
        <f t="shared" si="82"/>
        <v>-166.96358349914669</v>
      </c>
      <c r="X267" s="35">
        <f t="shared" si="81"/>
        <v>-5442.2672351434212</v>
      </c>
      <c r="Y267" s="1">
        <f t="shared" si="66"/>
        <v>5436658.0043247789</v>
      </c>
      <c r="AA267" s="2">
        <f>+Bono!J267</f>
        <v>255254.54435434219</v>
      </c>
      <c r="AC267" s="10">
        <f t="shared" si="72"/>
        <v>20.333333333333332</v>
      </c>
      <c r="AD267" s="1">
        <f t="shared" si="73"/>
        <v>6144716.8432872714</v>
      </c>
    </row>
    <row r="268" spans="2:30">
      <c r="B268" s="1">
        <f t="shared" si="67"/>
        <v>245</v>
      </c>
      <c r="C268" s="2">
        <f t="shared" si="74"/>
        <v>20</v>
      </c>
      <c r="D268" s="2">
        <f t="shared" si="75"/>
        <v>5</v>
      </c>
      <c r="E268" s="2">
        <f t="shared" si="76"/>
        <v>49</v>
      </c>
      <c r="F268" s="1">
        <f t="shared" si="68"/>
        <v>452804.29460815049</v>
      </c>
      <c r="H268" s="1">
        <f t="shared" si="64"/>
        <v>3610.7250320161038</v>
      </c>
      <c r="I268" s="1">
        <v>0</v>
      </c>
      <c r="J268" s="1">
        <v>0</v>
      </c>
      <c r="K268" s="1">
        <f t="shared" si="69"/>
        <v>-456.41501964016663</v>
      </c>
      <c r="L268" s="1">
        <f t="shared" si="65"/>
        <v>455958.60462052643</v>
      </c>
      <c r="N268" s="1">
        <f t="shared" si="70"/>
        <v>245</v>
      </c>
      <c r="O268" s="2">
        <f t="shared" si="77"/>
        <v>20</v>
      </c>
      <c r="P268" s="2">
        <f t="shared" si="78"/>
        <v>5</v>
      </c>
      <c r="Q268" s="2">
        <f t="shared" si="79"/>
        <v>20</v>
      </c>
      <c r="R268" s="1">
        <f t="shared" si="71"/>
        <v>5436658.0043247789</v>
      </c>
      <c r="S268" s="4">
        <f>IF($G$4="mensual",S267,0)</f>
        <v>10000</v>
      </c>
      <c r="U268" s="1">
        <f t="shared" si="80"/>
        <v>43432.415794698514</v>
      </c>
      <c r="V268" s="35">
        <f t="shared" si="82"/>
        <v>-166.96358349914669</v>
      </c>
      <c r="X268" s="35">
        <f t="shared" si="81"/>
        <v>-5490.0904201194771</v>
      </c>
      <c r="Y268" s="1">
        <f t="shared" si="66"/>
        <v>5484433.3661158588</v>
      </c>
      <c r="AA268" s="2">
        <f>+Bono!J268</f>
        <v>256837.15213703367</v>
      </c>
      <c r="AC268" s="10">
        <f t="shared" si="72"/>
        <v>20.416666666666668</v>
      </c>
      <c r="AD268" s="1">
        <f t="shared" si="73"/>
        <v>6197229.122873419</v>
      </c>
    </row>
    <row r="269" spans="2:30">
      <c r="B269" s="1">
        <f t="shared" si="67"/>
        <v>246</v>
      </c>
      <c r="C269" s="2">
        <f t="shared" si="74"/>
        <v>20</v>
      </c>
      <c r="D269" s="2">
        <f t="shared" si="75"/>
        <v>6</v>
      </c>
      <c r="E269" s="2">
        <f t="shared" si="76"/>
        <v>49</v>
      </c>
      <c r="F269" s="1">
        <f t="shared" si="68"/>
        <v>455958.60462052643</v>
      </c>
      <c r="H269" s="1">
        <f t="shared" si="64"/>
        <v>3635.8779430110867</v>
      </c>
      <c r="I269" s="1">
        <v>0</v>
      </c>
      <c r="J269" s="69">
        <f>-SUM(F269:H269)*$J$21</f>
        <v>-4136.3503430718383</v>
      </c>
      <c r="K269" s="1">
        <f t="shared" si="69"/>
        <v>-455.45813222046564</v>
      </c>
      <c r="L269" s="1">
        <f t="shared" si="65"/>
        <v>455002.67408824514</v>
      </c>
      <c r="N269" s="1">
        <f t="shared" si="70"/>
        <v>246</v>
      </c>
      <c r="O269" s="2">
        <f t="shared" si="77"/>
        <v>20</v>
      </c>
      <c r="P269" s="2">
        <f t="shared" si="78"/>
        <v>6</v>
      </c>
      <c r="Q269" s="2">
        <f t="shared" si="79"/>
        <v>20</v>
      </c>
      <c r="R269" s="1">
        <f t="shared" si="71"/>
        <v>5484433.3661158588</v>
      </c>
      <c r="S269" s="4">
        <f>IF($G$4="mensual",S268,0)</f>
        <v>10000</v>
      </c>
      <c r="U269" s="1">
        <f t="shared" si="80"/>
        <v>43813.383238662267</v>
      </c>
      <c r="V269" s="35">
        <f t="shared" si="82"/>
        <v>-166.96358349914669</v>
      </c>
      <c r="X269" s="35">
        <f t="shared" si="81"/>
        <v>-5538.2467493545209</v>
      </c>
      <c r="Y269" s="1">
        <f t="shared" si="66"/>
        <v>5532541.5390216671</v>
      </c>
      <c r="AA269" s="2">
        <f>+Bono!J269</f>
        <v>256101.37792676027</v>
      </c>
      <c r="AC269" s="10">
        <f t="shared" si="72"/>
        <v>20.5</v>
      </c>
      <c r="AD269" s="1">
        <f t="shared" si="73"/>
        <v>6243645.5910366727</v>
      </c>
    </row>
    <row r="270" spans="2:30">
      <c r="B270" s="1">
        <f t="shared" si="67"/>
        <v>247</v>
      </c>
      <c r="C270" s="2">
        <f t="shared" si="74"/>
        <v>20</v>
      </c>
      <c r="D270" s="2">
        <f t="shared" si="75"/>
        <v>7</v>
      </c>
      <c r="E270" s="2">
        <f t="shared" si="76"/>
        <v>49</v>
      </c>
      <c r="F270" s="1">
        <f t="shared" si="68"/>
        <v>455002.67408824514</v>
      </c>
      <c r="H270" s="1">
        <f t="shared" si="64"/>
        <v>3628.2552187063989</v>
      </c>
      <c r="I270" s="1">
        <v>0</v>
      </c>
      <c r="J270" s="1">
        <v>0</v>
      </c>
      <c r="K270" s="1">
        <f t="shared" si="69"/>
        <v>-458.63092930695154</v>
      </c>
      <c r="L270" s="1">
        <f t="shared" si="65"/>
        <v>458172.29837764456</v>
      </c>
      <c r="N270" s="1">
        <f t="shared" si="70"/>
        <v>247</v>
      </c>
      <c r="O270" s="2">
        <f t="shared" si="77"/>
        <v>20</v>
      </c>
      <c r="P270" s="2">
        <f t="shared" si="78"/>
        <v>7</v>
      </c>
      <c r="Q270" s="2">
        <f t="shared" si="79"/>
        <v>20</v>
      </c>
      <c r="R270" s="1">
        <f t="shared" si="71"/>
        <v>5532541.5390216671</v>
      </c>
      <c r="S270" s="1">
        <f>+IF($G$4="mensual",S264,IF($G$4="trimestral",S264,IF($G$4="semestral",S264,0)))</f>
        <v>10000</v>
      </c>
      <c r="U270" s="1">
        <f t="shared" si="80"/>
        <v>44197.004565191164</v>
      </c>
      <c r="V270" s="35">
        <f t="shared" si="82"/>
        <v>-166.96358349914669</v>
      </c>
      <c r="X270" s="35">
        <f t="shared" si="81"/>
        <v>-5586.7385435868582</v>
      </c>
      <c r="Y270" s="1">
        <f t="shared" si="66"/>
        <v>5580984.8414597725</v>
      </c>
      <c r="AA270" s="2">
        <f>+Bono!J270</f>
        <v>257689.23617582736</v>
      </c>
      <c r="AC270" s="10">
        <f t="shared" si="72"/>
        <v>20.583333333333332</v>
      </c>
      <c r="AD270" s="1">
        <f t="shared" si="73"/>
        <v>6296846.3760132445</v>
      </c>
    </row>
    <row r="271" spans="2:30">
      <c r="B271" s="1">
        <f t="shared" si="67"/>
        <v>248</v>
      </c>
      <c r="C271" s="2">
        <f t="shared" si="74"/>
        <v>20</v>
      </c>
      <c r="D271" s="2">
        <f t="shared" si="75"/>
        <v>8</v>
      </c>
      <c r="E271" s="2">
        <f t="shared" si="76"/>
        <v>49</v>
      </c>
      <c r="F271" s="1">
        <f t="shared" si="68"/>
        <v>458172.29837764456</v>
      </c>
      <c r="H271" s="1">
        <f t="shared" si="64"/>
        <v>3653.5302478969343</v>
      </c>
      <c r="I271" s="1">
        <v>0</v>
      </c>
      <c r="J271" s="1">
        <v>0</v>
      </c>
      <c r="K271" s="1">
        <f t="shared" si="69"/>
        <v>-461.82582862554148</v>
      </c>
      <c r="L271" s="1">
        <f t="shared" si="65"/>
        <v>461364.00279691594</v>
      </c>
      <c r="N271" s="1">
        <f t="shared" si="70"/>
        <v>248</v>
      </c>
      <c r="O271" s="2">
        <f t="shared" si="77"/>
        <v>20</v>
      </c>
      <c r="P271" s="2">
        <f t="shared" si="78"/>
        <v>8</v>
      </c>
      <c r="Q271" s="2">
        <f t="shared" si="79"/>
        <v>20</v>
      </c>
      <c r="R271" s="1">
        <f t="shared" si="71"/>
        <v>5580984.8414597725</v>
      </c>
      <c r="S271" s="4">
        <f>IF($G$4="mensual",S270,0)</f>
        <v>10000</v>
      </c>
      <c r="U271" s="1">
        <f t="shared" si="80"/>
        <v>44583.298261672477</v>
      </c>
      <c r="V271" s="35">
        <f t="shared" si="82"/>
        <v>-166.96358349914669</v>
      </c>
      <c r="X271" s="35">
        <f t="shared" si="81"/>
        <v>-5635.5681397214448</v>
      </c>
      <c r="Y271" s="1">
        <f t="shared" si="66"/>
        <v>5629765.607998224</v>
      </c>
      <c r="AA271" s="2">
        <f>+Bono!J271</f>
        <v>259286.93933021883</v>
      </c>
      <c r="AC271" s="10">
        <f t="shared" si="72"/>
        <v>20.666666666666668</v>
      </c>
      <c r="AD271" s="1">
        <f t="shared" si="73"/>
        <v>6350416.5501253586</v>
      </c>
    </row>
    <row r="272" spans="2:30">
      <c r="B272" s="1">
        <f t="shared" si="67"/>
        <v>249</v>
      </c>
      <c r="C272" s="2">
        <f t="shared" si="74"/>
        <v>20</v>
      </c>
      <c r="D272" s="2">
        <f t="shared" si="75"/>
        <v>9</v>
      </c>
      <c r="E272" s="2">
        <f t="shared" si="76"/>
        <v>49</v>
      </c>
      <c r="F272" s="1">
        <f t="shared" si="68"/>
        <v>461364.00279691594</v>
      </c>
      <c r="H272" s="1">
        <f t="shared" si="64"/>
        <v>3678.9813471437569</v>
      </c>
      <c r="I272" s="1">
        <v>0</v>
      </c>
      <c r="J272" s="69">
        <f>-SUM(F272:H272)*$J$21</f>
        <v>-4185.3868572965375</v>
      </c>
      <c r="K272" s="1">
        <f t="shared" si="69"/>
        <v>-460.85759728676322</v>
      </c>
      <c r="L272" s="1">
        <f t="shared" si="65"/>
        <v>460396.73968947644</v>
      </c>
      <c r="N272" s="1">
        <f t="shared" si="70"/>
        <v>249</v>
      </c>
      <c r="O272" s="2">
        <f t="shared" si="77"/>
        <v>20</v>
      </c>
      <c r="P272" s="2">
        <f t="shared" si="78"/>
        <v>9</v>
      </c>
      <c r="Q272" s="2">
        <f t="shared" si="79"/>
        <v>20</v>
      </c>
      <c r="R272" s="1">
        <f t="shared" si="71"/>
        <v>5629765.607998224</v>
      </c>
      <c r="S272" s="4">
        <f>IF($G$4="mensual",S271,0)</f>
        <v>10000</v>
      </c>
      <c r="U272" s="1">
        <f t="shared" si="80"/>
        <v>44972.282944279657</v>
      </c>
      <c r="V272" s="35">
        <f t="shared" si="82"/>
        <v>-166.96358349914669</v>
      </c>
      <c r="X272" s="35">
        <f t="shared" si="81"/>
        <v>-5684.7378909425042</v>
      </c>
      <c r="Y272" s="1">
        <f t="shared" si="66"/>
        <v>5678886.1894680616</v>
      </c>
      <c r="AA272" s="2">
        <f>+Bono!J272</f>
        <v>258544.14709228702</v>
      </c>
      <c r="AC272" s="10">
        <f t="shared" si="72"/>
        <v>20.75</v>
      </c>
      <c r="AD272" s="1">
        <f t="shared" si="73"/>
        <v>6397827.0762498258</v>
      </c>
    </row>
    <row r="273" spans="2:30">
      <c r="B273" s="1">
        <f t="shared" si="67"/>
        <v>250</v>
      </c>
      <c r="C273" s="2">
        <f t="shared" si="74"/>
        <v>20</v>
      </c>
      <c r="D273" s="2">
        <f t="shared" si="75"/>
        <v>10</v>
      </c>
      <c r="E273" s="2">
        <f t="shared" si="76"/>
        <v>49</v>
      </c>
      <c r="F273" s="1">
        <f t="shared" si="68"/>
        <v>460396.73968947644</v>
      </c>
      <c r="H273" s="1">
        <f t="shared" si="64"/>
        <v>3671.2682552933366</v>
      </c>
      <c r="I273" s="1">
        <v>0</v>
      </c>
      <c r="J273" s="1">
        <v>0</v>
      </c>
      <c r="K273" s="1">
        <f t="shared" si="69"/>
        <v>-464.06800794476976</v>
      </c>
      <c r="L273" s="1">
        <f t="shared" si="65"/>
        <v>463603.93993682496</v>
      </c>
      <c r="N273" s="1">
        <f t="shared" si="70"/>
        <v>250</v>
      </c>
      <c r="O273" s="2">
        <f t="shared" si="77"/>
        <v>20</v>
      </c>
      <c r="P273" s="2">
        <f t="shared" si="78"/>
        <v>10</v>
      </c>
      <c r="Q273" s="2">
        <f t="shared" si="79"/>
        <v>20</v>
      </c>
      <c r="R273" s="1">
        <f t="shared" si="71"/>
        <v>5678886.1894680616</v>
      </c>
      <c r="S273" s="4">
        <f>IF($G$4="mensual",S264,IF($G$4="trimestral",S264,0))</f>
        <v>10000</v>
      </c>
      <c r="U273" s="1">
        <f t="shared" si="80"/>
        <v>45363.977358869546</v>
      </c>
      <c r="V273" s="35">
        <f t="shared" si="82"/>
        <v>-166.96358349914669</v>
      </c>
      <c r="X273" s="35">
        <f t="shared" si="81"/>
        <v>-5734.2501668269306</v>
      </c>
      <c r="Y273" s="1">
        <f t="shared" si="66"/>
        <v>5728348.9530766048</v>
      </c>
      <c r="AA273" s="2">
        <f>+Bono!J273</f>
        <v>260147.15079352408</v>
      </c>
      <c r="AC273" s="10">
        <f t="shared" si="72"/>
        <v>20.833333333333332</v>
      </c>
      <c r="AD273" s="1">
        <f t="shared" si="73"/>
        <v>6452100.0438069543</v>
      </c>
    </row>
    <row r="274" spans="2:30">
      <c r="B274" s="1">
        <f t="shared" si="67"/>
        <v>251</v>
      </c>
      <c r="C274" s="2">
        <f t="shared" si="74"/>
        <v>20</v>
      </c>
      <c r="D274" s="2">
        <f t="shared" si="75"/>
        <v>11</v>
      </c>
      <c r="E274" s="2">
        <f t="shared" si="76"/>
        <v>49</v>
      </c>
      <c r="F274" s="1">
        <f t="shared" si="68"/>
        <v>463603.93993682496</v>
      </c>
      <c r="H274" s="1">
        <f t="shared" si="64"/>
        <v>3696.8429204493082</v>
      </c>
      <c r="I274" s="1">
        <v>0</v>
      </c>
      <c r="J274" s="1">
        <v>0</v>
      </c>
      <c r="K274" s="1">
        <f t="shared" si="69"/>
        <v>-467.30078285727427</v>
      </c>
      <c r="L274" s="1">
        <f t="shared" si="65"/>
        <v>466833.482074417</v>
      </c>
      <c r="N274" s="1">
        <f t="shared" si="70"/>
        <v>251</v>
      </c>
      <c r="O274" s="2">
        <f t="shared" si="77"/>
        <v>20</v>
      </c>
      <c r="P274" s="2">
        <f t="shared" si="78"/>
        <v>11</v>
      </c>
      <c r="Q274" s="2">
        <f t="shared" si="79"/>
        <v>20</v>
      </c>
      <c r="R274" s="1">
        <f t="shared" si="71"/>
        <v>5728348.9530766048</v>
      </c>
      <c r="S274" s="1">
        <f>IF($G$17="si",S262*(1+$G$20),S262)</f>
        <v>10000</v>
      </c>
      <c r="U274" s="1">
        <f t="shared" si="80"/>
        <v>45758.400381885745</v>
      </c>
      <c r="V274" s="35">
        <f t="shared" si="82"/>
        <v>-166.96358349914669</v>
      </c>
      <c r="X274" s="35">
        <f t="shared" si="81"/>
        <v>-5784.1073534584903</v>
      </c>
      <c r="Y274" s="1">
        <f t="shared" si="66"/>
        <v>5778156.2825215328</v>
      </c>
      <c r="AA274" s="2">
        <f>+Bono!J274</f>
        <v>261760.09330364573</v>
      </c>
      <c r="AC274" s="10">
        <f t="shared" si="72"/>
        <v>20.916666666666668</v>
      </c>
      <c r="AD274" s="1">
        <f t="shared" si="73"/>
        <v>6506749.857899596</v>
      </c>
    </row>
    <row r="275" spans="2:30">
      <c r="B275" s="1">
        <f t="shared" si="67"/>
        <v>252</v>
      </c>
      <c r="C275" s="2">
        <f t="shared" si="74"/>
        <v>20</v>
      </c>
      <c r="D275" s="2">
        <f t="shared" si="75"/>
        <v>12</v>
      </c>
      <c r="E275" s="2">
        <f t="shared" si="76"/>
        <v>49</v>
      </c>
      <c r="F275" s="1">
        <f t="shared" si="68"/>
        <v>466833.482074417</v>
      </c>
      <c r="H275" s="1">
        <f t="shared" si="64"/>
        <v>3722.5957429755294</v>
      </c>
      <c r="I275" s="1">
        <v>0</v>
      </c>
      <c r="J275" s="69">
        <f>-SUM(F275:H275)*$J$21</f>
        <v>-4235.0047003565332</v>
      </c>
      <c r="K275" s="1">
        <f t="shared" si="69"/>
        <v>-466.32107311703601</v>
      </c>
      <c r="L275" s="1">
        <f t="shared" si="65"/>
        <v>465854.752043919</v>
      </c>
      <c r="N275" s="1">
        <f t="shared" si="70"/>
        <v>252</v>
      </c>
      <c r="O275" s="2">
        <f t="shared" si="77"/>
        <v>20</v>
      </c>
      <c r="P275" s="2">
        <f t="shared" si="78"/>
        <v>12</v>
      </c>
      <c r="Q275" s="2">
        <f t="shared" si="79"/>
        <v>20</v>
      </c>
      <c r="R275" s="1">
        <f t="shared" si="71"/>
        <v>5778156.2825215328</v>
      </c>
      <c r="S275" s="4">
        <f>IF($G$4="mensual",S274,0)</f>
        <v>10000</v>
      </c>
      <c r="U275" s="1">
        <f t="shared" si="80"/>
        <v>46155.571021268275</v>
      </c>
      <c r="V275" s="35">
        <f t="shared" si="82"/>
        <v>-166.96358349914669</v>
      </c>
      <c r="X275" s="35">
        <f t="shared" si="81"/>
        <v>-5834.3118535428011</v>
      </c>
      <c r="Y275" s="1">
        <f t="shared" si="66"/>
        <v>5828310.5781057589</v>
      </c>
      <c r="AA275" s="2">
        <f>+Bono!J275</f>
        <v>261010.21609807372</v>
      </c>
      <c r="AC275" s="10">
        <f t="shared" si="72"/>
        <v>21</v>
      </c>
      <c r="AD275" s="1">
        <f t="shared" si="73"/>
        <v>6555175.5462477515</v>
      </c>
    </row>
    <row r="276" spans="2:30">
      <c r="B276" s="1">
        <f t="shared" si="67"/>
        <v>253</v>
      </c>
      <c r="C276" s="2">
        <f t="shared" si="74"/>
        <v>21</v>
      </c>
      <c r="D276" s="2">
        <f t="shared" si="75"/>
        <v>1</v>
      </c>
      <c r="E276" s="2">
        <f t="shared" si="76"/>
        <v>50</v>
      </c>
      <c r="F276" s="1">
        <f t="shared" si="68"/>
        <v>465854.752043919</v>
      </c>
      <c r="H276" s="1">
        <f t="shared" si="64"/>
        <v>3714.7912122703528</v>
      </c>
      <c r="I276" s="1">
        <v>0</v>
      </c>
      <c r="J276" s="1">
        <v>0</v>
      </c>
      <c r="K276" s="1">
        <f t="shared" si="69"/>
        <v>-469.56954325618932</v>
      </c>
      <c r="L276" s="1">
        <f t="shared" si="65"/>
        <v>469099.97371293313</v>
      </c>
      <c r="N276" s="1">
        <f t="shared" si="70"/>
        <v>253</v>
      </c>
      <c r="O276" s="2">
        <f t="shared" si="77"/>
        <v>21</v>
      </c>
      <c r="P276" s="2">
        <f t="shared" si="78"/>
        <v>1</v>
      </c>
      <c r="Q276" s="2">
        <f t="shared" si="79"/>
        <v>21</v>
      </c>
      <c r="R276" s="1">
        <f t="shared" si="71"/>
        <v>5828310.5781057589</v>
      </c>
      <c r="S276" s="1">
        <f>IF($G$17="si",S264*(1+$G$20),S264)</f>
        <v>10000</v>
      </c>
      <c r="U276" s="1">
        <f t="shared" si="80"/>
        <v>46555.508417369638</v>
      </c>
      <c r="V276" s="35">
        <f>(V275*(1+$G$18))</f>
        <v>-173.64212683911256</v>
      </c>
      <c r="X276" s="35">
        <f t="shared" si="81"/>
        <v>-5884.8660865231286</v>
      </c>
      <c r="Y276" s="1">
        <f t="shared" si="66"/>
        <v>5878807.5783097669</v>
      </c>
      <c r="AA276" s="2">
        <f>+Bono!J276</f>
        <v>262628.50971319294</v>
      </c>
      <c r="AC276" s="10">
        <f t="shared" si="72"/>
        <v>21.083333333333332</v>
      </c>
      <c r="AD276" s="1">
        <f t="shared" si="73"/>
        <v>6610536.0617358936</v>
      </c>
    </row>
    <row r="277" spans="2:30">
      <c r="B277" s="1">
        <f t="shared" si="67"/>
        <v>254</v>
      </c>
      <c r="C277" s="2">
        <f t="shared" si="74"/>
        <v>21</v>
      </c>
      <c r="D277" s="2">
        <f t="shared" si="75"/>
        <v>2</v>
      </c>
      <c r="E277" s="2">
        <f t="shared" si="76"/>
        <v>50</v>
      </c>
      <c r="F277" s="1">
        <f t="shared" si="68"/>
        <v>469099.97371293313</v>
      </c>
      <c r="H277" s="1">
        <f t="shared" si="64"/>
        <v>3740.669065581993</v>
      </c>
      <c r="I277" s="1">
        <v>0</v>
      </c>
      <c r="J277" s="1">
        <v>0</v>
      </c>
      <c r="K277" s="1">
        <f t="shared" si="69"/>
        <v>-472.84064277851513</v>
      </c>
      <c r="L277" s="1">
        <f t="shared" si="65"/>
        <v>472367.80213573662</v>
      </c>
      <c r="N277" s="1">
        <f t="shared" si="70"/>
        <v>254</v>
      </c>
      <c r="O277" s="2">
        <f t="shared" si="77"/>
        <v>21</v>
      </c>
      <c r="P277" s="2">
        <f t="shared" si="78"/>
        <v>2</v>
      </c>
      <c r="Q277" s="2">
        <f t="shared" si="79"/>
        <v>21</v>
      </c>
      <c r="R277" s="1">
        <f t="shared" si="71"/>
        <v>5878807.5783097669</v>
      </c>
      <c r="S277" s="4">
        <f>IF($G$4="mensual",S276,0)</f>
        <v>10000</v>
      </c>
      <c r="U277" s="1">
        <f t="shared" si="80"/>
        <v>46958.178588234783</v>
      </c>
      <c r="V277" s="35">
        <f t="shared" si="82"/>
        <v>-173.64212683911256</v>
      </c>
      <c r="X277" s="35">
        <f t="shared" si="81"/>
        <v>-5935.7657568980021</v>
      </c>
      <c r="Y277" s="1">
        <f t="shared" si="66"/>
        <v>5929656.3490142655</v>
      </c>
      <c r="AA277" s="2">
        <f>+Bono!J277</f>
        <v>264256.83693643636</v>
      </c>
      <c r="AC277" s="10">
        <f t="shared" si="72"/>
        <v>21.166666666666668</v>
      </c>
      <c r="AD277" s="1">
        <f t="shared" si="73"/>
        <v>6666280.9880864387</v>
      </c>
    </row>
    <row r="278" spans="2:30">
      <c r="B278" s="1">
        <f t="shared" si="67"/>
        <v>255</v>
      </c>
      <c r="C278" s="2">
        <f t="shared" si="74"/>
        <v>21</v>
      </c>
      <c r="D278" s="2">
        <f t="shared" si="75"/>
        <v>3</v>
      </c>
      <c r="E278" s="2">
        <f t="shared" si="76"/>
        <v>50</v>
      </c>
      <c r="F278" s="1">
        <f t="shared" si="68"/>
        <v>472367.80213573662</v>
      </c>
      <c r="H278" s="1">
        <f t="shared" si="64"/>
        <v>3766.7271883229914</v>
      </c>
      <c r="I278" s="1">
        <v>0</v>
      </c>
      <c r="J278" s="69">
        <f>-SUM(F278:H278)*$J$21</f>
        <v>-4285.210763916537</v>
      </c>
      <c r="K278" s="1">
        <f t="shared" si="69"/>
        <v>-471.84931856014305</v>
      </c>
      <c r="L278" s="1">
        <f t="shared" si="65"/>
        <v>471377.4692415829</v>
      </c>
      <c r="N278" s="1">
        <f t="shared" si="70"/>
        <v>255</v>
      </c>
      <c r="O278" s="2">
        <f t="shared" si="77"/>
        <v>21</v>
      </c>
      <c r="P278" s="2">
        <f t="shared" si="78"/>
        <v>3</v>
      </c>
      <c r="Q278" s="2">
        <f t="shared" si="79"/>
        <v>21</v>
      </c>
      <c r="R278" s="1">
        <f t="shared" si="71"/>
        <v>5929656.3490142655</v>
      </c>
      <c r="S278" s="4">
        <f>IF($G$4="mensual",S277,0)</f>
        <v>10000</v>
      </c>
      <c r="U278" s="1">
        <f t="shared" si="80"/>
        <v>47363.653826469585</v>
      </c>
      <c r="V278" s="35">
        <f t="shared" si="82"/>
        <v>-173.64212683911256</v>
      </c>
      <c r="X278" s="35">
        <f t="shared" si="81"/>
        <v>-5987.0200028407353</v>
      </c>
      <c r="Y278" s="1">
        <f t="shared" si="66"/>
        <v>5980859.3407110553</v>
      </c>
      <c r="AA278" s="2">
        <f>+Bono!J278</f>
        <v>263499.80718474952</v>
      </c>
      <c r="AC278" s="10">
        <f t="shared" si="72"/>
        <v>21.25</v>
      </c>
      <c r="AD278" s="1">
        <f t="shared" si="73"/>
        <v>6715736.6171373874</v>
      </c>
    </row>
    <row r="279" spans="2:30">
      <c r="B279" s="1">
        <f t="shared" si="67"/>
        <v>256</v>
      </c>
      <c r="C279" s="2">
        <f t="shared" si="74"/>
        <v>21</v>
      </c>
      <c r="D279" s="2">
        <f t="shared" si="75"/>
        <v>4</v>
      </c>
      <c r="E279" s="2">
        <f t="shared" si="76"/>
        <v>50</v>
      </c>
      <c r="F279" s="1">
        <f t="shared" si="68"/>
        <v>471377.4692415829</v>
      </c>
      <c r="H279" s="1">
        <f t="shared" si="64"/>
        <v>3758.8301347536467</v>
      </c>
      <c r="I279" s="1">
        <v>0</v>
      </c>
      <c r="J279" s="1">
        <v>0</v>
      </c>
      <c r="K279" s="1">
        <f t="shared" si="69"/>
        <v>-475.13629937633658</v>
      </c>
      <c r="L279" s="1">
        <f t="shared" si="65"/>
        <v>474661.16307696025</v>
      </c>
      <c r="N279" s="1">
        <f t="shared" si="70"/>
        <v>256</v>
      </c>
      <c r="O279" s="2">
        <f t="shared" si="77"/>
        <v>21</v>
      </c>
      <c r="P279" s="2">
        <f t="shared" si="78"/>
        <v>4</v>
      </c>
      <c r="Q279" s="2">
        <f t="shared" si="79"/>
        <v>21</v>
      </c>
      <c r="R279" s="1">
        <f t="shared" si="71"/>
        <v>5980859.3407110553</v>
      </c>
      <c r="S279" s="4">
        <f>IF($G$4="mensual",S276,IF($G$4="trimestral",S276,0))</f>
        <v>10000</v>
      </c>
      <c r="U279" s="1">
        <f t="shared" si="80"/>
        <v>47771.953672639778</v>
      </c>
      <c r="V279" s="35">
        <f t="shared" si="82"/>
        <v>-173.64212683911256</v>
      </c>
      <c r="X279" s="35">
        <f t="shared" si="81"/>
        <v>-6038.6312943836956</v>
      </c>
      <c r="Y279" s="1">
        <f t="shared" si="66"/>
        <v>6032419.020962473</v>
      </c>
      <c r="AA279" s="2">
        <f>+Bono!J279</f>
        <v>265133.53655338078</v>
      </c>
      <c r="AC279" s="10">
        <f t="shared" si="72"/>
        <v>21.333333333333332</v>
      </c>
      <c r="AD279" s="1">
        <f t="shared" si="73"/>
        <v>6772213.7205928145</v>
      </c>
    </row>
    <row r="280" spans="2:30">
      <c r="B280" s="1">
        <f t="shared" si="67"/>
        <v>257</v>
      </c>
      <c r="C280" s="2">
        <f t="shared" si="74"/>
        <v>21</v>
      </c>
      <c r="D280" s="2">
        <f t="shared" si="75"/>
        <v>5</v>
      </c>
      <c r="E280" s="2">
        <f t="shared" si="76"/>
        <v>50</v>
      </c>
      <c r="F280" s="1">
        <f t="shared" si="68"/>
        <v>474661.16307696025</v>
      </c>
      <c r="H280" s="1">
        <f t="shared" ref="H280:H343" si="83">SUM(F280:G280)*$G$8</f>
        <v>3785.0147705224713</v>
      </c>
      <c r="I280" s="1">
        <v>0</v>
      </c>
      <c r="J280" s="1">
        <v>0</v>
      </c>
      <c r="K280" s="1">
        <f t="shared" si="69"/>
        <v>-478.44617784748272</v>
      </c>
      <c r="L280" s="1">
        <f t="shared" ref="L280:L343" si="84">SUM(F280:K280)</f>
        <v>477967.73166963522</v>
      </c>
      <c r="N280" s="1">
        <f t="shared" si="70"/>
        <v>257</v>
      </c>
      <c r="O280" s="2">
        <f t="shared" si="77"/>
        <v>21</v>
      </c>
      <c r="P280" s="2">
        <f t="shared" si="78"/>
        <v>5</v>
      </c>
      <c r="Q280" s="2">
        <f t="shared" si="79"/>
        <v>21</v>
      </c>
      <c r="R280" s="1">
        <f t="shared" si="71"/>
        <v>6032419.020962473</v>
      </c>
      <c r="S280" s="4">
        <f>IF($G$4="mensual",S279,0)</f>
        <v>10000</v>
      </c>
      <c r="U280" s="1">
        <f t="shared" si="80"/>
        <v>48183.097803433957</v>
      </c>
      <c r="V280" s="35">
        <f t="shared" si="82"/>
        <v>-173.64212683911256</v>
      </c>
      <c r="X280" s="35">
        <f t="shared" si="81"/>
        <v>-6090.6021187659071</v>
      </c>
      <c r="Y280" s="1">
        <f t="shared" ref="Y280:Y343" si="85">SUM(R280:X280)</f>
        <v>6084337.8745203028</v>
      </c>
      <c r="AA280" s="2">
        <f>+Bono!J280</f>
        <v>266777.39523359848</v>
      </c>
      <c r="AC280" s="10">
        <f t="shared" si="72"/>
        <v>21.416666666666668</v>
      </c>
      <c r="AD280" s="1">
        <f t="shared" si="73"/>
        <v>6829083.0014235368</v>
      </c>
    </row>
    <row r="281" spans="2:30">
      <c r="B281" s="1">
        <f t="shared" ref="B281:B344" si="86">+B280+1</f>
        <v>258</v>
      </c>
      <c r="C281" s="2">
        <f t="shared" si="74"/>
        <v>21</v>
      </c>
      <c r="D281" s="2">
        <f t="shared" si="75"/>
        <v>6</v>
      </c>
      <c r="E281" s="2">
        <f t="shared" si="76"/>
        <v>50</v>
      </c>
      <c r="F281" s="1">
        <f t="shared" ref="F281:F344" si="87">L280</f>
        <v>477967.73166963522</v>
      </c>
      <c r="H281" s="1">
        <f t="shared" si="83"/>
        <v>3811.3818128182643</v>
      </c>
      <c r="I281" s="1">
        <v>0</v>
      </c>
      <c r="J281" s="69">
        <f>-SUM(F281:H281)*$J$21</f>
        <v>-4336.0120213420823</v>
      </c>
      <c r="K281" s="1">
        <f t="shared" ref="K281:K344" si="88">-SUM(F281:J281)*0.1%</f>
        <v>-477.44310146111144</v>
      </c>
      <c r="L281" s="1">
        <f t="shared" si="84"/>
        <v>476965.65835965035</v>
      </c>
      <c r="N281" s="1">
        <f t="shared" ref="N281:N344" si="89">+N280+1</f>
        <v>258</v>
      </c>
      <c r="O281" s="2">
        <f t="shared" si="77"/>
        <v>21</v>
      </c>
      <c r="P281" s="2">
        <f t="shared" si="78"/>
        <v>6</v>
      </c>
      <c r="Q281" s="2">
        <f t="shared" si="79"/>
        <v>21</v>
      </c>
      <c r="R281" s="1">
        <f t="shared" ref="R281:R344" si="90">Y280</f>
        <v>6084337.8745203028</v>
      </c>
      <c r="S281" s="4">
        <f>IF($G$4="mensual",S280,0)</f>
        <v>10000</v>
      </c>
      <c r="U281" s="1">
        <f t="shared" si="80"/>
        <v>48597.10603261178</v>
      </c>
      <c r="V281" s="35">
        <f t="shared" si="82"/>
        <v>-173.64212683911256</v>
      </c>
      <c r="X281" s="35">
        <f t="shared" si="81"/>
        <v>-6142.9349805529146</v>
      </c>
      <c r="Y281" s="1">
        <f t="shared" si="85"/>
        <v>6136618.4034455232</v>
      </c>
      <c r="AA281" s="2">
        <f>+Bono!J281</f>
        <v>266013.14471273898</v>
      </c>
      <c r="AC281" s="10">
        <f t="shared" ref="AC281:AC344" si="91">+B281/12</f>
        <v>21.5</v>
      </c>
      <c r="AD281" s="1">
        <f t="shared" ref="AD281:AD344" si="92">+AA281+Y281+L281</f>
        <v>6879597.2065179124</v>
      </c>
    </row>
    <row r="282" spans="2:30">
      <c r="B282" s="1">
        <f t="shared" si="86"/>
        <v>259</v>
      </c>
      <c r="C282" s="2">
        <f t="shared" si="74"/>
        <v>21</v>
      </c>
      <c r="D282" s="2">
        <f t="shared" si="75"/>
        <v>7</v>
      </c>
      <c r="E282" s="2">
        <f t="shared" si="76"/>
        <v>50</v>
      </c>
      <c r="F282" s="1">
        <f t="shared" si="87"/>
        <v>476965.65835965035</v>
      </c>
      <c r="H282" s="1">
        <f t="shared" si="83"/>
        <v>3803.3911395243886</v>
      </c>
      <c r="I282" s="1">
        <v>0</v>
      </c>
      <c r="J282" s="1">
        <v>0</v>
      </c>
      <c r="K282" s="1">
        <f t="shared" si="88"/>
        <v>-480.76904949917474</v>
      </c>
      <c r="L282" s="1">
        <f t="shared" si="84"/>
        <v>480288.28044967557</v>
      </c>
      <c r="N282" s="1">
        <f t="shared" si="89"/>
        <v>259</v>
      </c>
      <c r="O282" s="2">
        <f t="shared" si="77"/>
        <v>21</v>
      </c>
      <c r="P282" s="2">
        <f t="shared" si="78"/>
        <v>7</v>
      </c>
      <c r="Q282" s="2">
        <f t="shared" si="79"/>
        <v>21</v>
      </c>
      <c r="R282" s="1">
        <f t="shared" si="90"/>
        <v>6136618.4034455232</v>
      </c>
      <c r="S282" s="1">
        <f>+IF($G$4="mensual",S276,IF($G$4="trimestral",S276,IF($G$4="semestral",S276,0)))</f>
        <v>10000</v>
      </c>
      <c r="U282" s="1">
        <f t="shared" si="80"/>
        <v>49013.998311958858</v>
      </c>
      <c r="V282" s="35">
        <f t="shared" si="82"/>
        <v>-173.64212683911256</v>
      </c>
      <c r="X282" s="35">
        <f t="shared" si="81"/>
        <v>-6195.6324017574825</v>
      </c>
      <c r="Y282" s="1">
        <f t="shared" si="85"/>
        <v>6189263.1272288859</v>
      </c>
      <c r="AA282" s="2">
        <f>+Bono!J282</f>
        <v>267662.45706557296</v>
      </c>
      <c r="AC282" s="10">
        <f t="shared" si="91"/>
        <v>21.583333333333332</v>
      </c>
      <c r="AD282" s="1">
        <f t="shared" si="92"/>
        <v>6937213.8647441342</v>
      </c>
    </row>
    <row r="283" spans="2:30">
      <c r="B283" s="1">
        <f t="shared" si="86"/>
        <v>260</v>
      </c>
      <c r="C283" s="2">
        <f t="shared" si="74"/>
        <v>21</v>
      </c>
      <c r="D283" s="2">
        <f t="shared" si="75"/>
        <v>8</v>
      </c>
      <c r="E283" s="2">
        <f t="shared" si="76"/>
        <v>50</v>
      </c>
      <c r="F283" s="1">
        <f t="shared" si="87"/>
        <v>480288.28044967557</v>
      </c>
      <c r="H283" s="1">
        <f t="shared" si="83"/>
        <v>3829.8861946624274</v>
      </c>
      <c r="I283" s="1">
        <v>0</v>
      </c>
      <c r="J283" s="1">
        <v>0</v>
      </c>
      <c r="K283" s="1">
        <f t="shared" si="88"/>
        <v>-484.11816664433803</v>
      </c>
      <c r="L283" s="1">
        <f t="shared" si="84"/>
        <v>483634.04847769364</v>
      </c>
      <c r="N283" s="1">
        <f t="shared" si="89"/>
        <v>260</v>
      </c>
      <c r="O283" s="2">
        <f t="shared" si="77"/>
        <v>21</v>
      </c>
      <c r="P283" s="2">
        <f t="shared" si="78"/>
        <v>8</v>
      </c>
      <c r="Q283" s="2">
        <f t="shared" si="79"/>
        <v>21</v>
      </c>
      <c r="R283" s="1">
        <f t="shared" si="90"/>
        <v>6189263.1272288859</v>
      </c>
      <c r="S283" s="4">
        <f>IF($G$4="mensual",S282,0)</f>
        <v>10000</v>
      </c>
      <c r="U283" s="1">
        <f t="shared" si="80"/>
        <v>49433.794732248236</v>
      </c>
      <c r="V283" s="35">
        <f t="shared" si="82"/>
        <v>-173.64212683911256</v>
      </c>
      <c r="X283" s="35">
        <f t="shared" si="81"/>
        <v>-6248.6969219611346</v>
      </c>
      <c r="Y283" s="1">
        <f t="shared" si="85"/>
        <v>6242274.5829123342</v>
      </c>
      <c r="AA283" s="2">
        <f>+Bono!J283</f>
        <v>269321.99534630287</v>
      </c>
      <c r="AC283" s="10">
        <f t="shared" si="91"/>
        <v>21.666666666666668</v>
      </c>
      <c r="AD283" s="1">
        <f t="shared" si="92"/>
        <v>6995230.6267363308</v>
      </c>
    </row>
    <row r="284" spans="2:30">
      <c r="B284" s="1">
        <f t="shared" si="86"/>
        <v>261</v>
      </c>
      <c r="C284" s="2">
        <f t="shared" si="74"/>
        <v>21</v>
      </c>
      <c r="D284" s="2">
        <f t="shared" si="75"/>
        <v>9</v>
      </c>
      <c r="E284" s="2">
        <f t="shared" si="76"/>
        <v>50</v>
      </c>
      <c r="F284" s="1">
        <f t="shared" si="87"/>
        <v>483634.04847769364</v>
      </c>
      <c r="H284" s="1">
        <f t="shared" si="83"/>
        <v>3856.5658187603799</v>
      </c>
      <c r="I284" s="1">
        <v>0</v>
      </c>
      <c r="J284" s="69">
        <f>-SUM(F284:H284)*$J$21</f>
        <v>-4387.4155286680862</v>
      </c>
      <c r="K284" s="1">
        <f t="shared" si="88"/>
        <v>-483.1031987677859</v>
      </c>
      <c r="L284" s="1">
        <f t="shared" si="84"/>
        <v>482620.0955690181</v>
      </c>
      <c r="N284" s="1">
        <f t="shared" si="89"/>
        <v>261</v>
      </c>
      <c r="O284" s="2">
        <f t="shared" si="77"/>
        <v>21</v>
      </c>
      <c r="P284" s="2">
        <f t="shared" si="78"/>
        <v>9</v>
      </c>
      <c r="Q284" s="2">
        <f t="shared" si="79"/>
        <v>21</v>
      </c>
      <c r="R284" s="1">
        <f t="shared" si="90"/>
        <v>6242274.5829123342</v>
      </c>
      <c r="S284" s="4">
        <f>IF($G$4="mensual",S283,0)</f>
        <v>10000</v>
      </c>
      <c r="U284" s="1">
        <f t="shared" si="80"/>
        <v>49856.515524208662</v>
      </c>
      <c r="V284" s="35">
        <f t="shared" si="82"/>
        <v>-173.64212683911256</v>
      </c>
      <c r="X284" s="35">
        <f t="shared" si="81"/>
        <v>-6302.1310984365427</v>
      </c>
      <c r="Y284" s="1">
        <f t="shared" si="85"/>
        <v>6295655.3252112679</v>
      </c>
      <c r="AA284" s="2">
        <f>+Bono!J284</f>
        <v>268550.45518248167</v>
      </c>
      <c r="AC284" s="10">
        <f t="shared" si="91"/>
        <v>21.75</v>
      </c>
      <c r="AD284" s="1">
        <f t="shared" si="92"/>
        <v>7046825.8759627678</v>
      </c>
    </row>
    <row r="285" spans="2:30">
      <c r="B285" s="1">
        <f t="shared" si="86"/>
        <v>262</v>
      </c>
      <c r="C285" s="2">
        <f t="shared" si="74"/>
        <v>21</v>
      </c>
      <c r="D285" s="2">
        <f t="shared" si="75"/>
        <v>10</v>
      </c>
      <c r="E285" s="2">
        <f t="shared" si="76"/>
        <v>50</v>
      </c>
      <c r="F285" s="1">
        <f t="shared" si="87"/>
        <v>482620.0955690181</v>
      </c>
      <c r="H285" s="1">
        <f t="shared" si="83"/>
        <v>3848.4804158783058</v>
      </c>
      <c r="I285" s="1">
        <v>0</v>
      </c>
      <c r="J285" s="1">
        <v>0</v>
      </c>
      <c r="K285" s="1">
        <f t="shared" si="88"/>
        <v>-486.4685759848964</v>
      </c>
      <c r="L285" s="1">
        <f t="shared" si="84"/>
        <v>485982.10740891151</v>
      </c>
      <c r="N285" s="1">
        <f t="shared" si="89"/>
        <v>262</v>
      </c>
      <c r="O285" s="2">
        <f t="shared" si="77"/>
        <v>21</v>
      </c>
      <c r="P285" s="2">
        <f t="shared" si="78"/>
        <v>10</v>
      </c>
      <c r="Q285" s="2">
        <f t="shared" si="79"/>
        <v>21</v>
      </c>
      <c r="R285" s="1">
        <f t="shared" si="90"/>
        <v>6295655.3252112679</v>
      </c>
      <c r="S285" s="4">
        <f>IF($G$4="mensual",S276,IF($G$4="trimestral",S276,0))</f>
        <v>10000</v>
      </c>
      <c r="U285" s="1">
        <f t="shared" si="80"/>
        <v>50282.181059499482</v>
      </c>
      <c r="V285" s="35">
        <f t="shared" si="82"/>
        <v>-173.64212683911256</v>
      </c>
      <c r="X285" s="35">
        <f t="shared" si="81"/>
        <v>-6355.9375062707677</v>
      </c>
      <c r="Y285" s="1">
        <f t="shared" si="85"/>
        <v>6349407.9266376579</v>
      </c>
      <c r="AA285" s="2">
        <f>+Bono!J285</f>
        <v>270215.4991545378</v>
      </c>
      <c r="AC285" s="10">
        <f t="shared" si="91"/>
        <v>21.833333333333332</v>
      </c>
      <c r="AD285" s="1">
        <f t="shared" si="92"/>
        <v>7105605.5332011078</v>
      </c>
    </row>
    <row r="286" spans="2:30">
      <c r="B286" s="1">
        <f t="shared" si="86"/>
        <v>263</v>
      </c>
      <c r="C286" s="2">
        <f t="shared" si="74"/>
        <v>21</v>
      </c>
      <c r="D286" s="2">
        <f t="shared" si="75"/>
        <v>11</v>
      </c>
      <c r="E286" s="2">
        <f t="shared" si="76"/>
        <v>50</v>
      </c>
      <c r="F286" s="1">
        <f t="shared" si="87"/>
        <v>485982.10740891151</v>
      </c>
      <c r="H286" s="1">
        <f t="shared" si="83"/>
        <v>3875.2895704132529</v>
      </c>
      <c r="I286" s="1">
        <v>0</v>
      </c>
      <c r="J286" s="1">
        <v>0</v>
      </c>
      <c r="K286" s="1">
        <f t="shared" si="88"/>
        <v>-489.85739697932479</v>
      </c>
      <c r="L286" s="1">
        <f t="shared" si="84"/>
        <v>489367.5395823454</v>
      </c>
      <c r="N286" s="1">
        <f t="shared" si="89"/>
        <v>263</v>
      </c>
      <c r="O286" s="2">
        <f t="shared" si="77"/>
        <v>21</v>
      </c>
      <c r="P286" s="2">
        <f t="shared" si="78"/>
        <v>11</v>
      </c>
      <c r="Q286" s="2">
        <f t="shared" si="79"/>
        <v>21</v>
      </c>
      <c r="R286" s="1">
        <f t="shared" si="90"/>
        <v>6349407.9266376579</v>
      </c>
      <c r="S286" s="1">
        <f>IF($G$17="si",S274*(1+$G$20),S274)</f>
        <v>10000</v>
      </c>
      <c r="U286" s="1">
        <f t="shared" si="80"/>
        <v>50710.811851692415</v>
      </c>
      <c r="V286" s="35">
        <f t="shared" si="82"/>
        <v>-173.64212683911256</v>
      </c>
      <c r="X286" s="35">
        <f t="shared" si="81"/>
        <v>-6410.1187384893501</v>
      </c>
      <c r="Y286" s="1">
        <f t="shared" si="85"/>
        <v>6403534.9776240224</v>
      </c>
      <c r="AA286" s="2">
        <f>+Bono!J286</f>
        <v>271890.86659235385</v>
      </c>
      <c r="AC286" s="10">
        <f t="shared" si="91"/>
        <v>21.916666666666668</v>
      </c>
      <c r="AD286" s="1">
        <f t="shared" si="92"/>
        <v>7164793.3837987222</v>
      </c>
    </row>
    <row r="287" spans="2:30">
      <c r="B287" s="1">
        <f t="shared" si="86"/>
        <v>264</v>
      </c>
      <c r="C287" s="2">
        <f t="shared" si="74"/>
        <v>21</v>
      </c>
      <c r="D287" s="2">
        <f t="shared" si="75"/>
        <v>12</v>
      </c>
      <c r="E287" s="2">
        <f t="shared" si="76"/>
        <v>50</v>
      </c>
      <c r="F287" s="1">
        <f t="shared" si="87"/>
        <v>489367.5395823454</v>
      </c>
      <c r="H287" s="1">
        <f t="shared" si="83"/>
        <v>3902.2854819767435</v>
      </c>
      <c r="I287" s="1">
        <v>0</v>
      </c>
      <c r="J287" s="69">
        <f>-SUM(F287:H287)*$J$21</f>
        <v>-4439.4284255788998</v>
      </c>
      <c r="K287" s="1">
        <f t="shared" si="88"/>
        <v>-488.83039663874325</v>
      </c>
      <c r="L287" s="1">
        <f t="shared" si="84"/>
        <v>488341.56624210451</v>
      </c>
      <c r="N287" s="1">
        <f t="shared" si="89"/>
        <v>264</v>
      </c>
      <c r="O287" s="2">
        <f t="shared" si="77"/>
        <v>21</v>
      </c>
      <c r="P287" s="2">
        <f t="shared" si="78"/>
        <v>12</v>
      </c>
      <c r="Q287" s="2">
        <f t="shared" si="79"/>
        <v>21</v>
      </c>
      <c r="R287" s="1">
        <f t="shared" si="90"/>
        <v>6403534.9776240224</v>
      </c>
      <c r="S287" s="4">
        <f>IF($G$4="mensual",S286,0)</f>
        <v>10000</v>
      </c>
      <c r="U287" s="1">
        <f t="shared" si="80"/>
        <v>51142.428557260115</v>
      </c>
      <c r="V287" s="35">
        <f t="shared" si="82"/>
        <v>-173.64212683911256</v>
      </c>
      <c r="X287" s="35">
        <f t="shared" si="81"/>
        <v>-6464.6774061812821</v>
      </c>
      <c r="Y287" s="1">
        <f t="shared" si="85"/>
        <v>6458039.0866482621</v>
      </c>
      <c r="AA287" s="2">
        <f>+Bono!J287</f>
        <v>271111.96725484362</v>
      </c>
      <c r="AC287" s="10">
        <f t="shared" si="91"/>
        <v>22</v>
      </c>
      <c r="AD287" s="1">
        <f t="shared" si="92"/>
        <v>7217492.6201452101</v>
      </c>
    </row>
    <row r="288" spans="2:30">
      <c r="B288" s="1">
        <f t="shared" si="86"/>
        <v>265</v>
      </c>
      <c r="C288" s="2">
        <f t="shared" si="74"/>
        <v>22</v>
      </c>
      <c r="D288" s="2">
        <f t="shared" si="75"/>
        <v>1</v>
      </c>
      <c r="E288" s="2">
        <f t="shared" si="76"/>
        <v>51</v>
      </c>
      <c r="F288" s="1">
        <f t="shared" si="87"/>
        <v>488341.56624210451</v>
      </c>
      <c r="H288" s="1">
        <f t="shared" si="83"/>
        <v>3894.1042264853513</v>
      </c>
      <c r="I288" s="1">
        <v>0</v>
      </c>
      <c r="J288" s="1">
        <v>0</v>
      </c>
      <c r="K288" s="1">
        <f t="shared" si="88"/>
        <v>-492.23567046858989</v>
      </c>
      <c r="L288" s="1">
        <f t="shared" si="84"/>
        <v>491743.43479812128</v>
      </c>
      <c r="N288" s="1">
        <f t="shared" si="89"/>
        <v>265</v>
      </c>
      <c r="O288" s="2">
        <f t="shared" si="77"/>
        <v>22</v>
      </c>
      <c r="P288" s="2">
        <f t="shared" si="78"/>
        <v>1</v>
      </c>
      <c r="Q288" s="2">
        <f t="shared" si="79"/>
        <v>22</v>
      </c>
      <c r="R288" s="1">
        <f t="shared" si="90"/>
        <v>6458039.0866482621</v>
      </c>
      <c r="S288" s="1">
        <f>IF($G$17="si",S276*(1+$G$20),S276)</f>
        <v>10000</v>
      </c>
      <c r="U288" s="1">
        <f t="shared" si="80"/>
        <v>51577.051976571682</v>
      </c>
      <c r="V288" s="35">
        <f>(V287*(1+$G$18))</f>
        <v>-180.58781191267707</v>
      </c>
      <c r="X288" s="35">
        <f t="shared" si="81"/>
        <v>-6519.6161386248341</v>
      </c>
      <c r="Y288" s="1">
        <f t="shared" si="85"/>
        <v>6512915.9346742965</v>
      </c>
      <c r="AA288" s="2">
        <f>+Bono!J288</f>
        <v>272792.89289886545</v>
      </c>
      <c r="AC288" s="10">
        <f t="shared" si="91"/>
        <v>22.083333333333332</v>
      </c>
      <c r="AD288" s="1">
        <f t="shared" si="92"/>
        <v>7277452.262371283</v>
      </c>
    </row>
    <row r="289" spans="2:30">
      <c r="B289" s="1">
        <f t="shared" si="86"/>
        <v>266</v>
      </c>
      <c r="C289" s="2">
        <f t="shared" si="74"/>
        <v>22</v>
      </c>
      <c r="D289" s="2">
        <f t="shared" si="75"/>
        <v>2</v>
      </c>
      <c r="E289" s="2">
        <f t="shared" si="76"/>
        <v>51</v>
      </c>
      <c r="F289" s="1">
        <f t="shared" si="87"/>
        <v>491743.43479812128</v>
      </c>
      <c r="H289" s="1">
        <f t="shared" si="83"/>
        <v>3921.2312040717011</v>
      </c>
      <c r="I289" s="1">
        <v>0</v>
      </c>
      <c r="J289" s="1">
        <v>0</v>
      </c>
      <c r="K289" s="1">
        <f t="shared" si="88"/>
        <v>-495.66466600219303</v>
      </c>
      <c r="L289" s="1">
        <f t="shared" si="84"/>
        <v>495169.00133619079</v>
      </c>
      <c r="N289" s="1">
        <f t="shared" si="89"/>
        <v>266</v>
      </c>
      <c r="O289" s="2">
        <f t="shared" si="77"/>
        <v>22</v>
      </c>
      <c r="P289" s="2">
        <f t="shared" si="78"/>
        <v>2</v>
      </c>
      <c r="Q289" s="2">
        <f t="shared" si="79"/>
        <v>22</v>
      </c>
      <c r="R289" s="1">
        <f t="shared" si="90"/>
        <v>6512915.9346742965</v>
      </c>
      <c r="S289" s="4">
        <f>IF($G$4="mensual",S288,0)</f>
        <v>10000</v>
      </c>
      <c r="U289" s="1">
        <f t="shared" si="80"/>
        <v>52014.64766902689</v>
      </c>
      <c r="V289" s="35">
        <f t="shared" si="82"/>
        <v>-180.58781191267707</v>
      </c>
      <c r="X289" s="35">
        <f t="shared" si="81"/>
        <v>-6574.9305823433233</v>
      </c>
      <c r="Y289" s="1">
        <f t="shared" si="85"/>
        <v>6568175.0639490671</v>
      </c>
      <c r="AA289" s="2">
        <f>+Bono!J289</f>
        <v>274484.24047685548</v>
      </c>
      <c r="AC289" s="10">
        <f t="shared" si="91"/>
        <v>22.166666666666668</v>
      </c>
      <c r="AD289" s="1">
        <f t="shared" si="92"/>
        <v>7337828.3057621131</v>
      </c>
    </row>
    <row r="290" spans="2:30">
      <c r="B290" s="1">
        <f t="shared" si="86"/>
        <v>267</v>
      </c>
      <c r="C290" s="2">
        <f t="shared" si="74"/>
        <v>22</v>
      </c>
      <c r="D290" s="2">
        <f t="shared" si="75"/>
        <v>3</v>
      </c>
      <c r="E290" s="2">
        <f t="shared" si="76"/>
        <v>51</v>
      </c>
      <c r="F290" s="1">
        <f t="shared" si="87"/>
        <v>495169.00133619079</v>
      </c>
      <c r="H290" s="1">
        <f t="shared" si="83"/>
        <v>3948.5471526948209</v>
      </c>
      <c r="I290" s="1">
        <v>0</v>
      </c>
      <c r="J290" s="69">
        <f>-SUM(F290:H290)*$J$21</f>
        <v>-4492.0579363999714</v>
      </c>
      <c r="K290" s="1">
        <f t="shared" si="88"/>
        <v>-494.6254905524857</v>
      </c>
      <c r="L290" s="1">
        <f t="shared" si="84"/>
        <v>494130.86506193317</v>
      </c>
      <c r="N290" s="1">
        <f t="shared" si="89"/>
        <v>267</v>
      </c>
      <c r="O290" s="2">
        <f t="shared" si="77"/>
        <v>22</v>
      </c>
      <c r="P290" s="2">
        <f t="shared" si="78"/>
        <v>3</v>
      </c>
      <c r="Q290" s="2">
        <f t="shared" si="79"/>
        <v>22</v>
      </c>
      <c r="R290" s="1">
        <f t="shared" si="90"/>
        <v>6568175.0639490671</v>
      </c>
      <c r="S290" s="4">
        <f>IF($G$4="mensual",S289,0)</f>
        <v>10000</v>
      </c>
      <c r="U290" s="1">
        <f t="shared" si="80"/>
        <v>52455.291725842864</v>
      </c>
      <c r="V290" s="35">
        <f t="shared" si="82"/>
        <v>-180.58781191267707</v>
      </c>
      <c r="X290" s="35">
        <f t="shared" si="81"/>
        <v>-6630.6303556749108</v>
      </c>
      <c r="Y290" s="1">
        <f t="shared" si="85"/>
        <v>6623819.1375073232</v>
      </c>
      <c r="AA290" s="2">
        <f>+Bono!J290</f>
        <v>273697.91177172482</v>
      </c>
      <c r="AC290" s="10">
        <f t="shared" si="91"/>
        <v>22.25</v>
      </c>
      <c r="AD290" s="1">
        <f t="shared" si="92"/>
        <v>7391647.9143409813</v>
      </c>
    </row>
    <row r="291" spans="2:30">
      <c r="B291" s="1">
        <f t="shared" si="86"/>
        <v>268</v>
      </c>
      <c r="C291" s="2">
        <f t="shared" si="74"/>
        <v>22</v>
      </c>
      <c r="D291" s="2">
        <f t="shared" si="75"/>
        <v>4</v>
      </c>
      <c r="E291" s="2">
        <f t="shared" si="76"/>
        <v>51</v>
      </c>
      <c r="F291" s="1">
        <f t="shared" si="87"/>
        <v>494130.86506193317</v>
      </c>
      <c r="H291" s="1">
        <f t="shared" si="83"/>
        <v>3940.2689082595521</v>
      </c>
      <c r="I291" s="1">
        <v>0</v>
      </c>
      <c r="J291" s="1">
        <v>0</v>
      </c>
      <c r="K291" s="1">
        <f t="shared" si="88"/>
        <v>-498.07113397019276</v>
      </c>
      <c r="L291" s="1">
        <f t="shared" si="84"/>
        <v>497573.06283622258</v>
      </c>
      <c r="N291" s="1">
        <f t="shared" si="89"/>
        <v>268</v>
      </c>
      <c r="O291" s="2">
        <f t="shared" si="77"/>
        <v>22</v>
      </c>
      <c r="P291" s="2">
        <f t="shared" si="78"/>
        <v>4</v>
      </c>
      <c r="Q291" s="2">
        <f t="shared" si="79"/>
        <v>22</v>
      </c>
      <c r="R291" s="1">
        <f t="shared" si="90"/>
        <v>6623819.1375073232</v>
      </c>
      <c r="S291" s="4">
        <f>IF($G$4="mensual",S288,IF($G$4="trimestral",S288,0))</f>
        <v>10000</v>
      </c>
      <c r="U291" s="1">
        <f t="shared" si="80"/>
        <v>52899.005382432646</v>
      </c>
      <c r="V291" s="35">
        <f t="shared" si="82"/>
        <v>-180.58781191267707</v>
      </c>
      <c r="X291" s="35">
        <f t="shared" si="81"/>
        <v>-6686.7181428897557</v>
      </c>
      <c r="Y291" s="1">
        <f t="shared" si="85"/>
        <v>6679850.8369349539</v>
      </c>
      <c r="AA291" s="2">
        <f>+Bono!J291</f>
        <v>275394.87057170225</v>
      </c>
      <c r="AC291" s="10">
        <f t="shared" si="91"/>
        <v>22.333333333333332</v>
      </c>
      <c r="AD291" s="1">
        <f t="shared" si="92"/>
        <v>7452818.770342879</v>
      </c>
    </row>
    <row r="292" spans="2:30">
      <c r="B292" s="1">
        <f t="shared" si="86"/>
        <v>269</v>
      </c>
      <c r="C292" s="2">
        <f t="shared" ref="C292:C355" si="93">C280+1</f>
        <v>22</v>
      </c>
      <c r="D292" s="2">
        <f t="shared" ref="D292:D355" si="94">D280</f>
        <v>5</v>
      </c>
      <c r="E292" s="2">
        <f t="shared" ref="E292:E355" si="95">E280+1</f>
        <v>51</v>
      </c>
      <c r="F292" s="1">
        <f t="shared" si="87"/>
        <v>497573.06283622258</v>
      </c>
      <c r="H292" s="1">
        <f t="shared" si="83"/>
        <v>3967.7174766957955</v>
      </c>
      <c r="I292" s="1">
        <v>0</v>
      </c>
      <c r="J292" s="1">
        <v>0</v>
      </c>
      <c r="K292" s="1">
        <f t="shared" si="88"/>
        <v>-501.54078031291834</v>
      </c>
      <c r="L292" s="1">
        <f t="shared" si="84"/>
        <v>501039.23953260545</v>
      </c>
      <c r="N292" s="1">
        <f t="shared" si="89"/>
        <v>269</v>
      </c>
      <c r="O292" s="2">
        <f t="shared" ref="O292:O355" si="96">O280+1</f>
        <v>22</v>
      </c>
      <c r="P292" s="2">
        <f t="shared" ref="P292:P355" si="97">P280</f>
        <v>5</v>
      </c>
      <c r="Q292" s="2">
        <f t="shared" ref="Q292:Q355" si="98">Q280+1</f>
        <v>22</v>
      </c>
      <c r="R292" s="1">
        <f t="shared" si="90"/>
        <v>6679850.8369349539</v>
      </c>
      <c r="S292" s="4">
        <f>IF($G$4="mensual",S291,0)</f>
        <v>10000</v>
      </c>
      <c r="U292" s="1">
        <f t="shared" ref="U292:U355" si="99">SUM(R292:T292)*$G$8</f>
        <v>53345.810022138699</v>
      </c>
      <c r="V292" s="35">
        <f t="shared" si="82"/>
        <v>-180.58781191267707</v>
      </c>
      <c r="X292" s="35">
        <f t="shared" si="81"/>
        <v>-6743.1966469570934</v>
      </c>
      <c r="Y292" s="1">
        <f t="shared" si="85"/>
        <v>6736272.8624982238</v>
      </c>
      <c r="AA292" s="2">
        <f>+Bono!J292</f>
        <v>277102.35071307461</v>
      </c>
      <c r="AC292" s="10">
        <f t="shared" si="91"/>
        <v>22.416666666666668</v>
      </c>
      <c r="AD292" s="1">
        <f t="shared" si="92"/>
        <v>7514414.4527439037</v>
      </c>
    </row>
    <row r="293" spans="2:30">
      <c r="B293" s="1">
        <f t="shared" si="86"/>
        <v>270</v>
      </c>
      <c r="C293" s="2">
        <f t="shared" si="93"/>
        <v>22</v>
      </c>
      <c r="D293" s="2">
        <f t="shared" si="94"/>
        <v>6</v>
      </c>
      <c r="E293" s="2">
        <f t="shared" si="95"/>
        <v>51</v>
      </c>
      <c r="F293" s="1">
        <f t="shared" si="87"/>
        <v>501039.23953260545</v>
      </c>
      <c r="H293" s="1">
        <f t="shared" si="83"/>
        <v>3995.3572564241463</v>
      </c>
      <c r="I293" s="1">
        <v>0</v>
      </c>
      <c r="J293" s="69">
        <f>-SUM(F293:H293)*$J$21</f>
        <v>-4545.3113711012666</v>
      </c>
      <c r="K293" s="1">
        <f t="shared" si="88"/>
        <v>-500.48928541792839</v>
      </c>
      <c r="L293" s="1">
        <f t="shared" si="84"/>
        <v>499988.79613251041</v>
      </c>
      <c r="N293" s="1">
        <f t="shared" si="89"/>
        <v>270</v>
      </c>
      <c r="O293" s="2">
        <f t="shared" si="96"/>
        <v>22</v>
      </c>
      <c r="P293" s="2">
        <f t="shared" si="97"/>
        <v>6</v>
      </c>
      <c r="Q293" s="2">
        <f t="shared" si="98"/>
        <v>22</v>
      </c>
      <c r="R293" s="1">
        <f t="shared" si="90"/>
        <v>6736272.8624982238</v>
      </c>
      <c r="S293" s="4">
        <f>IF($G$4="mensual",S292,0)</f>
        <v>10000</v>
      </c>
      <c r="U293" s="1">
        <f t="shared" si="99"/>
        <v>53795.727177263412</v>
      </c>
      <c r="V293" s="35">
        <f t="shared" si="82"/>
        <v>-180.58781191267707</v>
      </c>
      <c r="X293" s="35">
        <f t="shared" si="81"/>
        <v>-6800.0685896754876</v>
      </c>
      <c r="Y293" s="1">
        <f t="shared" si="85"/>
        <v>6793087.9332738994</v>
      </c>
      <c r="AA293" s="2">
        <f>+Bono!J293</f>
        <v>276308.52177686204</v>
      </c>
      <c r="AC293" s="10">
        <f t="shared" si="91"/>
        <v>22.5</v>
      </c>
      <c r="AD293" s="1">
        <f t="shared" si="92"/>
        <v>7569385.2511832723</v>
      </c>
    </row>
    <row r="294" spans="2:30">
      <c r="B294" s="1">
        <f t="shared" si="86"/>
        <v>271</v>
      </c>
      <c r="C294" s="2">
        <f t="shared" si="93"/>
        <v>22</v>
      </c>
      <c r="D294" s="2">
        <f t="shared" si="94"/>
        <v>7</v>
      </c>
      <c r="E294" s="2">
        <f t="shared" si="95"/>
        <v>51</v>
      </c>
      <c r="F294" s="1">
        <f t="shared" si="87"/>
        <v>499988.79613251041</v>
      </c>
      <c r="H294" s="1">
        <f t="shared" si="83"/>
        <v>3986.9808732391734</v>
      </c>
      <c r="I294" s="1">
        <v>0</v>
      </c>
      <c r="J294" s="1">
        <v>0</v>
      </c>
      <c r="K294" s="1">
        <f t="shared" si="88"/>
        <v>-503.97577700574959</v>
      </c>
      <c r="L294" s="1">
        <f t="shared" si="84"/>
        <v>503471.8012287438</v>
      </c>
      <c r="N294" s="1">
        <f t="shared" si="89"/>
        <v>271</v>
      </c>
      <c r="O294" s="2">
        <f t="shared" si="96"/>
        <v>22</v>
      </c>
      <c r="P294" s="2">
        <f t="shared" si="97"/>
        <v>7</v>
      </c>
      <c r="Q294" s="2">
        <f t="shared" si="98"/>
        <v>22</v>
      </c>
      <c r="R294" s="1">
        <f t="shared" si="90"/>
        <v>6793087.9332738994</v>
      </c>
      <c r="S294" s="1">
        <f>+IF($G$4="mensual",S288,IF($G$4="trimestral",S288,IF($G$4="semestral",S288,0)))</f>
        <v>10000</v>
      </c>
      <c r="U294" s="1">
        <f t="shared" si="99"/>
        <v>54248.778530106756</v>
      </c>
      <c r="V294" s="35">
        <f t="shared" si="82"/>
        <v>-180.58781191267707</v>
      </c>
      <c r="X294" s="35">
        <f t="shared" si="81"/>
        <v>-6857.336711804006</v>
      </c>
      <c r="Y294" s="1">
        <f t="shared" si="85"/>
        <v>6850298.7872802895</v>
      </c>
      <c r="AA294" s="2">
        <f>+Bono!J294</f>
        <v>278021.66666168335</v>
      </c>
      <c r="AC294" s="10">
        <f t="shared" si="91"/>
        <v>22.583333333333332</v>
      </c>
      <c r="AD294" s="1">
        <f t="shared" si="92"/>
        <v>7631792.2551707169</v>
      </c>
    </row>
    <row r="295" spans="2:30">
      <c r="B295" s="1">
        <f t="shared" si="86"/>
        <v>272</v>
      </c>
      <c r="C295" s="2">
        <f t="shared" si="93"/>
        <v>22</v>
      </c>
      <c r="D295" s="2">
        <f t="shared" si="94"/>
        <v>8</v>
      </c>
      <c r="E295" s="2">
        <f t="shared" si="95"/>
        <v>51</v>
      </c>
      <c r="F295" s="1">
        <f t="shared" si="87"/>
        <v>503471.8012287438</v>
      </c>
      <c r="H295" s="1">
        <f t="shared" si="83"/>
        <v>4014.754844991126</v>
      </c>
      <c r="I295" s="1">
        <v>0</v>
      </c>
      <c r="J295" s="1">
        <v>0</v>
      </c>
      <c r="K295" s="1">
        <f t="shared" si="88"/>
        <v>-507.48655607373496</v>
      </c>
      <c r="L295" s="1">
        <f t="shared" si="84"/>
        <v>506979.06951766124</v>
      </c>
      <c r="N295" s="1">
        <f t="shared" si="89"/>
        <v>272</v>
      </c>
      <c r="O295" s="2">
        <f t="shared" si="96"/>
        <v>22</v>
      </c>
      <c r="P295" s="2">
        <f t="shared" si="97"/>
        <v>8</v>
      </c>
      <c r="Q295" s="2">
        <f t="shared" si="98"/>
        <v>22</v>
      </c>
      <c r="R295" s="1">
        <f t="shared" si="90"/>
        <v>6850298.7872802895</v>
      </c>
      <c r="S295" s="4">
        <f>IF($G$4="mensual",S294,0)</f>
        <v>10000</v>
      </c>
      <c r="U295" s="1">
        <f t="shared" si="99"/>
        <v>54704.985914011224</v>
      </c>
      <c r="V295" s="35">
        <f t="shared" si="82"/>
        <v>-180.58781191267707</v>
      </c>
      <c r="X295" s="35">
        <f t="shared" si="81"/>
        <v>-6915.0037731943012</v>
      </c>
      <c r="Y295" s="1">
        <f t="shared" si="85"/>
        <v>6907908.1816091938</v>
      </c>
      <c r="AA295" s="2">
        <f>+Bono!J295</f>
        <v>279745.4332435031</v>
      </c>
      <c r="AC295" s="10">
        <f t="shared" si="91"/>
        <v>22.666666666666668</v>
      </c>
      <c r="AD295" s="1">
        <f t="shared" si="92"/>
        <v>7694632.6843703575</v>
      </c>
    </row>
    <row r="296" spans="2:30">
      <c r="B296" s="1">
        <f t="shared" si="86"/>
        <v>273</v>
      </c>
      <c r="C296" s="2">
        <f t="shared" si="93"/>
        <v>22</v>
      </c>
      <c r="D296" s="2">
        <f t="shared" si="94"/>
        <v>9</v>
      </c>
      <c r="E296" s="2">
        <f t="shared" si="95"/>
        <v>51</v>
      </c>
      <c r="F296" s="1">
        <f t="shared" si="87"/>
        <v>506979.06951766124</v>
      </c>
      <c r="H296" s="1">
        <f t="shared" si="83"/>
        <v>4042.7222948487947</v>
      </c>
      <c r="I296" s="1">
        <v>0</v>
      </c>
      <c r="J296" s="69">
        <f>-SUM(F296:H296)*$J$21</f>
        <v>-4599.1961263125913</v>
      </c>
      <c r="K296" s="1">
        <f t="shared" si="88"/>
        <v>-506.42259568619744</v>
      </c>
      <c r="L296" s="1">
        <f t="shared" si="84"/>
        <v>505916.17309051123</v>
      </c>
      <c r="N296" s="1">
        <f t="shared" si="89"/>
        <v>273</v>
      </c>
      <c r="O296" s="2">
        <f t="shared" si="96"/>
        <v>22</v>
      </c>
      <c r="P296" s="2">
        <f t="shared" si="97"/>
        <v>9</v>
      </c>
      <c r="Q296" s="2">
        <f t="shared" si="98"/>
        <v>22</v>
      </c>
      <c r="R296" s="1">
        <f t="shared" si="90"/>
        <v>6907908.1816091938</v>
      </c>
      <c r="S296" s="4">
        <f>IF($G$4="mensual",S295,0)</f>
        <v>10000</v>
      </c>
      <c r="U296" s="1">
        <f t="shared" si="99"/>
        <v>55164.371314413998</v>
      </c>
      <c r="V296" s="35">
        <f t="shared" si="82"/>
        <v>-180.58781191267707</v>
      </c>
      <c r="X296" s="35">
        <f t="shared" si="81"/>
        <v>-6973.0725529236079</v>
      </c>
      <c r="Y296" s="1">
        <f t="shared" si="85"/>
        <v>6965918.8925587712</v>
      </c>
      <c r="AA296" s="2">
        <f>+Bono!J296</f>
        <v>278944.03253683069</v>
      </c>
      <c r="AC296" s="10">
        <f t="shared" si="91"/>
        <v>22.75</v>
      </c>
      <c r="AD296" s="1">
        <f t="shared" si="92"/>
        <v>7750779.0981861129</v>
      </c>
    </row>
    <row r="297" spans="2:30">
      <c r="B297" s="1">
        <f t="shared" si="86"/>
        <v>274</v>
      </c>
      <c r="C297" s="2">
        <f t="shared" si="93"/>
        <v>22</v>
      </c>
      <c r="D297" s="2">
        <f t="shared" si="94"/>
        <v>10</v>
      </c>
      <c r="E297" s="2">
        <f t="shared" si="95"/>
        <v>51</v>
      </c>
      <c r="F297" s="1">
        <f t="shared" si="87"/>
        <v>505916.17309051123</v>
      </c>
      <c r="H297" s="1">
        <f t="shared" si="83"/>
        <v>4034.2466094773204</v>
      </c>
      <c r="I297" s="1">
        <v>0</v>
      </c>
      <c r="J297" s="1">
        <v>0</v>
      </c>
      <c r="K297" s="1">
        <f t="shared" si="88"/>
        <v>-509.95041969998857</v>
      </c>
      <c r="L297" s="1">
        <f t="shared" si="84"/>
        <v>509440.46928028855</v>
      </c>
      <c r="N297" s="1">
        <f t="shared" si="89"/>
        <v>274</v>
      </c>
      <c r="O297" s="2">
        <f t="shared" si="96"/>
        <v>22</v>
      </c>
      <c r="P297" s="2">
        <f t="shared" si="97"/>
        <v>10</v>
      </c>
      <c r="Q297" s="2">
        <f t="shared" si="98"/>
        <v>22</v>
      </c>
      <c r="R297" s="1">
        <f t="shared" si="90"/>
        <v>6965918.8925587712</v>
      </c>
      <c r="S297" s="4">
        <f>IF($G$4="mensual",S288,IF($G$4="trimestral",S288,0))</f>
        <v>10000</v>
      </c>
      <c r="U297" s="1">
        <f t="shared" si="99"/>
        <v>55626.956869906469</v>
      </c>
      <c r="V297" s="35">
        <f t="shared" si="82"/>
        <v>-180.58781191267707</v>
      </c>
      <c r="X297" s="35">
        <f t="shared" si="81"/>
        <v>-7031.5458494286777</v>
      </c>
      <c r="Y297" s="1">
        <f t="shared" si="85"/>
        <v>7024333.715767337</v>
      </c>
      <c r="AA297" s="2">
        <f>+Bono!J297</f>
        <v>280673.51789406419</v>
      </c>
      <c r="AC297" s="10">
        <f t="shared" si="91"/>
        <v>22.833333333333332</v>
      </c>
      <c r="AD297" s="1">
        <f t="shared" si="92"/>
        <v>7814447.7029416896</v>
      </c>
    </row>
    <row r="298" spans="2:30">
      <c r="B298" s="1">
        <f t="shared" si="86"/>
        <v>275</v>
      </c>
      <c r="C298" s="2">
        <f t="shared" si="93"/>
        <v>22</v>
      </c>
      <c r="D298" s="2">
        <f t="shared" si="94"/>
        <v>11</v>
      </c>
      <c r="E298" s="2">
        <f t="shared" si="95"/>
        <v>51</v>
      </c>
      <c r="F298" s="1">
        <f t="shared" si="87"/>
        <v>509440.46928028855</v>
      </c>
      <c r="H298" s="1">
        <f t="shared" si="83"/>
        <v>4062.349842207655</v>
      </c>
      <c r="I298" s="1">
        <v>0</v>
      </c>
      <c r="J298" s="1">
        <v>0</v>
      </c>
      <c r="K298" s="1">
        <f t="shared" si="88"/>
        <v>-513.50281912249625</v>
      </c>
      <c r="L298" s="1">
        <f t="shared" si="84"/>
        <v>512989.31630337372</v>
      </c>
      <c r="N298" s="1">
        <f t="shared" si="89"/>
        <v>275</v>
      </c>
      <c r="O298" s="2">
        <f t="shared" si="96"/>
        <v>22</v>
      </c>
      <c r="P298" s="2">
        <f t="shared" si="97"/>
        <v>11</v>
      </c>
      <c r="Q298" s="2">
        <f t="shared" si="98"/>
        <v>22</v>
      </c>
      <c r="R298" s="1">
        <f t="shared" si="90"/>
        <v>7024333.715767337</v>
      </c>
      <c r="S298" s="1">
        <f>IF($G$17="si",S286*(1+$G$20),S286)</f>
        <v>10000</v>
      </c>
      <c r="U298" s="1">
        <f t="shared" si="99"/>
        <v>56092.764873301159</v>
      </c>
      <c r="V298" s="35">
        <f t="shared" si="82"/>
        <v>-180.58781191267707</v>
      </c>
      <c r="X298" s="35">
        <f t="shared" si="81"/>
        <v>-7090.4264806406391</v>
      </c>
      <c r="Y298" s="1">
        <f t="shared" si="85"/>
        <v>7083155.4663480856</v>
      </c>
      <c r="AA298" s="2">
        <f>+Bono!J298</f>
        <v>282413.72626112035</v>
      </c>
      <c r="AC298" s="10">
        <f t="shared" si="91"/>
        <v>22.916666666666668</v>
      </c>
      <c r="AD298" s="1">
        <f t="shared" si="92"/>
        <v>7878558.5089125792</v>
      </c>
    </row>
    <row r="299" spans="2:30">
      <c r="B299" s="1">
        <f t="shared" si="86"/>
        <v>276</v>
      </c>
      <c r="C299" s="2">
        <f t="shared" si="93"/>
        <v>22</v>
      </c>
      <c r="D299" s="2">
        <f t="shared" si="94"/>
        <v>12</v>
      </c>
      <c r="E299" s="2">
        <f t="shared" si="95"/>
        <v>51</v>
      </c>
      <c r="F299" s="1">
        <f t="shared" si="87"/>
        <v>512989.31630337372</v>
      </c>
      <c r="H299" s="1">
        <f t="shared" si="83"/>
        <v>4090.6488467304334</v>
      </c>
      <c r="I299" s="1">
        <v>0</v>
      </c>
      <c r="J299" s="69">
        <f>-SUM(F299:H299)*$J$21</f>
        <v>-4653.719686350938</v>
      </c>
      <c r="K299" s="1">
        <f t="shared" si="88"/>
        <v>-512.42624546375316</v>
      </c>
      <c r="L299" s="1">
        <f t="shared" si="84"/>
        <v>511913.8192182894</v>
      </c>
      <c r="N299" s="1">
        <f t="shared" si="89"/>
        <v>276</v>
      </c>
      <c r="O299" s="2">
        <f t="shared" si="96"/>
        <v>22</v>
      </c>
      <c r="P299" s="2">
        <f t="shared" si="97"/>
        <v>12</v>
      </c>
      <c r="Q299" s="2">
        <f t="shared" si="98"/>
        <v>22</v>
      </c>
      <c r="R299" s="1">
        <f t="shared" si="90"/>
        <v>7083155.4663480856</v>
      </c>
      <c r="S299" s="4">
        <f>IF($G$4="mensual",S298,0)</f>
        <v>10000</v>
      </c>
      <c r="U299" s="1">
        <f t="shared" si="99"/>
        <v>56561.817772706003</v>
      </c>
      <c r="V299" s="35">
        <f t="shared" si="82"/>
        <v>-180.58781191267707</v>
      </c>
      <c r="X299" s="35">
        <f t="shared" ref="X299:X362" si="100">-SUM(R299:U299)*0.1%</f>
        <v>-7149.7172841207921</v>
      </c>
      <c r="Y299" s="1">
        <f t="shared" si="85"/>
        <v>7142386.9790247586</v>
      </c>
      <c r="AA299" s="2">
        <f>+Bono!J299</f>
        <v>281604.68156224722</v>
      </c>
      <c r="AC299" s="10">
        <f t="shared" si="91"/>
        <v>23</v>
      </c>
      <c r="AD299" s="1">
        <f t="shared" si="92"/>
        <v>7935905.4798052944</v>
      </c>
    </row>
    <row r="300" spans="2:30">
      <c r="B300" s="1">
        <f t="shared" si="86"/>
        <v>277</v>
      </c>
      <c r="C300" s="2">
        <f t="shared" si="93"/>
        <v>23</v>
      </c>
      <c r="D300" s="2">
        <f t="shared" si="94"/>
        <v>1</v>
      </c>
      <c r="E300" s="2">
        <f t="shared" si="95"/>
        <v>52</v>
      </c>
      <c r="F300" s="1">
        <f t="shared" si="87"/>
        <v>511913.8192182894</v>
      </c>
      <c r="H300" s="1">
        <f t="shared" si="83"/>
        <v>4082.0726819430943</v>
      </c>
      <c r="I300" s="1">
        <v>0</v>
      </c>
      <c r="J300" s="1">
        <v>0</v>
      </c>
      <c r="K300" s="1">
        <f t="shared" si="88"/>
        <v>-515.99589190023244</v>
      </c>
      <c r="L300" s="1">
        <f t="shared" si="84"/>
        <v>515479.89600833226</v>
      </c>
      <c r="N300" s="1">
        <f t="shared" si="89"/>
        <v>277</v>
      </c>
      <c r="O300" s="2">
        <f t="shared" si="96"/>
        <v>23</v>
      </c>
      <c r="P300" s="2">
        <f t="shared" si="97"/>
        <v>1</v>
      </c>
      <c r="Q300" s="2">
        <f t="shared" si="98"/>
        <v>23</v>
      </c>
      <c r="R300" s="1">
        <f t="shared" si="90"/>
        <v>7142386.9790247586</v>
      </c>
      <c r="S300" s="1">
        <f>IF($G$17="si",S288*(1+$G$20),S288)</f>
        <v>10000</v>
      </c>
      <c r="U300" s="1">
        <f t="shared" si="99"/>
        <v>57034.138172606188</v>
      </c>
      <c r="V300" s="35">
        <f>(V299*(1+$G$18))</f>
        <v>-187.81132438918416</v>
      </c>
      <c r="X300" s="35">
        <f t="shared" si="100"/>
        <v>-7209.4211171973648</v>
      </c>
      <c r="Y300" s="1">
        <f t="shared" si="85"/>
        <v>7202023.8847557781</v>
      </c>
      <c r="AA300" s="2">
        <f>+Bono!J300</f>
        <v>283350.66325205448</v>
      </c>
      <c r="AC300" s="10">
        <f t="shared" si="91"/>
        <v>23.083333333333332</v>
      </c>
      <c r="AD300" s="1">
        <f t="shared" si="92"/>
        <v>8000854.4440161651</v>
      </c>
    </row>
    <row r="301" spans="2:30">
      <c r="B301" s="1">
        <f t="shared" si="86"/>
        <v>278</v>
      </c>
      <c r="C301" s="2">
        <f t="shared" si="93"/>
        <v>23</v>
      </c>
      <c r="D301" s="2">
        <f t="shared" si="94"/>
        <v>2</v>
      </c>
      <c r="E301" s="2">
        <f t="shared" si="95"/>
        <v>52</v>
      </c>
      <c r="F301" s="1">
        <f t="shared" si="87"/>
        <v>515479.89600833226</v>
      </c>
      <c r="H301" s="1">
        <f t="shared" si="83"/>
        <v>4110.5090790471504</v>
      </c>
      <c r="I301" s="1">
        <v>0</v>
      </c>
      <c r="J301" s="1">
        <v>0</v>
      </c>
      <c r="K301" s="1">
        <f t="shared" si="88"/>
        <v>-519.59040508737939</v>
      </c>
      <c r="L301" s="1">
        <f t="shared" si="84"/>
        <v>519070.814682292</v>
      </c>
      <c r="N301" s="1">
        <f t="shared" si="89"/>
        <v>278</v>
      </c>
      <c r="O301" s="2">
        <f t="shared" si="96"/>
        <v>23</v>
      </c>
      <c r="P301" s="2">
        <f t="shared" si="97"/>
        <v>2</v>
      </c>
      <c r="Q301" s="2">
        <f t="shared" si="98"/>
        <v>23</v>
      </c>
      <c r="R301" s="1">
        <f t="shared" si="90"/>
        <v>7202023.8847557781</v>
      </c>
      <c r="S301" s="4">
        <f>IF($G$4="mensual",S300,0)</f>
        <v>10000</v>
      </c>
      <c r="U301" s="1">
        <f t="shared" si="99"/>
        <v>57509.691233650636</v>
      </c>
      <c r="V301" s="35">
        <f t="shared" si="82"/>
        <v>-187.81132438918416</v>
      </c>
      <c r="X301" s="35">
        <f t="shared" si="100"/>
        <v>-7269.5335759894288</v>
      </c>
      <c r="Y301" s="1">
        <f t="shared" si="85"/>
        <v>7262076.2310890509</v>
      </c>
      <c r="AA301" s="2">
        <f>+Bono!J301</f>
        <v>285107.47023085988</v>
      </c>
      <c r="AC301" s="10">
        <f t="shared" si="91"/>
        <v>23.166666666666668</v>
      </c>
      <c r="AD301" s="1">
        <f t="shared" si="92"/>
        <v>8066254.5160022024</v>
      </c>
    </row>
    <row r="302" spans="2:30">
      <c r="B302" s="1">
        <f t="shared" si="86"/>
        <v>279</v>
      </c>
      <c r="C302" s="2">
        <f t="shared" si="93"/>
        <v>23</v>
      </c>
      <c r="D302" s="2">
        <f t="shared" si="94"/>
        <v>3</v>
      </c>
      <c r="E302" s="2">
        <f t="shared" si="95"/>
        <v>52</v>
      </c>
      <c r="F302" s="1">
        <f t="shared" si="87"/>
        <v>519070.814682292</v>
      </c>
      <c r="H302" s="1">
        <f t="shared" si="83"/>
        <v>4139.1435688220781</v>
      </c>
      <c r="I302" s="1">
        <v>0</v>
      </c>
      <c r="J302" s="69">
        <f>-SUM(F302:H302)*$J$21</f>
        <v>-4708.8896242600267</v>
      </c>
      <c r="K302" s="1">
        <f t="shared" si="88"/>
        <v>-518.50106862685402</v>
      </c>
      <c r="L302" s="1">
        <f t="shared" si="84"/>
        <v>517982.56755822717</v>
      </c>
      <c r="N302" s="1">
        <f t="shared" si="89"/>
        <v>279</v>
      </c>
      <c r="O302" s="2">
        <f t="shared" si="96"/>
        <v>23</v>
      </c>
      <c r="P302" s="2">
        <f t="shared" si="97"/>
        <v>3</v>
      </c>
      <c r="Q302" s="2">
        <f t="shared" si="98"/>
        <v>23</v>
      </c>
      <c r="R302" s="1">
        <f t="shared" si="90"/>
        <v>7262076.2310890509</v>
      </c>
      <c r="S302" s="4">
        <f>IF($G$4="mensual",S301,0)</f>
        <v>10000</v>
      </c>
      <c r="U302" s="1">
        <f t="shared" si="99"/>
        <v>57988.557076397316</v>
      </c>
      <c r="V302" s="35">
        <f t="shared" si="82"/>
        <v>-187.81132438918416</v>
      </c>
      <c r="X302" s="35">
        <f t="shared" si="100"/>
        <v>-7330.0647881654486</v>
      </c>
      <c r="Y302" s="1">
        <f t="shared" si="85"/>
        <v>7322546.912052894</v>
      </c>
      <c r="AA302" s="2">
        <f>+Bono!J302</f>
        <v>284290.70862917294</v>
      </c>
      <c r="AC302" s="10">
        <f t="shared" si="91"/>
        <v>23.25</v>
      </c>
      <c r="AD302" s="1">
        <f t="shared" si="92"/>
        <v>8124820.1882402943</v>
      </c>
    </row>
    <row r="303" spans="2:30">
      <c r="B303" s="1">
        <f t="shared" si="86"/>
        <v>280</v>
      </c>
      <c r="C303" s="2">
        <f t="shared" si="93"/>
        <v>23</v>
      </c>
      <c r="D303" s="2">
        <f t="shared" si="94"/>
        <v>4</v>
      </c>
      <c r="E303" s="2">
        <f t="shared" si="95"/>
        <v>52</v>
      </c>
      <c r="F303" s="1">
        <f t="shared" si="87"/>
        <v>517982.56755822717</v>
      </c>
      <c r="H303" s="1">
        <f t="shared" si="83"/>
        <v>4130.4657334334343</v>
      </c>
      <c r="I303" s="1">
        <v>0</v>
      </c>
      <c r="J303" s="1">
        <v>0</v>
      </c>
      <c r="K303" s="1">
        <f t="shared" si="88"/>
        <v>-522.1130332916606</v>
      </c>
      <c r="L303" s="1">
        <f t="shared" si="84"/>
        <v>521590.92025836895</v>
      </c>
      <c r="N303" s="1">
        <f t="shared" si="89"/>
        <v>280</v>
      </c>
      <c r="O303" s="2">
        <f t="shared" si="96"/>
        <v>23</v>
      </c>
      <c r="P303" s="2">
        <f t="shared" si="97"/>
        <v>4</v>
      </c>
      <c r="Q303" s="2">
        <f t="shared" si="98"/>
        <v>23</v>
      </c>
      <c r="R303" s="1">
        <f t="shared" si="90"/>
        <v>7322546.912052894</v>
      </c>
      <c r="S303" s="4">
        <f>IF($G$4="mensual",S300,IF($G$4="trimestral",S300,0))</f>
        <v>10000</v>
      </c>
      <c r="U303" s="1">
        <f t="shared" si="99"/>
        <v>58470.758778234434</v>
      </c>
      <c r="V303" s="35">
        <f t="shared" si="82"/>
        <v>-187.81132438918416</v>
      </c>
      <c r="X303" s="35">
        <f t="shared" si="100"/>
        <v>-7391.0176708311283</v>
      </c>
      <c r="Y303" s="1">
        <f t="shared" si="85"/>
        <v>7383438.8418359086</v>
      </c>
      <c r="AA303" s="2">
        <f>+Bono!J303</f>
        <v>286053.34399835498</v>
      </c>
      <c r="AC303" s="10">
        <f t="shared" si="91"/>
        <v>23.333333333333332</v>
      </c>
      <c r="AD303" s="1">
        <f t="shared" si="92"/>
        <v>8191083.1060926327</v>
      </c>
    </row>
    <row r="304" spans="2:30">
      <c r="B304" s="1">
        <f t="shared" si="86"/>
        <v>281</v>
      </c>
      <c r="C304" s="2">
        <f t="shared" si="93"/>
        <v>23</v>
      </c>
      <c r="D304" s="2">
        <f t="shared" si="94"/>
        <v>5</v>
      </c>
      <c r="E304" s="2">
        <f t="shared" si="95"/>
        <v>52</v>
      </c>
      <c r="F304" s="1">
        <f t="shared" si="87"/>
        <v>521590.92025836895</v>
      </c>
      <c r="H304" s="1">
        <f t="shared" si="83"/>
        <v>4159.2392445813794</v>
      </c>
      <c r="I304" s="1">
        <v>0</v>
      </c>
      <c r="J304" s="1">
        <v>0</v>
      </c>
      <c r="K304" s="1">
        <f t="shared" si="88"/>
        <v>-525.7501595029504</v>
      </c>
      <c r="L304" s="1">
        <f t="shared" si="84"/>
        <v>525224.40934344742</v>
      </c>
      <c r="N304" s="1">
        <f t="shared" si="89"/>
        <v>281</v>
      </c>
      <c r="O304" s="2">
        <f t="shared" si="96"/>
        <v>23</v>
      </c>
      <c r="P304" s="2">
        <f t="shared" si="97"/>
        <v>5</v>
      </c>
      <c r="Q304" s="2">
        <f t="shared" si="98"/>
        <v>23</v>
      </c>
      <c r="R304" s="1">
        <f t="shared" si="90"/>
        <v>7383438.8418359086</v>
      </c>
      <c r="S304" s="4">
        <f>IF($G$4="mensual",S303,0)</f>
        <v>10000</v>
      </c>
      <c r="U304" s="1">
        <f t="shared" si="99"/>
        <v>58956.319577311144</v>
      </c>
      <c r="V304" s="35">
        <f t="shared" si="82"/>
        <v>-187.81132438918416</v>
      </c>
      <c r="X304" s="35">
        <f t="shared" si="100"/>
        <v>-7452.3951614132202</v>
      </c>
      <c r="Y304" s="1">
        <f t="shared" si="85"/>
        <v>7444754.9549274174</v>
      </c>
      <c r="AA304" s="2">
        <f>+Bono!J304</f>
        <v>287826.90791127901</v>
      </c>
      <c r="AC304" s="10">
        <f t="shared" si="91"/>
        <v>23.416666666666668</v>
      </c>
      <c r="AD304" s="1">
        <f t="shared" si="92"/>
        <v>8257806.2721821442</v>
      </c>
    </row>
    <row r="305" spans="2:30">
      <c r="B305" s="1">
        <f t="shared" si="86"/>
        <v>282</v>
      </c>
      <c r="C305" s="2">
        <f t="shared" si="93"/>
        <v>23</v>
      </c>
      <c r="D305" s="2">
        <f t="shared" si="94"/>
        <v>6</v>
      </c>
      <c r="E305" s="2">
        <f t="shared" si="95"/>
        <v>52</v>
      </c>
      <c r="F305" s="1">
        <f t="shared" si="87"/>
        <v>525224.40934344742</v>
      </c>
      <c r="H305" s="1">
        <f t="shared" si="83"/>
        <v>4188.2131967926844</v>
      </c>
      <c r="I305" s="1">
        <v>0</v>
      </c>
      <c r="J305" s="69">
        <f>-SUM(F305:H305)*$J$21</f>
        <v>-4764.7136028621608</v>
      </c>
      <c r="K305" s="1">
        <f t="shared" si="88"/>
        <v>-524.64790893737791</v>
      </c>
      <c r="L305" s="1">
        <f t="shared" si="84"/>
        <v>524123.26102844049</v>
      </c>
      <c r="N305" s="1">
        <f t="shared" si="89"/>
        <v>282</v>
      </c>
      <c r="O305" s="2">
        <f t="shared" si="96"/>
        <v>23</v>
      </c>
      <c r="P305" s="2">
        <f t="shared" si="97"/>
        <v>6</v>
      </c>
      <c r="Q305" s="2">
        <f t="shared" si="98"/>
        <v>23</v>
      </c>
      <c r="R305" s="1">
        <f t="shared" si="90"/>
        <v>7444754.9549274174</v>
      </c>
      <c r="S305" s="4">
        <f>IF($G$4="mensual",S304,0)</f>
        <v>10000</v>
      </c>
      <c r="U305" s="1">
        <f t="shared" si="99"/>
        <v>59445.262873657375</v>
      </c>
      <c r="V305" s="35">
        <f t="shared" ref="V305:V368" si="101">V304</f>
        <v>-187.81132438918416</v>
      </c>
      <c r="X305" s="35">
        <f t="shared" si="100"/>
        <v>-7514.2002178010744</v>
      </c>
      <c r="Y305" s="1">
        <f t="shared" si="85"/>
        <v>7506498.2062588846</v>
      </c>
      <c r="AA305" s="2">
        <f>+Bono!J305</f>
        <v>287002.35580072273</v>
      </c>
      <c r="AC305" s="10">
        <f t="shared" si="91"/>
        <v>23.5</v>
      </c>
      <c r="AD305" s="1">
        <f t="shared" si="92"/>
        <v>8317623.823088048</v>
      </c>
    </row>
    <row r="306" spans="2:30">
      <c r="B306" s="1">
        <f t="shared" si="86"/>
        <v>283</v>
      </c>
      <c r="C306" s="2">
        <f t="shared" si="93"/>
        <v>23</v>
      </c>
      <c r="D306" s="2">
        <f t="shared" si="94"/>
        <v>7</v>
      </c>
      <c r="E306" s="2">
        <f t="shared" si="95"/>
        <v>52</v>
      </c>
      <c r="F306" s="1">
        <f t="shared" si="87"/>
        <v>524123.26102844049</v>
      </c>
      <c r="H306" s="1">
        <f t="shared" si="83"/>
        <v>4179.4324854957677</v>
      </c>
      <c r="I306" s="1">
        <v>0</v>
      </c>
      <c r="J306" s="1">
        <v>0</v>
      </c>
      <c r="K306" s="1">
        <f t="shared" si="88"/>
        <v>-528.30269351393622</v>
      </c>
      <c r="L306" s="1">
        <f t="shared" si="84"/>
        <v>527774.39082042233</v>
      </c>
      <c r="N306" s="1">
        <f t="shared" si="89"/>
        <v>283</v>
      </c>
      <c r="O306" s="2">
        <f t="shared" si="96"/>
        <v>23</v>
      </c>
      <c r="P306" s="2">
        <f t="shared" si="97"/>
        <v>7</v>
      </c>
      <c r="Q306" s="2">
        <f t="shared" si="98"/>
        <v>23</v>
      </c>
      <c r="R306" s="1">
        <f t="shared" si="90"/>
        <v>7506498.2062588846</v>
      </c>
      <c r="S306" s="1">
        <f>+IF($G$4="mensual",S300,IF($G$4="trimestral",S300,IF($G$4="semestral",S300,0)))</f>
        <v>10000</v>
      </c>
      <c r="U306" s="1">
        <f t="shared" si="99"/>
        <v>59937.612230311599</v>
      </c>
      <c r="V306" s="35">
        <f t="shared" si="101"/>
        <v>-187.81132438918416</v>
      </c>
      <c r="X306" s="35">
        <f t="shared" si="100"/>
        <v>-7576.4358184891962</v>
      </c>
      <c r="Y306" s="1">
        <f t="shared" si="85"/>
        <v>7568671.5713463174</v>
      </c>
      <c r="AA306" s="2">
        <f>+Bono!J306</f>
        <v>288781.80369689997</v>
      </c>
      <c r="AC306" s="10">
        <f t="shared" si="91"/>
        <v>23.583333333333332</v>
      </c>
      <c r="AD306" s="1">
        <f t="shared" si="92"/>
        <v>8385227.7658636393</v>
      </c>
    </row>
    <row r="307" spans="2:30">
      <c r="B307" s="1">
        <f t="shared" si="86"/>
        <v>284</v>
      </c>
      <c r="C307" s="2">
        <f t="shared" si="93"/>
        <v>23</v>
      </c>
      <c r="D307" s="2">
        <f t="shared" si="94"/>
        <v>8</v>
      </c>
      <c r="E307" s="2">
        <f t="shared" si="95"/>
        <v>52</v>
      </c>
      <c r="F307" s="1">
        <f t="shared" si="87"/>
        <v>527774.39082042233</v>
      </c>
      <c r="H307" s="1">
        <f t="shared" si="83"/>
        <v>4208.5471071811853</v>
      </c>
      <c r="I307" s="1">
        <v>0</v>
      </c>
      <c r="J307" s="1">
        <v>0</v>
      </c>
      <c r="K307" s="1">
        <f t="shared" si="88"/>
        <v>-531.98293792760353</v>
      </c>
      <c r="L307" s="1">
        <f t="shared" si="84"/>
        <v>531450.9549896759</v>
      </c>
      <c r="N307" s="1">
        <f t="shared" si="89"/>
        <v>284</v>
      </c>
      <c r="O307" s="2">
        <f t="shared" si="96"/>
        <v>23</v>
      </c>
      <c r="P307" s="2">
        <f t="shared" si="97"/>
        <v>8</v>
      </c>
      <c r="Q307" s="2">
        <f t="shared" si="98"/>
        <v>23</v>
      </c>
      <c r="R307" s="1">
        <f t="shared" si="90"/>
        <v>7568671.5713463174</v>
      </c>
      <c r="S307" s="4">
        <f>IF($G$4="mensual",S306,0)</f>
        <v>10000</v>
      </c>
      <c r="U307" s="1">
        <f t="shared" si="99"/>
        <v>60433.391374456289</v>
      </c>
      <c r="V307" s="35">
        <f t="shared" si="101"/>
        <v>-187.81132438918416</v>
      </c>
      <c r="X307" s="35">
        <f t="shared" si="100"/>
        <v>-7639.104962720774</v>
      </c>
      <c r="Y307" s="1">
        <f t="shared" si="85"/>
        <v>7631278.0464336649</v>
      </c>
      <c r="AA307" s="2">
        <f>+Bono!J307</f>
        <v>290572.28437643667</v>
      </c>
      <c r="AC307" s="10">
        <f t="shared" si="91"/>
        <v>23.666666666666668</v>
      </c>
      <c r="AD307" s="1">
        <f t="shared" si="92"/>
        <v>8453301.2857997771</v>
      </c>
    </row>
    <row r="308" spans="2:30">
      <c r="B308" s="1">
        <f t="shared" si="86"/>
        <v>285</v>
      </c>
      <c r="C308" s="2">
        <f t="shared" si="93"/>
        <v>23</v>
      </c>
      <c r="D308" s="2">
        <f t="shared" si="94"/>
        <v>9</v>
      </c>
      <c r="E308" s="2">
        <f t="shared" si="95"/>
        <v>52</v>
      </c>
      <c r="F308" s="1">
        <f t="shared" si="87"/>
        <v>531450.9549896759</v>
      </c>
      <c r="H308" s="1">
        <f t="shared" si="83"/>
        <v>4237.8645461626893</v>
      </c>
      <c r="I308" s="1">
        <v>0</v>
      </c>
      <c r="J308" s="69">
        <f>-SUM(F308:H308)*$J$21</f>
        <v>-4821.1993758225472</v>
      </c>
      <c r="K308" s="1">
        <f t="shared" si="88"/>
        <v>-530.86762016001603</v>
      </c>
      <c r="L308" s="1">
        <f t="shared" si="84"/>
        <v>530336.75253985601</v>
      </c>
      <c r="N308" s="1">
        <f t="shared" si="89"/>
        <v>285</v>
      </c>
      <c r="O308" s="2">
        <f t="shared" si="96"/>
        <v>23</v>
      </c>
      <c r="P308" s="2">
        <f t="shared" si="97"/>
        <v>9</v>
      </c>
      <c r="Q308" s="2">
        <f t="shared" si="98"/>
        <v>23</v>
      </c>
      <c r="R308" s="1">
        <f t="shared" si="90"/>
        <v>7631278.0464336649</v>
      </c>
      <c r="S308" s="4">
        <f>IF($G$4="mensual",S307,0)</f>
        <v>10000</v>
      </c>
      <c r="U308" s="1">
        <f t="shared" si="99"/>
        <v>60932.624198561462</v>
      </c>
      <c r="V308" s="35">
        <f t="shared" si="101"/>
        <v>-187.81132438918416</v>
      </c>
      <c r="X308" s="35">
        <f t="shared" si="100"/>
        <v>-7702.2106706322265</v>
      </c>
      <c r="Y308" s="1">
        <f t="shared" si="85"/>
        <v>7694320.6486372054</v>
      </c>
      <c r="AA308" s="2">
        <f>+Bono!J308</f>
        <v>289739.86744887958</v>
      </c>
      <c r="AC308" s="10">
        <f t="shared" si="91"/>
        <v>23.75</v>
      </c>
      <c r="AD308" s="1">
        <f t="shared" si="92"/>
        <v>8514397.2686259411</v>
      </c>
    </row>
    <row r="309" spans="2:30">
      <c r="B309" s="1">
        <f t="shared" si="86"/>
        <v>286</v>
      </c>
      <c r="C309" s="2">
        <f t="shared" si="93"/>
        <v>23</v>
      </c>
      <c r="D309" s="2">
        <f t="shared" si="94"/>
        <v>10</v>
      </c>
      <c r="E309" s="2">
        <f t="shared" si="95"/>
        <v>52</v>
      </c>
      <c r="F309" s="1">
        <f t="shared" si="87"/>
        <v>530336.75253985601</v>
      </c>
      <c r="H309" s="1">
        <f t="shared" si="83"/>
        <v>4228.9797393615972</v>
      </c>
      <c r="I309" s="1">
        <v>0</v>
      </c>
      <c r="J309" s="1">
        <v>0</v>
      </c>
      <c r="K309" s="1">
        <f t="shared" si="88"/>
        <v>-534.56573227921763</v>
      </c>
      <c r="L309" s="1">
        <f t="shared" si="84"/>
        <v>534031.16654693836</v>
      </c>
      <c r="N309" s="1">
        <f t="shared" si="89"/>
        <v>286</v>
      </c>
      <c r="O309" s="2">
        <f t="shared" si="96"/>
        <v>23</v>
      </c>
      <c r="P309" s="2">
        <f t="shared" si="97"/>
        <v>10</v>
      </c>
      <c r="Q309" s="2">
        <f t="shared" si="98"/>
        <v>23</v>
      </c>
      <c r="R309" s="1">
        <f t="shared" si="90"/>
        <v>7694320.6486372054</v>
      </c>
      <c r="S309" s="4">
        <f>IF($G$4="mensual",S300,IF($G$4="trimestral",S300,0))</f>
        <v>10000</v>
      </c>
      <c r="U309" s="1">
        <f t="shared" si="99"/>
        <v>61435.334761536011</v>
      </c>
      <c r="V309" s="35">
        <f t="shared" si="101"/>
        <v>-187.81132438918416</v>
      </c>
      <c r="X309" s="35">
        <f t="shared" si="100"/>
        <v>-7765.7559833987416</v>
      </c>
      <c r="Y309" s="1">
        <f t="shared" si="85"/>
        <v>7757802.4160909541</v>
      </c>
      <c r="AA309" s="2">
        <f>+Bono!J309</f>
        <v>291536.28823480709</v>
      </c>
      <c r="AC309" s="10">
        <f t="shared" si="91"/>
        <v>23.833333333333332</v>
      </c>
      <c r="AD309" s="1">
        <f t="shared" si="92"/>
        <v>8583369.8708727006</v>
      </c>
    </row>
    <row r="310" spans="2:30">
      <c r="B310" s="1">
        <f t="shared" si="86"/>
        <v>287</v>
      </c>
      <c r="C310" s="2">
        <f t="shared" si="93"/>
        <v>23</v>
      </c>
      <c r="D310" s="2">
        <f t="shared" si="94"/>
        <v>11</v>
      </c>
      <c r="E310" s="2">
        <f t="shared" si="95"/>
        <v>52</v>
      </c>
      <c r="F310" s="1">
        <f t="shared" si="87"/>
        <v>534031.16654693836</v>
      </c>
      <c r="H310" s="1">
        <f t="shared" si="83"/>
        <v>4258.4395154565809</v>
      </c>
      <c r="I310" s="1">
        <v>0</v>
      </c>
      <c r="J310" s="1">
        <v>0</v>
      </c>
      <c r="K310" s="1">
        <f t="shared" si="88"/>
        <v>-538.28960606239491</v>
      </c>
      <c r="L310" s="1">
        <f t="shared" si="84"/>
        <v>537751.31645633257</v>
      </c>
      <c r="N310" s="1">
        <f t="shared" si="89"/>
        <v>287</v>
      </c>
      <c r="O310" s="2">
        <f t="shared" si="96"/>
        <v>23</v>
      </c>
      <c r="P310" s="2">
        <f t="shared" si="97"/>
        <v>11</v>
      </c>
      <c r="Q310" s="2">
        <f t="shared" si="98"/>
        <v>23</v>
      </c>
      <c r="R310" s="1">
        <f t="shared" si="90"/>
        <v>7757802.4160909541</v>
      </c>
      <c r="S310" s="1">
        <f>IF($G$17="si",S298*(1+$G$20),S298)</f>
        <v>10000</v>
      </c>
      <c r="U310" s="1">
        <f t="shared" si="99"/>
        <v>61941.547289887218</v>
      </c>
      <c r="V310" s="35">
        <f t="shared" si="101"/>
        <v>-187.81132438918416</v>
      </c>
      <c r="X310" s="35">
        <f t="shared" si="100"/>
        <v>-7829.7439633808417</v>
      </c>
      <c r="Y310" s="1">
        <f t="shared" si="85"/>
        <v>7821726.4080930715</v>
      </c>
      <c r="AA310" s="2">
        <f>+Bono!J310</f>
        <v>293343.84703797929</v>
      </c>
      <c r="AC310" s="10">
        <f t="shared" si="91"/>
        <v>23.916666666666668</v>
      </c>
      <c r="AD310" s="1">
        <f t="shared" si="92"/>
        <v>8652821.5715873837</v>
      </c>
    </row>
    <row r="311" spans="2:30">
      <c r="B311" s="1">
        <f t="shared" si="86"/>
        <v>288</v>
      </c>
      <c r="C311" s="2">
        <f t="shared" si="93"/>
        <v>23</v>
      </c>
      <c r="D311" s="2">
        <f t="shared" si="94"/>
        <v>12</v>
      </c>
      <c r="E311" s="2">
        <f t="shared" si="95"/>
        <v>52</v>
      </c>
      <c r="F311" s="1">
        <f t="shared" si="87"/>
        <v>537751.31645633257</v>
      </c>
      <c r="H311" s="1">
        <f t="shared" si="83"/>
        <v>4288.1045132506633</v>
      </c>
      <c r="I311" s="1">
        <v>0</v>
      </c>
      <c r="J311" s="69">
        <f>-SUM(F311:H311)*$J$21</f>
        <v>-4878.3547887262494</v>
      </c>
      <c r="K311" s="1">
        <f t="shared" si="88"/>
        <v>-537.16106618085701</v>
      </c>
      <c r="L311" s="1">
        <f t="shared" si="84"/>
        <v>536623.9051146761</v>
      </c>
      <c r="N311" s="1">
        <f t="shared" si="89"/>
        <v>288</v>
      </c>
      <c r="O311" s="2">
        <f t="shared" si="96"/>
        <v>23</v>
      </c>
      <c r="P311" s="2">
        <f t="shared" si="97"/>
        <v>12</v>
      </c>
      <c r="Q311" s="2">
        <f t="shared" si="98"/>
        <v>23</v>
      </c>
      <c r="R311" s="1">
        <f t="shared" si="90"/>
        <v>7821726.4080930715</v>
      </c>
      <c r="S311" s="4">
        <f>IF($G$4="mensual",S310,0)</f>
        <v>10000</v>
      </c>
      <c r="U311" s="1">
        <f t="shared" si="99"/>
        <v>62451.286178888222</v>
      </c>
      <c r="V311" s="35">
        <f t="shared" si="101"/>
        <v>-187.81132438918416</v>
      </c>
      <c r="X311" s="35">
        <f t="shared" si="100"/>
        <v>-7894.1776942719598</v>
      </c>
      <c r="Y311" s="1">
        <f t="shared" si="85"/>
        <v>7886095.7052532984</v>
      </c>
      <c r="AA311" s="2">
        <f>+Bono!J311</f>
        <v>292503.49027651758</v>
      </c>
      <c r="AC311" s="10">
        <f t="shared" si="91"/>
        <v>24</v>
      </c>
      <c r="AD311" s="1">
        <f t="shared" si="92"/>
        <v>8715223.1006444916</v>
      </c>
    </row>
    <row r="312" spans="2:30">
      <c r="B312" s="1">
        <f t="shared" si="86"/>
        <v>289</v>
      </c>
      <c r="C312" s="2">
        <f t="shared" si="93"/>
        <v>24</v>
      </c>
      <c r="D312" s="2">
        <f t="shared" si="94"/>
        <v>1</v>
      </c>
      <c r="E312" s="2">
        <f t="shared" si="95"/>
        <v>53</v>
      </c>
      <c r="F312" s="1">
        <f t="shared" si="87"/>
        <v>536623.9051146761</v>
      </c>
      <c r="H312" s="1">
        <f t="shared" si="83"/>
        <v>4279.1143768911561</v>
      </c>
      <c r="I312" s="1">
        <v>0</v>
      </c>
      <c r="J312" s="1">
        <v>0</v>
      </c>
      <c r="K312" s="1">
        <f t="shared" si="88"/>
        <v>-540.90301949156731</v>
      </c>
      <c r="L312" s="1">
        <f t="shared" si="84"/>
        <v>540362.11647207569</v>
      </c>
      <c r="N312" s="1">
        <f t="shared" si="89"/>
        <v>289</v>
      </c>
      <c r="O312" s="2">
        <f t="shared" si="96"/>
        <v>24</v>
      </c>
      <c r="P312" s="2">
        <f t="shared" si="97"/>
        <v>1</v>
      </c>
      <c r="Q312" s="2">
        <f t="shared" si="98"/>
        <v>24</v>
      </c>
      <c r="R312" s="1">
        <f t="shared" si="90"/>
        <v>7886095.7052532984</v>
      </c>
      <c r="S312" s="1">
        <f>IF($G$17="si",S300*(1+$G$20),S300)</f>
        <v>10000</v>
      </c>
      <c r="U312" s="1">
        <f t="shared" si="99"/>
        <v>62964.575993753708</v>
      </c>
      <c r="V312" s="35">
        <f>(V311*(1+$G$18))</f>
        <v>-195.32377736475155</v>
      </c>
      <c r="X312" s="35">
        <f t="shared" si="100"/>
        <v>-7959.0602812470524</v>
      </c>
      <c r="Y312" s="1">
        <f t="shared" si="85"/>
        <v>7950905.8971884409</v>
      </c>
      <c r="AA312" s="2">
        <f>+Bono!J312</f>
        <v>294317.04584453686</v>
      </c>
      <c r="AC312" s="10">
        <f t="shared" si="91"/>
        <v>24.083333333333332</v>
      </c>
      <c r="AD312" s="1">
        <f t="shared" si="92"/>
        <v>8785585.0595050529</v>
      </c>
    </row>
    <row r="313" spans="2:30">
      <c r="B313" s="1">
        <f t="shared" si="86"/>
        <v>290</v>
      </c>
      <c r="C313" s="2">
        <f t="shared" si="93"/>
        <v>24</v>
      </c>
      <c r="D313" s="2">
        <f t="shared" si="94"/>
        <v>2</v>
      </c>
      <c r="E313" s="2">
        <f t="shared" si="95"/>
        <v>53</v>
      </c>
      <c r="F313" s="1">
        <f t="shared" si="87"/>
        <v>540362.11647207569</v>
      </c>
      <c r="H313" s="1">
        <f t="shared" si="83"/>
        <v>4308.9233992079835</v>
      </c>
      <c r="I313" s="1">
        <v>0</v>
      </c>
      <c r="J313" s="1">
        <v>0</v>
      </c>
      <c r="K313" s="1">
        <f t="shared" si="88"/>
        <v>-544.67103987128371</v>
      </c>
      <c r="L313" s="1">
        <f t="shared" si="84"/>
        <v>544126.3688314124</v>
      </c>
      <c r="N313" s="1">
        <f t="shared" si="89"/>
        <v>290</v>
      </c>
      <c r="O313" s="2">
        <f t="shared" si="96"/>
        <v>24</v>
      </c>
      <c r="P313" s="2">
        <f t="shared" si="97"/>
        <v>2</v>
      </c>
      <c r="Q313" s="2">
        <f t="shared" si="98"/>
        <v>24</v>
      </c>
      <c r="R313" s="1">
        <f t="shared" si="90"/>
        <v>7950905.8971884409</v>
      </c>
      <c r="S313" s="4">
        <f>IF($G$4="mensual",S312,0)</f>
        <v>10000</v>
      </c>
      <c r="U313" s="1">
        <f t="shared" si="99"/>
        <v>63481.381565468742</v>
      </c>
      <c r="V313" s="35">
        <f t="shared" si="101"/>
        <v>-195.32377736475155</v>
      </c>
      <c r="X313" s="35">
        <f t="shared" si="100"/>
        <v>-8024.3872787539094</v>
      </c>
      <c r="Y313" s="1">
        <f t="shared" si="85"/>
        <v>8016167.5676977905</v>
      </c>
      <c r="AA313" s="2">
        <f>+Bono!J313</f>
        <v>296141.8456674373</v>
      </c>
      <c r="AC313" s="10">
        <f t="shared" si="91"/>
        <v>24.166666666666668</v>
      </c>
      <c r="AD313" s="1">
        <f t="shared" si="92"/>
        <v>8856435.782196641</v>
      </c>
    </row>
    <row r="314" spans="2:30">
      <c r="B314" s="1">
        <f t="shared" si="86"/>
        <v>291</v>
      </c>
      <c r="C314" s="2">
        <f t="shared" si="93"/>
        <v>24</v>
      </c>
      <c r="D314" s="2">
        <f t="shared" si="94"/>
        <v>3</v>
      </c>
      <c r="E314" s="2">
        <f t="shared" si="95"/>
        <v>53</v>
      </c>
      <c r="F314" s="1">
        <f t="shared" si="87"/>
        <v>544126.3688314124</v>
      </c>
      <c r="H314" s="1">
        <f t="shared" si="83"/>
        <v>4338.9400761311663</v>
      </c>
      <c r="I314" s="1">
        <v>0</v>
      </c>
      <c r="J314" s="69">
        <f>-SUM(F314:H314)*$J$21</f>
        <v>-4936.187780167892</v>
      </c>
      <c r="K314" s="1">
        <f t="shared" si="88"/>
        <v>-543.52912112737567</v>
      </c>
      <c r="L314" s="1">
        <f t="shared" si="84"/>
        <v>542985.59200624831</v>
      </c>
      <c r="N314" s="1">
        <f t="shared" si="89"/>
        <v>291</v>
      </c>
      <c r="O314" s="2">
        <f t="shared" si="96"/>
        <v>24</v>
      </c>
      <c r="P314" s="2">
        <f t="shared" si="97"/>
        <v>3</v>
      </c>
      <c r="Q314" s="2">
        <f t="shared" si="98"/>
        <v>24</v>
      </c>
      <c r="R314" s="1">
        <f t="shared" si="90"/>
        <v>8016167.5676977905</v>
      </c>
      <c r="S314" s="4">
        <f>IF($G$4="mensual",S313,0)</f>
        <v>10000</v>
      </c>
      <c r="U314" s="1">
        <f t="shared" si="99"/>
        <v>64001.787290735141</v>
      </c>
      <c r="V314" s="35">
        <f t="shared" si="101"/>
        <v>-195.32377736475155</v>
      </c>
      <c r="X314" s="35">
        <f t="shared" si="100"/>
        <v>-8090.1693549885258</v>
      </c>
      <c r="Y314" s="1">
        <f t="shared" si="85"/>
        <v>8081883.8618561728</v>
      </c>
      <c r="AA314" s="2">
        <f>+Bono!J314</f>
        <v>295293.47333963396</v>
      </c>
      <c r="AC314" s="10">
        <f t="shared" si="91"/>
        <v>24.25</v>
      </c>
      <c r="AD314" s="1">
        <f t="shared" si="92"/>
        <v>8920162.9272020552</v>
      </c>
    </row>
    <row r="315" spans="2:30">
      <c r="B315" s="1">
        <f t="shared" si="86"/>
        <v>292</v>
      </c>
      <c r="C315" s="2">
        <f t="shared" si="93"/>
        <v>24</v>
      </c>
      <c r="D315" s="2">
        <f t="shared" si="94"/>
        <v>4</v>
      </c>
      <c r="E315" s="2">
        <f t="shared" si="95"/>
        <v>53</v>
      </c>
      <c r="F315" s="1">
        <f t="shared" si="87"/>
        <v>542985.59200624831</v>
      </c>
      <c r="H315" s="1">
        <f t="shared" si="83"/>
        <v>4329.8433615292688</v>
      </c>
      <c r="I315" s="1">
        <v>0</v>
      </c>
      <c r="J315" s="1">
        <v>0</v>
      </c>
      <c r="K315" s="1">
        <f t="shared" si="88"/>
        <v>-547.31543536777758</v>
      </c>
      <c r="L315" s="1">
        <f t="shared" si="84"/>
        <v>546768.11993240984</v>
      </c>
      <c r="N315" s="1">
        <f t="shared" si="89"/>
        <v>292</v>
      </c>
      <c r="O315" s="2">
        <f t="shared" si="96"/>
        <v>24</v>
      </c>
      <c r="P315" s="2">
        <f t="shared" si="97"/>
        <v>4</v>
      </c>
      <c r="Q315" s="2">
        <f t="shared" si="98"/>
        <v>24</v>
      </c>
      <c r="R315" s="1">
        <f t="shared" si="90"/>
        <v>8081883.8618561728</v>
      </c>
      <c r="S315" s="4">
        <f>IF($G$4="mensual",S312,IF($G$4="trimestral",S312,0))</f>
        <v>10000</v>
      </c>
      <c r="U315" s="1">
        <f t="shared" si="99"/>
        <v>64525.818248821233</v>
      </c>
      <c r="V315" s="35">
        <f t="shared" si="101"/>
        <v>-195.32377736475155</v>
      </c>
      <c r="X315" s="35">
        <f t="shared" si="100"/>
        <v>-8156.4096801049945</v>
      </c>
      <c r="Y315" s="1">
        <f t="shared" si="85"/>
        <v>8148057.9466475248</v>
      </c>
      <c r="AA315" s="2">
        <f>+Bono!J315</f>
        <v>297124.32712626259</v>
      </c>
      <c r="AC315" s="10">
        <f t="shared" si="91"/>
        <v>24.333333333333332</v>
      </c>
      <c r="AD315" s="1">
        <f t="shared" si="92"/>
        <v>8991950.3937061969</v>
      </c>
    </row>
    <row r="316" spans="2:30">
      <c r="B316" s="1">
        <f t="shared" si="86"/>
        <v>293</v>
      </c>
      <c r="C316" s="2">
        <f t="shared" si="93"/>
        <v>24</v>
      </c>
      <c r="D316" s="2">
        <f t="shared" si="94"/>
        <v>5</v>
      </c>
      <c r="E316" s="2">
        <f t="shared" si="95"/>
        <v>53</v>
      </c>
      <c r="F316" s="1">
        <f t="shared" si="87"/>
        <v>546768.11993240984</v>
      </c>
      <c r="H316" s="1">
        <f t="shared" si="83"/>
        <v>4360.0057703887314</v>
      </c>
      <c r="I316" s="1">
        <v>0</v>
      </c>
      <c r="J316" s="1">
        <v>0</v>
      </c>
      <c r="K316" s="1">
        <f t="shared" si="88"/>
        <v>-551.12812570279857</v>
      </c>
      <c r="L316" s="1">
        <f t="shared" si="84"/>
        <v>550576.99757709575</v>
      </c>
      <c r="N316" s="1">
        <f t="shared" si="89"/>
        <v>293</v>
      </c>
      <c r="O316" s="2">
        <f t="shared" si="96"/>
        <v>24</v>
      </c>
      <c r="P316" s="2">
        <f t="shared" si="97"/>
        <v>5</v>
      </c>
      <c r="Q316" s="2">
        <f t="shared" si="98"/>
        <v>24</v>
      </c>
      <c r="R316" s="1">
        <f t="shared" si="90"/>
        <v>8148057.9466475248</v>
      </c>
      <c r="S316" s="4">
        <f>IF($G$4="mensual",S315,0)</f>
        <v>10000</v>
      </c>
      <c r="U316" s="1">
        <f t="shared" si="99"/>
        <v>65053.499693701655</v>
      </c>
      <c r="V316" s="35">
        <f t="shared" si="101"/>
        <v>-195.32377736475155</v>
      </c>
      <c r="X316" s="35">
        <f t="shared" si="100"/>
        <v>-8223.1114463412268</v>
      </c>
      <c r="Y316" s="1">
        <f t="shared" si="85"/>
        <v>8214693.0111175207</v>
      </c>
      <c r="AA316" s="2">
        <f>+Bono!J316</f>
        <v>298966.53241873416</v>
      </c>
      <c r="AC316" s="10">
        <f t="shared" si="91"/>
        <v>24.416666666666668</v>
      </c>
      <c r="AD316" s="1">
        <f t="shared" si="92"/>
        <v>9064236.5411133505</v>
      </c>
    </row>
    <row r="317" spans="2:30">
      <c r="B317" s="1">
        <f t="shared" si="86"/>
        <v>294</v>
      </c>
      <c r="C317" s="2">
        <f t="shared" si="93"/>
        <v>24</v>
      </c>
      <c r="D317" s="2">
        <f t="shared" si="94"/>
        <v>6</v>
      </c>
      <c r="E317" s="2">
        <f t="shared" si="95"/>
        <v>53</v>
      </c>
      <c r="F317" s="1">
        <f t="shared" si="87"/>
        <v>550576.99757709575</v>
      </c>
      <c r="H317" s="1">
        <f t="shared" si="83"/>
        <v>4390.3782956039695</v>
      </c>
      <c r="I317" s="1">
        <v>0</v>
      </c>
      <c r="J317" s="69">
        <f>-SUM(F317:H317)*$J$21</f>
        <v>-4994.7063828542987</v>
      </c>
      <c r="K317" s="1">
        <f t="shared" si="88"/>
        <v>-549.97266948984554</v>
      </c>
      <c r="L317" s="1">
        <f t="shared" si="84"/>
        <v>549422.69682035572</v>
      </c>
      <c r="N317" s="1">
        <f t="shared" si="89"/>
        <v>294</v>
      </c>
      <c r="O317" s="2">
        <f t="shared" si="96"/>
        <v>24</v>
      </c>
      <c r="P317" s="2">
        <f t="shared" si="97"/>
        <v>6</v>
      </c>
      <c r="Q317" s="2">
        <f t="shared" si="98"/>
        <v>24</v>
      </c>
      <c r="R317" s="1">
        <f t="shared" si="90"/>
        <v>8214693.0111175207</v>
      </c>
      <c r="S317" s="4">
        <f>IF($G$4="mensual",S316,0)</f>
        <v>10000</v>
      </c>
      <c r="U317" s="1">
        <f t="shared" si="99"/>
        <v>65584.857055274464</v>
      </c>
      <c r="V317" s="35">
        <f t="shared" si="101"/>
        <v>-195.32377736475155</v>
      </c>
      <c r="X317" s="35">
        <f t="shared" si="100"/>
        <v>-8290.2778681727959</v>
      </c>
      <c r="Y317" s="1">
        <f t="shared" si="85"/>
        <v>8281792.2665272579</v>
      </c>
      <c r="AA317" s="2">
        <f>+Bono!J317</f>
        <v>298110.06806979439</v>
      </c>
      <c r="AC317" s="10">
        <f t="shared" si="91"/>
        <v>24.5</v>
      </c>
      <c r="AD317" s="1">
        <f t="shared" si="92"/>
        <v>9129325.031417409</v>
      </c>
    </row>
    <row r="318" spans="2:30">
      <c r="B318" s="1">
        <f t="shared" si="86"/>
        <v>295</v>
      </c>
      <c r="C318" s="2">
        <f t="shared" si="93"/>
        <v>24</v>
      </c>
      <c r="D318" s="2">
        <f t="shared" si="94"/>
        <v>7</v>
      </c>
      <c r="E318" s="2">
        <f t="shared" si="95"/>
        <v>53</v>
      </c>
      <c r="F318" s="1">
        <f t="shared" si="87"/>
        <v>549422.69682035572</v>
      </c>
      <c r="H318" s="1">
        <f t="shared" si="83"/>
        <v>4381.1737392725345</v>
      </c>
      <c r="I318" s="1">
        <v>0</v>
      </c>
      <c r="J318" s="1">
        <v>0</v>
      </c>
      <c r="K318" s="1">
        <f t="shared" si="88"/>
        <v>-553.80387055962819</v>
      </c>
      <c r="L318" s="1">
        <f t="shared" si="84"/>
        <v>553250.06668906857</v>
      </c>
      <c r="N318" s="1">
        <f t="shared" si="89"/>
        <v>295</v>
      </c>
      <c r="O318" s="2">
        <f t="shared" si="96"/>
        <v>24</v>
      </c>
      <c r="P318" s="2">
        <f t="shared" si="97"/>
        <v>7</v>
      </c>
      <c r="Q318" s="2">
        <f t="shared" si="98"/>
        <v>24</v>
      </c>
      <c r="R318" s="1">
        <f t="shared" si="90"/>
        <v>8281792.2665272579</v>
      </c>
      <c r="S318" s="1">
        <f>+IF($G$4="mensual",S312,IF($G$4="trimestral",S312,IF($G$4="semestral",S312,0)))</f>
        <v>10000</v>
      </c>
      <c r="U318" s="1">
        <f t="shared" si="99"/>
        <v>66119.915940586579</v>
      </c>
      <c r="V318" s="35">
        <f t="shared" si="101"/>
        <v>-195.32377736475155</v>
      </c>
      <c r="X318" s="35">
        <f t="shared" si="100"/>
        <v>-8357.9121824678441</v>
      </c>
      <c r="Y318" s="1">
        <f t="shared" si="85"/>
        <v>8349358.9465080118</v>
      </c>
      <c r="AA318" s="2">
        <f>+Bono!J318</f>
        <v>299958.38507045474</v>
      </c>
      <c r="AC318" s="10">
        <f t="shared" si="91"/>
        <v>24.583333333333332</v>
      </c>
      <c r="AD318" s="1">
        <f t="shared" si="92"/>
        <v>9202567.3982675355</v>
      </c>
    </row>
    <row r="319" spans="2:30">
      <c r="B319" s="1">
        <f t="shared" si="86"/>
        <v>296</v>
      </c>
      <c r="C319" s="2">
        <f t="shared" si="93"/>
        <v>24</v>
      </c>
      <c r="D319" s="2">
        <f t="shared" si="94"/>
        <v>8</v>
      </c>
      <c r="E319" s="2">
        <f t="shared" si="95"/>
        <v>53</v>
      </c>
      <c r="F319" s="1">
        <f t="shared" si="87"/>
        <v>553250.06668906857</v>
      </c>
      <c r="H319" s="1">
        <f t="shared" si="83"/>
        <v>4411.6937240790057</v>
      </c>
      <c r="I319" s="1">
        <v>0</v>
      </c>
      <c r="J319" s="1">
        <v>0</v>
      </c>
      <c r="K319" s="1">
        <f t="shared" si="88"/>
        <v>-557.66176041314759</v>
      </c>
      <c r="L319" s="1">
        <f t="shared" si="84"/>
        <v>557104.09865273442</v>
      </c>
      <c r="N319" s="1">
        <f t="shared" si="89"/>
        <v>296</v>
      </c>
      <c r="O319" s="2">
        <f t="shared" si="96"/>
        <v>24</v>
      </c>
      <c r="P319" s="2">
        <f t="shared" si="97"/>
        <v>8</v>
      </c>
      <c r="Q319" s="2">
        <f t="shared" si="98"/>
        <v>24</v>
      </c>
      <c r="R319" s="1">
        <f t="shared" si="90"/>
        <v>8349358.9465080118</v>
      </c>
      <c r="S319" s="4">
        <f>IF($G$4="mensual",S318,0)</f>
        <v>10000</v>
      </c>
      <c r="U319" s="1">
        <f t="shared" si="99"/>
        <v>66658.702135067913</v>
      </c>
      <c r="V319" s="35">
        <f t="shared" si="101"/>
        <v>-195.32377736475155</v>
      </c>
      <c r="X319" s="35">
        <f t="shared" si="100"/>
        <v>-8426.017648643081</v>
      </c>
      <c r="Y319" s="1">
        <f t="shared" si="85"/>
        <v>8417396.3072170727</v>
      </c>
      <c r="AA319" s="2">
        <f>+Bono!J319</f>
        <v>301818.16185091069</v>
      </c>
      <c r="AC319" s="10">
        <f t="shared" si="91"/>
        <v>24.666666666666668</v>
      </c>
      <c r="AD319" s="1">
        <f t="shared" si="92"/>
        <v>9276318.5677207187</v>
      </c>
    </row>
    <row r="320" spans="2:30">
      <c r="B320" s="1">
        <f t="shared" si="86"/>
        <v>297</v>
      </c>
      <c r="C320" s="2">
        <f t="shared" si="93"/>
        <v>24</v>
      </c>
      <c r="D320" s="2">
        <f t="shared" si="94"/>
        <v>9</v>
      </c>
      <c r="E320" s="2">
        <f t="shared" si="95"/>
        <v>53</v>
      </c>
      <c r="F320" s="1">
        <f t="shared" si="87"/>
        <v>557104.09865273442</v>
      </c>
      <c r="H320" s="1">
        <f t="shared" si="83"/>
        <v>4442.4263161747604</v>
      </c>
      <c r="I320" s="1">
        <v>0</v>
      </c>
      <c r="J320" s="69">
        <f>-SUM(F320:H320)*$J$21</f>
        <v>-5053.9187247201835</v>
      </c>
      <c r="K320" s="1">
        <f t="shared" si="88"/>
        <v>-556.49260624418912</v>
      </c>
      <c r="L320" s="1">
        <f t="shared" si="84"/>
        <v>555936.11363794492</v>
      </c>
      <c r="N320" s="1">
        <f t="shared" si="89"/>
        <v>297</v>
      </c>
      <c r="O320" s="2">
        <f t="shared" si="96"/>
        <v>24</v>
      </c>
      <c r="P320" s="2">
        <f t="shared" si="97"/>
        <v>9</v>
      </c>
      <c r="Q320" s="2">
        <f t="shared" si="98"/>
        <v>24</v>
      </c>
      <c r="R320" s="1">
        <f t="shared" si="90"/>
        <v>8417396.3072170727</v>
      </c>
      <c r="S320" s="4">
        <f>IF($G$4="mensual",S319,0)</f>
        <v>10000</v>
      </c>
      <c r="U320" s="1">
        <f t="shared" si="99"/>
        <v>67201.241603773946</v>
      </c>
      <c r="V320" s="35">
        <f t="shared" si="101"/>
        <v>-195.32377736475155</v>
      </c>
      <c r="X320" s="35">
        <f t="shared" si="100"/>
        <v>-8494.597548820846</v>
      </c>
      <c r="Y320" s="1">
        <f t="shared" si="85"/>
        <v>8485907.6274946611</v>
      </c>
      <c r="AA320" s="2">
        <f>+Bono!J320</f>
        <v>300953.52829679172</v>
      </c>
      <c r="AC320" s="10">
        <f t="shared" si="91"/>
        <v>24.75</v>
      </c>
      <c r="AD320" s="1">
        <f t="shared" si="92"/>
        <v>9342797.2694293968</v>
      </c>
    </row>
    <row r="321" spans="2:30">
      <c r="B321" s="1">
        <f t="shared" si="86"/>
        <v>298</v>
      </c>
      <c r="C321" s="2">
        <f t="shared" si="93"/>
        <v>24</v>
      </c>
      <c r="D321" s="2">
        <f t="shared" si="94"/>
        <v>10</v>
      </c>
      <c r="E321" s="2">
        <f t="shared" si="95"/>
        <v>53</v>
      </c>
      <c r="F321" s="1">
        <f t="shared" si="87"/>
        <v>555936.11363794492</v>
      </c>
      <c r="H321" s="1">
        <f t="shared" si="83"/>
        <v>4433.112639647974</v>
      </c>
      <c r="I321" s="1">
        <v>0</v>
      </c>
      <c r="J321" s="1">
        <v>0</v>
      </c>
      <c r="K321" s="1">
        <f t="shared" si="88"/>
        <v>-560.36922627759293</v>
      </c>
      <c r="L321" s="1">
        <f t="shared" si="84"/>
        <v>559808.85705131537</v>
      </c>
      <c r="N321" s="1">
        <f t="shared" si="89"/>
        <v>298</v>
      </c>
      <c r="O321" s="2">
        <f t="shared" si="96"/>
        <v>24</v>
      </c>
      <c r="P321" s="2">
        <f t="shared" si="97"/>
        <v>10</v>
      </c>
      <c r="Q321" s="2">
        <f t="shared" si="98"/>
        <v>24</v>
      </c>
      <c r="R321" s="1">
        <f t="shared" si="90"/>
        <v>8485907.6274946611</v>
      </c>
      <c r="S321" s="4">
        <f>IF($G$4="mensual",S312,IF($G$4="trimestral",S312,0))</f>
        <v>10000</v>
      </c>
      <c r="U321" s="1">
        <f t="shared" si="99"/>
        <v>67747.560492637043</v>
      </c>
      <c r="V321" s="35">
        <f t="shared" si="101"/>
        <v>-195.32377736475155</v>
      </c>
      <c r="X321" s="35">
        <f t="shared" si="100"/>
        <v>-8563.6551879872986</v>
      </c>
      <c r="Y321" s="1">
        <f t="shared" si="85"/>
        <v>8554896.2090219464</v>
      </c>
      <c r="AA321" s="2">
        <f>+Bono!J321</f>
        <v>302819.47508068045</v>
      </c>
      <c r="AC321" s="10">
        <f t="shared" si="91"/>
        <v>24.833333333333332</v>
      </c>
      <c r="AD321" s="1">
        <f t="shared" si="92"/>
        <v>9417524.5411539413</v>
      </c>
    </row>
    <row r="322" spans="2:30">
      <c r="B322" s="1">
        <f t="shared" si="86"/>
        <v>299</v>
      </c>
      <c r="C322" s="2">
        <f t="shared" si="93"/>
        <v>24</v>
      </c>
      <c r="D322" s="2">
        <f t="shared" si="94"/>
        <v>11</v>
      </c>
      <c r="E322" s="2">
        <f t="shared" si="95"/>
        <v>53</v>
      </c>
      <c r="F322" s="1">
        <f t="shared" si="87"/>
        <v>559808.85705131537</v>
      </c>
      <c r="H322" s="1">
        <f t="shared" si="83"/>
        <v>4463.994439471302</v>
      </c>
      <c r="I322" s="1">
        <v>0</v>
      </c>
      <c r="J322" s="1">
        <v>0</v>
      </c>
      <c r="K322" s="1">
        <f t="shared" si="88"/>
        <v>-564.27285149078671</v>
      </c>
      <c r="L322" s="1">
        <f t="shared" si="84"/>
        <v>563708.57863929588</v>
      </c>
      <c r="N322" s="1">
        <f t="shared" si="89"/>
        <v>299</v>
      </c>
      <c r="O322" s="2">
        <f t="shared" si="96"/>
        <v>24</v>
      </c>
      <c r="P322" s="2">
        <f t="shared" si="97"/>
        <v>11</v>
      </c>
      <c r="Q322" s="2">
        <f t="shared" si="98"/>
        <v>24</v>
      </c>
      <c r="R322" s="1">
        <f t="shared" si="90"/>
        <v>8554896.2090219464</v>
      </c>
      <c r="S322" s="1">
        <f>IF($G$17="si",S310*(1+$G$20),S310)</f>
        <v>10000</v>
      </c>
      <c r="U322" s="1">
        <f t="shared" si="99"/>
        <v>68297.685129726495</v>
      </c>
      <c r="V322" s="35">
        <f t="shared" si="101"/>
        <v>-195.32377736475155</v>
      </c>
      <c r="X322" s="35">
        <f t="shared" si="100"/>
        <v>-8633.1938941516728</v>
      </c>
      <c r="Y322" s="1">
        <f t="shared" si="85"/>
        <v>8624365.3764801566</v>
      </c>
      <c r="AA322" s="2">
        <f>+Bono!J322</f>
        <v>304696.99095106573</v>
      </c>
      <c r="AC322" s="10">
        <f t="shared" si="91"/>
        <v>24.916666666666668</v>
      </c>
      <c r="AD322" s="1">
        <f t="shared" si="92"/>
        <v>9492770.9460705183</v>
      </c>
    </row>
    <row r="323" spans="2:30">
      <c r="B323" s="1">
        <f t="shared" si="86"/>
        <v>300</v>
      </c>
      <c r="C323" s="2">
        <f t="shared" si="93"/>
        <v>24</v>
      </c>
      <c r="D323" s="2">
        <f t="shared" si="94"/>
        <v>12</v>
      </c>
      <c r="E323" s="2">
        <f t="shared" si="95"/>
        <v>53</v>
      </c>
      <c r="F323" s="1">
        <f t="shared" si="87"/>
        <v>563708.57863929588</v>
      </c>
      <c r="H323" s="1">
        <f t="shared" si="83"/>
        <v>4495.0913670474865</v>
      </c>
      <c r="I323" s="1">
        <v>0</v>
      </c>
      <c r="J323" s="69">
        <f>-SUM(F323:H323)*$J$21</f>
        <v>-5113.8330300570915</v>
      </c>
      <c r="K323" s="1">
        <f t="shared" si="88"/>
        <v>-563.08983697628628</v>
      </c>
      <c r="L323" s="1">
        <f t="shared" si="84"/>
        <v>562526.74713931</v>
      </c>
      <c r="N323" s="1">
        <f t="shared" si="89"/>
        <v>300</v>
      </c>
      <c r="O323" s="2">
        <f t="shared" si="96"/>
        <v>24</v>
      </c>
      <c r="P323" s="2">
        <f t="shared" si="97"/>
        <v>12</v>
      </c>
      <c r="Q323" s="2">
        <f t="shared" si="98"/>
        <v>24</v>
      </c>
      <c r="R323" s="1">
        <f t="shared" si="90"/>
        <v>8624365.3764801566</v>
      </c>
      <c r="S323" s="4">
        <f>IF($G$4="mensual",S322,0)</f>
        <v>10000</v>
      </c>
      <c r="U323" s="1">
        <f t="shared" si="99"/>
        <v>68851.642026517293</v>
      </c>
      <c r="V323" s="35">
        <f t="shared" si="101"/>
        <v>-195.32377736475155</v>
      </c>
      <c r="X323" s="35">
        <f t="shared" si="100"/>
        <v>-8703.2170185066734</v>
      </c>
      <c r="Y323" s="1">
        <f t="shared" si="85"/>
        <v>8694318.4777108021</v>
      </c>
      <c r="AA323" s="2">
        <f>+Bono!J323</f>
        <v>303824.11027152103</v>
      </c>
      <c r="AC323" s="10">
        <f t="shared" si="91"/>
        <v>25</v>
      </c>
      <c r="AD323" s="1">
        <f t="shared" si="92"/>
        <v>9560669.3351216335</v>
      </c>
    </row>
    <row r="324" spans="2:30">
      <c r="B324" s="1">
        <f t="shared" si="86"/>
        <v>301</v>
      </c>
      <c r="C324" s="2">
        <f t="shared" si="93"/>
        <v>25</v>
      </c>
      <c r="D324" s="2">
        <f t="shared" si="94"/>
        <v>1</v>
      </c>
      <c r="E324" s="2">
        <f t="shared" si="95"/>
        <v>54</v>
      </c>
      <c r="F324" s="1">
        <f t="shared" si="87"/>
        <v>562526.74713931</v>
      </c>
      <c r="H324" s="1">
        <f t="shared" si="83"/>
        <v>4485.6672767032969</v>
      </c>
      <c r="I324" s="1">
        <v>0</v>
      </c>
      <c r="J324" s="1">
        <v>0</v>
      </c>
      <c r="K324" s="1">
        <f t="shared" si="88"/>
        <v>-567.01241441601326</v>
      </c>
      <c r="L324" s="1">
        <f t="shared" si="84"/>
        <v>566445.40200159722</v>
      </c>
      <c r="N324" s="1">
        <f t="shared" si="89"/>
        <v>301</v>
      </c>
      <c r="O324" s="2">
        <f t="shared" si="96"/>
        <v>25</v>
      </c>
      <c r="P324" s="2">
        <f t="shared" si="97"/>
        <v>1</v>
      </c>
      <c r="Q324" s="2">
        <f t="shared" si="98"/>
        <v>25</v>
      </c>
      <c r="R324" s="1">
        <f t="shared" si="90"/>
        <v>8694318.4777108021</v>
      </c>
      <c r="S324" s="1">
        <f>IF($G$17="si",S312*(1+$G$20),S312)</f>
        <v>10000</v>
      </c>
      <c r="U324" s="1">
        <f t="shared" si="99"/>
        <v>69409.457879167778</v>
      </c>
      <c r="V324" s="35">
        <f>(V323*(1+$G$18))</f>
        <v>-203.13672845934161</v>
      </c>
      <c r="X324" s="35">
        <f t="shared" si="100"/>
        <v>-8773.72793558997</v>
      </c>
      <c r="Y324" s="1">
        <f t="shared" si="85"/>
        <v>8764751.0709259193</v>
      </c>
      <c r="AA324" s="2">
        <f>+Bono!J324</f>
        <v>305707.85499661998</v>
      </c>
      <c r="AC324" s="10">
        <f t="shared" si="91"/>
        <v>25.083333333333332</v>
      </c>
      <c r="AD324" s="1">
        <f t="shared" si="92"/>
        <v>9636904.3279241361</v>
      </c>
    </row>
    <row r="325" spans="2:30">
      <c r="B325" s="1">
        <f t="shared" si="86"/>
        <v>302</v>
      </c>
      <c r="C325" s="2">
        <f t="shared" si="93"/>
        <v>25</v>
      </c>
      <c r="D325" s="2">
        <f t="shared" si="94"/>
        <v>2</v>
      </c>
      <c r="E325" s="2">
        <f t="shared" si="95"/>
        <v>54</v>
      </c>
      <c r="F325" s="1">
        <f t="shared" si="87"/>
        <v>566445.40200159722</v>
      </c>
      <c r="H325" s="1">
        <f t="shared" si="83"/>
        <v>4516.9151808675815</v>
      </c>
      <c r="I325" s="1">
        <v>0</v>
      </c>
      <c r="J325" s="1">
        <v>0</v>
      </c>
      <c r="K325" s="1">
        <f t="shared" si="88"/>
        <v>-570.96231718246474</v>
      </c>
      <c r="L325" s="1">
        <f t="shared" si="84"/>
        <v>570391.35486528231</v>
      </c>
      <c r="N325" s="1">
        <f t="shared" si="89"/>
        <v>302</v>
      </c>
      <c r="O325" s="2">
        <f t="shared" si="96"/>
        <v>25</v>
      </c>
      <c r="P325" s="2">
        <f t="shared" si="97"/>
        <v>2</v>
      </c>
      <c r="Q325" s="2">
        <f t="shared" si="98"/>
        <v>25</v>
      </c>
      <c r="R325" s="1">
        <f t="shared" si="90"/>
        <v>8764751.0709259193</v>
      </c>
      <c r="S325" s="4">
        <f>IF($G$4="mensual",S324,0)</f>
        <v>10000</v>
      </c>
      <c r="U325" s="1">
        <f t="shared" si="99"/>
        <v>69971.097268236976</v>
      </c>
      <c r="V325" s="35">
        <f t="shared" si="101"/>
        <v>-203.13672845934161</v>
      </c>
      <c r="X325" s="35">
        <f t="shared" si="100"/>
        <v>-8844.7221681941555</v>
      </c>
      <c r="Y325" s="1">
        <f t="shared" si="85"/>
        <v>8835674.309297502</v>
      </c>
      <c r="AA325" s="2">
        <f>+Bono!J325</f>
        <v>307603.27915751538</v>
      </c>
      <c r="AC325" s="10">
        <f t="shared" si="91"/>
        <v>25.166666666666668</v>
      </c>
      <c r="AD325" s="1">
        <f t="shared" si="92"/>
        <v>9713668.9433203004</v>
      </c>
    </row>
    <row r="326" spans="2:30">
      <c r="B326" s="1">
        <f t="shared" si="86"/>
        <v>303</v>
      </c>
      <c r="C326" s="2">
        <f t="shared" si="93"/>
        <v>25</v>
      </c>
      <c r="D326" s="2">
        <f t="shared" si="94"/>
        <v>3</v>
      </c>
      <c r="E326" s="2">
        <f t="shared" si="95"/>
        <v>54</v>
      </c>
      <c r="F326" s="1">
        <f t="shared" si="87"/>
        <v>570391.35486528231</v>
      </c>
      <c r="H326" s="1">
        <f t="shared" si="83"/>
        <v>4548.3807631284417</v>
      </c>
      <c r="I326" s="1">
        <v>0</v>
      </c>
      <c r="J326" s="69">
        <f>-SUM(F326:H326)*$J$21</f>
        <v>-5174.4576206556967</v>
      </c>
      <c r="K326" s="1">
        <f t="shared" si="88"/>
        <v>-569.76527800775511</v>
      </c>
      <c r="L326" s="1">
        <f t="shared" si="84"/>
        <v>569195.51272974734</v>
      </c>
      <c r="N326" s="1">
        <f t="shared" si="89"/>
        <v>303</v>
      </c>
      <c r="O326" s="2">
        <f t="shared" si="96"/>
        <v>25</v>
      </c>
      <c r="P326" s="2">
        <f t="shared" si="97"/>
        <v>3</v>
      </c>
      <c r="Q326" s="2">
        <f t="shared" si="98"/>
        <v>25</v>
      </c>
      <c r="R326" s="1">
        <f t="shared" si="90"/>
        <v>8835674.309297502</v>
      </c>
      <c r="S326" s="4">
        <f>IF($G$4="mensual",S325,0)</f>
        <v>10000</v>
      </c>
      <c r="U326" s="1">
        <f t="shared" si="99"/>
        <v>70536.649130684586</v>
      </c>
      <c r="V326" s="35">
        <f t="shared" si="101"/>
        <v>-203.13672845934161</v>
      </c>
      <c r="X326" s="35">
        <f t="shared" si="100"/>
        <v>-8916.210958428188</v>
      </c>
      <c r="Y326" s="1">
        <f t="shared" si="85"/>
        <v>8907091.6107412986</v>
      </c>
      <c r="AA326" s="2">
        <f>+Bono!J326</f>
        <v>306722.0726890724</v>
      </c>
      <c r="AC326" s="10">
        <f t="shared" si="91"/>
        <v>25.25</v>
      </c>
      <c r="AD326" s="1">
        <f t="shared" si="92"/>
        <v>9783009.196160119</v>
      </c>
    </row>
    <row r="327" spans="2:30">
      <c r="B327" s="1">
        <f t="shared" si="86"/>
        <v>304</v>
      </c>
      <c r="C327" s="2">
        <f t="shared" si="93"/>
        <v>25</v>
      </c>
      <c r="D327" s="2">
        <f t="shared" si="94"/>
        <v>4</v>
      </c>
      <c r="E327" s="2">
        <f t="shared" si="95"/>
        <v>54</v>
      </c>
      <c r="F327" s="1">
        <f t="shared" si="87"/>
        <v>569195.51272974734</v>
      </c>
      <c r="H327" s="1">
        <f t="shared" si="83"/>
        <v>4538.8449500088855</v>
      </c>
      <c r="I327" s="1">
        <v>0</v>
      </c>
      <c r="J327" s="1">
        <v>0</v>
      </c>
      <c r="K327" s="1">
        <f t="shared" si="88"/>
        <v>-573.73435767975627</v>
      </c>
      <c r="L327" s="1">
        <f t="shared" si="84"/>
        <v>573160.62332207651</v>
      </c>
      <c r="N327" s="1">
        <f t="shared" si="89"/>
        <v>304</v>
      </c>
      <c r="O327" s="2">
        <f t="shared" si="96"/>
        <v>25</v>
      </c>
      <c r="P327" s="2">
        <f t="shared" si="97"/>
        <v>4</v>
      </c>
      <c r="Q327" s="2">
        <f t="shared" si="98"/>
        <v>25</v>
      </c>
      <c r="R327" s="1">
        <f t="shared" si="90"/>
        <v>8907091.6107412986</v>
      </c>
      <c r="S327" s="4">
        <f>IF($G$4="mensual",S324,IF($G$4="trimestral",S324,0))</f>
        <v>10000</v>
      </c>
      <c r="U327" s="1">
        <f t="shared" si="99"/>
        <v>71106.140721450778</v>
      </c>
      <c r="V327" s="35">
        <f t="shared" si="101"/>
        <v>-203.13672845934161</v>
      </c>
      <c r="X327" s="35">
        <f t="shared" si="100"/>
        <v>-8988.1977514627506</v>
      </c>
      <c r="Y327" s="1">
        <f t="shared" si="85"/>
        <v>8979006.4169828277</v>
      </c>
      <c r="AA327" s="2">
        <f>+Bono!J327</f>
        <v>308623.78511730302</v>
      </c>
      <c r="AC327" s="10">
        <f t="shared" si="91"/>
        <v>25.333333333333332</v>
      </c>
      <c r="AD327" s="1">
        <f t="shared" si="92"/>
        <v>9860790.8254222088</v>
      </c>
    </row>
    <row r="328" spans="2:30">
      <c r="B328" s="1">
        <f t="shared" si="86"/>
        <v>305</v>
      </c>
      <c r="C328" s="2">
        <f t="shared" si="93"/>
        <v>25</v>
      </c>
      <c r="D328" s="2">
        <f t="shared" si="94"/>
        <v>5</v>
      </c>
      <c r="E328" s="2">
        <f t="shared" si="95"/>
        <v>54</v>
      </c>
      <c r="F328" s="1">
        <f t="shared" si="87"/>
        <v>573160.62332207651</v>
      </c>
      <c r="H328" s="1">
        <f t="shared" si="83"/>
        <v>4570.4632986882525</v>
      </c>
      <c r="I328" s="1">
        <v>0</v>
      </c>
      <c r="J328" s="1">
        <v>0</v>
      </c>
      <c r="K328" s="1">
        <f t="shared" si="88"/>
        <v>-577.73108662076481</v>
      </c>
      <c r="L328" s="1">
        <f t="shared" si="84"/>
        <v>577153.3555341441</v>
      </c>
      <c r="N328" s="1">
        <f t="shared" si="89"/>
        <v>305</v>
      </c>
      <c r="O328" s="2">
        <f t="shared" si="96"/>
        <v>25</v>
      </c>
      <c r="P328" s="2">
        <f t="shared" si="97"/>
        <v>5</v>
      </c>
      <c r="Q328" s="2">
        <f t="shared" si="98"/>
        <v>25</v>
      </c>
      <c r="R328" s="1">
        <f t="shared" si="90"/>
        <v>8979006.4169828277</v>
      </c>
      <c r="S328" s="4">
        <f>IF($G$4="mensual",S327,0)</f>
        <v>10000</v>
      </c>
      <c r="U328" s="1">
        <f t="shared" si="99"/>
        <v>71679.599485338142</v>
      </c>
      <c r="V328" s="35">
        <f t="shared" si="101"/>
        <v>-203.13672845934161</v>
      </c>
      <c r="X328" s="35">
        <f t="shared" si="100"/>
        <v>-9060.6860164681657</v>
      </c>
      <c r="Y328" s="1">
        <f t="shared" si="85"/>
        <v>9051422.1937232371</v>
      </c>
      <c r="AA328" s="2">
        <f>+Bono!J328</f>
        <v>310537.28838317358</v>
      </c>
      <c r="AC328" s="10">
        <f t="shared" si="91"/>
        <v>25.416666666666668</v>
      </c>
      <c r="AD328" s="1">
        <f t="shared" si="92"/>
        <v>9939112.8376405537</v>
      </c>
    </row>
    <row r="329" spans="2:30">
      <c r="B329" s="1">
        <f t="shared" si="86"/>
        <v>306</v>
      </c>
      <c r="C329" s="2">
        <f t="shared" si="93"/>
        <v>25</v>
      </c>
      <c r="D329" s="2">
        <f t="shared" si="94"/>
        <v>6</v>
      </c>
      <c r="E329" s="2">
        <f t="shared" si="95"/>
        <v>54</v>
      </c>
      <c r="F329" s="1">
        <f t="shared" si="87"/>
        <v>577153.3555341441</v>
      </c>
      <c r="H329" s="1">
        <f t="shared" si="83"/>
        <v>4602.3019060422866</v>
      </c>
      <c r="I329" s="1">
        <v>0</v>
      </c>
      <c r="J329" s="69">
        <f>-SUM(F329:H329)*$J$21</f>
        <v>-5235.800916961678</v>
      </c>
      <c r="K329" s="1">
        <f t="shared" si="88"/>
        <v>-576.5198565232248</v>
      </c>
      <c r="L329" s="1">
        <f t="shared" si="84"/>
        <v>575943.33666670148</v>
      </c>
      <c r="N329" s="1">
        <f t="shared" si="89"/>
        <v>306</v>
      </c>
      <c r="O329" s="2">
        <f t="shared" si="96"/>
        <v>25</v>
      </c>
      <c r="P329" s="2">
        <f t="shared" si="97"/>
        <v>6</v>
      </c>
      <c r="Q329" s="2">
        <f t="shared" si="98"/>
        <v>25</v>
      </c>
      <c r="R329" s="1">
        <f t="shared" si="90"/>
        <v>9051422.1937232371</v>
      </c>
      <c r="S329" s="4">
        <f>IF($G$4="mensual",S328,0)</f>
        <v>10000</v>
      </c>
      <c r="U329" s="1">
        <f t="shared" si="99"/>
        <v>72257.053058334306</v>
      </c>
      <c r="V329" s="35">
        <f t="shared" si="101"/>
        <v>-203.13672845934161</v>
      </c>
      <c r="X329" s="35">
        <f t="shared" si="100"/>
        <v>-9133.6792467815703</v>
      </c>
      <c r="Y329" s="1">
        <f t="shared" si="85"/>
        <v>9124342.4308063295</v>
      </c>
      <c r="AA329" s="2">
        <f>+Bono!J329</f>
        <v>309647.67671204481</v>
      </c>
      <c r="AC329" s="10">
        <f t="shared" si="91"/>
        <v>25.5</v>
      </c>
      <c r="AD329" s="1">
        <f t="shared" si="92"/>
        <v>10009933.444185076</v>
      </c>
    </row>
    <row r="330" spans="2:30">
      <c r="B330" s="1">
        <f t="shared" si="86"/>
        <v>307</v>
      </c>
      <c r="C330" s="2">
        <f t="shared" si="93"/>
        <v>25</v>
      </c>
      <c r="D330" s="2">
        <f t="shared" si="94"/>
        <v>7</v>
      </c>
      <c r="E330" s="2">
        <f t="shared" si="95"/>
        <v>54</v>
      </c>
      <c r="F330" s="1">
        <f t="shared" si="87"/>
        <v>575943.33666670148</v>
      </c>
      <c r="H330" s="1">
        <f t="shared" si="83"/>
        <v>4592.6530456716764</v>
      </c>
      <c r="I330" s="1">
        <v>0</v>
      </c>
      <c r="J330" s="1">
        <v>0</v>
      </c>
      <c r="K330" s="1">
        <f t="shared" si="88"/>
        <v>-580.53598971237318</v>
      </c>
      <c r="L330" s="1">
        <f t="shared" si="84"/>
        <v>579955.45372266078</v>
      </c>
      <c r="N330" s="1">
        <f t="shared" si="89"/>
        <v>307</v>
      </c>
      <c r="O330" s="2">
        <f t="shared" si="96"/>
        <v>25</v>
      </c>
      <c r="P330" s="2">
        <f t="shared" si="97"/>
        <v>7</v>
      </c>
      <c r="Q330" s="2">
        <f t="shared" si="98"/>
        <v>25</v>
      </c>
      <c r="R330" s="1">
        <f t="shared" si="90"/>
        <v>9124342.4308063295</v>
      </c>
      <c r="S330" s="1">
        <f>+IF($G$4="mensual",S324,IF($G$4="trimestral",S324,IF($G$4="semestral",S324,0)))</f>
        <v>10000</v>
      </c>
      <c r="U330" s="1">
        <f t="shared" si="99"/>
        <v>72838.529268943836</v>
      </c>
      <c r="V330" s="35">
        <f t="shared" si="101"/>
        <v>-203.13672845934161</v>
      </c>
      <c r="X330" s="35">
        <f t="shared" si="100"/>
        <v>-9207.1809600752749</v>
      </c>
      <c r="Y330" s="1">
        <f t="shared" si="85"/>
        <v>9197770.6423867382</v>
      </c>
      <c r="AA330" s="2">
        <f>+Bono!J330</f>
        <v>311567.52822456689</v>
      </c>
      <c r="AC330" s="10">
        <f t="shared" si="91"/>
        <v>25.583333333333332</v>
      </c>
      <c r="AD330" s="1">
        <f t="shared" si="92"/>
        <v>10089293.624333967</v>
      </c>
    </row>
    <row r="331" spans="2:30">
      <c r="B331" s="1">
        <f t="shared" si="86"/>
        <v>308</v>
      </c>
      <c r="C331" s="2">
        <f t="shared" si="93"/>
        <v>25</v>
      </c>
      <c r="D331" s="2">
        <f t="shared" si="94"/>
        <v>8</v>
      </c>
      <c r="E331" s="2">
        <f t="shared" si="95"/>
        <v>54</v>
      </c>
      <c r="F331" s="1">
        <f t="shared" si="87"/>
        <v>579955.45372266078</v>
      </c>
      <c r="H331" s="1">
        <f t="shared" si="83"/>
        <v>4624.6462304930956</v>
      </c>
      <c r="I331" s="1">
        <v>0</v>
      </c>
      <c r="J331" s="1">
        <v>0</v>
      </c>
      <c r="K331" s="1">
        <f t="shared" si="88"/>
        <v>-584.58009995315388</v>
      </c>
      <c r="L331" s="1">
        <f t="shared" si="84"/>
        <v>583995.51985320076</v>
      </c>
      <c r="N331" s="1">
        <f t="shared" si="89"/>
        <v>308</v>
      </c>
      <c r="O331" s="2">
        <f t="shared" si="96"/>
        <v>25</v>
      </c>
      <c r="P331" s="2">
        <f t="shared" si="97"/>
        <v>8</v>
      </c>
      <c r="Q331" s="2">
        <f t="shared" si="98"/>
        <v>25</v>
      </c>
      <c r="R331" s="1">
        <f t="shared" si="90"/>
        <v>9197770.6423867382</v>
      </c>
      <c r="S331" s="4">
        <f>IF($G$4="mensual",S330,0)</f>
        <v>10000</v>
      </c>
      <c r="U331" s="1">
        <f t="shared" si="99"/>
        <v>73424.056139529275</v>
      </c>
      <c r="V331" s="35">
        <f t="shared" si="101"/>
        <v>-203.13672845934161</v>
      </c>
      <c r="X331" s="35">
        <f t="shared" si="100"/>
        <v>-9281.1946985262675</v>
      </c>
      <c r="Y331" s="1">
        <f t="shared" si="85"/>
        <v>9271710.3670992814</v>
      </c>
      <c r="AA331" s="2">
        <f>+Bono!J331</f>
        <v>313499.28303915565</v>
      </c>
      <c r="AC331" s="10">
        <f t="shared" si="91"/>
        <v>25.666666666666668</v>
      </c>
      <c r="AD331" s="1">
        <f t="shared" si="92"/>
        <v>10169205.169991639</v>
      </c>
    </row>
    <row r="332" spans="2:30">
      <c r="B332" s="1">
        <f t="shared" si="86"/>
        <v>309</v>
      </c>
      <c r="C332" s="2">
        <f t="shared" si="93"/>
        <v>25</v>
      </c>
      <c r="D332" s="2">
        <f t="shared" si="94"/>
        <v>9</v>
      </c>
      <c r="E332" s="2">
        <f t="shared" si="95"/>
        <v>54</v>
      </c>
      <c r="F332" s="1">
        <f t="shared" si="87"/>
        <v>583995.51985320076</v>
      </c>
      <c r="H332" s="1">
        <f t="shared" si="83"/>
        <v>4656.8622851600794</v>
      </c>
      <c r="I332" s="1">
        <v>0</v>
      </c>
      <c r="J332" s="69">
        <f>-SUM(F332:H332)*$J$21</f>
        <v>-5297.8714392452484</v>
      </c>
      <c r="K332" s="1">
        <f t="shared" si="88"/>
        <v>-583.35451069911562</v>
      </c>
      <c r="L332" s="1">
        <f t="shared" si="84"/>
        <v>582771.15618841641</v>
      </c>
      <c r="N332" s="1">
        <f t="shared" si="89"/>
        <v>309</v>
      </c>
      <c r="O332" s="2">
        <f t="shared" si="96"/>
        <v>25</v>
      </c>
      <c r="P332" s="2">
        <f t="shared" si="97"/>
        <v>9</v>
      </c>
      <c r="Q332" s="2">
        <f t="shared" si="98"/>
        <v>25</v>
      </c>
      <c r="R332" s="1">
        <f t="shared" si="90"/>
        <v>9271710.3670992814</v>
      </c>
      <c r="S332" s="4">
        <f>IF($G$4="mensual",S331,0)</f>
        <v>10000</v>
      </c>
      <c r="U332" s="1">
        <f t="shared" si="99"/>
        <v>74013.661887661583</v>
      </c>
      <c r="V332" s="35">
        <f t="shared" si="101"/>
        <v>-203.13672845934161</v>
      </c>
      <c r="X332" s="35">
        <f t="shared" si="100"/>
        <v>-9355.7240289869442</v>
      </c>
      <c r="Y332" s="1">
        <f t="shared" si="85"/>
        <v>9346165.1682294961</v>
      </c>
      <c r="AA332" s="2">
        <f>+Bono!J332</f>
        <v>312601.1859940819</v>
      </c>
      <c r="AC332" s="10">
        <f t="shared" si="91"/>
        <v>25.75</v>
      </c>
      <c r="AD332" s="1">
        <f t="shared" si="92"/>
        <v>10241537.510411995</v>
      </c>
    </row>
    <row r="333" spans="2:30">
      <c r="B333" s="1">
        <f t="shared" si="86"/>
        <v>310</v>
      </c>
      <c r="C333" s="2">
        <f t="shared" si="93"/>
        <v>25</v>
      </c>
      <c r="D333" s="2">
        <f t="shared" si="94"/>
        <v>10</v>
      </c>
      <c r="E333" s="2">
        <f t="shared" si="95"/>
        <v>54</v>
      </c>
      <c r="F333" s="1">
        <f t="shared" si="87"/>
        <v>582771.15618841641</v>
      </c>
      <c r="H333" s="1">
        <f t="shared" si="83"/>
        <v>4647.0990373610412</v>
      </c>
      <c r="I333" s="1">
        <v>0</v>
      </c>
      <c r="J333" s="1">
        <v>0</v>
      </c>
      <c r="K333" s="1">
        <f t="shared" si="88"/>
        <v>-587.41825522577756</v>
      </c>
      <c r="L333" s="1">
        <f t="shared" si="84"/>
        <v>586830.83697055175</v>
      </c>
      <c r="N333" s="1">
        <f t="shared" si="89"/>
        <v>310</v>
      </c>
      <c r="O333" s="2">
        <f t="shared" si="96"/>
        <v>25</v>
      </c>
      <c r="P333" s="2">
        <f t="shared" si="97"/>
        <v>10</v>
      </c>
      <c r="Q333" s="2">
        <f t="shared" si="98"/>
        <v>25</v>
      </c>
      <c r="R333" s="1">
        <f t="shared" si="90"/>
        <v>9346165.1682294961</v>
      </c>
      <c r="S333" s="4">
        <f>IF($G$4="mensual",S324,IF($G$4="trimestral",S324,0))</f>
        <v>10000</v>
      </c>
      <c r="U333" s="1">
        <f t="shared" si="99"/>
        <v>74607.374927480021</v>
      </c>
      <c r="V333" s="35">
        <f t="shared" si="101"/>
        <v>-203.13672845934161</v>
      </c>
      <c r="X333" s="35">
        <f t="shared" si="100"/>
        <v>-9430.7725431569761</v>
      </c>
      <c r="Y333" s="1">
        <f t="shared" si="85"/>
        <v>9421138.6338853594</v>
      </c>
      <c r="AA333" s="2">
        <f>+Bono!J333</f>
        <v>314539.34960673848</v>
      </c>
      <c r="AC333" s="10">
        <f t="shared" si="91"/>
        <v>25.833333333333332</v>
      </c>
      <c r="AD333" s="1">
        <f t="shared" si="92"/>
        <v>10322508.82046265</v>
      </c>
    </row>
    <row r="334" spans="2:30">
      <c r="B334" s="1">
        <f t="shared" si="86"/>
        <v>311</v>
      </c>
      <c r="C334" s="2">
        <f t="shared" si="93"/>
        <v>25</v>
      </c>
      <c r="D334" s="2">
        <f t="shared" si="94"/>
        <v>11</v>
      </c>
      <c r="E334" s="2">
        <f t="shared" si="95"/>
        <v>54</v>
      </c>
      <c r="F334" s="1">
        <f t="shared" si="87"/>
        <v>586830.83697055175</v>
      </c>
      <c r="H334" s="1">
        <f t="shared" si="83"/>
        <v>4679.4715020143103</v>
      </c>
      <c r="I334" s="1">
        <v>0</v>
      </c>
      <c r="J334" s="1">
        <v>0</v>
      </c>
      <c r="K334" s="1">
        <f t="shared" si="88"/>
        <v>-591.51030847256607</v>
      </c>
      <c r="L334" s="1">
        <f t="shared" si="84"/>
        <v>590918.79816409352</v>
      </c>
      <c r="N334" s="1">
        <f t="shared" si="89"/>
        <v>311</v>
      </c>
      <c r="O334" s="2">
        <f t="shared" si="96"/>
        <v>25</v>
      </c>
      <c r="P334" s="2">
        <f t="shared" si="97"/>
        <v>11</v>
      </c>
      <c r="Q334" s="2">
        <f t="shared" si="98"/>
        <v>25</v>
      </c>
      <c r="R334" s="1">
        <f t="shared" si="90"/>
        <v>9421138.6338853594</v>
      </c>
      <c r="S334" s="1">
        <f>IF($G$17="si",S322*(1+$G$20),S322)</f>
        <v>10000</v>
      </c>
      <c r="U334" s="1">
        <f t="shared" si="99"/>
        <v>75205.223871061462</v>
      </c>
      <c r="V334" s="35">
        <f t="shared" si="101"/>
        <v>-203.13672845934161</v>
      </c>
      <c r="X334" s="35">
        <f t="shared" si="100"/>
        <v>-9506.3438577564211</v>
      </c>
      <c r="Y334" s="1">
        <f t="shared" si="85"/>
        <v>9496634.3771702051</v>
      </c>
      <c r="AA334" s="2">
        <f>+Bono!J334</f>
        <v>316489.53005860664</v>
      </c>
      <c r="AC334" s="10">
        <f t="shared" si="91"/>
        <v>25.916666666666668</v>
      </c>
      <c r="AD334" s="1">
        <f t="shared" si="92"/>
        <v>10404042.705392906</v>
      </c>
    </row>
    <row r="335" spans="2:30">
      <c r="B335" s="1">
        <f t="shared" si="86"/>
        <v>312</v>
      </c>
      <c r="C335" s="2">
        <f t="shared" si="93"/>
        <v>25</v>
      </c>
      <c r="D335" s="2">
        <f t="shared" si="94"/>
        <v>12</v>
      </c>
      <c r="E335" s="2">
        <f t="shared" si="95"/>
        <v>54</v>
      </c>
      <c r="F335" s="1">
        <f t="shared" si="87"/>
        <v>590918.79816409352</v>
      </c>
      <c r="H335" s="1">
        <f t="shared" si="83"/>
        <v>4712.0694786395215</v>
      </c>
      <c r="I335" s="1">
        <v>0</v>
      </c>
      <c r="J335" s="69">
        <f>-SUM(F335:H335)*$J$21</f>
        <v>-5360.6778087845978</v>
      </c>
      <c r="K335" s="1">
        <f t="shared" si="88"/>
        <v>-590.27018983394839</v>
      </c>
      <c r="L335" s="1">
        <f t="shared" si="84"/>
        <v>589679.91964411444</v>
      </c>
      <c r="N335" s="1">
        <f t="shared" si="89"/>
        <v>312</v>
      </c>
      <c r="O335" s="2">
        <f t="shared" si="96"/>
        <v>25</v>
      </c>
      <c r="P335" s="2">
        <f t="shared" si="97"/>
        <v>12</v>
      </c>
      <c r="Q335" s="2">
        <f t="shared" si="98"/>
        <v>25</v>
      </c>
      <c r="R335" s="1">
        <f t="shared" si="90"/>
        <v>9496634.3771702051</v>
      </c>
      <c r="S335" s="4">
        <f>IF($G$4="mensual",S334,0)</f>
        <v>10000</v>
      </c>
      <c r="U335" s="1">
        <f t="shared" si="99"/>
        <v>75807.237529799284</v>
      </c>
      <c r="V335" s="35">
        <f t="shared" si="101"/>
        <v>-203.13672845934161</v>
      </c>
      <c r="X335" s="35">
        <f t="shared" si="100"/>
        <v>-9582.4416147000047</v>
      </c>
      <c r="Y335" s="1">
        <f t="shared" si="85"/>
        <v>9572656.036356844</v>
      </c>
      <c r="AA335" s="2">
        <f>+Bono!J335</f>
        <v>315582.86670363211</v>
      </c>
      <c r="AC335" s="10">
        <f t="shared" si="91"/>
        <v>26</v>
      </c>
      <c r="AD335" s="1">
        <f t="shared" si="92"/>
        <v>10477918.822704589</v>
      </c>
    </row>
    <row r="336" spans="2:30">
      <c r="B336" s="1">
        <f t="shared" si="86"/>
        <v>313</v>
      </c>
      <c r="C336" s="2">
        <f t="shared" si="93"/>
        <v>26</v>
      </c>
      <c r="D336" s="2">
        <f t="shared" si="94"/>
        <v>1</v>
      </c>
      <c r="E336" s="2">
        <f t="shared" si="95"/>
        <v>55</v>
      </c>
      <c r="F336" s="1">
        <f t="shared" si="87"/>
        <v>589679.91964411444</v>
      </c>
      <c r="H336" s="1">
        <f t="shared" si="83"/>
        <v>4702.1904873468557</v>
      </c>
      <c r="I336" s="1">
        <v>0</v>
      </c>
      <c r="J336" s="1">
        <v>0</v>
      </c>
      <c r="K336" s="1">
        <f t="shared" si="88"/>
        <v>-594.38211013146133</v>
      </c>
      <c r="L336" s="1">
        <f t="shared" si="84"/>
        <v>593787.72802132985</v>
      </c>
      <c r="N336" s="1">
        <f t="shared" si="89"/>
        <v>313</v>
      </c>
      <c r="O336" s="2">
        <f t="shared" si="96"/>
        <v>26</v>
      </c>
      <c r="P336" s="2">
        <f t="shared" si="97"/>
        <v>1</v>
      </c>
      <c r="Q336" s="2">
        <f t="shared" si="98"/>
        <v>26</v>
      </c>
      <c r="R336" s="1">
        <f t="shared" si="90"/>
        <v>9572656.036356844</v>
      </c>
      <c r="S336" s="1">
        <f>IF($G$17="si",S324*(1+$G$20),S324)</f>
        <v>10000</v>
      </c>
      <c r="U336" s="1">
        <f t="shared" si="99"/>
        <v>76413.444915791813</v>
      </c>
      <c r="V336" s="35">
        <f>(V335*(1+$G$18))</f>
        <v>-211.26219759771527</v>
      </c>
      <c r="X336" s="35">
        <f t="shared" si="100"/>
        <v>-9659.069481272636</v>
      </c>
      <c r="Y336" s="1">
        <f t="shared" si="85"/>
        <v>9649199.1495937668</v>
      </c>
      <c r="AA336" s="2">
        <f>+Bono!J336</f>
        <v>317539.51708254148</v>
      </c>
      <c r="AC336" s="10">
        <f t="shared" si="91"/>
        <v>26.083333333333332</v>
      </c>
      <c r="AD336" s="1">
        <f t="shared" si="92"/>
        <v>10560526.394697638</v>
      </c>
    </row>
    <row r="337" spans="2:30">
      <c r="B337" s="1">
        <f t="shared" si="86"/>
        <v>314</v>
      </c>
      <c r="C337" s="2">
        <f t="shared" si="93"/>
        <v>26</v>
      </c>
      <c r="D337" s="2">
        <f t="shared" si="94"/>
        <v>2</v>
      </c>
      <c r="E337" s="2">
        <f t="shared" si="95"/>
        <v>55</v>
      </c>
      <c r="F337" s="1">
        <f t="shared" si="87"/>
        <v>593787.72802132985</v>
      </c>
      <c r="H337" s="1">
        <f t="shared" si="83"/>
        <v>4734.9467282017986</v>
      </c>
      <c r="I337" s="1">
        <v>0</v>
      </c>
      <c r="J337" s="1">
        <v>0</v>
      </c>
      <c r="K337" s="1">
        <f t="shared" si="88"/>
        <v>-598.52267474953169</v>
      </c>
      <c r="L337" s="1">
        <f t="shared" si="84"/>
        <v>597924.15207478218</v>
      </c>
      <c r="N337" s="1">
        <f t="shared" si="89"/>
        <v>314</v>
      </c>
      <c r="O337" s="2">
        <f t="shared" si="96"/>
        <v>26</v>
      </c>
      <c r="P337" s="2">
        <f t="shared" si="97"/>
        <v>2</v>
      </c>
      <c r="Q337" s="2">
        <f t="shared" si="98"/>
        <v>26</v>
      </c>
      <c r="R337" s="1">
        <f t="shared" si="90"/>
        <v>9649199.1495937668</v>
      </c>
      <c r="S337" s="4">
        <f>IF($G$4="mensual",S336,0)</f>
        <v>10000</v>
      </c>
      <c r="U337" s="1">
        <f t="shared" si="99"/>
        <v>77023.810449608514</v>
      </c>
      <c r="V337" s="35">
        <f t="shared" si="101"/>
        <v>-211.26219759771527</v>
      </c>
      <c r="X337" s="35">
        <f t="shared" si="100"/>
        <v>-9736.2229600433748</v>
      </c>
      <c r="Y337" s="1">
        <f t="shared" si="85"/>
        <v>9726275.4748857338</v>
      </c>
      <c r="AA337" s="2">
        <f>+Bono!J337</f>
        <v>319508.29892075749</v>
      </c>
      <c r="AC337" s="10">
        <f t="shared" si="91"/>
        <v>26.166666666666668</v>
      </c>
      <c r="AD337" s="1">
        <f t="shared" si="92"/>
        <v>10643707.925881274</v>
      </c>
    </row>
    <row r="338" spans="2:30">
      <c r="B338" s="1">
        <f t="shared" si="86"/>
        <v>315</v>
      </c>
      <c r="C338" s="2">
        <f t="shared" si="93"/>
        <v>26</v>
      </c>
      <c r="D338" s="2">
        <f t="shared" si="94"/>
        <v>3</v>
      </c>
      <c r="E338" s="2">
        <f t="shared" si="95"/>
        <v>55</v>
      </c>
      <c r="F338" s="1">
        <f t="shared" si="87"/>
        <v>597924.15207478218</v>
      </c>
      <c r="H338" s="1">
        <f t="shared" si="83"/>
        <v>4767.9311544775228</v>
      </c>
      <c r="I338" s="1">
        <v>0</v>
      </c>
      <c r="J338" s="69">
        <f>-SUM(F338:H338)*$J$21</f>
        <v>-5424.228749063338</v>
      </c>
      <c r="K338" s="1">
        <f t="shared" si="88"/>
        <v>-597.26785448019643</v>
      </c>
      <c r="L338" s="1">
        <f t="shared" si="84"/>
        <v>596670.58662571618</v>
      </c>
      <c r="N338" s="1">
        <f t="shared" si="89"/>
        <v>315</v>
      </c>
      <c r="O338" s="2">
        <f t="shared" si="96"/>
        <v>26</v>
      </c>
      <c r="P338" s="2">
        <f t="shared" si="97"/>
        <v>3</v>
      </c>
      <c r="Q338" s="2">
        <f t="shared" si="98"/>
        <v>26</v>
      </c>
      <c r="R338" s="1">
        <f t="shared" si="90"/>
        <v>9726275.4748857338</v>
      </c>
      <c r="S338" s="4">
        <f>IF($G$4="mensual",S337,0)</f>
        <v>10000</v>
      </c>
      <c r="U338" s="1">
        <f t="shared" si="99"/>
        <v>77638.427891230531</v>
      </c>
      <c r="V338" s="35">
        <f t="shared" si="101"/>
        <v>-211.26219759771527</v>
      </c>
      <c r="X338" s="35">
        <f t="shared" si="100"/>
        <v>-9813.9139027769634</v>
      </c>
      <c r="Y338" s="1">
        <f t="shared" si="85"/>
        <v>9803888.7266765907</v>
      </c>
      <c r="AA338" s="2">
        <f>+Bono!J338</f>
        <v>318592.98754793557</v>
      </c>
      <c r="AC338" s="10">
        <f t="shared" si="91"/>
        <v>26.25</v>
      </c>
      <c r="AD338" s="1">
        <f t="shared" si="92"/>
        <v>10719152.300850242</v>
      </c>
    </row>
    <row r="339" spans="2:30">
      <c r="B339" s="1">
        <f t="shared" si="86"/>
        <v>316</v>
      </c>
      <c r="C339" s="2">
        <f t="shared" si="93"/>
        <v>26</v>
      </c>
      <c r="D339" s="2">
        <f t="shared" si="94"/>
        <v>4</v>
      </c>
      <c r="E339" s="2">
        <f t="shared" si="95"/>
        <v>55</v>
      </c>
      <c r="F339" s="1">
        <f t="shared" si="87"/>
        <v>596670.58662571618</v>
      </c>
      <c r="H339" s="1">
        <f t="shared" si="83"/>
        <v>4757.9350475498495</v>
      </c>
      <c r="I339" s="1">
        <v>0</v>
      </c>
      <c r="J339" s="1">
        <v>0</v>
      </c>
      <c r="K339" s="1">
        <f t="shared" si="88"/>
        <v>-601.42852167326612</v>
      </c>
      <c r="L339" s="1">
        <f t="shared" si="84"/>
        <v>600827.09315159277</v>
      </c>
      <c r="N339" s="1">
        <f t="shared" si="89"/>
        <v>316</v>
      </c>
      <c r="O339" s="2">
        <f t="shared" si="96"/>
        <v>26</v>
      </c>
      <c r="P339" s="2">
        <f t="shared" si="97"/>
        <v>4</v>
      </c>
      <c r="Q339" s="2">
        <f t="shared" si="98"/>
        <v>26</v>
      </c>
      <c r="R339" s="1">
        <f t="shared" si="90"/>
        <v>9803888.7266765907</v>
      </c>
      <c r="S339" s="4">
        <f>IF($G$4="mensual",S336,IF($G$4="trimestral",S336,0))</f>
        <v>10000</v>
      </c>
      <c r="U339" s="1">
        <f t="shared" si="99"/>
        <v>78257.326860154688</v>
      </c>
      <c r="V339" s="35">
        <f t="shared" si="101"/>
        <v>-211.26219759771527</v>
      </c>
      <c r="X339" s="35">
        <f t="shared" si="100"/>
        <v>-9892.1460535367441</v>
      </c>
      <c r="Y339" s="1">
        <f t="shared" si="85"/>
        <v>9882042.645285612</v>
      </c>
      <c r="AA339" s="2">
        <f>+Bono!J339</f>
        <v>320568.30102523201</v>
      </c>
      <c r="AC339" s="10">
        <f t="shared" si="91"/>
        <v>26.333333333333332</v>
      </c>
      <c r="AD339" s="1">
        <f t="shared" si="92"/>
        <v>10803438.039462438</v>
      </c>
    </row>
    <row r="340" spans="2:30">
      <c r="B340" s="1">
        <f t="shared" si="86"/>
        <v>317</v>
      </c>
      <c r="C340" s="2">
        <f t="shared" si="93"/>
        <v>26</v>
      </c>
      <c r="D340" s="2">
        <f t="shared" si="94"/>
        <v>5</v>
      </c>
      <c r="E340" s="2">
        <f t="shared" si="95"/>
        <v>55</v>
      </c>
      <c r="F340" s="1">
        <f t="shared" si="87"/>
        <v>600827.09315159277</v>
      </c>
      <c r="H340" s="1">
        <f t="shared" si="83"/>
        <v>4791.079614280844</v>
      </c>
      <c r="I340" s="1">
        <v>0</v>
      </c>
      <c r="J340" s="1">
        <v>0</v>
      </c>
      <c r="K340" s="1">
        <f t="shared" si="88"/>
        <v>-605.61817276587362</v>
      </c>
      <c r="L340" s="1">
        <f t="shared" si="84"/>
        <v>605012.55459310778</v>
      </c>
      <c r="N340" s="1">
        <f t="shared" si="89"/>
        <v>317</v>
      </c>
      <c r="O340" s="2">
        <f t="shared" si="96"/>
        <v>26</v>
      </c>
      <c r="P340" s="2">
        <f t="shared" si="97"/>
        <v>5</v>
      </c>
      <c r="Q340" s="2">
        <f t="shared" si="98"/>
        <v>26</v>
      </c>
      <c r="R340" s="1">
        <f t="shared" si="90"/>
        <v>9882042.645285612</v>
      </c>
      <c r="S340" s="4">
        <f>IF($G$4="mensual",S339,0)</f>
        <v>10000</v>
      </c>
      <c r="U340" s="1">
        <f t="shared" si="99"/>
        <v>78880.537182212138</v>
      </c>
      <c r="V340" s="35">
        <f t="shared" si="101"/>
        <v>-211.26219759771527</v>
      </c>
      <c r="X340" s="35">
        <f t="shared" si="100"/>
        <v>-9970.9231824678245</v>
      </c>
      <c r="Y340" s="1">
        <f t="shared" si="85"/>
        <v>9960740.9970877599</v>
      </c>
      <c r="AA340" s="2">
        <f>+Bono!J340</f>
        <v>322555.86167520989</v>
      </c>
      <c r="AC340" s="10">
        <f t="shared" si="91"/>
        <v>26.416666666666668</v>
      </c>
      <c r="AD340" s="1">
        <f t="shared" si="92"/>
        <v>10888309.413356079</v>
      </c>
    </row>
    <row r="341" spans="2:30">
      <c r="B341" s="1">
        <f t="shared" si="86"/>
        <v>318</v>
      </c>
      <c r="C341" s="2">
        <f t="shared" si="93"/>
        <v>26</v>
      </c>
      <c r="D341" s="2">
        <f t="shared" si="94"/>
        <v>6</v>
      </c>
      <c r="E341" s="2">
        <f t="shared" si="95"/>
        <v>55</v>
      </c>
      <c r="F341" s="1">
        <f t="shared" si="87"/>
        <v>605012.55459310778</v>
      </c>
      <c r="H341" s="1">
        <f t="shared" si="83"/>
        <v>4824.4550715752466</v>
      </c>
      <c r="I341" s="1">
        <v>0</v>
      </c>
      <c r="J341" s="69">
        <f>-SUM(F341:H341)*$J$21</f>
        <v>-5488.5330869821482</v>
      </c>
      <c r="K341" s="1">
        <f t="shared" si="88"/>
        <v>-604.34847657770081</v>
      </c>
      <c r="L341" s="1">
        <f t="shared" si="84"/>
        <v>603744.12810112315</v>
      </c>
      <c r="N341" s="1">
        <f t="shared" si="89"/>
        <v>318</v>
      </c>
      <c r="O341" s="2">
        <f t="shared" si="96"/>
        <v>26</v>
      </c>
      <c r="P341" s="2">
        <f t="shared" si="97"/>
        <v>6</v>
      </c>
      <c r="Q341" s="2">
        <f t="shared" si="98"/>
        <v>26</v>
      </c>
      <c r="R341" s="1">
        <f t="shared" si="90"/>
        <v>9960740.9970877599</v>
      </c>
      <c r="S341" s="4">
        <f>IF($G$4="mensual",S340,0)</f>
        <v>10000</v>
      </c>
      <c r="U341" s="1">
        <f t="shared" si="99"/>
        <v>79508.08889100574</v>
      </c>
      <c r="V341" s="35">
        <f t="shared" si="101"/>
        <v>-211.26219759771527</v>
      </c>
      <c r="X341" s="35">
        <f t="shared" si="100"/>
        <v>-10050.249085978765</v>
      </c>
      <c r="Y341" s="1">
        <f t="shared" si="85"/>
        <v>10039987.574695189</v>
      </c>
      <c r="AA341" s="2">
        <f>+Bono!J341</f>
        <v>321631.81979724002</v>
      </c>
      <c r="AC341" s="10">
        <f t="shared" si="91"/>
        <v>26.5</v>
      </c>
      <c r="AD341" s="1">
        <f t="shared" si="92"/>
        <v>10965363.522593552</v>
      </c>
    </row>
    <row r="342" spans="2:30">
      <c r="B342" s="1">
        <f t="shared" si="86"/>
        <v>319</v>
      </c>
      <c r="C342" s="2">
        <f t="shared" si="93"/>
        <v>26</v>
      </c>
      <c r="D342" s="2">
        <f t="shared" si="94"/>
        <v>7</v>
      </c>
      <c r="E342" s="2">
        <f t="shared" si="95"/>
        <v>55</v>
      </c>
      <c r="F342" s="1">
        <f t="shared" si="87"/>
        <v>603744.12810112315</v>
      </c>
      <c r="H342" s="1">
        <f t="shared" si="83"/>
        <v>4814.3404606044196</v>
      </c>
      <c r="I342" s="1">
        <v>0</v>
      </c>
      <c r="J342" s="1">
        <v>0</v>
      </c>
      <c r="K342" s="1">
        <f t="shared" si="88"/>
        <v>-608.55846856172752</v>
      </c>
      <c r="L342" s="1">
        <f t="shared" si="84"/>
        <v>607949.91009316582</v>
      </c>
      <c r="N342" s="1">
        <f t="shared" si="89"/>
        <v>319</v>
      </c>
      <c r="O342" s="2">
        <f t="shared" si="96"/>
        <v>26</v>
      </c>
      <c r="P342" s="2">
        <f t="shared" si="97"/>
        <v>7</v>
      </c>
      <c r="Q342" s="2">
        <f t="shared" si="98"/>
        <v>26</v>
      </c>
      <c r="R342" s="1">
        <f t="shared" si="90"/>
        <v>10039987.574695189</v>
      </c>
      <c r="S342" s="1">
        <f>+IF($G$4="mensual",S336,IF($G$4="trimestral",S336,IF($G$4="semestral",S336,0)))</f>
        <v>10000</v>
      </c>
      <c r="U342" s="1">
        <f t="shared" si="99"/>
        <v>80140.012229357395</v>
      </c>
      <c r="V342" s="35">
        <f t="shared" si="101"/>
        <v>-211.26219759771527</v>
      </c>
      <c r="X342" s="35">
        <f t="shared" si="100"/>
        <v>-10130.127586924546</v>
      </c>
      <c r="Y342" s="1">
        <f t="shared" si="85"/>
        <v>10119786.197140023</v>
      </c>
      <c r="AA342" s="2">
        <f>+Bono!J342</f>
        <v>323625.97438696492</v>
      </c>
      <c r="AC342" s="10">
        <f t="shared" si="91"/>
        <v>26.583333333333332</v>
      </c>
      <c r="AD342" s="1">
        <f t="shared" si="92"/>
        <v>11051362.081620153</v>
      </c>
    </row>
    <row r="343" spans="2:30">
      <c r="B343" s="1">
        <f t="shared" si="86"/>
        <v>320</v>
      </c>
      <c r="C343" s="2">
        <f t="shared" si="93"/>
        <v>26</v>
      </c>
      <c r="D343" s="2">
        <f t="shared" si="94"/>
        <v>8</v>
      </c>
      <c r="E343" s="2">
        <f t="shared" si="95"/>
        <v>55</v>
      </c>
      <c r="F343" s="1">
        <f t="shared" si="87"/>
        <v>607949.91009316582</v>
      </c>
      <c r="H343" s="1">
        <f t="shared" si="83"/>
        <v>4847.8779568223226</v>
      </c>
      <c r="I343" s="1">
        <v>0</v>
      </c>
      <c r="J343" s="1">
        <v>0</v>
      </c>
      <c r="K343" s="1">
        <f t="shared" si="88"/>
        <v>-612.79778804998807</v>
      </c>
      <c r="L343" s="1">
        <f t="shared" si="84"/>
        <v>612184.99026193807</v>
      </c>
      <c r="N343" s="1">
        <f t="shared" si="89"/>
        <v>320</v>
      </c>
      <c r="O343" s="2">
        <f t="shared" si="96"/>
        <v>26</v>
      </c>
      <c r="P343" s="2">
        <f t="shared" si="97"/>
        <v>8</v>
      </c>
      <c r="Q343" s="2">
        <f t="shared" si="98"/>
        <v>26</v>
      </c>
      <c r="R343" s="1">
        <f t="shared" si="90"/>
        <v>10119786.197140023</v>
      </c>
      <c r="S343" s="4">
        <f>IF($G$4="mensual",S342,0)</f>
        <v>10000</v>
      </c>
      <c r="U343" s="1">
        <f t="shared" si="99"/>
        <v>80776.337650765578</v>
      </c>
      <c r="V343" s="35">
        <f t="shared" si="101"/>
        <v>-211.26219759771527</v>
      </c>
      <c r="X343" s="35">
        <f t="shared" si="100"/>
        <v>-10210.562534790788</v>
      </c>
      <c r="Y343" s="1">
        <f t="shared" si="85"/>
        <v>10200140.7100584</v>
      </c>
      <c r="AA343" s="2">
        <f>+Bono!J343</f>
        <v>325632.49296645372</v>
      </c>
      <c r="AC343" s="10">
        <f t="shared" si="91"/>
        <v>26.666666666666668</v>
      </c>
      <c r="AD343" s="1">
        <f t="shared" si="92"/>
        <v>11137958.193286793</v>
      </c>
    </row>
    <row r="344" spans="2:30">
      <c r="B344" s="1">
        <f t="shared" si="86"/>
        <v>321</v>
      </c>
      <c r="C344" s="2">
        <f t="shared" si="93"/>
        <v>26</v>
      </c>
      <c r="D344" s="2">
        <f t="shared" si="94"/>
        <v>9</v>
      </c>
      <c r="E344" s="2">
        <f t="shared" si="95"/>
        <v>55</v>
      </c>
      <c r="F344" s="1">
        <f t="shared" si="87"/>
        <v>612184.99026193807</v>
      </c>
      <c r="H344" s="1">
        <f t="shared" ref="H344:H407" si="102">SUM(F344:G344)*$G$8</f>
        <v>4881.6490808157778</v>
      </c>
      <c r="I344" s="1">
        <v>0</v>
      </c>
      <c r="J344" s="69">
        <f>-SUM(F344:H344)*$J$21</f>
        <v>-5553.5997540847848</v>
      </c>
      <c r="K344" s="1">
        <f t="shared" si="88"/>
        <v>-611.51303958866902</v>
      </c>
      <c r="L344" s="1">
        <f t="shared" ref="L344:L407" si="103">SUM(F344:K344)</f>
        <v>610901.52654908027</v>
      </c>
      <c r="N344" s="1">
        <f t="shared" si="89"/>
        <v>321</v>
      </c>
      <c r="O344" s="2">
        <f t="shared" si="96"/>
        <v>26</v>
      </c>
      <c r="P344" s="2">
        <f t="shared" si="97"/>
        <v>9</v>
      </c>
      <c r="Q344" s="2">
        <f t="shared" si="98"/>
        <v>26</v>
      </c>
      <c r="R344" s="1">
        <f t="shared" si="90"/>
        <v>10200140.7100584</v>
      </c>
      <c r="S344" s="4">
        <f>IF($G$4="mensual",S343,0)</f>
        <v>10000</v>
      </c>
      <c r="U344" s="1">
        <f t="shared" si="99"/>
        <v>81417.095820872884</v>
      </c>
      <c r="V344" s="35">
        <f t="shared" si="101"/>
        <v>-211.26219759771527</v>
      </c>
      <c r="X344" s="35">
        <f t="shared" si="100"/>
        <v>-10291.557805879273</v>
      </c>
      <c r="Y344" s="1">
        <f t="shared" ref="Y344:Y407" si="104">SUM(R344:X344)</f>
        <v>10281054.985875797</v>
      </c>
      <c r="AA344" s="2">
        <f>+Bono!J344</f>
        <v>324699.63730924757</v>
      </c>
      <c r="AC344" s="10">
        <f t="shared" si="91"/>
        <v>26.75</v>
      </c>
      <c r="AD344" s="1">
        <f t="shared" si="92"/>
        <v>11216656.149734125</v>
      </c>
    </row>
    <row r="345" spans="2:30">
      <c r="B345" s="1">
        <f t="shared" ref="B345:B408" si="105">+B344+1</f>
        <v>322</v>
      </c>
      <c r="C345" s="2">
        <f t="shared" si="93"/>
        <v>26</v>
      </c>
      <c r="D345" s="2">
        <f t="shared" si="94"/>
        <v>10</v>
      </c>
      <c r="E345" s="2">
        <f t="shared" si="95"/>
        <v>55</v>
      </c>
      <c r="F345" s="1">
        <f t="shared" ref="F345:F408" si="106">L344</f>
        <v>610901.52654908027</v>
      </c>
      <c r="H345" s="1">
        <f t="shared" si="102"/>
        <v>4871.4145609340476</v>
      </c>
      <c r="I345" s="1">
        <v>0</v>
      </c>
      <c r="J345" s="1">
        <v>0</v>
      </c>
      <c r="K345" s="1">
        <f t="shared" ref="K345:K408" si="107">-SUM(F345:J345)*0.1%</f>
        <v>-615.77294111001436</v>
      </c>
      <c r="L345" s="1">
        <f t="shared" si="103"/>
        <v>615157.16816890438</v>
      </c>
      <c r="N345" s="1">
        <f t="shared" ref="N345:N408" si="108">+N344+1</f>
        <v>322</v>
      </c>
      <c r="O345" s="2">
        <f t="shared" si="96"/>
        <v>26</v>
      </c>
      <c r="P345" s="2">
        <f t="shared" si="97"/>
        <v>10</v>
      </c>
      <c r="Q345" s="2">
        <f t="shared" si="98"/>
        <v>26</v>
      </c>
      <c r="R345" s="1">
        <f t="shared" ref="R345:R408" si="109">Y344</f>
        <v>10281054.985875797</v>
      </c>
      <c r="S345" s="4">
        <f>IF($G$4="mensual",S336,IF($G$4="trimestral",S336,0))</f>
        <v>10000</v>
      </c>
      <c r="U345" s="1">
        <f t="shared" si="99"/>
        <v>82062.317618943853</v>
      </c>
      <c r="V345" s="35">
        <f t="shared" si="101"/>
        <v>-211.26219759771527</v>
      </c>
      <c r="X345" s="35">
        <f t="shared" si="100"/>
        <v>-10373.117303494741</v>
      </c>
      <c r="Y345" s="1">
        <f t="shared" si="104"/>
        <v>10362532.923993649</v>
      </c>
      <c r="AA345" s="2">
        <f>+Bono!J345</f>
        <v>326712.81272339169</v>
      </c>
      <c r="AC345" s="10">
        <f t="shared" ref="AC345:AC408" si="110">+B345/12</f>
        <v>26.833333333333332</v>
      </c>
      <c r="AD345" s="1">
        <f t="shared" ref="AD345:AD408" si="111">+AA345+Y345+L345</f>
        <v>11304402.904885946</v>
      </c>
    </row>
    <row r="346" spans="2:30">
      <c r="B346" s="1">
        <f t="shared" si="105"/>
        <v>323</v>
      </c>
      <c r="C346" s="2">
        <f t="shared" si="93"/>
        <v>26</v>
      </c>
      <c r="D346" s="2">
        <f t="shared" si="94"/>
        <v>11</v>
      </c>
      <c r="E346" s="2">
        <f t="shared" si="95"/>
        <v>55</v>
      </c>
      <c r="F346" s="1">
        <f t="shared" si="106"/>
        <v>615157.16816890438</v>
      </c>
      <c r="H346" s="1">
        <f t="shared" si="102"/>
        <v>4905.3496448256119</v>
      </c>
      <c r="I346" s="1">
        <v>0</v>
      </c>
      <c r="J346" s="1">
        <v>0</v>
      </c>
      <c r="K346" s="1">
        <f t="shared" si="107"/>
        <v>-620.06251781372998</v>
      </c>
      <c r="L346" s="1">
        <f t="shared" si="103"/>
        <v>619442.45529591618</v>
      </c>
      <c r="N346" s="1">
        <f t="shared" si="108"/>
        <v>323</v>
      </c>
      <c r="O346" s="2">
        <f t="shared" si="96"/>
        <v>26</v>
      </c>
      <c r="P346" s="2">
        <f t="shared" si="97"/>
        <v>11</v>
      </c>
      <c r="Q346" s="2">
        <f t="shared" si="98"/>
        <v>26</v>
      </c>
      <c r="R346" s="1">
        <f t="shared" si="109"/>
        <v>10362532.923993649</v>
      </c>
      <c r="S346" s="1">
        <f>IF($G$17="si",S334*(1+$G$20),S334)</f>
        <v>10000</v>
      </c>
      <c r="U346" s="1">
        <f t="shared" si="99"/>
        <v>82712.034139353127</v>
      </c>
      <c r="V346" s="35">
        <f t="shared" si="101"/>
        <v>-211.26219759771527</v>
      </c>
      <c r="X346" s="35">
        <f t="shared" si="100"/>
        <v>-10455.244958133004</v>
      </c>
      <c r="Y346" s="1">
        <f t="shared" si="104"/>
        <v>10444578.450977273</v>
      </c>
      <c r="AA346" s="2">
        <f>+Bono!J346</f>
        <v>328738.47005861736</v>
      </c>
      <c r="AC346" s="10">
        <f t="shared" si="110"/>
        <v>26.916666666666668</v>
      </c>
      <c r="AD346" s="1">
        <f t="shared" si="111"/>
        <v>11392759.376331808</v>
      </c>
    </row>
    <row r="347" spans="2:30">
      <c r="B347" s="1">
        <f t="shared" si="105"/>
        <v>324</v>
      </c>
      <c r="C347" s="2">
        <f t="shared" si="93"/>
        <v>26</v>
      </c>
      <c r="D347" s="2">
        <f t="shared" si="94"/>
        <v>12</v>
      </c>
      <c r="E347" s="2">
        <f t="shared" si="95"/>
        <v>55</v>
      </c>
      <c r="F347" s="1">
        <f t="shared" si="106"/>
        <v>619442.45529591618</v>
      </c>
      <c r="H347" s="1">
        <f t="shared" si="102"/>
        <v>4939.5211261545783</v>
      </c>
      <c r="I347" s="1">
        <v>0</v>
      </c>
      <c r="J347" s="69">
        <f>-SUM(F347:H347)*$J$21</f>
        <v>-5619.4377877986371</v>
      </c>
      <c r="K347" s="1">
        <f t="shared" si="107"/>
        <v>-618.76253863427223</v>
      </c>
      <c r="L347" s="1">
        <f t="shared" si="103"/>
        <v>618143.77609563794</v>
      </c>
      <c r="N347" s="1">
        <f t="shared" si="108"/>
        <v>324</v>
      </c>
      <c r="O347" s="2">
        <f t="shared" si="96"/>
        <v>26</v>
      </c>
      <c r="P347" s="2">
        <f t="shared" si="97"/>
        <v>12</v>
      </c>
      <c r="Q347" s="2">
        <f t="shared" si="98"/>
        <v>26</v>
      </c>
      <c r="R347" s="1">
        <f t="shared" si="109"/>
        <v>10444578.450977273</v>
      </c>
      <c r="S347" s="4">
        <f>IF($G$4="mensual",S346,0)</f>
        <v>10000</v>
      </c>
      <c r="U347" s="1">
        <f t="shared" si="99"/>
        <v>83366.276693083972</v>
      </c>
      <c r="V347" s="35">
        <f t="shared" si="101"/>
        <v>-211.26219759771527</v>
      </c>
      <c r="X347" s="35">
        <f t="shared" si="100"/>
        <v>-10537.944727670358</v>
      </c>
      <c r="Y347" s="1">
        <f t="shared" si="104"/>
        <v>10527195.520745089</v>
      </c>
      <c r="AA347" s="2">
        <f>+Bono!J347</f>
        <v>327796.71655379416</v>
      </c>
      <c r="AC347" s="10">
        <f t="shared" si="110"/>
        <v>27</v>
      </c>
      <c r="AD347" s="1">
        <f t="shared" si="111"/>
        <v>11473136.013394522</v>
      </c>
    </row>
    <row r="348" spans="2:30">
      <c r="B348" s="1">
        <f t="shared" si="105"/>
        <v>325</v>
      </c>
      <c r="C348" s="2">
        <f t="shared" si="93"/>
        <v>27</v>
      </c>
      <c r="D348" s="2">
        <f t="shared" si="94"/>
        <v>1</v>
      </c>
      <c r="E348" s="2">
        <f t="shared" si="95"/>
        <v>56</v>
      </c>
      <c r="F348" s="1">
        <f t="shared" si="106"/>
        <v>618143.77609563794</v>
      </c>
      <c r="H348" s="1">
        <f t="shared" si="102"/>
        <v>4929.165275839463</v>
      </c>
      <c r="I348" s="1">
        <v>0</v>
      </c>
      <c r="J348" s="1">
        <v>0</v>
      </c>
      <c r="K348" s="1">
        <f t="shared" si="107"/>
        <v>-623.07294137147744</v>
      </c>
      <c r="L348" s="1">
        <f t="shared" si="103"/>
        <v>622449.86843010597</v>
      </c>
      <c r="N348" s="1">
        <f t="shared" si="108"/>
        <v>325</v>
      </c>
      <c r="O348" s="2">
        <f t="shared" si="96"/>
        <v>27</v>
      </c>
      <c r="P348" s="2">
        <f t="shared" si="97"/>
        <v>1</v>
      </c>
      <c r="Q348" s="2">
        <f t="shared" si="98"/>
        <v>27</v>
      </c>
      <c r="R348" s="1">
        <f t="shared" si="109"/>
        <v>10527195.520745089</v>
      </c>
      <c r="S348" s="1">
        <f>IF($G$17="si",S336*(1+$G$20),S336)</f>
        <v>10000</v>
      </c>
      <c r="U348" s="1">
        <f t="shared" si="99"/>
        <v>84025.076809237071</v>
      </c>
      <c r="V348" s="35">
        <f>(V347*(1+$G$18))</f>
        <v>-219.71268550162389</v>
      </c>
      <c r="X348" s="35">
        <f t="shared" si="100"/>
        <v>-10621.220597554326</v>
      </c>
      <c r="Y348" s="1">
        <f t="shared" si="104"/>
        <v>10610379.664271271</v>
      </c>
      <c r="AA348" s="2">
        <f>+Bono!J348</f>
        <v>329829.09421849344</v>
      </c>
      <c r="AC348" s="10">
        <f t="shared" si="110"/>
        <v>27.083333333333332</v>
      </c>
      <c r="AD348" s="1">
        <f t="shared" si="111"/>
        <v>11562658.626919871</v>
      </c>
    </row>
    <row r="349" spans="2:30">
      <c r="B349" s="1">
        <f t="shared" si="105"/>
        <v>326</v>
      </c>
      <c r="C349" s="2">
        <f t="shared" si="93"/>
        <v>27</v>
      </c>
      <c r="D349" s="2">
        <f t="shared" si="94"/>
        <v>2</v>
      </c>
      <c r="E349" s="2">
        <f t="shared" si="95"/>
        <v>56</v>
      </c>
      <c r="F349" s="1">
        <f t="shared" si="106"/>
        <v>622449.86843010597</v>
      </c>
      <c r="H349" s="1">
        <f t="shared" si="102"/>
        <v>4963.5026608143371</v>
      </c>
      <c r="I349" s="1">
        <v>0</v>
      </c>
      <c r="J349" s="1">
        <v>0</v>
      </c>
      <c r="K349" s="1">
        <f t="shared" si="107"/>
        <v>-627.41337109092035</v>
      </c>
      <c r="L349" s="1">
        <f t="shared" si="103"/>
        <v>626785.9577198294</v>
      </c>
      <c r="N349" s="1">
        <f t="shared" si="108"/>
        <v>326</v>
      </c>
      <c r="O349" s="2">
        <f t="shared" si="96"/>
        <v>27</v>
      </c>
      <c r="P349" s="2">
        <f t="shared" si="97"/>
        <v>2</v>
      </c>
      <c r="Q349" s="2">
        <f t="shared" si="98"/>
        <v>27</v>
      </c>
      <c r="R349" s="1">
        <f t="shared" si="109"/>
        <v>10610379.664271271</v>
      </c>
      <c r="S349" s="4">
        <f>IF($G$4="mensual",S348,0)</f>
        <v>10000</v>
      </c>
      <c r="U349" s="1">
        <f t="shared" si="99"/>
        <v>84688.398851172926</v>
      </c>
      <c r="V349" s="35">
        <f t="shared" si="101"/>
        <v>-219.71268550162389</v>
      </c>
      <c r="X349" s="35">
        <f t="shared" si="100"/>
        <v>-10705.068063122444</v>
      </c>
      <c r="Y349" s="1">
        <f t="shared" si="104"/>
        <v>10694143.28237382</v>
      </c>
      <c r="AA349" s="2">
        <f>+Bono!J349</f>
        <v>331874.07286045502</v>
      </c>
      <c r="AC349" s="10">
        <f t="shared" si="110"/>
        <v>27.166666666666668</v>
      </c>
      <c r="AD349" s="1">
        <f t="shared" si="111"/>
        <v>11652803.312954104</v>
      </c>
    </row>
    <row r="350" spans="2:30">
      <c r="B350" s="1">
        <f t="shared" si="105"/>
        <v>327</v>
      </c>
      <c r="C350" s="2">
        <f t="shared" si="93"/>
        <v>27</v>
      </c>
      <c r="D350" s="2">
        <f t="shared" si="94"/>
        <v>3</v>
      </c>
      <c r="E350" s="2">
        <f t="shared" si="95"/>
        <v>56</v>
      </c>
      <c r="F350" s="1">
        <f t="shared" si="106"/>
        <v>626785.9577198294</v>
      </c>
      <c r="H350" s="1">
        <f t="shared" si="102"/>
        <v>4998.0792457228572</v>
      </c>
      <c r="I350" s="1">
        <v>0</v>
      </c>
      <c r="J350" s="69">
        <f>-SUM(F350:H350)*$J$21</f>
        <v>-5686.056332689971</v>
      </c>
      <c r="K350" s="1">
        <f t="shared" si="107"/>
        <v>-626.09798063286235</v>
      </c>
      <c r="L350" s="1">
        <f t="shared" si="103"/>
        <v>625471.8826522294</v>
      </c>
      <c r="N350" s="1">
        <f t="shared" si="108"/>
        <v>327</v>
      </c>
      <c r="O350" s="2">
        <f t="shared" si="96"/>
        <v>27</v>
      </c>
      <c r="P350" s="2">
        <f t="shared" si="97"/>
        <v>3</v>
      </c>
      <c r="Q350" s="2">
        <f t="shared" si="98"/>
        <v>27</v>
      </c>
      <c r="R350" s="1">
        <f t="shared" si="109"/>
        <v>10694143.28237382</v>
      </c>
      <c r="S350" s="4">
        <f>IF($G$4="mensual",S349,0)</f>
        <v>10000</v>
      </c>
      <c r="U350" s="1">
        <f t="shared" si="99"/>
        <v>85356.341704755716</v>
      </c>
      <c r="V350" s="35">
        <f t="shared" si="101"/>
        <v>-219.71268550162389</v>
      </c>
      <c r="X350" s="35">
        <f t="shared" si="100"/>
        <v>-10789.499624078575</v>
      </c>
      <c r="Y350" s="1">
        <f t="shared" si="104"/>
        <v>10778490.411768995</v>
      </c>
      <c r="AA350" s="2">
        <f>+Bono!J350</f>
        <v>330923.33663776534</v>
      </c>
      <c r="AC350" s="10">
        <f t="shared" si="110"/>
        <v>27.25</v>
      </c>
      <c r="AD350" s="1">
        <f t="shared" si="111"/>
        <v>11734885.631058989</v>
      </c>
    </row>
    <row r="351" spans="2:30">
      <c r="B351" s="1">
        <f t="shared" si="105"/>
        <v>328</v>
      </c>
      <c r="C351" s="2">
        <f t="shared" si="93"/>
        <v>27</v>
      </c>
      <c r="D351" s="2">
        <f t="shared" si="94"/>
        <v>4</v>
      </c>
      <c r="E351" s="2">
        <f t="shared" si="95"/>
        <v>56</v>
      </c>
      <c r="F351" s="1">
        <f t="shared" si="106"/>
        <v>625471.8826522294</v>
      </c>
      <c r="H351" s="1">
        <f t="shared" si="102"/>
        <v>4987.6006265996939</v>
      </c>
      <c r="I351" s="1">
        <v>0</v>
      </c>
      <c r="J351" s="1">
        <v>0</v>
      </c>
      <c r="K351" s="1">
        <f t="shared" si="107"/>
        <v>-630.45948327882911</v>
      </c>
      <c r="L351" s="1">
        <f t="shared" si="103"/>
        <v>629829.02379555034</v>
      </c>
      <c r="N351" s="1">
        <f t="shared" si="108"/>
        <v>328</v>
      </c>
      <c r="O351" s="2">
        <f t="shared" si="96"/>
        <v>27</v>
      </c>
      <c r="P351" s="2">
        <f t="shared" si="97"/>
        <v>4</v>
      </c>
      <c r="Q351" s="2">
        <f t="shared" si="98"/>
        <v>27</v>
      </c>
      <c r="R351" s="1">
        <f t="shared" si="109"/>
        <v>10778490.411768995</v>
      </c>
      <c r="S351" s="4">
        <f>IF($G$4="mensual",S348,IF($G$4="trimestral",S348,0))</f>
        <v>10000</v>
      </c>
      <c r="U351" s="1">
        <f t="shared" si="99"/>
        <v>86028.937559327765</v>
      </c>
      <c r="V351" s="35">
        <f t="shared" si="101"/>
        <v>-219.71268550162389</v>
      </c>
      <c r="X351" s="35">
        <f t="shared" si="100"/>
        <v>-10874.519349328322</v>
      </c>
      <c r="Y351" s="1">
        <f t="shared" si="104"/>
        <v>10863425.117293492</v>
      </c>
      <c r="AA351" s="2">
        <f>+Bono!J351</f>
        <v>332975.09970965068</v>
      </c>
      <c r="AC351" s="10">
        <f t="shared" si="110"/>
        <v>27.333333333333332</v>
      </c>
      <c r="AD351" s="1">
        <f t="shared" si="111"/>
        <v>11826229.240798693</v>
      </c>
    </row>
    <row r="352" spans="2:30">
      <c r="B352" s="1">
        <f t="shared" si="105"/>
        <v>329</v>
      </c>
      <c r="C352" s="2">
        <f t="shared" si="93"/>
        <v>27</v>
      </c>
      <c r="D352" s="2">
        <f t="shared" si="94"/>
        <v>5</v>
      </c>
      <c r="E352" s="2">
        <f t="shared" si="95"/>
        <v>56</v>
      </c>
      <c r="F352" s="1">
        <f t="shared" si="106"/>
        <v>629829.02379555034</v>
      </c>
      <c r="H352" s="1">
        <f t="shared" si="102"/>
        <v>5022.3450819450891</v>
      </c>
      <c r="I352" s="1">
        <v>0</v>
      </c>
      <c r="J352" s="1">
        <v>0</v>
      </c>
      <c r="K352" s="1">
        <f t="shared" si="107"/>
        <v>-634.85136887749547</v>
      </c>
      <c r="L352" s="1">
        <f t="shared" si="103"/>
        <v>634216.51750861795</v>
      </c>
      <c r="N352" s="1">
        <f t="shared" si="108"/>
        <v>329</v>
      </c>
      <c r="O352" s="2">
        <f t="shared" si="96"/>
        <v>27</v>
      </c>
      <c r="P352" s="2">
        <f t="shared" si="97"/>
        <v>5</v>
      </c>
      <c r="Q352" s="2">
        <f t="shared" si="98"/>
        <v>27</v>
      </c>
      <c r="R352" s="1">
        <f t="shared" si="109"/>
        <v>10863425.117293492</v>
      </c>
      <c r="S352" s="4">
        <f>IF($G$4="mensual",S351,0)</f>
        <v>10000</v>
      </c>
      <c r="U352" s="1">
        <f t="shared" si="99"/>
        <v>86706.218828467696</v>
      </c>
      <c r="V352" s="35">
        <f t="shared" si="101"/>
        <v>-219.71268550162389</v>
      </c>
      <c r="X352" s="35">
        <f t="shared" si="100"/>
        <v>-10960.13133612196</v>
      </c>
      <c r="Y352" s="1">
        <f t="shared" si="104"/>
        <v>10948951.492100336</v>
      </c>
      <c r="AA352" s="2">
        <f>+Bono!J352</f>
        <v>335039.58395057154</v>
      </c>
      <c r="AC352" s="10">
        <f t="shared" si="110"/>
        <v>27.416666666666668</v>
      </c>
      <c r="AD352" s="1">
        <f t="shared" si="111"/>
        <v>11918207.593559526</v>
      </c>
    </row>
    <row r="353" spans="2:30">
      <c r="B353" s="1">
        <f t="shared" si="105"/>
        <v>330</v>
      </c>
      <c r="C353" s="2">
        <f t="shared" si="93"/>
        <v>27</v>
      </c>
      <c r="D353" s="2">
        <f t="shared" si="94"/>
        <v>6</v>
      </c>
      <c r="E353" s="2">
        <f t="shared" si="95"/>
        <v>56</v>
      </c>
      <c r="F353" s="1">
        <f t="shared" si="106"/>
        <v>634216.51750861795</v>
      </c>
      <c r="H353" s="1">
        <f t="shared" si="102"/>
        <v>5057.3315729440228</v>
      </c>
      <c r="I353" s="1">
        <v>0</v>
      </c>
      <c r="J353" s="69">
        <f>-SUM(F353:H353)*$J$21</f>
        <v>-5753.4646417340591</v>
      </c>
      <c r="K353" s="1">
        <f t="shared" si="107"/>
        <v>-633.52038443982804</v>
      </c>
      <c r="L353" s="1">
        <f t="shared" si="103"/>
        <v>632886.86405538814</v>
      </c>
      <c r="N353" s="1">
        <f t="shared" si="108"/>
        <v>330</v>
      </c>
      <c r="O353" s="2">
        <f t="shared" si="96"/>
        <v>27</v>
      </c>
      <c r="P353" s="2">
        <f t="shared" si="97"/>
        <v>6</v>
      </c>
      <c r="Q353" s="2">
        <f t="shared" si="98"/>
        <v>27</v>
      </c>
      <c r="R353" s="1">
        <f t="shared" si="109"/>
        <v>10948951.492100336</v>
      </c>
      <c r="S353" s="4">
        <f>IF($G$4="mensual",S352,0)</f>
        <v>10000</v>
      </c>
      <c r="U353" s="1">
        <f t="shared" si="99"/>
        <v>87388.218151552515</v>
      </c>
      <c r="V353" s="35">
        <f t="shared" si="101"/>
        <v>-219.71268550162389</v>
      </c>
      <c r="X353" s="35">
        <f t="shared" si="100"/>
        <v>-11046.339710251888</v>
      </c>
      <c r="Y353" s="1">
        <f t="shared" si="104"/>
        <v>11035073.657856135</v>
      </c>
      <c r="AA353" s="2">
        <f>+Bono!J353</f>
        <v>334079.77933024918</v>
      </c>
      <c r="AC353" s="10">
        <f t="shared" si="110"/>
        <v>27.5</v>
      </c>
      <c r="AD353" s="1">
        <f t="shared" si="111"/>
        <v>12002040.301241772</v>
      </c>
    </row>
    <row r="354" spans="2:30">
      <c r="B354" s="1">
        <f t="shared" si="105"/>
        <v>331</v>
      </c>
      <c r="C354" s="2">
        <f t="shared" si="93"/>
        <v>27</v>
      </c>
      <c r="D354" s="2">
        <f t="shared" si="94"/>
        <v>7</v>
      </c>
      <c r="E354" s="2">
        <f t="shared" si="95"/>
        <v>56</v>
      </c>
      <c r="F354" s="1">
        <f t="shared" si="106"/>
        <v>632886.86405538814</v>
      </c>
      <c r="H354" s="1">
        <f t="shared" si="102"/>
        <v>5046.7287295861915</v>
      </c>
      <c r="I354" s="1">
        <v>0</v>
      </c>
      <c r="J354" s="1">
        <v>0</v>
      </c>
      <c r="K354" s="1">
        <f t="shared" si="107"/>
        <v>-637.93359278497439</v>
      </c>
      <c r="L354" s="1">
        <f t="shared" si="103"/>
        <v>637295.65919218946</v>
      </c>
      <c r="N354" s="1">
        <f t="shared" si="108"/>
        <v>331</v>
      </c>
      <c r="O354" s="2">
        <f t="shared" si="96"/>
        <v>27</v>
      </c>
      <c r="P354" s="2">
        <f t="shared" si="97"/>
        <v>7</v>
      </c>
      <c r="Q354" s="2">
        <f t="shared" si="98"/>
        <v>27</v>
      </c>
      <c r="R354" s="1">
        <f t="shared" si="109"/>
        <v>11035073.657856135</v>
      </c>
      <c r="S354" s="1">
        <f>+IF($G$4="mensual",S348,IF($G$4="trimestral",S348,IF($G$4="semestral",S348,0)))</f>
        <v>10000</v>
      </c>
      <c r="U354" s="1">
        <f t="shared" si="99"/>
        <v>88074.968395330579</v>
      </c>
      <c r="V354" s="35">
        <f t="shared" si="101"/>
        <v>-219.71268550162389</v>
      </c>
      <c r="X354" s="35">
        <f t="shared" si="100"/>
        <v>-11133.148626251465</v>
      </c>
      <c r="Y354" s="1">
        <f t="shared" si="104"/>
        <v>11121795.764939712</v>
      </c>
      <c r="AA354" s="2">
        <f>+Bono!J354</f>
        <v>336151.1127129526</v>
      </c>
      <c r="AC354" s="10">
        <f t="shared" si="110"/>
        <v>27.583333333333332</v>
      </c>
      <c r="AD354" s="1">
        <f t="shared" si="111"/>
        <v>12095242.536844855</v>
      </c>
    </row>
    <row r="355" spans="2:30">
      <c r="B355" s="1">
        <f t="shared" si="105"/>
        <v>332</v>
      </c>
      <c r="C355" s="2">
        <f t="shared" si="93"/>
        <v>27</v>
      </c>
      <c r="D355" s="2">
        <f t="shared" si="94"/>
        <v>8</v>
      </c>
      <c r="E355" s="2">
        <f t="shared" si="95"/>
        <v>56</v>
      </c>
      <c r="F355" s="1">
        <f t="shared" si="106"/>
        <v>637295.65919218946</v>
      </c>
      <c r="H355" s="1">
        <f t="shared" si="102"/>
        <v>5081.8850811293132</v>
      </c>
      <c r="I355" s="1">
        <v>0</v>
      </c>
      <c r="J355" s="1">
        <v>0</v>
      </c>
      <c r="K355" s="1">
        <f t="shared" si="107"/>
        <v>-642.37754427331879</v>
      </c>
      <c r="L355" s="1">
        <f t="shared" si="103"/>
        <v>641735.16672904545</v>
      </c>
      <c r="N355" s="1">
        <f t="shared" si="108"/>
        <v>332</v>
      </c>
      <c r="O355" s="2">
        <f t="shared" si="96"/>
        <v>27</v>
      </c>
      <c r="P355" s="2">
        <f t="shared" si="97"/>
        <v>8</v>
      </c>
      <c r="Q355" s="2">
        <f t="shared" si="98"/>
        <v>27</v>
      </c>
      <c r="R355" s="1">
        <f t="shared" si="109"/>
        <v>11121795.764939712</v>
      </c>
      <c r="S355" s="4">
        <f>IF($G$4="mensual",S354,0)</f>
        <v>10000</v>
      </c>
      <c r="U355" s="1">
        <f t="shared" si="99"/>
        <v>88766.502655505465</v>
      </c>
      <c r="V355" s="35">
        <f t="shared" si="101"/>
        <v>-219.71268550162389</v>
      </c>
      <c r="X355" s="35">
        <f t="shared" si="100"/>
        <v>-11220.562267595218</v>
      </c>
      <c r="Y355" s="1">
        <f t="shared" si="104"/>
        <v>11209121.992642121</v>
      </c>
      <c r="AA355" s="2">
        <f>+Bono!J355</f>
        <v>338235.28860288864</v>
      </c>
      <c r="AC355" s="10">
        <f t="shared" si="110"/>
        <v>27.666666666666668</v>
      </c>
      <c r="AD355" s="1">
        <f t="shared" si="111"/>
        <v>12189092.447974056</v>
      </c>
    </row>
    <row r="356" spans="2:30">
      <c r="B356" s="1">
        <f t="shared" si="105"/>
        <v>333</v>
      </c>
      <c r="C356" s="2">
        <f t="shared" ref="C356:C419" si="112">C344+1</f>
        <v>27</v>
      </c>
      <c r="D356" s="2">
        <f t="shared" ref="D356:D419" si="113">D344</f>
        <v>9</v>
      </c>
      <c r="E356" s="2">
        <f t="shared" ref="E356:E419" si="114">E344+1</f>
        <v>56</v>
      </c>
      <c r="F356" s="1">
        <f t="shared" si="106"/>
        <v>641735.16672904545</v>
      </c>
      <c r="H356" s="1">
        <f t="shared" si="102"/>
        <v>5117.2863376633795</v>
      </c>
      <c r="I356" s="1">
        <v>0</v>
      </c>
      <c r="J356" s="69">
        <f>-SUM(F356:H356)*$J$21</f>
        <v>-5821.6720776003804</v>
      </c>
      <c r="K356" s="1">
        <f t="shared" si="107"/>
        <v>-641.03078098910851</v>
      </c>
      <c r="L356" s="1">
        <f t="shared" si="103"/>
        <v>640389.7502081194</v>
      </c>
      <c r="N356" s="1">
        <f t="shared" si="108"/>
        <v>333</v>
      </c>
      <c r="O356" s="2">
        <f t="shared" ref="O356:O419" si="115">O344+1</f>
        <v>27</v>
      </c>
      <c r="P356" s="2">
        <f t="shared" ref="P356:P419" si="116">P344</f>
        <v>9</v>
      </c>
      <c r="Q356" s="2">
        <f t="shared" ref="Q356:Q419" si="117">Q344+1</f>
        <v>27</v>
      </c>
      <c r="R356" s="1">
        <f t="shared" si="109"/>
        <v>11209121.992642121</v>
      </c>
      <c r="S356" s="4">
        <f>IF($G$4="mensual",S355,0)</f>
        <v>10000</v>
      </c>
      <c r="U356" s="1">
        <f t="shared" ref="U356:U419" si="118">SUM(R356:T356)*$G$8</f>
        <v>89462.854258330903</v>
      </c>
      <c r="V356" s="35">
        <f t="shared" si="101"/>
        <v>-219.71268550162389</v>
      </c>
      <c r="X356" s="35">
        <f t="shared" si="100"/>
        <v>-11308.584846900452</v>
      </c>
      <c r="Y356" s="1">
        <f t="shared" si="104"/>
        <v>11297056.54936805</v>
      </c>
      <c r="AA356" s="2">
        <f>+Bono!J356</f>
        <v>337266.32908792875</v>
      </c>
      <c r="AC356" s="10">
        <f t="shared" si="110"/>
        <v>27.75</v>
      </c>
      <c r="AD356" s="1">
        <f t="shared" si="111"/>
        <v>12274712.628664097</v>
      </c>
    </row>
    <row r="357" spans="2:30">
      <c r="B357" s="1">
        <f t="shared" si="105"/>
        <v>334</v>
      </c>
      <c r="C357" s="2">
        <f t="shared" si="112"/>
        <v>27</v>
      </c>
      <c r="D357" s="2">
        <f t="shared" si="113"/>
        <v>10</v>
      </c>
      <c r="E357" s="2">
        <f t="shared" si="114"/>
        <v>56</v>
      </c>
      <c r="F357" s="1">
        <f t="shared" si="106"/>
        <v>640389.7502081194</v>
      </c>
      <c r="H357" s="1">
        <f t="shared" si="102"/>
        <v>5106.5577973901472</v>
      </c>
      <c r="I357" s="1">
        <v>0</v>
      </c>
      <c r="J357" s="1">
        <v>0</v>
      </c>
      <c r="K357" s="1">
        <f t="shared" si="107"/>
        <v>-645.4963080055096</v>
      </c>
      <c r="L357" s="1">
        <f t="shared" si="103"/>
        <v>644850.81169750402</v>
      </c>
      <c r="N357" s="1">
        <f t="shared" si="108"/>
        <v>334</v>
      </c>
      <c r="O357" s="2">
        <f t="shared" si="115"/>
        <v>27</v>
      </c>
      <c r="P357" s="2">
        <f t="shared" si="116"/>
        <v>10</v>
      </c>
      <c r="Q357" s="2">
        <f t="shared" si="117"/>
        <v>27</v>
      </c>
      <c r="R357" s="1">
        <f t="shared" si="109"/>
        <v>11297056.54936805</v>
      </c>
      <c r="S357" s="4">
        <f>IF($G$4="mensual",S348,IF($G$4="trimestral",S348,0))</f>
        <v>10000</v>
      </c>
      <c r="U357" s="1">
        <f t="shared" si="118"/>
        <v>90164.05676221686</v>
      </c>
      <c r="V357" s="35">
        <f t="shared" si="101"/>
        <v>-219.71268550162389</v>
      </c>
      <c r="X357" s="35">
        <f t="shared" si="100"/>
        <v>-11397.220606130268</v>
      </c>
      <c r="Y357" s="1">
        <f t="shared" si="104"/>
        <v>11385603.672838636</v>
      </c>
      <c r="AA357" s="2">
        <f>+Bono!J357</f>
        <v>339357.41944874672</v>
      </c>
      <c r="AC357" s="10">
        <f t="shared" si="110"/>
        <v>27.833333333333332</v>
      </c>
      <c r="AD357" s="1">
        <f t="shared" si="111"/>
        <v>12369811.903984886</v>
      </c>
    </row>
    <row r="358" spans="2:30">
      <c r="B358" s="1">
        <f t="shared" si="105"/>
        <v>335</v>
      </c>
      <c r="C358" s="2">
        <f t="shared" si="112"/>
        <v>27</v>
      </c>
      <c r="D358" s="2">
        <f t="shared" si="113"/>
        <v>11</v>
      </c>
      <c r="E358" s="2">
        <f t="shared" si="114"/>
        <v>56</v>
      </c>
      <c r="F358" s="1">
        <f t="shared" si="106"/>
        <v>644850.81169750402</v>
      </c>
      <c r="H358" s="1">
        <f t="shared" si="102"/>
        <v>5142.1309281684753</v>
      </c>
      <c r="I358" s="1">
        <v>0</v>
      </c>
      <c r="J358" s="1">
        <v>0</v>
      </c>
      <c r="K358" s="1">
        <f t="shared" si="107"/>
        <v>-649.99294262567241</v>
      </c>
      <c r="L358" s="1">
        <f t="shared" si="103"/>
        <v>649342.94968304678</v>
      </c>
      <c r="N358" s="1">
        <f t="shared" si="108"/>
        <v>335</v>
      </c>
      <c r="O358" s="2">
        <f t="shared" si="115"/>
        <v>27</v>
      </c>
      <c r="P358" s="2">
        <f t="shared" si="116"/>
        <v>11</v>
      </c>
      <c r="Q358" s="2">
        <f t="shared" si="117"/>
        <v>27</v>
      </c>
      <c r="R358" s="1">
        <f t="shared" si="109"/>
        <v>11385603.672838636</v>
      </c>
      <c r="S358" s="1">
        <f>IF($G$17="si",S346*(1+$G$20),S346)</f>
        <v>10000</v>
      </c>
      <c r="U358" s="1">
        <f t="shared" si="118"/>
        <v>90870.143959346795</v>
      </c>
      <c r="V358" s="35">
        <f t="shared" si="101"/>
        <v>-219.71268550162389</v>
      </c>
      <c r="X358" s="35">
        <f t="shared" si="100"/>
        <v>-11486.473816797983</v>
      </c>
      <c r="Y358" s="1">
        <f t="shared" si="104"/>
        <v>11474767.630295685</v>
      </c>
      <c r="AA358" s="2">
        <f>+Bono!J358</f>
        <v>341461.4748123532</v>
      </c>
      <c r="AC358" s="10">
        <f t="shared" si="110"/>
        <v>27.916666666666668</v>
      </c>
      <c r="AD358" s="1">
        <f t="shared" si="111"/>
        <v>12465572.054791084</v>
      </c>
    </row>
    <row r="359" spans="2:30">
      <c r="B359" s="1">
        <f t="shared" si="105"/>
        <v>336</v>
      </c>
      <c r="C359" s="2">
        <f t="shared" si="112"/>
        <v>27</v>
      </c>
      <c r="D359" s="2">
        <f t="shared" si="113"/>
        <v>12</v>
      </c>
      <c r="E359" s="2">
        <f t="shared" si="114"/>
        <v>56</v>
      </c>
      <c r="F359" s="1">
        <f t="shared" si="106"/>
        <v>649342.94968304678</v>
      </c>
      <c r="H359" s="1">
        <f t="shared" si="102"/>
        <v>5177.9518672912063</v>
      </c>
      <c r="I359" s="1">
        <v>0</v>
      </c>
      <c r="J359" s="69">
        <f>-SUM(F359:H359)*$J$21</f>
        <v>-5890.6881139530433</v>
      </c>
      <c r="K359" s="1">
        <f t="shared" si="107"/>
        <v>-648.63021343638502</v>
      </c>
      <c r="L359" s="1">
        <f t="shared" si="103"/>
        <v>647981.5832229486</v>
      </c>
      <c r="N359" s="1">
        <f t="shared" si="108"/>
        <v>336</v>
      </c>
      <c r="O359" s="2">
        <f t="shared" si="115"/>
        <v>27</v>
      </c>
      <c r="P359" s="2">
        <f t="shared" si="116"/>
        <v>12</v>
      </c>
      <c r="Q359" s="2">
        <f t="shared" si="117"/>
        <v>27</v>
      </c>
      <c r="R359" s="1">
        <f t="shared" si="109"/>
        <v>11474767.630295685</v>
      </c>
      <c r="S359" s="4">
        <f>IF($G$4="mensual",S358,0)</f>
        <v>10000</v>
      </c>
      <c r="U359" s="1">
        <f t="shared" si="118"/>
        <v>91581.149877306103</v>
      </c>
      <c r="V359" s="35">
        <f t="shared" si="101"/>
        <v>-219.71268550162389</v>
      </c>
      <c r="X359" s="35">
        <f t="shared" si="100"/>
        <v>-11576.348780172992</v>
      </c>
      <c r="Y359" s="1">
        <f t="shared" si="104"/>
        <v>11564552.718707316</v>
      </c>
      <c r="AA359" s="2">
        <f>+Bono!J359</f>
        <v>340483.27308071742</v>
      </c>
      <c r="AC359" s="10">
        <f t="shared" si="110"/>
        <v>28</v>
      </c>
      <c r="AD359" s="1">
        <f t="shared" si="111"/>
        <v>12553017.575010981</v>
      </c>
    </row>
    <row r="360" spans="2:30">
      <c r="B360" s="1">
        <f t="shared" si="105"/>
        <v>337</v>
      </c>
      <c r="C360" s="2">
        <f t="shared" si="112"/>
        <v>28</v>
      </c>
      <c r="D360" s="2">
        <f t="shared" si="113"/>
        <v>1</v>
      </c>
      <c r="E360" s="2">
        <f t="shared" si="114"/>
        <v>57</v>
      </c>
      <c r="F360" s="1">
        <f t="shared" si="106"/>
        <v>647981.5832229486</v>
      </c>
      <c r="H360" s="1">
        <f t="shared" si="102"/>
        <v>5167.0961399631833</v>
      </c>
      <c r="I360" s="1">
        <v>0</v>
      </c>
      <c r="J360" s="1">
        <v>0</v>
      </c>
      <c r="K360" s="1">
        <f t="shared" si="107"/>
        <v>-653.14867936291171</v>
      </c>
      <c r="L360" s="1">
        <f t="shared" si="103"/>
        <v>652495.53068354877</v>
      </c>
      <c r="N360" s="1">
        <f t="shared" si="108"/>
        <v>337</v>
      </c>
      <c r="O360" s="2">
        <f t="shared" si="115"/>
        <v>28</v>
      </c>
      <c r="P360" s="2">
        <f t="shared" si="116"/>
        <v>1</v>
      </c>
      <c r="Q360" s="2">
        <f t="shared" si="117"/>
        <v>28</v>
      </c>
      <c r="R360" s="1">
        <f t="shared" si="109"/>
        <v>11564552.718707316</v>
      </c>
      <c r="S360" s="1">
        <f>IF($G$17="si",S348*(1+$G$20),S348)</f>
        <v>10000</v>
      </c>
      <c r="U360" s="1">
        <f t="shared" si="118"/>
        <v>92297.108780721988</v>
      </c>
      <c r="V360" s="35">
        <f>(V359*(1+$G$18))</f>
        <v>-228.50119292168887</v>
      </c>
      <c r="X360" s="35">
        <f t="shared" si="100"/>
        <v>-11666.849827488037</v>
      </c>
      <c r="Y360" s="1">
        <f t="shared" si="104"/>
        <v>11654954.476467626</v>
      </c>
      <c r="AA360" s="2">
        <f>+Bono!J360</f>
        <v>342594.30886743305</v>
      </c>
      <c r="AC360" s="10">
        <f t="shared" si="110"/>
        <v>28.083333333333332</v>
      </c>
      <c r="AD360" s="1">
        <f t="shared" si="111"/>
        <v>12650044.316018607</v>
      </c>
    </row>
    <row r="361" spans="2:30">
      <c r="B361" s="1">
        <f t="shared" si="105"/>
        <v>338</v>
      </c>
      <c r="C361" s="2">
        <f t="shared" si="112"/>
        <v>28</v>
      </c>
      <c r="D361" s="2">
        <f t="shared" si="113"/>
        <v>2</v>
      </c>
      <c r="E361" s="2">
        <f t="shared" si="114"/>
        <v>57</v>
      </c>
      <c r="F361" s="1">
        <f t="shared" si="106"/>
        <v>652495.53068354877</v>
      </c>
      <c r="H361" s="1">
        <f t="shared" si="102"/>
        <v>5203.0909909027032</v>
      </c>
      <c r="I361" s="1">
        <v>0</v>
      </c>
      <c r="J361" s="1">
        <v>0</v>
      </c>
      <c r="K361" s="1">
        <f t="shared" si="107"/>
        <v>-657.69862167445149</v>
      </c>
      <c r="L361" s="1">
        <f t="shared" si="103"/>
        <v>657040.92305277707</v>
      </c>
      <c r="N361" s="1">
        <f t="shared" si="108"/>
        <v>338</v>
      </c>
      <c r="O361" s="2">
        <f t="shared" si="115"/>
        <v>28</v>
      </c>
      <c r="P361" s="2">
        <f t="shared" si="116"/>
        <v>2</v>
      </c>
      <c r="Q361" s="2">
        <f t="shared" si="117"/>
        <v>28</v>
      </c>
      <c r="R361" s="1">
        <f t="shared" si="109"/>
        <v>11654954.476467626</v>
      </c>
      <c r="S361" s="4">
        <f>IF($G$4="mensual",S360,0)</f>
        <v>10000</v>
      </c>
      <c r="U361" s="1">
        <f t="shared" si="118"/>
        <v>93017.985092122442</v>
      </c>
      <c r="V361" s="35">
        <f t="shared" si="101"/>
        <v>-228.50119292168887</v>
      </c>
      <c r="X361" s="35">
        <f t="shared" si="100"/>
        <v>-11757.972461559748</v>
      </c>
      <c r="Y361" s="1">
        <f t="shared" si="104"/>
        <v>11745985.987905268</v>
      </c>
      <c r="AA361" s="2">
        <f>+Bono!J361</f>
        <v>344718.43332089134</v>
      </c>
      <c r="AC361" s="10">
        <f t="shared" si="110"/>
        <v>28.166666666666668</v>
      </c>
      <c r="AD361" s="1">
        <f t="shared" si="111"/>
        <v>12747745.344278935</v>
      </c>
    </row>
    <row r="362" spans="2:30">
      <c r="B362" s="1">
        <f t="shared" si="105"/>
        <v>339</v>
      </c>
      <c r="C362" s="2">
        <f t="shared" si="112"/>
        <v>28</v>
      </c>
      <c r="D362" s="2">
        <f t="shared" si="113"/>
        <v>3</v>
      </c>
      <c r="E362" s="2">
        <f t="shared" si="114"/>
        <v>57</v>
      </c>
      <c r="F362" s="1">
        <f t="shared" si="106"/>
        <v>657040.92305277707</v>
      </c>
      <c r="H362" s="1">
        <f t="shared" si="102"/>
        <v>5239.3365879593966</v>
      </c>
      <c r="I362" s="1">
        <v>0</v>
      </c>
      <c r="J362" s="69">
        <f>-SUM(F362:H362)*$J$21</f>
        <v>-5960.5223367666295</v>
      </c>
      <c r="K362" s="1">
        <f t="shared" si="107"/>
        <v>-656.31973730396987</v>
      </c>
      <c r="L362" s="1">
        <f t="shared" si="103"/>
        <v>655663.41756666591</v>
      </c>
      <c r="N362" s="1">
        <f t="shared" si="108"/>
        <v>339</v>
      </c>
      <c r="O362" s="2">
        <f t="shared" si="115"/>
        <v>28</v>
      </c>
      <c r="P362" s="2">
        <f t="shared" si="116"/>
        <v>3</v>
      </c>
      <c r="Q362" s="2">
        <f t="shared" si="117"/>
        <v>28</v>
      </c>
      <c r="R362" s="1">
        <f t="shared" si="109"/>
        <v>11745985.987905268</v>
      </c>
      <c r="S362" s="4">
        <f>IF($G$4="mensual",S361,0)</f>
        <v>10000</v>
      </c>
      <c r="U362" s="1">
        <f t="shared" si="118"/>
        <v>93743.883147781555</v>
      </c>
      <c r="V362" s="35">
        <f t="shared" si="101"/>
        <v>-228.50119292168887</v>
      </c>
      <c r="X362" s="35">
        <f t="shared" si="100"/>
        <v>-11849.72987105305</v>
      </c>
      <c r="Y362" s="1">
        <f t="shared" si="104"/>
        <v>11837651.639989074</v>
      </c>
      <c r="AA362" s="2">
        <f>+Bono!J362</f>
        <v>343730.90121763846</v>
      </c>
      <c r="AC362" s="10">
        <f t="shared" si="110"/>
        <v>28.25</v>
      </c>
      <c r="AD362" s="1">
        <f t="shared" si="111"/>
        <v>12837045.958773378</v>
      </c>
    </row>
    <row r="363" spans="2:30">
      <c r="B363" s="1">
        <f t="shared" si="105"/>
        <v>340</v>
      </c>
      <c r="C363" s="2">
        <f t="shared" si="112"/>
        <v>28</v>
      </c>
      <c r="D363" s="2">
        <f t="shared" si="113"/>
        <v>4</v>
      </c>
      <c r="E363" s="2">
        <f t="shared" si="114"/>
        <v>57</v>
      </c>
      <c r="F363" s="1">
        <f t="shared" si="106"/>
        <v>655663.41756666591</v>
      </c>
      <c r="H363" s="1">
        <f t="shared" si="102"/>
        <v>5228.352165771561</v>
      </c>
      <c r="I363" s="1">
        <v>0</v>
      </c>
      <c r="J363" s="1">
        <v>0</v>
      </c>
      <c r="K363" s="1">
        <f t="shared" si="107"/>
        <v>-660.89176973243741</v>
      </c>
      <c r="L363" s="1">
        <f t="shared" si="103"/>
        <v>660230.87796270498</v>
      </c>
      <c r="N363" s="1">
        <f t="shared" si="108"/>
        <v>340</v>
      </c>
      <c r="O363" s="2">
        <f t="shared" si="115"/>
        <v>28</v>
      </c>
      <c r="P363" s="2">
        <f t="shared" si="116"/>
        <v>4</v>
      </c>
      <c r="Q363" s="2">
        <f t="shared" si="117"/>
        <v>28</v>
      </c>
      <c r="R363" s="1">
        <f t="shared" si="109"/>
        <v>11837651.639989074</v>
      </c>
      <c r="S363" s="4">
        <f>IF($G$4="mensual",S360,IF($G$4="trimestral",S360,0))</f>
        <v>10000</v>
      </c>
      <c r="U363" s="1">
        <f t="shared" si="118"/>
        <v>94474.837930004869</v>
      </c>
      <c r="V363" s="35">
        <f t="shared" si="101"/>
        <v>-228.50119292168887</v>
      </c>
      <c r="X363" s="35">
        <f t="shared" ref="X363:X426" si="119">-SUM(R363:U363)*0.1%</f>
        <v>-11942.126477919079</v>
      </c>
      <c r="Y363" s="1">
        <f t="shared" si="104"/>
        <v>11929955.850248238</v>
      </c>
      <c r="AA363" s="2">
        <f>+Bono!J363</f>
        <v>345862.07267550455</v>
      </c>
      <c r="AC363" s="10">
        <f t="shared" si="110"/>
        <v>28.333333333333332</v>
      </c>
      <c r="AD363" s="1">
        <f t="shared" si="111"/>
        <v>12936048.800886447</v>
      </c>
    </row>
    <row r="364" spans="2:30">
      <c r="B364" s="1">
        <f t="shared" si="105"/>
        <v>341</v>
      </c>
      <c r="C364" s="2">
        <f t="shared" si="112"/>
        <v>28</v>
      </c>
      <c r="D364" s="2">
        <f t="shared" si="113"/>
        <v>5</v>
      </c>
      <c r="E364" s="2">
        <f t="shared" si="114"/>
        <v>57</v>
      </c>
      <c r="F364" s="1">
        <f t="shared" si="106"/>
        <v>660230.87796270498</v>
      </c>
      <c r="H364" s="1">
        <f t="shared" si="102"/>
        <v>5264.773736373033</v>
      </c>
      <c r="I364" s="1">
        <v>0</v>
      </c>
      <c r="J364" s="1">
        <v>0</v>
      </c>
      <c r="K364" s="1">
        <f t="shared" si="107"/>
        <v>-665.49565169907805</v>
      </c>
      <c r="L364" s="1">
        <f t="shared" si="103"/>
        <v>664830.15604737902</v>
      </c>
      <c r="N364" s="1">
        <f t="shared" si="108"/>
        <v>341</v>
      </c>
      <c r="O364" s="2">
        <f t="shared" si="115"/>
        <v>28</v>
      </c>
      <c r="P364" s="2">
        <f t="shared" si="116"/>
        <v>5</v>
      </c>
      <c r="Q364" s="2">
        <f t="shared" si="117"/>
        <v>28</v>
      </c>
      <c r="R364" s="1">
        <f t="shared" si="109"/>
        <v>11929955.850248238</v>
      </c>
      <c r="S364" s="4">
        <f>IF($G$4="mensual",S363,0)</f>
        <v>10000</v>
      </c>
      <c r="U364" s="1">
        <f t="shared" si="118"/>
        <v>95210.884664790501</v>
      </c>
      <c r="V364" s="35">
        <f t="shared" si="101"/>
        <v>-228.50119292168887</v>
      </c>
      <c r="X364" s="35">
        <f t="shared" si="119"/>
        <v>-12035.166734913029</v>
      </c>
      <c r="Y364" s="1">
        <f t="shared" si="104"/>
        <v>12022903.066985194</v>
      </c>
      <c r="AA364" s="2">
        <f>+Bono!J364</f>
        <v>348006.45764361002</v>
      </c>
      <c r="AC364" s="10">
        <f t="shared" si="110"/>
        <v>28.416666666666668</v>
      </c>
      <c r="AD364" s="1">
        <f t="shared" si="111"/>
        <v>13035739.680676183</v>
      </c>
    </row>
    <row r="365" spans="2:30">
      <c r="B365" s="1">
        <f t="shared" si="105"/>
        <v>342</v>
      </c>
      <c r="C365" s="2">
        <f t="shared" si="112"/>
        <v>28</v>
      </c>
      <c r="D365" s="2">
        <f t="shared" si="113"/>
        <v>6</v>
      </c>
      <c r="E365" s="2">
        <f t="shared" si="114"/>
        <v>57</v>
      </c>
      <c r="F365" s="1">
        <f t="shared" si="106"/>
        <v>664830.15604737902</v>
      </c>
      <c r="H365" s="1">
        <f t="shared" si="102"/>
        <v>5301.4490256918034</v>
      </c>
      <c r="I365" s="1">
        <v>0</v>
      </c>
      <c r="J365" s="69">
        <f>-SUM(F365:H365)*$J$21</f>
        <v>-6031.1844456576382</v>
      </c>
      <c r="K365" s="1">
        <f t="shared" si="107"/>
        <v>-664.1004206274132</v>
      </c>
      <c r="L365" s="1">
        <f t="shared" si="103"/>
        <v>663436.32020678581</v>
      </c>
      <c r="N365" s="1">
        <f t="shared" si="108"/>
        <v>342</v>
      </c>
      <c r="O365" s="2">
        <f t="shared" si="115"/>
        <v>28</v>
      </c>
      <c r="P365" s="2">
        <f t="shared" si="116"/>
        <v>6</v>
      </c>
      <c r="Q365" s="2">
        <f t="shared" si="117"/>
        <v>28</v>
      </c>
      <c r="R365" s="1">
        <f t="shared" si="109"/>
        <v>12022903.066985194</v>
      </c>
      <c r="S365" s="4">
        <f>IF($G$4="mensual",S364,0)</f>
        <v>10000</v>
      </c>
      <c r="U365" s="1">
        <f t="shared" si="118"/>
        <v>95952.058823526735</v>
      </c>
      <c r="V365" s="35">
        <f t="shared" si="101"/>
        <v>-228.50119292168887</v>
      </c>
      <c r="X365" s="35">
        <f t="shared" si="119"/>
        <v>-12128.855125808719</v>
      </c>
      <c r="Y365" s="1">
        <f t="shared" si="104"/>
        <v>12116497.769489989</v>
      </c>
      <c r="AA365" s="2">
        <f>+Bono!J365</f>
        <v>347009.50617295149</v>
      </c>
      <c r="AC365" s="10">
        <f t="shared" si="110"/>
        <v>28.5</v>
      </c>
      <c r="AD365" s="1">
        <f t="shared" si="111"/>
        <v>13126943.595869726</v>
      </c>
    </row>
    <row r="366" spans="2:30">
      <c r="B366" s="1">
        <f t="shared" si="105"/>
        <v>343</v>
      </c>
      <c r="C366" s="2">
        <f t="shared" si="112"/>
        <v>28</v>
      </c>
      <c r="D366" s="2">
        <f t="shared" si="113"/>
        <v>7</v>
      </c>
      <c r="E366" s="2">
        <f t="shared" si="114"/>
        <v>57</v>
      </c>
      <c r="F366" s="1">
        <f t="shared" si="106"/>
        <v>663436.32020678581</v>
      </c>
      <c r="H366" s="1">
        <f t="shared" si="102"/>
        <v>5290.3343829640744</v>
      </c>
      <c r="I366" s="1">
        <v>0</v>
      </c>
      <c r="J366" s="1">
        <v>0</v>
      </c>
      <c r="K366" s="1">
        <f t="shared" si="107"/>
        <v>-668.72665458974984</v>
      </c>
      <c r="L366" s="1">
        <f t="shared" si="103"/>
        <v>668057.92793516011</v>
      </c>
      <c r="N366" s="1">
        <f t="shared" si="108"/>
        <v>343</v>
      </c>
      <c r="O366" s="2">
        <f t="shared" si="115"/>
        <v>28</v>
      </c>
      <c r="P366" s="2">
        <f t="shared" si="116"/>
        <v>7</v>
      </c>
      <c r="Q366" s="2">
        <f t="shared" si="117"/>
        <v>28</v>
      </c>
      <c r="R366" s="1">
        <f t="shared" si="109"/>
        <v>12116497.769489989</v>
      </c>
      <c r="S366" s="1">
        <f>+IF($G$4="mensual",S360,IF($G$4="trimestral",S360,IF($G$4="semestral",S360,0)))</f>
        <v>10000</v>
      </c>
      <c r="U366" s="1">
        <f t="shared" si="118"/>
        <v>96698.396124701438</v>
      </c>
      <c r="V366" s="35">
        <f t="shared" si="101"/>
        <v>-228.50119292168887</v>
      </c>
      <c r="X366" s="35">
        <f t="shared" si="119"/>
        <v>-12223.19616561469</v>
      </c>
      <c r="Y366" s="1">
        <f t="shared" si="104"/>
        <v>12210744.468256155</v>
      </c>
      <c r="AA366" s="2">
        <f>+Bono!J366</f>
        <v>349161.00536183518</v>
      </c>
      <c r="AC366" s="10">
        <f t="shared" si="110"/>
        <v>28.583333333333332</v>
      </c>
      <c r="AD366" s="1">
        <f t="shared" si="111"/>
        <v>13227963.40155315</v>
      </c>
    </row>
    <row r="367" spans="2:30">
      <c r="B367" s="1">
        <f t="shared" si="105"/>
        <v>344</v>
      </c>
      <c r="C367" s="2">
        <f t="shared" si="112"/>
        <v>28</v>
      </c>
      <c r="D367" s="2">
        <f t="shared" si="113"/>
        <v>8</v>
      </c>
      <c r="E367" s="2">
        <f t="shared" si="114"/>
        <v>57</v>
      </c>
      <c r="F367" s="1">
        <f t="shared" si="106"/>
        <v>668057.92793516011</v>
      </c>
      <c r="H367" s="1">
        <f t="shared" si="102"/>
        <v>5327.1877319974374</v>
      </c>
      <c r="I367" s="1">
        <v>0</v>
      </c>
      <c r="J367" s="1">
        <v>0</v>
      </c>
      <c r="K367" s="1">
        <f t="shared" si="107"/>
        <v>-673.38511566715761</v>
      </c>
      <c r="L367" s="1">
        <f t="shared" si="103"/>
        <v>672711.73055149044</v>
      </c>
      <c r="N367" s="1">
        <f t="shared" si="108"/>
        <v>344</v>
      </c>
      <c r="O367" s="2">
        <f t="shared" si="115"/>
        <v>28</v>
      </c>
      <c r="P367" s="2">
        <f t="shared" si="116"/>
        <v>8</v>
      </c>
      <c r="Q367" s="2">
        <f t="shared" si="117"/>
        <v>28</v>
      </c>
      <c r="R367" s="1">
        <f t="shared" si="109"/>
        <v>12210744.468256155</v>
      </c>
      <c r="S367" s="4">
        <f>IF($G$4="mensual",S366,0)</f>
        <v>10000</v>
      </c>
      <c r="U367" s="1">
        <f t="shared" si="118"/>
        <v>97449.932535623448</v>
      </c>
      <c r="V367" s="35">
        <f t="shared" si="101"/>
        <v>-228.50119292168887</v>
      </c>
      <c r="X367" s="35">
        <f t="shared" si="119"/>
        <v>-12318.194400791779</v>
      </c>
      <c r="Y367" s="1">
        <f t="shared" si="104"/>
        <v>12305647.705198066</v>
      </c>
      <c r="AA367" s="2">
        <f>+Bono!J367</f>
        <v>351325.84409524844</v>
      </c>
      <c r="AC367" s="10">
        <f t="shared" si="110"/>
        <v>28.666666666666668</v>
      </c>
      <c r="AD367" s="1">
        <f t="shared" si="111"/>
        <v>13329685.279844806</v>
      </c>
    </row>
    <row r="368" spans="2:30">
      <c r="B368" s="1">
        <f t="shared" si="105"/>
        <v>345</v>
      </c>
      <c r="C368" s="2">
        <f t="shared" si="112"/>
        <v>28</v>
      </c>
      <c r="D368" s="2">
        <f t="shared" si="113"/>
        <v>9</v>
      </c>
      <c r="E368" s="2">
        <f t="shared" si="114"/>
        <v>57</v>
      </c>
      <c r="F368" s="1">
        <f t="shared" si="106"/>
        <v>672711.73055149044</v>
      </c>
      <c r="H368" s="1">
        <f t="shared" si="102"/>
        <v>5364.2978075884557</v>
      </c>
      <c r="I368" s="1">
        <v>0</v>
      </c>
      <c r="J368" s="69">
        <f>-SUM(F368:H368)*$J$21</f>
        <v>-6102.6842552317112</v>
      </c>
      <c r="K368" s="1">
        <f t="shared" si="107"/>
        <v>-671.97334410384713</v>
      </c>
      <c r="L368" s="1">
        <f t="shared" si="103"/>
        <v>671301.37075974327</v>
      </c>
      <c r="N368" s="1">
        <f t="shared" si="108"/>
        <v>345</v>
      </c>
      <c r="O368" s="2">
        <f t="shared" si="115"/>
        <v>28</v>
      </c>
      <c r="P368" s="2">
        <f t="shared" si="116"/>
        <v>9</v>
      </c>
      <c r="Q368" s="2">
        <f t="shared" si="117"/>
        <v>28</v>
      </c>
      <c r="R368" s="1">
        <f t="shared" si="109"/>
        <v>12305647.705198066</v>
      </c>
      <c r="S368" s="4">
        <f>IF($G$4="mensual",S367,0)</f>
        <v>10000</v>
      </c>
      <c r="U368" s="1">
        <f t="shared" si="118"/>
        <v>98206.704274155767</v>
      </c>
      <c r="V368" s="35">
        <f t="shared" si="101"/>
        <v>-228.50119292168887</v>
      </c>
      <c r="X368" s="35">
        <f t="shared" si="119"/>
        <v>-12413.854409472222</v>
      </c>
      <c r="Y368" s="1">
        <f t="shared" si="104"/>
        <v>12401212.053869827</v>
      </c>
      <c r="AA368" s="2">
        <f>+Bono!J368</f>
        <v>350319.38341252797</v>
      </c>
      <c r="AC368" s="10">
        <f t="shared" si="110"/>
        <v>28.75</v>
      </c>
      <c r="AD368" s="1">
        <f t="shared" si="111"/>
        <v>13422832.808042098</v>
      </c>
    </row>
    <row r="369" spans="2:30">
      <c r="B369" s="1">
        <f t="shared" si="105"/>
        <v>346</v>
      </c>
      <c r="C369" s="2">
        <f t="shared" si="112"/>
        <v>28</v>
      </c>
      <c r="D369" s="2">
        <f t="shared" si="113"/>
        <v>10</v>
      </c>
      <c r="E369" s="2">
        <f t="shared" si="114"/>
        <v>57</v>
      </c>
      <c r="F369" s="1">
        <f t="shared" si="106"/>
        <v>671301.37075974327</v>
      </c>
      <c r="H369" s="1">
        <f t="shared" si="102"/>
        <v>5353.0514005537843</v>
      </c>
      <c r="I369" s="1">
        <v>0</v>
      </c>
      <c r="J369" s="1">
        <v>0</v>
      </c>
      <c r="K369" s="1">
        <f t="shared" si="107"/>
        <v>-676.65442216029703</v>
      </c>
      <c r="L369" s="1">
        <f t="shared" si="103"/>
        <v>675977.7677381367</v>
      </c>
      <c r="N369" s="1">
        <f t="shared" si="108"/>
        <v>346</v>
      </c>
      <c r="O369" s="2">
        <f t="shared" si="115"/>
        <v>28</v>
      </c>
      <c r="P369" s="2">
        <f t="shared" si="116"/>
        <v>10</v>
      </c>
      <c r="Q369" s="2">
        <f t="shared" si="117"/>
        <v>28</v>
      </c>
      <c r="R369" s="1">
        <f t="shared" si="109"/>
        <v>12401212.053869827</v>
      </c>
      <c r="S369" s="4">
        <f>IF($G$4="mensual",S360,IF($G$4="trimestral",S360,0))</f>
        <v>10000</v>
      </c>
      <c r="U369" s="1">
        <f t="shared" si="118"/>
        <v>98968.747810461107</v>
      </c>
      <c r="V369" s="35">
        <f t="shared" ref="V369:V431" si="120">V368</f>
        <v>-228.50119292168887</v>
      </c>
      <c r="X369" s="35">
        <f t="shared" si="119"/>
        <v>-12510.180801680288</v>
      </c>
      <c r="Y369" s="1">
        <f t="shared" si="104"/>
        <v>12497442.119685685</v>
      </c>
      <c r="AA369" s="2">
        <f>+Bono!J369</f>
        <v>352491.40422421903</v>
      </c>
      <c r="AC369" s="10">
        <f t="shared" si="110"/>
        <v>28.833333333333332</v>
      </c>
      <c r="AD369" s="1">
        <f t="shared" si="111"/>
        <v>13525911.291648041</v>
      </c>
    </row>
    <row r="370" spans="2:30">
      <c r="B370" s="1">
        <f t="shared" si="105"/>
        <v>347</v>
      </c>
      <c r="C370" s="2">
        <f t="shared" si="112"/>
        <v>28</v>
      </c>
      <c r="D370" s="2">
        <f t="shared" si="113"/>
        <v>11</v>
      </c>
      <c r="E370" s="2">
        <f t="shared" si="114"/>
        <v>57</v>
      </c>
      <c r="F370" s="1">
        <f t="shared" si="106"/>
        <v>675977.7677381367</v>
      </c>
      <c r="H370" s="1">
        <f t="shared" si="102"/>
        <v>5390.3416467607949</v>
      </c>
      <c r="I370" s="1">
        <v>0</v>
      </c>
      <c r="J370" s="1">
        <v>0</v>
      </c>
      <c r="K370" s="1">
        <f t="shared" si="107"/>
        <v>-681.36810938489748</v>
      </c>
      <c r="L370" s="1">
        <f t="shared" si="103"/>
        <v>680686.74127551261</v>
      </c>
      <c r="N370" s="1">
        <f t="shared" si="108"/>
        <v>347</v>
      </c>
      <c r="O370" s="2">
        <f t="shared" si="115"/>
        <v>28</v>
      </c>
      <c r="P370" s="2">
        <f t="shared" si="116"/>
        <v>11</v>
      </c>
      <c r="Q370" s="2">
        <f t="shared" si="117"/>
        <v>28</v>
      </c>
      <c r="R370" s="1">
        <f t="shared" si="109"/>
        <v>12497442.119685685</v>
      </c>
      <c r="S370" s="1">
        <f>IF($G$17="si",S358*(1+$G$20),S358)</f>
        <v>10000</v>
      </c>
      <c r="U370" s="1">
        <f t="shared" si="118"/>
        <v>99736.099868759411</v>
      </c>
      <c r="V370" s="35">
        <f t="shared" si="120"/>
        <v>-228.50119292168887</v>
      </c>
      <c r="X370" s="35">
        <f t="shared" si="119"/>
        <v>-12607.178219554446</v>
      </c>
      <c r="Y370" s="1">
        <f t="shared" si="104"/>
        <v>12594342.540141968</v>
      </c>
      <c r="AA370" s="2">
        <f>+Bono!J370</f>
        <v>354676.89181688137</v>
      </c>
      <c r="AC370" s="10">
        <f t="shared" si="110"/>
        <v>28.916666666666668</v>
      </c>
      <c r="AD370" s="1">
        <f t="shared" si="111"/>
        <v>13629706.173234362</v>
      </c>
    </row>
    <row r="371" spans="2:30">
      <c r="B371" s="1">
        <f t="shared" si="105"/>
        <v>348</v>
      </c>
      <c r="C371" s="2">
        <f t="shared" si="112"/>
        <v>28</v>
      </c>
      <c r="D371" s="2">
        <f t="shared" si="113"/>
        <v>12</v>
      </c>
      <c r="E371" s="2">
        <f t="shared" si="114"/>
        <v>57</v>
      </c>
      <c r="F371" s="1">
        <f t="shared" si="106"/>
        <v>680686.74127551261</v>
      </c>
      <c r="H371" s="1">
        <f t="shared" si="102"/>
        <v>5427.8916630238218</v>
      </c>
      <c r="I371" s="1">
        <v>0</v>
      </c>
      <c r="J371" s="69">
        <f>-SUM(F371:H371)*$J$21</f>
        <v>-6175.0316964468293</v>
      </c>
      <c r="K371" s="1">
        <f t="shared" si="107"/>
        <v>-679.93960124208968</v>
      </c>
      <c r="L371" s="1">
        <f t="shared" si="103"/>
        <v>679259.66164084757</v>
      </c>
      <c r="N371" s="1">
        <f t="shared" si="108"/>
        <v>348</v>
      </c>
      <c r="O371" s="2">
        <f t="shared" si="115"/>
        <v>28</v>
      </c>
      <c r="P371" s="2">
        <f t="shared" si="116"/>
        <v>12</v>
      </c>
      <c r="Q371" s="2">
        <f t="shared" si="117"/>
        <v>28</v>
      </c>
      <c r="R371" s="1">
        <f t="shared" si="109"/>
        <v>12594342.540141968</v>
      </c>
      <c r="S371" s="4">
        <f>IF($G$4="mensual",S370,0)</f>
        <v>10000</v>
      </c>
      <c r="U371" s="1">
        <f t="shared" si="118"/>
        <v>100508.79742909764</v>
      </c>
      <c r="V371" s="35">
        <f t="shared" si="120"/>
        <v>-228.50119292168887</v>
      </c>
      <c r="X371" s="35">
        <f t="shared" si="119"/>
        <v>-12704.851337571066</v>
      </c>
      <c r="Y371" s="1">
        <f t="shared" si="104"/>
        <v>12691917.985040573</v>
      </c>
      <c r="AA371" s="2">
        <f>+Bono!J371</f>
        <v>353660.83122047834</v>
      </c>
      <c r="AC371" s="10">
        <f t="shared" si="110"/>
        <v>29</v>
      </c>
      <c r="AD371" s="1">
        <f t="shared" si="111"/>
        <v>13724838.477901898</v>
      </c>
    </row>
    <row r="372" spans="2:30">
      <c r="B372" s="1">
        <f t="shared" si="105"/>
        <v>349</v>
      </c>
      <c r="C372" s="2">
        <f t="shared" si="112"/>
        <v>29</v>
      </c>
      <c r="D372" s="2">
        <f t="shared" si="113"/>
        <v>1</v>
      </c>
      <c r="E372" s="2">
        <f t="shared" si="114"/>
        <v>58</v>
      </c>
      <c r="F372" s="1">
        <f t="shared" si="106"/>
        <v>679259.66164084757</v>
      </c>
      <c r="H372" s="1">
        <f t="shared" si="102"/>
        <v>5416.5119296137736</v>
      </c>
      <c r="I372" s="1">
        <v>0</v>
      </c>
      <c r="J372" s="1">
        <v>0</v>
      </c>
      <c r="K372" s="1">
        <f t="shared" si="107"/>
        <v>-684.6761735704614</v>
      </c>
      <c r="L372" s="1">
        <f t="shared" si="103"/>
        <v>683991.49739689089</v>
      </c>
      <c r="N372" s="1">
        <f t="shared" si="108"/>
        <v>349</v>
      </c>
      <c r="O372" s="2">
        <f t="shared" si="115"/>
        <v>29</v>
      </c>
      <c r="P372" s="2">
        <f t="shared" si="116"/>
        <v>1</v>
      </c>
      <c r="Q372" s="2">
        <f t="shared" si="117"/>
        <v>29</v>
      </c>
      <c r="R372" s="1">
        <f t="shared" si="109"/>
        <v>12691917.985040573</v>
      </c>
      <c r="S372" s="1">
        <f>IF($G$17="si",S360*(1+$G$20),S360)</f>
        <v>10000</v>
      </c>
      <c r="U372" s="1">
        <f t="shared" si="118"/>
        <v>101286.87772913187</v>
      </c>
      <c r="V372" s="35">
        <f>(V371*(1+$G$18))</f>
        <v>-237.64124063855644</v>
      </c>
      <c r="X372" s="35">
        <f t="shared" si="119"/>
        <v>-12803.204862769706</v>
      </c>
      <c r="Y372" s="1">
        <f t="shared" si="104"/>
        <v>12790164.016666299</v>
      </c>
      <c r="AA372" s="2">
        <f>+Bono!J372</f>
        <v>355853.56939616264</v>
      </c>
      <c r="AC372" s="10">
        <f t="shared" si="110"/>
        <v>29.083333333333332</v>
      </c>
      <c r="AD372" s="1">
        <f t="shared" si="111"/>
        <v>13830009.083459351</v>
      </c>
    </row>
    <row r="373" spans="2:30">
      <c r="B373" s="1">
        <f t="shared" si="105"/>
        <v>350</v>
      </c>
      <c r="C373" s="2">
        <f t="shared" si="112"/>
        <v>29</v>
      </c>
      <c r="D373" s="2">
        <f t="shared" si="113"/>
        <v>2</v>
      </c>
      <c r="E373" s="2">
        <f t="shared" si="114"/>
        <v>58</v>
      </c>
      <c r="F373" s="1">
        <f t="shared" si="106"/>
        <v>683991.49739689089</v>
      </c>
      <c r="H373" s="1">
        <f t="shared" si="102"/>
        <v>5454.2442524189719</v>
      </c>
      <c r="I373" s="1">
        <v>0</v>
      </c>
      <c r="J373" s="1">
        <v>0</v>
      </c>
      <c r="K373" s="1">
        <f t="shared" si="107"/>
        <v>-689.44574164930987</v>
      </c>
      <c r="L373" s="1">
        <f t="shared" si="103"/>
        <v>688756.2959076605</v>
      </c>
      <c r="N373" s="1">
        <f t="shared" si="108"/>
        <v>350</v>
      </c>
      <c r="O373" s="2">
        <f t="shared" si="115"/>
        <v>29</v>
      </c>
      <c r="P373" s="2">
        <f t="shared" si="116"/>
        <v>2</v>
      </c>
      <c r="Q373" s="2">
        <f t="shared" si="117"/>
        <v>29</v>
      </c>
      <c r="R373" s="1">
        <f t="shared" si="109"/>
        <v>12790164.016666299</v>
      </c>
      <c r="S373" s="4">
        <f>IF($G$4="mensual",S372,0)</f>
        <v>10000</v>
      </c>
      <c r="U373" s="1">
        <f t="shared" si="118"/>
        <v>102070.30538189792</v>
      </c>
      <c r="V373" s="35">
        <f t="shared" si="120"/>
        <v>-237.64124063855644</v>
      </c>
      <c r="X373" s="35">
        <f t="shared" si="119"/>
        <v>-12902.234322048196</v>
      </c>
      <c r="Y373" s="1">
        <f t="shared" si="104"/>
        <v>12889094.44648551</v>
      </c>
      <c r="AA373" s="2">
        <f>+Bono!J373</f>
        <v>358059.90280287812</v>
      </c>
      <c r="AC373" s="10">
        <f t="shared" si="110"/>
        <v>29.166666666666668</v>
      </c>
      <c r="AD373" s="1">
        <f t="shared" si="111"/>
        <v>13935910.64519605</v>
      </c>
    </row>
    <row r="374" spans="2:30">
      <c r="B374" s="1">
        <f t="shared" si="105"/>
        <v>351</v>
      </c>
      <c r="C374" s="2">
        <f t="shared" si="112"/>
        <v>29</v>
      </c>
      <c r="D374" s="2">
        <f t="shared" si="113"/>
        <v>3</v>
      </c>
      <c r="E374" s="2">
        <f t="shared" si="114"/>
        <v>58</v>
      </c>
      <c r="F374" s="1">
        <f t="shared" si="106"/>
        <v>688756.2959076605</v>
      </c>
      <c r="H374" s="1">
        <f t="shared" si="102"/>
        <v>5492.23942485928</v>
      </c>
      <c r="I374" s="1">
        <v>0</v>
      </c>
      <c r="J374" s="69">
        <f>-SUM(F374:H374)*$J$21</f>
        <v>-6248.2368179926789</v>
      </c>
      <c r="K374" s="1">
        <f t="shared" si="107"/>
        <v>-688.00029851452712</v>
      </c>
      <c r="L374" s="1">
        <f t="shared" si="103"/>
        <v>687312.29821601266</v>
      </c>
      <c r="N374" s="1">
        <f t="shared" si="108"/>
        <v>351</v>
      </c>
      <c r="O374" s="2">
        <f t="shared" si="115"/>
        <v>29</v>
      </c>
      <c r="P374" s="2">
        <f t="shared" si="116"/>
        <v>3</v>
      </c>
      <c r="Q374" s="2">
        <f t="shared" si="117"/>
        <v>29</v>
      </c>
      <c r="R374" s="1">
        <f t="shared" si="109"/>
        <v>12889094.44648551</v>
      </c>
      <c r="S374" s="4">
        <f>IF($G$4="mensual",S373,0)</f>
        <v>10000</v>
      </c>
      <c r="U374" s="1">
        <f t="shared" si="118"/>
        <v>102859.19052196814</v>
      </c>
      <c r="V374" s="35">
        <f t="shared" si="120"/>
        <v>-237.64124063855644</v>
      </c>
      <c r="X374" s="35">
        <f t="shared" si="119"/>
        <v>-13001.953637007478</v>
      </c>
      <c r="Y374" s="1">
        <f t="shared" si="104"/>
        <v>12988714.042129833</v>
      </c>
      <c r="AA374" s="2">
        <f>+Bono!J374</f>
        <v>357034.15072603372</v>
      </c>
      <c r="AC374" s="10">
        <f t="shared" si="110"/>
        <v>29.25</v>
      </c>
      <c r="AD374" s="1">
        <f t="shared" si="111"/>
        <v>14033060.49107188</v>
      </c>
    </row>
    <row r="375" spans="2:30">
      <c r="B375" s="1">
        <f t="shared" si="105"/>
        <v>352</v>
      </c>
      <c r="C375" s="2">
        <f t="shared" si="112"/>
        <v>29</v>
      </c>
      <c r="D375" s="2">
        <f t="shared" si="113"/>
        <v>4</v>
      </c>
      <c r="E375" s="2">
        <f t="shared" si="114"/>
        <v>58</v>
      </c>
      <c r="F375" s="1">
        <f t="shared" si="106"/>
        <v>687312.29821601266</v>
      </c>
      <c r="H375" s="1">
        <f t="shared" si="102"/>
        <v>5480.7247844870672</v>
      </c>
      <c r="I375" s="1">
        <v>0</v>
      </c>
      <c r="J375" s="1">
        <v>0</v>
      </c>
      <c r="K375" s="1">
        <f t="shared" si="107"/>
        <v>-692.79302300049972</v>
      </c>
      <c r="L375" s="1">
        <f t="shared" si="103"/>
        <v>692100.22997749923</v>
      </c>
      <c r="N375" s="1">
        <f t="shared" si="108"/>
        <v>352</v>
      </c>
      <c r="O375" s="2">
        <f t="shared" si="115"/>
        <v>29</v>
      </c>
      <c r="P375" s="2">
        <f t="shared" si="116"/>
        <v>4</v>
      </c>
      <c r="Q375" s="2">
        <f t="shared" si="117"/>
        <v>29</v>
      </c>
      <c r="R375" s="1">
        <f t="shared" si="109"/>
        <v>12988714.042129833</v>
      </c>
      <c r="S375" s="4">
        <f>IF($G$4="mensual",S372,IF($G$4="trimestral",S372,0))</f>
        <v>10000</v>
      </c>
      <c r="U375" s="1">
        <f t="shared" si="118"/>
        <v>103653.57116710657</v>
      </c>
      <c r="V375" s="35">
        <f t="shared" si="120"/>
        <v>-237.64124063855644</v>
      </c>
      <c r="X375" s="35">
        <f t="shared" si="119"/>
        <v>-13102.367613296939</v>
      </c>
      <c r="Y375" s="1">
        <f t="shared" si="104"/>
        <v>13089027.604443004</v>
      </c>
      <c r="AA375" s="2">
        <f>+Bono!J375</f>
        <v>359247.80387393333</v>
      </c>
      <c r="AC375" s="10">
        <f t="shared" si="110"/>
        <v>29.333333333333332</v>
      </c>
      <c r="AD375" s="1">
        <f t="shared" si="111"/>
        <v>14140375.638294438</v>
      </c>
    </row>
    <row r="376" spans="2:30">
      <c r="B376" s="1">
        <f t="shared" si="105"/>
        <v>353</v>
      </c>
      <c r="C376" s="2">
        <f t="shared" si="112"/>
        <v>29</v>
      </c>
      <c r="D376" s="2">
        <f t="shared" si="113"/>
        <v>5</v>
      </c>
      <c r="E376" s="2">
        <f t="shared" si="114"/>
        <v>58</v>
      </c>
      <c r="F376" s="1">
        <f t="shared" si="106"/>
        <v>692100.22997749923</v>
      </c>
      <c r="H376" s="1">
        <f t="shared" si="102"/>
        <v>5518.9044247171696</v>
      </c>
      <c r="I376" s="1">
        <v>0</v>
      </c>
      <c r="J376" s="1">
        <v>0</v>
      </c>
      <c r="K376" s="1">
        <f t="shared" si="107"/>
        <v>-697.61913440221645</v>
      </c>
      <c r="L376" s="1">
        <f t="shared" si="103"/>
        <v>696921.51526781416</v>
      </c>
      <c r="N376" s="1">
        <f t="shared" si="108"/>
        <v>353</v>
      </c>
      <c r="O376" s="2">
        <f t="shared" si="115"/>
        <v>29</v>
      </c>
      <c r="P376" s="2">
        <f t="shared" si="116"/>
        <v>5</v>
      </c>
      <c r="Q376" s="2">
        <f t="shared" si="117"/>
        <v>29</v>
      </c>
      <c r="R376" s="1">
        <f t="shared" si="109"/>
        <v>13089027.604443004</v>
      </c>
      <c r="S376" s="4">
        <f>IF($G$4="mensual",S375,0)</f>
        <v>10000</v>
      </c>
      <c r="U376" s="1">
        <f t="shared" si="118"/>
        <v>104453.48559991538</v>
      </c>
      <c r="V376" s="35">
        <f t="shared" si="120"/>
        <v>-237.64124063855644</v>
      </c>
      <c r="X376" s="35">
        <f t="shared" si="119"/>
        <v>-13203.481090042918</v>
      </c>
      <c r="Y376" s="1">
        <f t="shared" si="104"/>
        <v>13190039.967712238</v>
      </c>
      <c r="AA376" s="2">
        <f>+Bono!J376</f>
        <v>361475.18192811776</v>
      </c>
      <c r="AC376" s="10">
        <f t="shared" si="110"/>
        <v>29.416666666666668</v>
      </c>
      <c r="AD376" s="1">
        <f t="shared" si="111"/>
        <v>14248436.664908169</v>
      </c>
    </row>
    <row r="377" spans="2:30">
      <c r="B377" s="1">
        <f t="shared" si="105"/>
        <v>354</v>
      </c>
      <c r="C377" s="2">
        <f t="shared" si="112"/>
        <v>29</v>
      </c>
      <c r="D377" s="2">
        <f t="shared" si="113"/>
        <v>6</v>
      </c>
      <c r="E377" s="2">
        <f t="shared" si="114"/>
        <v>58</v>
      </c>
      <c r="F377" s="1">
        <f t="shared" si="106"/>
        <v>696921.51526781416</v>
      </c>
      <c r="H377" s="1">
        <f t="shared" si="102"/>
        <v>5557.3500306699489</v>
      </c>
      <c r="I377" s="1">
        <v>0</v>
      </c>
      <c r="J377" s="69">
        <f>-SUM(F377:H377)*$J$21</f>
        <v>-6322.3097876863576</v>
      </c>
      <c r="K377" s="1">
        <f t="shared" si="107"/>
        <v>-696.15655551079783</v>
      </c>
      <c r="L377" s="1">
        <f t="shared" si="103"/>
        <v>695460.39895528695</v>
      </c>
      <c r="N377" s="1">
        <f t="shared" si="108"/>
        <v>354</v>
      </c>
      <c r="O377" s="2">
        <f t="shared" si="115"/>
        <v>29</v>
      </c>
      <c r="P377" s="2">
        <f t="shared" si="116"/>
        <v>6</v>
      </c>
      <c r="Q377" s="2">
        <f t="shared" si="117"/>
        <v>29</v>
      </c>
      <c r="R377" s="1">
        <f t="shared" si="109"/>
        <v>13190039.967712238</v>
      </c>
      <c r="S377" s="4">
        <f>IF($G$4="mensual",S376,0)</f>
        <v>10000</v>
      </c>
      <c r="U377" s="1">
        <f t="shared" si="118"/>
        <v>105258.9723696797</v>
      </c>
      <c r="V377" s="35">
        <f t="shared" si="120"/>
        <v>-237.64124063855644</v>
      </c>
      <c r="X377" s="35">
        <f t="shared" si="119"/>
        <v>-13305.298940081919</v>
      </c>
      <c r="Y377" s="1">
        <f t="shared" si="104"/>
        <v>13291755.9999012</v>
      </c>
      <c r="AA377" s="2">
        <f>+Bono!J377</f>
        <v>360439.64593068272</v>
      </c>
      <c r="AC377" s="10">
        <f t="shared" si="110"/>
        <v>29.5</v>
      </c>
      <c r="AD377" s="1">
        <f t="shared" si="111"/>
        <v>14347656.04478717</v>
      </c>
    </row>
    <row r="378" spans="2:30">
      <c r="B378" s="1">
        <f t="shared" si="105"/>
        <v>355</v>
      </c>
      <c r="C378" s="2">
        <f t="shared" si="112"/>
        <v>29</v>
      </c>
      <c r="D378" s="2">
        <f t="shared" si="113"/>
        <v>7</v>
      </c>
      <c r="E378" s="2">
        <f t="shared" si="114"/>
        <v>58</v>
      </c>
      <c r="F378" s="1">
        <f t="shared" si="106"/>
        <v>695460.39895528695</v>
      </c>
      <c r="H378" s="1">
        <f t="shared" si="102"/>
        <v>5545.6988840108952</v>
      </c>
      <c r="I378" s="1">
        <v>0</v>
      </c>
      <c r="J378" s="1">
        <v>0</v>
      </c>
      <c r="K378" s="1">
        <f t="shared" si="107"/>
        <v>-701.00609783929781</v>
      </c>
      <c r="L378" s="1">
        <f t="shared" si="103"/>
        <v>700305.09174145851</v>
      </c>
      <c r="N378" s="1">
        <f t="shared" si="108"/>
        <v>355</v>
      </c>
      <c r="O378" s="2">
        <f t="shared" si="115"/>
        <v>29</v>
      </c>
      <c r="P378" s="2">
        <f t="shared" si="116"/>
        <v>7</v>
      </c>
      <c r="Q378" s="2">
        <f t="shared" si="117"/>
        <v>29</v>
      </c>
      <c r="R378" s="1">
        <f t="shared" si="109"/>
        <v>13291755.9999012</v>
      </c>
      <c r="S378" s="1">
        <f>+IF($G$4="mensual",S372,IF($G$4="trimestral",S372,IF($G$4="semestral",S372,0)))</f>
        <v>10000</v>
      </c>
      <c r="U378" s="1">
        <f t="shared" si="118"/>
        <v>106070.07029422537</v>
      </c>
      <c r="V378" s="35">
        <f t="shared" si="120"/>
        <v>-237.64124063855644</v>
      </c>
      <c r="X378" s="35">
        <f t="shared" si="119"/>
        <v>-13407.826070195426</v>
      </c>
      <c r="Y378" s="1">
        <f t="shared" si="104"/>
        <v>13394180.602884592</v>
      </c>
      <c r="AA378" s="2">
        <f>+Bono!J378</f>
        <v>362674.41354386415</v>
      </c>
      <c r="AC378" s="10">
        <f t="shared" si="110"/>
        <v>29.583333333333332</v>
      </c>
      <c r="AD378" s="1">
        <f t="shared" si="111"/>
        <v>14457160.108169913</v>
      </c>
    </row>
    <row r="379" spans="2:30">
      <c r="B379" s="1">
        <f t="shared" si="105"/>
        <v>356</v>
      </c>
      <c r="C379" s="2">
        <f t="shared" si="112"/>
        <v>29</v>
      </c>
      <c r="D379" s="2">
        <f t="shared" si="113"/>
        <v>8</v>
      </c>
      <c r="E379" s="2">
        <f t="shared" si="114"/>
        <v>58</v>
      </c>
      <c r="F379" s="1">
        <f t="shared" si="106"/>
        <v>700305.09174145851</v>
      </c>
      <c r="H379" s="1">
        <f t="shared" si="102"/>
        <v>5584.3311446227244</v>
      </c>
      <c r="I379" s="1">
        <v>0</v>
      </c>
      <c r="J379" s="1">
        <v>0</v>
      </c>
      <c r="K379" s="1">
        <f t="shared" si="107"/>
        <v>-705.88942288608132</v>
      </c>
      <c r="L379" s="1">
        <f t="shared" si="103"/>
        <v>705183.5334631952</v>
      </c>
      <c r="N379" s="1">
        <f t="shared" si="108"/>
        <v>356</v>
      </c>
      <c r="O379" s="2">
        <f t="shared" si="115"/>
        <v>29</v>
      </c>
      <c r="P379" s="2">
        <f t="shared" si="116"/>
        <v>8</v>
      </c>
      <c r="Q379" s="2">
        <f t="shared" si="117"/>
        <v>29</v>
      </c>
      <c r="R379" s="1">
        <f t="shared" si="109"/>
        <v>13394180.602884592</v>
      </c>
      <c r="S379" s="4">
        <f>IF($G$4="mensual",S378,0)</f>
        <v>10000</v>
      </c>
      <c r="U379" s="1">
        <f t="shared" si="118"/>
        <v>106886.81846178966</v>
      </c>
      <c r="V379" s="35">
        <f t="shared" si="120"/>
        <v>-237.64124063855644</v>
      </c>
      <c r="X379" s="35">
        <f t="shared" si="119"/>
        <v>-13511.067421346381</v>
      </c>
      <c r="Y379" s="1">
        <f t="shared" si="104"/>
        <v>13497318.712684397</v>
      </c>
      <c r="AA379" s="2">
        <f>+Bono!J379</f>
        <v>364923.03697546426</v>
      </c>
      <c r="AC379" s="10">
        <f t="shared" si="110"/>
        <v>29.666666666666668</v>
      </c>
      <c r="AD379" s="1">
        <f t="shared" si="111"/>
        <v>14567425.283123055</v>
      </c>
    </row>
    <row r="380" spans="2:30">
      <c r="B380" s="1">
        <f t="shared" si="105"/>
        <v>357</v>
      </c>
      <c r="C380" s="2">
        <f t="shared" si="112"/>
        <v>29</v>
      </c>
      <c r="D380" s="2">
        <f t="shared" si="113"/>
        <v>9</v>
      </c>
      <c r="E380" s="2">
        <f t="shared" si="114"/>
        <v>58</v>
      </c>
      <c r="F380" s="1">
        <f t="shared" si="106"/>
        <v>705183.5334631952</v>
      </c>
      <c r="H380" s="1">
        <f t="shared" si="102"/>
        <v>5623.2325239860756</v>
      </c>
      <c r="I380" s="1">
        <v>0</v>
      </c>
      <c r="J380" s="69">
        <f>-SUM(F380:H380)*$J$21</f>
        <v>-6397.2608938846315</v>
      </c>
      <c r="K380" s="1">
        <f t="shared" si="107"/>
        <v>-704.40950509329662</v>
      </c>
      <c r="L380" s="1">
        <f t="shared" si="103"/>
        <v>703705.09558820329</v>
      </c>
      <c r="N380" s="1">
        <f t="shared" si="108"/>
        <v>357</v>
      </c>
      <c r="O380" s="2">
        <f t="shared" si="115"/>
        <v>29</v>
      </c>
      <c r="P380" s="2">
        <f t="shared" si="116"/>
        <v>9</v>
      </c>
      <c r="Q380" s="2">
        <f t="shared" si="117"/>
        <v>29</v>
      </c>
      <c r="R380" s="1">
        <f t="shared" si="109"/>
        <v>13497318.712684397</v>
      </c>
      <c r="S380" s="4">
        <f>IF($G$4="mensual",S379,0)</f>
        <v>10000</v>
      </c>
      <c r="U380" s="1">
        <f t="shared" si="118"/>
        <v>107709.256232905</v>
      </c>
      <c r="V380" s="35">
        <f t="shared" si="120"/>
        <v>-237.64124063855644</v>
      </c>
      <c r="X380" s="35">
        <f t="shared" si="119"/>
        <v>-13615.0279689173</v>
      </c>
      <c r="Y380" s="1">
        <f t="shared" si="104"/>
        <v>13601175.299707746</v>
      </c>
      <c r="AA380" s="2">
        <f>+Bono!J380</f>
        <v>363877.62373556837</v>
      </c>
      <c r="AC380" s="10">
        <f t="shared" si="110"/>
        <v>29.75</v>
      </c>
      <c r="AD380" s="1">
        <f t="shared" si="111"/>
        <v>14668758.019031517</v>
      </c>
    </row>
    <row r="381" spans="2:30">
      <c r="B381" s="1">
        <f t="shared" si="105"/>
        <v>358</v>
      </c>
      <c r="C381" s="2">
        <f t="shared" si="112"/>
        <v>29</v>
      </c>
      <c r="D381" s="2">
        <f t="shared" si="113"/>
        <v>10</v>
      </c>
      <c r="E381" s="2">
        <f t="shared" si="114"/>
        <v>58</v>
      </c>
      <c r="F381" s="1">
        <f t="shared" si="106"/>
        <v>703705.09558820329</v>
      </c>
      <c r="H381" s="1">
        <f t="shared" si="102"/>
        <v>5611.44325275548</v>
      </c>
      <c r="I381" s="1">
        <v>0</v>
      </c>
      <c r="J381" s="1">
        <v>0</v>
      </c>
      <c r="K381" s="1">
        <f t="shared" si="107"/>
        <v>-709.31653884095874</v>
      </c>
      <c r="L381" s="1">
        <f t="shared" si="103"/>
        <v>708607.22230211773</v>
      </c>
      <c r="N381" s="1">
        <f t="shared" si="108"/>
        <v>358</v>
      </c>
      <c r="O381" s="2">
        <f t="shared" si="115"/>
        <v>29</v>
      </c>
      <c r="P381" s="2">
        <f t="shared" si="116"/>
        <v>10</v>
      </c>
      <c r="Q381" s="2">
        <f t="shared" si="117"/>
        <v>29</v>
      </c>
      <c r="R381" s="1">
        <f t="shared" si="109"/>
        <v>13601175.299707746</v>
      </c>
      <c r="S381" s="4">
        <f>IF($G$4="mensual",S372,IF($G$4="trimestral",S372,0))</f>
        <v>10000</v>
      </c>
      <c r="U381" s="1">
        <f t="shared" si="118"/>
        <v>108537.42324229584</v>
      </c>
      <c r="V381" s="35">
        <f t="shared" si="120"/>
        <v>-237.64124063855644</v>
      </c>
      <c r="X381" s="35">
        <f t="shared" si="119"/>
        <v>-13719.712722950042</v>
      </c>
      <c r="Y381" s="1">
        <f t="shared" si="104"/>
        <v>13705755.368986454</v>
      </c>
      <c r="AA381" s="2">
        <f>+Bono!J381</f>
        <v>366133.7072099208</v>
      </c>
      <c r="AC381" s="10">
        <f t="shared" si="110"/>
        <v>29.833333333333332</v>
      </c>
      <c r="AD381" s="1">
        <f t="shared" si="111"/>
        <v>14780496.298498493</v>
      </c>
    </row>
    <row r="382" spans="2:30">
      <c r="B382" s="1">
        <f t="shared" si="105"/>
        <v>359</v>
      </c>
      <c r="C382" s="2">
        <f t="shared" si="112"/>
        <v>29</v>
      </c>
      <c r="D382" s="2">
        <f t="shared" si="113"/>
        <v>11</v>
      </c>
      <c r="E382" s="2">
        <f t="shared" si="114"/>
        <v>58</v>
      </c>
      <c r="F382" s="1">
        <f t="shared" si="106"/>
        <v>708607.22230211773</v>
      </c>
      <c r="H382" s="1">
        <f t="shared" si="102"/>
        <v>5650.5334995725143</v>
      </c>
      <c r="I382" s="1">
        <v>0</v>
      </c>
      <c r="J382" s="1">
        <v>0</v>
      </c>
      <c r="K382" s="1">
        <f t="shared" si="107"/>
        <v>-714.25775580169034</v>
      </c>
      <c r="L382" s="1">
        <f t="shared" si="103"/>
        <v>713543.49804588861</v>
      </c>
      <c r="N382" s="1">
        <f t="shared" si="108"/>
        <v>359</v>
      </c>
      <c r="O382" s="2">
        <f t="shared" si="115"/>
        <v>29</v>
      </c>
      <c r="P382" s="2">
        <f t="shared" si="116"/>
        <v>11</v>
      </c>
      <c r="Q382" s="2">
        <f t="shared" si="117"/>
        <v>29</v>
      </c>
      <c r="R382" s="1">
        <f t="shared" si="109"/>
        <v>13705755.368986454</v>
      </c>
      <c r="S382" s="1">
        <f>IF($G$17="si",S370*(1+$G$20),S370)</f>
        <v>10000</v>
      </c>
      <c r="U382" s="1">
        <f t="shared" si="118"/>
        <v>109371.35940078874</v>
      </c>
      <c r="V382" s="35">
        <f t="shared" si="120"/>
        <v>-237.64124063855644</v>
      </c>
      <c r="X382" s="35">
        <f t="shared" si="119"/>
        <v>-13825.126728387242</v>
      </c>
      <c r="Y382" s="1">
        <f t="shared" si="104"/>
        <v>13811063.960418217</v>
      </c>
      <c r="AA382" s="2">
        <f>+Bono!J382</f>
        <v>368403.7786635037</v>
      </c>
      <c r="AC382" s="10">
        <f t="shared" si="110"/>
        <v>29.916666666666668</v>
      </c>
      <c r="AD382" s="1">
        <f t="shared" si="111"/>
        <v>14893011.237127608</v>
      </c>
    </row>
    <row r="383" spans="2:30">
      <c r="B383" s="1">
        <f t="shared" si="105"/>
        <v>360</v>
      </c>
      <c r="C383" s="2">
        <f t="shared" si="112"/>
        <v>29</v>
      </c>
      <c r="D383" s="2">
        <f t="shared" si="113"/>
        <v>12</v>
      </c>
      <c r="E383" s="2">
        <f t="shared" si="114"/>
        <v>58</v>
      </c>
      <c r="F383" s="1">
        <f t="shared" si="106"/>
        <v>713543.49804588861</v>
      </c>
      <c r="H383" s="1">
        <f t="shared" si="102"/>
        <v>5689.8960555491349</v>
      </c>
      <c r="I383" s="1">
        <v>0</v>
      </c>
      <c r="J383" s="69">
        <f>-SUM(F383:H383)*$J$21</f>
        <v>-6473.1005469129404</v>
      </c>
      <c r="K383" s="1">
        <f t="shared" si="107"/>
        <v>-712.76029355452476</v>
      </c>
      <c r="L383" s="1">
        <f t="shared" si="103"/>
        <v>712047.53326097026</v>
      </c>
      <c r="N383" s="1">
        <f t="shared" si="108"/>
        <v>360</v>
      </c>
      <c r="O383" s="2">
        <f t="shared" si="115"/>
        <v>29</v>
      </c>
      <c r="P383" s="2">
        <f t="shared" si="116"/>
        <v>12</v>
      </c>
      <c r="Q383" s="2">
        <f t="shared" si="117"/>
        <v>29</v>
      </c>
      <c r="R383" s="1">
        <f t="shared" si="109"/>
        <v>13811063.960418217</v>
      </c>
      <c r="S383" s="4">
        <f>IF($G$4="mensual",S382,0)</f>
        <v>10000</v>
      </c>
      <c r="U383" s="1">
        <f t="shared" si="118"/>
        <v>110211.10489723568</v>
      </c>
      <c r="V383" s="35">
        <f t="shared" si="120"/>
        <v>-237.64124063855644</v>
      </c>
      <c r="X383" s="35">
        <f t="shared" si="119"/>
        <v>-13931.275065315454</v>
      </c>
      <c r="Y383" s="1">
        <f t="shared" si="104"/>
        <v>13917106.1490095</v>
      </c>
      <c r="AA383" s="2">
        <f>+Bono!J383</f>
        <v>367348.39396914584</v>
      </c>
      <c r="AC383" s="10">
        <f t="shared" si="110"/>
        <v>30</v>
      </c>
      <c r="AD383" s="1">
        <f t="shared" si="111"/>
        <v>14996502.076239616</v>
      </c>
    </row>
    <row r="384" spans="2:30">
      <c r="B384" s="1">
        <f t="shared" si="105"/>
        <v>361</v>
      </c>
      <c r="C384" s="2">
        <f t="shared" si="112"/>
        <v>30</v>
      </c>
      <c r="D384" s="2">
        <f t="shared" si="113"/>
        <v>1</v>
      </c>
      <c r="E384" s="2">
        <f t="shared" si="114"/>
        <v>59</v>
      </c>
      <c r="F384" s="1">
        <f t="shared" si="106"/>
        <v>712047.53326097026</v>
      </c>
      <c r="H384" s="1">
        <f t="shared" si="102"/>
        <v>5677.9670222775012</v>
      </c>
      <c r="I384" s="1">
        <v>0</v>
      </c>
      <c r="J384" s="1">
        <v>0</v>
      </c>
      <c r="K384" s="1">
        <f t="shared" si="107"/>
        <v>-717.72550028324781</v>
      </c>
      <c r="L384" s="1">
        <f t="shared" si="103"/>
        <v>717007.77478296449</v>
      </c>
      <c r="N384" s="1">
        <f t="shared" si="108"/>
        <v>361</v>
      </c>
      <c r="O384" s="2">
        <f t="shared" si="115"/>
        <v>30</v>
      </c>
      <c r="P384" s="2">
        <f t="shared" si="116"/>
        <v>1</v>
      </c>
      <c r="Q384" s="2">
        <f t="shared" si="117"/>
        <v>30</v>
      </c>
      <c r="R384" s="1">
        <f t="shared" si="109"/>
        <v>13917106.1490095</v>
      </c>
      <c r="S384" s="1">
        <f>IF($G$17="si",S372*(1+$G$20),S372)</f>
        <v>10000</v>
      </c>
      <c r="U384" s="1">
        <f t="shared" si="118"/>
        <v>111056.70020045087</v>
      </c>
      <c r="V384" s="35">
        <f>(V383*(1+$G$18))</f>
        <v>-247.14689026409872</v>
      </c>
      <c r="X384" s="35">
        <f t="shared" si="119"/>
        <v>-14038.162849209952</v>
      </c>
      <c r="Y384" s="1">
        <f t="shared" si="104"/>
        <v>14023877.539470477</v>
      </c>
      <c r="AA384" s="2">
        <f>+Bono!J384</f>
        <v>369625.99662153091</v>
      </c>
      <c r="AC384" s="10">
        <f t="shared" si="110"/>
        <v>30.083333333333332</v>
      </c>
      <c r="AD384" s="1">
        <f t="shared" si="111"/>
        <v>15110511.310874972</v>
      </c>
    </row>
    <row r="385" spans="2:30">
      <c r="B385" s="1">
        <f t="shared" si="105"/>
        <v>362</v>
      </c>
      <c r="C385" s="2">
        <f t="shared" si="112"/>
        <v>30</v>
      </c>
      <c r="D385" s="2">
        <f t="shared" si="113"/>
        <v>2</v>
      </c>
      <c r="E385" s="2">
        <f t="shared" si="114"/>
        <v>59</v>
      </c>
      <c r="F385" s="1">
        <f t="shared" si="106"/>
        <v>717007.77478296449</v>
      </c>
      <c r="H385" s="1">
        <f t="shared" si="102"/>
        <v>5717.5206847351619</v>
      </c>
      <c r="I385" s="1">
        <v>0</v>
      </c>
      <c r="J385" s="1">
        <v>0</v>
      </c>
      <c r="K385" s="1">
        <f t="shared" si="107"/>
        <v>-722.72529546769965</v>
      </c>
      <c r="L385" s="1">
        <f t="shared" si="103"/>
        <v>722002.57017223199</v>
      </c>
      <c r="N385" s="1">
        <f t="shared" si="108"/>
        <v>362</v>
      </c>
      <c r="O385" s="2">
        <f t="shared" si="115"/>
        <v>30</v>
      </c>
      <c r="P385" s="2">
        <f t="shared" si="116"/>
        <v>2</v>
      </c>
      <c r="Q385" s="2">
        <f t="shared" si="117"/>
        <v>30</v>
      </c>
      <c r="R385" s="1">
        <f t="shared" si="109"/>
        <v>14023877.539470477</v>
      </c>
      <c r="S385" s="4">
        <f>IF($G$4="mensual",S384,0)</f>
        <v>10000</v>
      </c>
      <c r="U385" s="1">
        <f t="shared" si="118"/>
        <v>111908.11026177602</v>
      </c>
      <c r="V385" s="35">
        <f t="shared" si="120"/>
        <v>-247.14689026409872</v>
      </c>
      <c r="X385" s="35">
        <f t="shared" si="119"/>
        <v>-14145.785649732254</v>
      </c>
      <c r="Y385" s="1">
        <f t="shared" si="104"/>
        <v>14131392.717192257</v>
      </c>
      <c r="AA385" s="2">
        <f>+Bono!J385</f>
        <v>371917.72067454632</v>
      </c>
      <c r="AC385" s="10">
        <f t="shared" si="110"/>
        <v>30.166666666666668</v>
      </c>
      <c r="AD385" s="1">
        <f t="shared" si="111"/>
        <v>15225313.008039035</v>
      </c>
    </row>
    <row r="386" spans="2:30">
      <c r="B386" s="1">
        <f t="shared" si="105"/>
        <v>363</v>
      </c>
      <c r="C386" s="2">
        <f t="shared" si="112"/>
        <v>30</v>
      </c>
      <c r="D386" s="2">
        <f t="shared" si="113"/>
        <v>3</v>
      </c>
      <c r="E386" s="2">
        <f t="shared" si="114"/>
        <v>59</v>
      </c>
      <c r="F386" s="1">
        <f t="shared" si="106"/>
        <v>722002.57017223199</v>
      </c>
      <c r="H386" s="1">
        <f t="shared" si="102"/>
        <v>5757.3498845828226</v>
      </c>
      <c r="I386" s="1">
        <v>0</v>
      </c>
      <c r="J386" s="69">
        <f>-SUM(F386:H386)*$J$21</f>
        <v>-6549.8392805113335</v>
      </c>
      <c r="K386" s="1">
        <f t="shared" si="107"/>
        <v>-721.21008077630347</v>
      </c>
      <c r="L386" s="1">
        <f t="shared" si="103"/>
        <v>720488.87069552718</v>
      </c>
      <c r="N386" s="1">
        <f t="shared" si="108"/>
        <v>363</v>
      </c>
      <c r="O386" s="2">
        <f t="shared" si="115"/>
        <v>30</v>
      </c>
      <c r="P386" s="2">
        <f t="shared" si="116"/>
        <v>3</v>
      </c>
      <c r="Q386" s="2">
        <f t="shared" si="117"/>
        <v>30</v>
      </c>
      <c r="R386" s="1">
        <f t="shared" si="109"/>
        <v>14131392.717192257</v>
      </c>
      <c r="S386" s="4">
        <f>IF($G$4="mensual",S385,0)</f>
        <v>10000</v>
      </c>
      <c r="U386" s="1">
        <f t="shared" si="118"/>
        <v>112765.45138716802</v>
      </c>
      <c r="V386" s="35">
        <f t="shared" si="120"/>
        <v>-247.14689026409872</v>
      </c>
      <c r="X386" s="35">
        <f t="shared" si="119"/>
        <v>-14254.158168579426</v>
      </c>
      <c r="Y386" s="1">
        <f t="shared" si="104"/>
        <v>14239656.863520583</v>
      </c>
      <c r="AA386" s="2">
        <f>+Bono!J386</f>
        <v>370852.26941510389</v>
      </c>
      <c r="AC386" s="10">
        <f t="shared" si="110"/>
        <v>30.25</v>
      </c>
      <c r="AD386" s="1">
        <f t="shared" si="111"/>
        <v>15330998.003631216</v>
      </c>
    </row>
    <row r="387" spans="2:30">
      <c r="B387" s="1">
        <f t="shared" si="105"/>
        <v>364</v>
      </c>
      <c r="C387" s="2">
        <f t="shared" si="112"/>
        <v>30</v>
      </c>
      <c r="D387" s="2">
        <f t="shared" si="113"/>
        <v>4</v>
      </c>
      <c r="E387" s="2">
        <f t="shared" si="114"/>
        <v>59</v>
      </c>
      <c r="F387" s="1">
        <f t="shared" si="106"/>
        <v>720488.87069552718</v>
      </c>
      <c r="H387" s="1">
        <f t="shared" si="102"/>
        <v>5745.27943238842</v>
      </c>
      <c r="I387" s="1">
        <v>0</v>
      </c>
      <c r="J387" s="1">
        <v>0</v>
      </c>
      <c r="K387" s="1">
        <f t="shared" si="107"/>
        <v>-726.23415012791554</v>
      </c>
      <c r="L387" s="1">
        <f t="shared" si="103"/>
        <v>725507.91597778758</v>
      </c>
      <c r="N387" s="1">
        <f t="shared" si="108"/>
        <v>364</v>
      </c>
      <c r="O387" s="2">
        <f t="shared" si="115"/>
        <v>30</v>
      </c>
      <c r="P387" s="2">
        <f t="shared" si="116"/>
        <v>4</v>
      </c>
      <c r="Q387" s="2">
        <f t="shared" si="117"/>
        <v>30</v>
      </c>
      <c r="R387" s="1">
        <f t="shared" si="109"/>
        <v>14239656.863520583</v>
      </c>
      <c r="S387" s="4">
        <f>IF($G$4="mensual",S384,IF($G$4="trimestral",S384,0))</f>
        <v>10000</v>
      </c>
      <c r="U387" s="1">
        <f t="shared" si="118"/>
        <v>113628.76489340549</v>
      </c>
      <c r="V387" s="35">
        <f t="shared" si="120"/>
        <v>-247.14689026409872</v>
      </c>
      <c r="X387" s="35">
        <f t="shared" si="119"/>
        <v>-14363.285628413989</v>
      </c>
      <c r="Y387" s="1">
        <f t="shared" si="104"/>
        <v>14348675.19589531</v>
      </c>
      <c r="AA387" s="2">
        <f>+Bono!J387</f>
        <v>373151.59650167829</v>
      </c>
      <c r="AC387" s="10">
        <f t="shared" si="110"/>
        <v>30.333333333333332</v>
      </c>
      <c r="AD387" s="1">
        <f t="shared" si="111"/>
        <v>15447334.708374776</v>
      </c>
    </row>
    <row r="388" spans="2:30">
      <c r="B388" s="1">
        <f t="shared" si="105"/>
        <v>365</v>
      </c>
      <c r="C388" s="2">
        <f t="shared" si="112"/>
        <v>30</v>
      </c>
      <c r="D388" s="2">
        <f t="shared" si="113"/>
        <v>5</v>
      </c>
      <c r="E388" s="2">
        <f t="shared" si="114"/>
        <v>59</v>
      </c>
      <c r="F388" s="1">
        <f t="shared" si="106"/>
        <v>725507.91597778758</v>
      </c>
      <c r="H388" s="1">
        <f t="shared" si="102"/>
        <v>5785.3020042881908</v>
      </c>
      <c r="I388" s="1">
        <v>0</v>
      </c>
      <c r="J388" s="1">
        <v>0</v>
      </c>
      <c r="K388" s="1">
        <f t="shared" si="107"/>
        <v>-731.29321798207582</v>
      </c>
      <c r="L388" s="1">
        <f t="shared" si="103"/>
        <v>730561.92476409371</v>
      </c>
      <c r="N388" s="1">
        <f t="shared" si="108"/>
        <v>365</v>
      </c>
      <c r="O388" s="2">
        <f t="shared" si="115"/>
        <v>30</v>
      </c>
      <c r="P388" s="2">
        <f t="shared" si="116"/>
        <v>5</v>
      </c>
      <c r="Q388" s="2">
        <f t="shared" si="117"/>
        <v>30</v>
      </c>
      <c r="R388" s="1">
        <f t="shared" si="109"/>
        <v>14348675.19589531</v>
      </c>
      <c r="S388" s="4">
        <f>IF($G$4="mensual",S387,0)</f>
        <v>10000</v>
      </c>
      <c r="U388" s="1">
        <f t="shared" si="118"/>
        <v>114498.09238508648</v>
      </c>
      <c r="V388" s="35">
        <f t="shared" si="120"/>
        <v>-247.14689026409872</v>
      </c>
      <c r="X388" s="35">
        <f t="shared" si="119"/>
        <v>-14473.173288280397</v>
      </c>
      <c r="Y388" s="1">
        <f t="shared" si="104"/>
        <v>14458452.968101854</v>
      </c>
      <c r="AA388" s="2">
        <f>+Bono!J388</f>
        <v>375465.17968289484</v>
      </c>
      <c r="AC388" s="10">
        <f t="shared" si="110"/>
        <v>30.416666666666668</v>
      </c>
      <c r="AD388" s="1">
        <f t="shared" si="111"/>
        <v>15564480.072548842</v>
      </c>
    </row>
    <row r="389" spans="2:30">
      <c r="B389" s="1">
        <f t="shared" si="105"/>
        <v>366</v>
      </c>
      <c r="C389" s="2">
        <f t="shared" si="112"/>
        <v>30</v>
      </c>
      <c r="D389" s="2">
        <f t="shared" si="113"/>
        <v>6</v>
      </c>
      <c r="E389" s="2">
        <f t="shared" si="114"/>
        <v>59</v>
      </c>
      <c r="F389" s="1">
        <f t="shared" si="106"/>
        <v>730561.92476409371</v>
      </c>
      <c r="H389" s="1">
        <f t="shared" si="102"/>
        <v>5825.6033800791101</v>
      </c>
      <c r="I389" s="1">
        <v>0</v>
      </c>
      <c r="J389" s="69">
        <f>-SUM(F389:H389)*$J$21</f>
        <v>-6627.4877532975561</v>
      </c>
      <c r="K389" s="1">
        <f t="shared" si="107"/>
        <v>-729.76004039087536</v>
      </c>
      <c r="L389" s="1">
        <f t="shared" si="103"/>
        <v>729030.28035048442</v>
      </c>
      <c r="N389" s="1">
        <f t="shared" si="108"/>
        <v>366</v>
      </c>
      <c r="O389" s="2">
        <f t="shared" si="115"/>
        <v>30</v>
      </c>
      <c r="P389" s="2">
        <f t="shared" si="116"/>
        <v>6</v>
      </c>
      <c r="Q389" s="2">
        <f t="shared" si="117"/>
        <v>30</v>
      </c>
      <c r="R389" s="1">
        <f t="shared" si="109"/>
        <v>14458452.968101854</v>
      </c>
      <c r="S389" s="4">
        <f>IF($G$4="mensual",S388,0)</f>
        <v>10000</v>
      </c>
      <c r="U389" s="1">
        <f t="shared" si="118"/>
        <v>115373.47575663365</v>
      </c>
      <c r="V389" s="35">
        <f t="shared" si="120"/>
        <v>-247.14689026409872</v>
      </c>
      <c r="X389" s="35">
        <f t="shared" si="119"/>
        <v>-14583.826443858488</v>
      </c>
      <c r="Y389" s="1">
        <f t="shared" si="104"/>
        <v>14568995.470524365</v>
      </c>
      <c r="AA389" s="2">
        <f>+Bono!J389</f>
        <v>374389.56584055262</v>
      </c>
      <c r="AC389" s="10">
        <f t="shared" si="110"/>
        <v>30.5</v>
      </c>
      <c r="AD389" s="1">
        <f t="shared" si="111"/>
        <v>15672415.316715403</v>
      </c>
    </row>
    <row r="390" spans="2:30">
      <c r="B390" s="1">
        <f t="shared" si="105"/>
        <v>367</v>
      </c>
      <c r="C390" s="2">
        <f t="shared" si="112"/>
        <v>30</v>
      </c>
      <c r="D390" s="2">
        <f t="shared" si="113"/>
        <v>7</v>
      </c>
      <c r="E390" s="2">
        <f t="shared" si="114"/>
        <v>59</v>
      </c>
      <c r="F390" s="1">
        <f t="shared" si="106"/>
        <v>729030.28035048442</v>
      </c>
      <c r="H390" s="1">
        <f t="shared" si="102"/>
        <v>5813.3898324378433</v>
      </c>
      <c r="I390" s="1">
        <v>0</v>
      </c>
      <c r="J390" s="1">
        <v>0</v>
      </c>
      <c r="K390" s="1">
        <f t="shared" si="107"/>
        <v>-734.84367018292232</v>
      </c>
      <c r="L390" s="1">
        <f t="shared" si="103"/>
        <v>734108.8265127393</v>
      </c>
      <c r="N390" s="1">
        <f t="shared" si="108"/>
        <v>367</v>
      </c>
      <c r="O390" s="2">
        <f t="shared" si="115"/>
        <v>30</v>
      </c>
      <c r="P390" s="2">
        <f t="shared" si="116"/>
        <v>7</v>
      </c>
      <c r="Q390" s="2">
        <f t="shared" si="117"/>
        <v>30</v>
      </c>
      <c r="R390" s="1">
        <f t="shared" si="109"/>
        <v>14568995.470524365</v>
      </c>
      <c r="S390" s="1">
        <f>+IF($G$4="mensual",S384,IF($G$4="trimestral",S384,IF($G$4="semestral",S384,0)))</f>
        <v>10000</v>
      </c>
      <c r="U390" s="1">
        <f t="shared" si="118"/>
        <v>116254.9571943132</v>
      </c>
      <c r="V390" s="35">
        <f t="shared" si="120"/>
        <v>-247.14689026409872</v>
      </c>
      <c r="X390" s="35">
        <f t="shared" si="119"/>
        <v>-14695.250427718678</v>
      </c>
      <c r="Y390" s="1">
        <f t="shared" si="104"/>
        <v>14680308.030400695</v>
      </c>
      <c r="AA390" s="2">
        <f>+Bono!J390</f>
        <v>376710.82457526581</v>
      </c>
      <c r="AC390" s="10">
        <f t="shared" si="110"/>
        <v>30.583333333333332</v>
      </c>
      <c r="AD390" s="1">
        <f t="shared" si="111"/>
        <v>15791127.6814887</v>
      </c>
    </row>
    <row r="391" spans="2:30">
      <c r="B391" s="1">
        <f t="shared" si="105"/>
        <v>368</v>
      </c>
      <c r="C391" s="2">
        <f t="shared" si="112"/>
        <v>30</v>
      </c>
      <c r="D391" s="2">
        <f t="shared" si="113"/>
        <v>8</v>
      </c>
      <c r="E391" s="2">
        <f t="shared" si="114"/>
        <v>59</v>
      </c>
      <c r="F391" s="1">
        <f t="shared" si="106"/>
        <v>734108.8265127393</v>
      </c>
      <c r="H391" s="1">
        <f t="shared" si="102"/>
        <v>5853.8868727103336</v>
      </c>
      <c r="I391" s="1">
        <v>0</v>
      </c>
      <c r="J391" s="1">
        <v>0</v>
      </c>
      <c r="K391" s="1">
        <f t="shared" si="107"/>
        <v>-739.96271338544966</v>
      </c>
      <c r="L391" s="1">
        <f t="shared" si="103"/>
        <v>739222.75067206414</v>
      </c>
      <c r="N391" s="1">
        <f t="shared" si="108"/>
        <v>368</v>
      </c>
      <c r="O391" s="2">
        <f t="shared" si="115"/>
        <v>30</v>
      </c>
      <c r="P391" s="2">
        <f t="shared" si="116"/>
        <v>8</v>
      </c>
      <c r="Q391" s="2">
        <f t="shared" si="117"/>
        <v>30</v>
      </c>
      <c r="R391" s="1">
        <f t="shared" si="109"/>
        <v>14680308.030400695</v>
      </c>
      <c r="S391" s="4">
        <f>IF($G$4="mensual",S390,0)</f>
        <v>10000</v>
      </c>
      <c r="U391" s="1">
        <f t="shared" si="118"/>
        <v>117142.57917826781</v>
      </c>
      <c r="V391" s="35">
        <f t="shared" si="120"/>
        <v>-247.14689026409872</v>
      </c>
      <c r="X391" s="35">
        <f t="shared" si="119"/>
        <v>-14807.450609578964</v>
      </c>
      <c r="Y391" s="1">
        <f t="shared" si="104"/>
        <v>14792396.01207912</v>
      </c>
      <c r="AA391" s="2">
        <f>+Bono!J391</f>
        <v>379046.47538338351</v>
      </c>
      <c r="AC391" s="10">
        <f t="shared" si="110"/>
        <v>30.666666666666668</v>
      </c>
      <c r="AD391" s="1">
        <f t="shared" si="111"/>
        <v>15910665.238134569</v>
      </c>
    </row>
    <row r="392" spans="2:30">
      <c r="B392" s="1">
        <f t="shared" si="105"/>
        <v>369</v>
      </c>
      <c r="C392" s="2">
        <f t="shared" si="112"/>
        <v>30</v>
      </c>
      <c r="D392" s="2">
        <f t="shared" si="113"/>
        <v>9</v>
      </c>
      <c r="E392" s="2">
        <f t="shared" si="114"/>
        <v>59</v>
      </c>
      <c r="F392" s="1">
        <f t="shared" si="106"/>
        <v>739222.75067206414</v>
      </c>
      <c r="H392" s="1">
        <f t="shared" si="102"/>
        <v>5894.6660220995536</v>
      </c>
      <c r="I392" s="1">
        <v>0</v>
      </c>
      <c r="J392" s="69">
        <f>-SUM(F392:H392)*$J$21</f>
        <v>-6706.0567502474742</v>
      </c>
      <c r="K392" s="1">
        <f t="shared" si="107"/>
        <v>-738.41135994391618</v>
      </c>
      <c r="L392" s="1">
        <f t="shared" si="103"/>
        <v>737672.94858397229</v>
      </c>
      <c r="N392" s="1">
        <f t="shared" si="108"/>
        <v>369</v>
      </c>
      <c r="O392" s="2">
        <f t="shared" si="115"/>
        <v>30</v>
      </c>
      <c r="P392" s="2">
        <f t="shared" si="116"/>
        <v>9</v>
      </c>
      <c r="Q392" s="2">
        <f t="shared" si="117"/>
        <v>30</v>
      </c>
      <c r="R392" s="1">
        <f t="shared" si="109"/>
        <v>14792396.01207912</v>
      </c>
      <c r="S392" s="4">
        <f>IF($G$4="mensual",S391,0)</f>
        <v>10000</v>
      </c>
      <c r="U392" s="1">
        <f t="shared" si="118"/>
        <v>118036.38448456397</v>
      </c>
      <c r="V392" s="35">
        <f t="shared" si="120"/>
        <v>-247.14689026409872</v>
      </c>
      <c r="X392" s="35">
        <f t="shared" si="119"/>
        <v>-14920.432396563685</v>
      </c>
      <c r="Y392" s="1">
        <f t="shared" si="104"/>
        <v>14905264.817276858</v>
      </c>
      <c r="AA392" s="2">
        <f>+Bono!J392</f>
        <v>377960.60202448047</v>
      </c>
      <c r="AC392" s="10">
        <f t="shared" si="110"/>
        <v>30.75</v>
      </c>
      <c r="AD392" s="1">
        <f t="shared" si="111"/>
        <v>16020898.36788531</v>
      </c>
    </row>
    <row r="393" spans="2:30">
      <c r="B393" s="1">
        <f t="shared" si="105"/>
        <v>370</v>
      </c>
      <c r="C393" s="2">
        <f t="shared" si="112"/>
        <v>30</v>
      </c>
      <c r="D393" s="2">
        <f t="shared" si="113"/>
        <v>10</v>
      </c>
      <c r="E393" s="2">
        <f t="shared" si="114"/>
        <v>59</v>
      </c>
      <c r="F393" s="1">
        <f t="shared" si="106"/>
        <v>737672.94858397229</v>
      </c>
      <c r="H393" s="1">
        <f t="shared" si="102"/>
        <v>5882.3076826121014</v>
      </c>
      <c r="I393" s="1">
        <v>0</v>
      </c>
      <c r="J393" s="1">
        <v>0</v>
      </c>
      <c r="K393" s="1">
        <f t="shared" si="107"/>
        <v>-743.55525626658437</v>
      </c>
      <c r="L393" s="1">
        <f t="shared" si="103"/>
        <v>742811.70101031777</v>
      </c>
      <c r="N393" s="1">
        <f t="shared" si="108"/>
        <v>370</v>
      </c>
      <c r="O393" s="2">
        <f t="shared" si="115"/>
        <v>30</v>
      </c>
      <c r="P393" s="2">
        <f t="shared" si="116"/>
        <v>10</v>
      </c>
      <c r="Q393" s="2">
        <f t="shared" si="117"/>
        <v>30</v>
      </c>
      <c r="R393" s="1">
        <f t="shared" si="109"/>
        <v>14905264.817276858</v>
      </c>
      <c r="S393" s="4">
        <f>IF($G$4="mensual",S384,IF($G$4="trimestral",S384,0))</f>
        <v>10000</v>
      </c>
      <c r="U393" s="1">
        <f t="shared" si="118"/>
        <v>118936.41618725332</v>
      </c>
      <c r="V393" s="35">
        <f t="shared" si="120"/>
        <v>-247.14689026409872</v>
      </c>
      <c r="X393" s="35">
        <f t="shared" si="119"/>
        <v>-15034.201233464111</v>
      </c>
      <c r="Y393" s="1">
        <f t="shared" si="104"/>
        <v>15018919.885340383</v>
      </c>
      <c r="AA393" s="2">
        <f>+Bono!J393</f>
        <v>380304.00159774855</v>
      </c>
      <c r="AC393" s="10">
        <f t="shared" si="110"/>
        <v>30.833333333333332</v>
      </c>
      <c r="AD393" s="1">
        <f t="shared" si="111"/>
        <v>16142035.587948451</v>
      </c>
    </row>
    <row r="394" spans="2:30">
      <c r="B394" s="1">
        <f t="shared" si="105"/>
        <v>371</v>
      </c>
      <c r="C394" s="2">
        <f t="shared" si="112"/>
        <v>30</v>
      </c>
      <c r="D394" s="2">
        <f t="shared" si="113"/>
        <v>11</v>
      </c>
      <c r="E394" s="2">
        <f t="shared" si="114"/>
        <v>59</v>
      </c>
      <c r="F394" s="1">
        <f t="shared" si="106"/>
        <v>742811.70101031777</v>
      </c>
      <c r="H394" s="1">
        <f t="shared" si="102"/>
        <v>5923.2848160891499</v>
      </c>
      <c r="I394" s="1">
        <v>0</v>
      </c>
      <c r="J394" s="1">
        <v>0</v>
      </c>
      <c r="K394" s="1">
        <f t="shared" si="107"/>
        <v>-748.73498582640696</v>
      </c>
      <c r="L394" s="1">
        <f t="shared" si="103"/>
        <v>747986.25084058056</v>
      </c>
      <c r="N394" s="1">
        <f t="shared" si="108"/>
        <v>371</v>
      </c>
      <c r="O394" s="2">
        <f t="shared" si="115"/>
        <v>30</v>
      </c>
      <c r="P394" s="2">
        <f t="shared" si="116"/>
        <v>11</v>
      </c>
      <c r="Q394" s="2">
        <f t="shared" si="117"/>
        <v>30</v>
      </c>
      <c r="R394" s="1">
        <f t="shared" si="109"/>
        <v>15018919.885340383</v>
      </c>
      <c r="S394" s="1">
        <f>IF($G$17="si",S382*(1+$G$20),S382)</f>
        <v>10000</v>
      </c>
      <c r="U394" s="1">
        <f t="shared" si="118"/>
        <v>119842.71766044847</v>
      </c>
      <c r="V394" s="35">
        <f t="shared" si="120"/>
        <v>-247.14689026409872</v>
      </c>
      <c r="X394" s="35">
        <f t="shared" si="119"/>
        <v>-15148.76260300083</v>
      </c>
      <c r="Y394" s="1">
        <f t="shared" si="104"/>
        <v>15133366.693507565</v>
      </c>
      <c r="AA394" s="2">
        <f>+Bono!J394</f>
        <v>382661.93052018841</v>
      </c>
      <c r="AC394" s="10">
        <f t="shared" si="110"/>
        <v>30.916666666666668</v>
      </c>
      <c r="AD394" s="1">
        <f t="shared" si="111"/>
        <v>16264014.874868333</v>
      </c>
    </row>
    <row r="395" spans="2:30">
      <c r="B395" s="1">
        <f t="shared" si="105"/>
        <v>372</v>
      </c>
      <c r="C395" s="2">
        <f t="shared" si="112"/>
        <v>30</v>
      </c>
      <c r="D395" s="2">
        <f t="shared" si="113"/>
        <v>12</v>
      </c>
      <c r="E395" s="2">
        <f t="shared" si="114"/>
        <v>59</v>
      </c>
      <c r="F395" s="1">
        <f t="shared" si="106"/>
        <v>747986.25084058056</v>
      </c>
      <c r="H395" s="1">
        <f t="shared" si="102"/>
        <v>5964.5474030920259</v>
      </c>
      <c r="I395" s="1">
        <v>0</v>
      </c>
      <c r="J395" s="69">
        <f>-SUM(F395:H395)*$J$21</f>
        <v>-6785.5571841930541</v>
      </c>
      <c r="K395" s="1">
        <f t="shared" si="107"/>
        <v>-747.16524105947951</v>
      </c>
      <c r="L395" s="1">
        <f t="shared" si="103"/>
        <v>746418.07581842004</v>
      </c>
      <c r="N395" s="1">
        <f t="shared" si="108"/>
        <v>372</v>
      </c>
      <c r="O395" s="2">
        <f t="shared" si="115"/>
        <v>30</v>
      </c>
      <c r="P395" s="2">
        <f t="shared" si="116"/>
        <v>12</v>
      </c>
      <c r="Q395" s="2">
        <f t="shared" si="117"/>
        <v>30</v>
      </c>
      <c r="R395" s="1">
        <f t="shared" si="109"/>
        <v>15133366.693507565</v>
      </c>
      <c r="S395" s="4">
        <f>IF($G$4="mensual",S394,0)</f>
        <v>10000</v>
      </c>
      <c r="U395" s="1">
        <f t="shared" si="118"/>
        <v>120755.33258041339</v>
      </c>
      <c r="V395" s="35">
        <f t="shared" si="120"/>
        <v>-247.14689026409872</v>
      </c>
      <c r="X395" s="35">
        <f t="shared" si="119"/>
        <v>-15264.12202608798</v>
      </c>
      <c r="Y395" s="1">
        <f t="shared" si="104"/>
        <v>15248610.757171627</v>
      </c>
      <c r="AA395" s="2">
        <f>+Bono!J395</f>
        <v>381565.6997864822</v>
      </c>
      <c r="AC395" s="10">
        <f t="shared" si="110"/>
        <v>31</v>
      </c>
      <c r="AD395" s="1">
        <f t="shared" si="111"/>
        <v>16376594.532776529</v>
      </c>
    </row>
    <row r="396" spans="2:30">
      <c r="B396" s="1">
        <f t="shared" si="105"/>
        <v>373</v>
      </c>
      <c r="C396" s="2">
        <f t="shared" si="112"/>
        <v>31</v>
      </c>
      <c r="D396" s="2">
        <f t="shared" si="113"/>
        <v>1</v>
      </c>
      <c r="E396" s="2">
        <f t="shared" si="114"/>
        <v>60</v>
      </c>
      <c r="F396" s="1">
        <f t="shared" si="106"/>
        <v>746418.07581842004</v>
      </c>
      <c r="H396" s="1">
        <f t="shared" si="102"/>
        <v>5952.0425552482184</v>
      </c>
      <c r="I396" s="1">
        <v>0</v>
      </c>
      <c r="J396" s="1">
        <v>0</v>
      </c>
      <c r="K396" s="1">
        <f t="shared" si="107"/>
        <v>-752.37011837366833</v>
      </c>
      <c r="L396" s="1">
        <f t="shared" si="103"/>
        <v>751617.74825529463</v>
      </c>
      <c r="N396" s="1">
        <f t="shared" si="108"/>
        <v>373</v>
      </c>
      <c r="O396" s="2">
        <f t="shared" si="115"/>
        <v>31</v>
      </c>
      <c r="P396" s="2">
        <f t="shared" si="116"/>
        <v>1</v>
      </c>
      <c r="Q396" s="2">
        <f t="shared" si="117"/>
        <v>31</v>
      </c>
      <c r="R396" s="1">
        <f t="shared" si="109"/>
        <v>15248610.757171627</v>
      </c>
      <c r="S396" s="1">
        <f>IF($G$17="si",S384*(1+$G$20),S384)</f>
        <v>10000</v>
      </c>
      <c r="U396" s="1">
        <f t="shared" si="118"/>
        <v>121674.30492766816</v>
      </c>
      <c r="V396" s="35">
        <f>(V395*(1+$G$18))</f>
        <v>-257.03276587466269</v>
      </c>
      <c r="X396" s="35">
        <f t="shared" si="119"/>
        <v>-15380.285062099296</v>
      </c>
      <c r="Y396" s="1">
        <f t="shared" si="104"/>
        <v>15364647.744271321</v>
      </c>
      <c r="AA396" s="2">
        <f>+Bono!J396</f>
        <v>383931.45138404018</v>
      </c>
      <c r="AC396" s="10">
        <f t="shared" si="110"/>
        <v>31.083333333333332</v>
      </c>
      <c r="AD396" s="1">
        <f t="shared" si="111"/>
        <v>16500196.943910655</v>
      </c>
    </row>
    <row r="397" spans="2:30">
      <c r="B397" s="1">
        <f t="shared" si="105"/>
        <v>374</v>
      </c>
      <c r="C397" s="2">
        <f t="shared" si="112"/>
        <v>31</v>
      </c>
      <c r="D397" s="2">
        <f t="shared" si="113"/>
        <v>2</v>
      </c>
      <c r="E397" s="2">
        <f t="shared" si="114"/>
        <v>60</v>
      </c>
      <c r="F397" s="1">
        <f t="shared" si="106"/>
        <v>751617.74825529463</v>
      </c>
      <c r="H397" s="1">
        <f t="shared" si="102"/>
        <v>5993.5054734441565</v>
      </c>
      <c r="I397" s="1">
        <v>0</v>
      </c>
      <c r="J397" s="1">
        <v>0</v>
      </c>
      <c r="K397" s="1">
        <f t="shared" si="107"/>
        <v>-757.6112537287388</v>
      </c>
      <c r="L397" s="1">
        <f t="shared" si="103"/>
        <v>756853.64247501001</v>
      </c>
      <c r="N397" s="1">
        <f t="shared" si="108"/>
        <v>374</v>
      </c>
      <c r="O397" s="2">
        <f t="shared" si="115"/>
        <v>31</v>
      </c>
      <c r="P397" s="2">
        <f t="shared" si="116"/>
        <v>2</v>
      </c>
      <c r="Q397" s="2">
        <f t="shared" si="117"/>
        <v>31</v>
      </c>
      <c r="R397" s="1">
        <f t="shared" si="109"/>
        <v>15364647.744271321</v>
      </c>
      <c r="S397" s="4">
        <f>IF($G$4="mensual",S396,0)</f>
        <v>10000</v>
      </c>
      <c r="U397" s="1">
        <f t="shared" si="118"/>
        <v>122599.60015774801</v>
      </c>
      <c r="V397" s="35">
        <f t="shared" si="120"/>
        <v>-257.03276587466269</v>
      </c>
      <c r="X397" s="35">
        <f t="shared" si="119"/>
        <v>-15497.24734442907</v>
      </c>
      <c r="Y397" s="1">
        <f t="shared" si="104"/>
        <v>15481493.064318767</v>
      </c>
      <c r="AA397" s="2">
        <f>+Bono!J397</f>
        <v>386311.8709159132</v>
      </c>
      <c r="AC397" s="10">
        <f t="shared" si="110"/>
        <v>31.166666666666668</v>
      </c>
      <c r="AD397" s="1">
        <f t="shared" si="111"/>
        <v>16624658.577709692</v>
      </c>
    </row>
    <row r="398" spans="2:30">
      <c r="B398" s="1">
        <f t="shared" si="105"/>
        <v>375</v>
      </c>
      <c r="C398" s="2">
        <f t="shared" si="112"/>
        <v>31</v>
      </c>
      <c r="D398" s="2">
        <f t="shared" si="113"/>
        <v>3</v>
      </c>
      <c r="E398" s="2">
        <f t="shared" si="114"/>
        <v>60</v>
      </c>
      <c r="F398" s="1">
        <f t="shared" si="106"/>
        <v>756853.64247501001</v>
      </c>
      <c r="H398" s="1">
        <f t="shared" si="102"/>
        <v>6035.2572292230525</v>
      </c>
      <c r="I398" s="1">
        <v>0</v>
      </c>
      <c r="J398" s="69">
        <f>-SUM(F398:H398)*$J$21</f>
        <v>-6866.0000973380984</v>
      </c>
      <c r="K398" s="1">
        <f t="shared" si="107"/>
        <v>-756.02289960689495</v>
      </c>
      <c r="L398" s="1">
        <f t="shared" si="103"/>
        <v>755266.87670728809</v>
      </c>
      <c r="N398" s="1">
        <f t="shared" si="108"/>
        <v>375</v>
      </c>
      <c r="O398" s="2">
        <f t="shared" si="115"/>
        <v>31</v>
      </c>
      <c r="P398" s="2">
        <f t="shared" si="116"/>
        <v>3</v>
      </c>
      <c r="Q398" s="2">
        <f t="shared" si="117"/>
        <v>31</v>
      </c>
      <c r="R398" s="1">
        <f t="shared" si="109"/>
        <v>15481493.064318767</v>
      </c>
      <c r="S398" s="4">
        <f>IF($G$4="mensual",S397,0)</f>
        <v>10000</v>
      </c>
      <c r="U398" s="1">
        <f t="shared" si="118"/>
        <v>123531.34114826654</v>
      </c>
      <c r="V398" s="35">
        <f t="shared" si="120"/>
        <v>-257.03276587466269</v>
      </c>
      <c r="X398" s="35">
        <f t="shared" si="119"/>
        <v>-15615.024405467033</v>
      </c>
      <c r="Y398" s="1">
        <f t="shared" si="104"/>
        <v>15599152.348295692</v>
      </c>
      <c r="AA398" s="2">
        <f>+Bono!J398</f>
        <v>385205.18401576125</v>
      </c>
      <c r="AC398" s="10">
        <f t="shared" si="110"/>
        <v>31.25</v>
      </c>
      <c r="AD398" s="1">
        <f t="shared" si="111"/>
        <v>16739624.409018742</v>
      </c>
    </row>
    <row r="399" spans="2:30">
      <c r="B399" s="1">
        <f t="shared" si="105"/>
        <v>376</v>
      </c>
      <c r="C399" s="2">
        <f t="shared" si="112"/>
        <v>31</v>
      </c>
      <c r="D399" s="2">
        <f t="shared" si="113"/>
        <v>4</v>
      </c>
      <c r="E399" s="2">
        <f t="shared" si="114"/>
        <v>60</v>
      </c>
      <c r="F399" s="1">
        <f t="shared" si="106"/>
        <v>755266.87670728809</v>
      </c>
      <c r="H399" s="1">
        <f t="shared" si="102"/>
        <v>6022.6041361634607</v>
      </c>
      <c r="I399" s="1">
        <v>0</v>
      </c>
      <c r="J399" s="1">
        <v>0</v>
      </c>
      <c r="K399" s="1">
        <f t="shared" si="107"/>
        <v>-761.28948084345154</v>
      </c>
      <c r="L399" s="1">
        <f t="shared" si="103"/>
        <v>760528.19136260811</v>
      </c>
      <c r="N399" s="1">
        <f t="shared" si="108"/>
        <v>376</v>
      </c>
      <c r="O399" s="2">
        <f t="shared" si="115"/>
        <v>31</v>
      </c>
      <c r="P399" s="2">
        <f t="shared" si="116"/>
        <v>4</v>
      </c>
      <c r="Q399" s="2">
        <f t="shared" si="117"/>
        <v>31</v>
      </c>
      <c r="R399" s="1">
        <f t="shared" si="109"/>
        <v>15599152.348295692</v>
      </c>
      <c r="S399" s="4">
        <f>IF($G$4="mensual",S396,IF($G$4="trimestral",S396,0))</f>
        <v>10000</v>
      </c>
      <c r="U399" s="1">
        <f t="shared" si="118"/>
        <v>124469.57280146281</v>
      </c>
      <c r="V399" s="35">
        <f t="shared" si="120"/>
        <v>-257.03276587466269</v>
      </c>
      <c r="X399" s="35">
        <f t="shared" si="119"/>
        <v>-15733.621921097156</v>
      </c>
      <c r="Y399" s="1">
        <f t="shared" si="104"/>
        <v>15717631.266410183</v>
      </c>
      <c r="AA399" s="2">
        <f>+Bono!J399</f>
        <v>387593.5008376948</v>
      </c>
      <c r="AC399" s="10">
        <f t="shared" si="110"/>
        <v>31.333333333333332</v>
      </c>
      <c r="AD399" s="1">
        <f t="shared" si="111"/>
        <v>16865752.958610486</v>
      </c>
    </row>
    <row r="400" spans="2:30">
      <c r="B400" s="1">
        <f t="shared" si="105"/>
        <v>377</v>
      </c>
      <c r="C400" s="2">
        <f t="shared" si="112"/>
        <v>31</v>
      </c>
      <c r="D400" s="2">
        <f t="shared" si="113"/>
        <v>5</v>
      </c>
      <c r="E400" s="2">
        <f t="shared" si="114"/>
        <v>60</v>
      </c>
      <c r="F400" s="1">
        <f t="shared" si="106"/>
        <v>760528.19136260811</v>
      </c>
      <c r="H400" s="1">
        <f t="shared" si="102"/>
        <v>6064.5585980656315</v>
      </c>
      <c r="I400" s="1">
        <v>0</v>
      </c>
      <c r="J400" s="1">
        <v>0</v>
      </c>
      <c r="K400" s="1">
        <f t="shared" si="107"/>
        <v>-766.5927499606737</v>
      </c>
      <c r="L400" s="1">
        <f t="shared" si="103"/>
        <v>765826.15721071302</v>
      </c>
      <c r="N400" s="1">
        <f t="shared" si="108"/>
        <v>377</v>
      </c>
      <c r="O400" s="2">
        <f t="shared" si="115"/>
        <v>31</v>
      </c>
      <c r="P400" s="2">
        <f t="shared" si="116"/>
        <v>5</v>
      </c>
      <c r="Q400" s="2">
        <f t="shared" si="117"/>
        <v>31</v>
      </c>
      <c r="R400" s="1">
        <f t="shared" si="109"/>
        <v>15717631.266410183</v>
      </c>
      <c r="S400" s="4">
        <f>IF($G$4="mensual",S399,0)</f>
        <v>10000</v>
      </c>
      <c r="U400" s="1">
        <f t="shared" si="118"/>
        <v>125414.34033237235</v>
      </c>
      <c r="V400" s="35">
        <f t="shared" si="120"/>
        <v>-257.03276587466269</v>
      </c>
      <c r="X400" s="35">
        <f t="shared" si="119"/>
        <v>-15853.045606742555</v>
      </c>
      <c r="Y400" s="1">
        <f t="shared" si="104"/>
        <v>15836935.528369939</v>
      </c>
      <c r="AA400" s="2">
        <f>+Bono!J400</f>
        <v>389996.62550095189</v>
      </c>
      <c r="AC400" s="10">
        <f t="shared" si="110"/>
        <v>31.416666666666668</v>
      </c>
      <c r="AD400" s="1">
        <f t="shared" si="111"/>
        <v>16992758.311081603</v>
      </c>
    </row>
    <row r="401" spans="2:30">
      <c r="B401" s="1">
        <f t="shared" si="105"/>
        <v>378</v>
      </c>
      <c r="C401" s="2">
        <f t="shared" si="112"/>
        <v>31</v>
      </c>
      <c r="D401" s="2">
        <f t="shared" si="113"/>
        <v>6</v>
      </c>
      <c r="E401" s="2">
        <f t="shared" si="114"/>
        <v>60</v>
      </c>
      <c r="F401" s="1">
        <f t="shared" si="106"/>
        <v>765826.15721071302</v>
      </c>
      <c r="H401" s="1">
        <f t="shared" si="102"/>
        <v>6106.8053217259567</v>
      </c>
      <c r="I401" s="1">
        <v>0</v>
      </c>
      <c r="J401" s="69">
        <f>-SUM(F401:H401)*$J$21</f>
        <v>-6947.3966627919508</v>
      </c>
      <c r="K401" s="1">
        <f t="shared" si="107"/>
        <v>-764.98556586964696</v>
      </c>
      <c r="L401" s="1">
        <f t="shared" si="103"/>
        <v>764220.58030377736</v>
      </c>
      <c r="N401" s="1">
        <f t="shared" si="108"/>
        <v>378</v>
      </c>
      <c r="O401" s="2">
        <f t="shared" si="115"/>
        <v>31</v>
      </c>
      <c r="P401" s="2">
        <f t="shared" si="116"/>
        <v>6</v>
      </c>
      <c r="Q401" s="2">
        <f t="shared" si="117"/>
        <v>31</v>
      </c>
      <c r="R401" s="1">
        <f t="shared" si="109"/>
        <v>15836935.528369939</v>
      </c>
      <c r="S401" s="4">
        <f>IF($G$4="mensual",S400,0)</f>
        <v>10000</v>
      </c>
      <c r="U401" s="1">
        <f t="shared" si="118"/>
        <v>126365.68927100617</v>
      </c>
      <c r="V401" s="35">
        <f t="shared" si="120"/>
        <v>-257.03276587466269</v>
      </c>
      <c r="X401" s="35">
        <f t="shared" si="119"/>
        <v>-15973.301217640947</v>
      </c>
      <c r="Y401" s="1">
        <f t="shared" si="104"/>
        <v>15957070.883657429</v>
      </c>
      <c r="AA401" s="2">
        <f>+Bono!J401</f>
        <v>388879.38270040817</v>
      </c>
      <c r="AC401" s="10">
        <f t="shared" si="110"/>
        <v>31.5</v>
      </c>
      <c r="AD401" s="1">
        <f t="shared" si="111"/>
        <v>17110170.846661616</v>
      </c>
    </row>
    <row r="402" spans="2:30">
      <c r="B402" s="1">
        <f t="shared" si="105"/>
        <v>379</v>
      </c>
      <c r="C402" s="2">
        <f t="shared" si="112"/>
        <v>31</v>
      </c>
      <c r="D402" s="2">
        <f t="shared" si="113"/>
        <v>7</v>
      </c>
      <c r="E402" s="2">
        <f t="shared" si="114"/>
        <v>60</v>
      </c>
      <c r="F402" s="1">
        <f t="shared" si="106"/>
        <v>764220.58030377736</v>
      </c>
      <c r="H402" s="1">
        <f t="shared" si="102"/>
        <v>6094.0022260006472</v>
      </c>
      <c r="I402" s="1">
        <v>0</v>
      </c>
      <c r="J402" s="1">
        <v>0</v>
      </c>
      <c r="K402" s="1">
        <f t="shared" si="107"/>
        <v>-770.31458252977802</v>
      </c>
      <c r="L402" s="1">
        <f t="shared" si="103"/>
        <v>769544.26794724818</v>
      </c>
      <c r="N402" s="1">
        <f t="shared" si="108"/>
        <v>379</v>
      </c>
      <c r="O402" s="2">
        <f t="shared" si="115"/>
        <v>31</v>
      </c>
      <c r="P402" s="2">
        <f t="shared" si="116"/>
        <v>7</v>
      </c>
      <c r="Q402" s="2">
        <f t="shared" si="117"/>
        <v>31</v>
      </c>
      <c r="R402" s="1">
        <f t="shared" si="109"/>
        <v>15957070.883657429</v>
      </c>
      <c r="S402" s="1">
        <f>+IF($G$4="mensual",S396,IF($G$4="trimestral",S396,IF($G$4="semestral",S396,0)))</f>
        <v>10000</v>
      </c>
      <c r="U402" s="1">
        <f t="shared" si="118"/>
        <v>127323.66546454486</v>
      </c>
      <c r="V402" s="35">
        <f t="shared" si="120"/>
        <v>-257.03276587466269</v>
      </c>
      <c r="X402" s="35">
        <f t="shared" si="119"/>
        <v>-16094.394549121975</v>
      </c>
      <c r="Y402" s="1">
        <f t="shared" si="104"/>
        <v>16078043.121806977</v>
      </c>
      <c r="AA402" s="2">
        <f>+Bono!J402</f>
        <v>391290.47998036712</v>
      </c>
      <c r="AC402" s="10">
        <f t="shared" si="110"/>
        <v>31.583333333333332</v>
      </c>
      <c r="AD402" s="1">
        <f t="shared" si="111"/>
        <v>17238877.869734593</v>
      </c>
    </row>
    <row r="403" spans="2:30">
      <c r="B403" s="1">
        <f t="shared" si="105"/>
        <v>380</v>
      </c>
      <c r="C403" s="2">
        <f t="shared" si="112"/>
        <v>31</v>
      </c>
      <c r="D403" s="2">
        <f t="shared" si="113"/>
        <v>8</v>
      </c>
      <c r="E403" s="2">
        <f t="shared" si="114"/>
        <v>60</v>
      </c>
      <c r="F403" s="1">
        <f t="shared" si="106"/>
        <v>769544.26794724818</v>
      </c>
      <c r="H403" s="1">
        <f t="shared" si="102"/>
        <v>6136.4540588693026</v>
      </c>
      <c r="I403" s="1">
        <v>0</v>
      </c>
      <c r="J403" s="1">
        <v>0</v>
      </c>
      <c r="K403" s="1">
        <f t="shared" si="107"/>
        <v>-775.68072200611743</v>
      </c>
      <c r="L403" s="1">
        <f t="shared" si="103"/>
        <v>774905.04128411133</v>
      </c>
      <c r="N403" s="1">
        <f t="shared" si="108"/>
        <v>380</v>
      </c>
      <c r="O403" s="2">
        <f t="shared" si="115"/>
        <v>31</v>
      </c>
      <c r="P403" s="2">
        <f t="shared" si="116"/>
        <v>8</v>
      </c>
      <c r="Q403" s="2">
        <f t="shared" si="117"/>
        <v>31</v>
      </c>
      <c r="R403" s="1">
        <f t="shared" si="109"/>
        <v>16078043.121806977</v>
      </c>
      <c r="S403" s="4">
        <f>IF($G$4="mensual",S402,0)</f>
        <v>10000</v>
      </c>
      <c r="U403" s="1">
        <f t="shared" si="118"/>
        <v>128288.31507954815</v>
      </c>
      <c r="V403" s="35">
        <f t="shared" si="120"/>
        <v>-257.03276587466269</v>
      </c>
      <c r="X403" s="35">
        <f t="shared" si="119"/>
        <v>-16216.331436886525</v>
      </c>
      <c r="Y403" s="1">
        <f t="shared" si="104"/>
        <v>16199858.072683763</v>
      </c>
      <c r="AA403" s="2">
        <f>+Bono!J403</f>
        <v>393716.52634313185</v>
      </c>
      <c r="AC403" s="10">
        <f t="shared" si="110"/>
        <v>31.666666666666668</v>
      </c>
      <c r="AD403" s="1">
        <f t="shared" si="111"/>
        <v>17368479.640311006</v>
      </c>
    </row>
    <row r="404" spans="2:30">
      <c r="B404" s="1">
        <f t="shared" si="105"/>
        <v>381</v>
      </c>
      <c r="C404" s="2">
        <f t="shared" si="112"/>
        <v>31</v>
      </c>
      <c r="D404" s="2">
        <f t="shared" si="113"/>
        <v>9</v>
      </c>
      <c r="E404" s="2">
        <f t="shared" si="114"/>
        <v>60</v>
      </c>
      <c r="F404" s="1">
        <f t="shared" si="106"/>
        <v>774905.04128411133</v>
      </c>
      <c r="H404" s="1">
        <f t="shared" si="102"/>
        <v>6179.2016182649722</v>
      </c>
      <c r="I404" s="1">
        <v>0</v>
      </c>
      <c r="J404" s="69">
        <f>-SUM(F404:H404)*$J$21</f>
        <v>-7029.7581861213876</v>
      </c>
      <c r="K404" s="1">
        <f t="shared" si="107"/>
        <v>-774.05448471625505</v>
      </c>
      <c r="L404" s="1">
        <f t="shared" si="103"/>
        <v>773280.43023153872</v>
      </c>
      <c r="N404" s="1">
        <f t="shared" si="108"/>
        <v>381</v>
      </c>
      <c r="O404" s="2">
        <f t="shared" si="115"/>
        <v>31</v>
      </c>
      <c r="P404" s="2">
        <f t="shared" si="116"/>
        <v>9</v>
      </c>
      <c r="Q404" s="2">
        <f t="shared" si="117"/>
        <v>31</v>
      </c>
      <c r="R404" s="1">
        <f t="shared" si="109"/>
        <v>16199858.072683763</v>
      </c>
      <c r="S404" s="4">
        <f>IF($G$4="mensual",S403,0)</f>
        <v>10000</v>
      </c>
      <c r="U404" s="1">
        <f t="shared" si="118"/>
        <v>129259.68460417965</v>
      </c>
      <c r="V404" s="35">
        <f t="shared" si="120"/>
        <v>-257.03276587466269</v>
      </c>
      <c r="X404" s="35">
        <f t="shared" si="119"/>
        <v>-16339.117757287942</v>
      </c>
      <c r="Y404" s="1">
        <f t="shared" si="104"/>
        <v>16322521.606764778</v>
      </c>
      <c r="AA404" s="2">
        <f>+Bono!J404</f>
        <v>392588.62695695914</v>
      </c>
      <c r="AC404" s="10">
        <f t="shared" si="110"/>
        <v>31.75</v>
      </c>
      <c r="AD404" s="1">
        <f t="shared" si="111"/>
        <v>17488390.663953274</v>
      </c>
    </row>
    <row r="405" spans="2:30">
      <c r="B405" s="1">
        <f t="shared" si="105"/>
        <v>382</v>
      </c>
      <c r="C405" s="2">
        <f t="shared" si="112"/>
        <v>31</v>
      </c>
      <c r="D405" s="2">
        <f t="shared" si="113"/>
        <v>10</v>
      </c>
      <c r="E405" s="2">
        <f t="shared" si="114"/>
        <v>60</v>
      </c>
      <c r="F405" s="1">
        <f t="shared" si="106"/>
        <v>773280.43023153872</v>
      </c>
      <c r="H405" s="1">
        <f t="shared" si="102"/>
        <v>6166.2467415894098</v>
      </c>
      <c r="I405" s="1">
        <v>0</v>
      </c>
      <c r="J405" s="1">
        <v>0</v>
      </c>
      <c r="K405" s="1">
        <f t="shared" si="107"/>
        <v>-779.44667697312809</v>
      </c>
      <c r="L405" s="1">
        <f t="shared" si="103"/>
        <v>778667.23029615497</v>
      </c>
      <c r="N405" s="1">
        <f t="shared" si="108"/>
        <v>382</v>
      </c>
      <c r="O405" s="2">
        <f t="shared" si="115"/>
        <v>31</v>
      </c>
      <c r="P405" s="2">
        <f t="shared" si="116"/>
        <v>10</v>
      </c>
      <c r="Q405" s="2">
        <f t="shared" si="117"/>
        <v>31</v>
      </c>
      <c r="R405" s="1">
        <f t="shared" si="109"/>
        <v>16322521.606764778</v>
      </c>
      <c r="S405" s="4">
        <f>IF($G$4="mensual",S396,IF($G$4="trimestral",S396,0))</f>
        <v>10000</v>
      </c>
      <c r="U405" s="1">
        <f t="shared" si="118"/>
        <v>130237.82085044729</v>
      </c>
      <c r="V405" s="35">
        <f t="shared" si="120"/>
        <v>-257.03276587466269</v>
      </c>
      <c r="X405" s="35">
        <f t="shared" si="119"/>
        <v>-16462.759427615227</v>
      </c>
      <c r="Y405" s="1">
        <f t="shared" si="104"/>
        <v>16446039.635421736</v>
      </c>
      <c r="AA405" s="2">
        <f>+Bono!J405</f>
        <v>395022.72198155447</v>
      </c>
      <c r="AC405" s="10">
        <f t="shared" si="110"/>
        <v>31.833333333333332</v>
      </c>
      <c r="AD405" s="1">
        <f t="shared" si="111"/>
        <v>17619729.587699443</v>
      </c>
    </row>
    <row r="406" spans="2:30">
      <c r="B406" s="1">
        <f t="shared" si="105"/>
        <v>383</v>
      </c>
      <c r="C406" s="2">
        <f t="shared" si="112"/>
        <v>31</v>
      </c>
      <c r="D406" s="2">
        <f t="shared" si="113"/>
        <v>11</v>
      </c>
      <c r="E406" s="2">
        <f t="shared" si="114"/>
        <v>60</v>
      </c>
      <c r="F406" s="1">
        <f t="shared" si="106"/>
        <v>778667.23029615497</v>
      </c>
      <c r="H406" s="1">
        <f t="shared" si="102"/>
        <v>6209.201841767087</v>
      </c>
      <c r="I406" s="1">
        <v>0</v>
      </c>
      <c r="J406" s="1">
        <v>0</v>
      </c>
      <c r="K406" s="1">
        <f t="shared" si="107"/>
        <v>-784.87643213792205</v>
      </c>
      <c r="L406" s="1">
        <f t="shared" si="103"/>
        <v>784091.55570578412</v>
      </c>
      <c r="N406" s="1">
        <f t="shared" si="108"/>
        <v>383</v>
      </c>
      <c r="O406" s="2">
        <f t="shared" si="115"/>
        <v>31</v>
      </c>
      <c r="P406" s="2">
        <f t="shared" si="116"/>
        <v>11</v>
      </c>
      <c r="Q406" s="2">
        <f t="shared" si="117"/>
        <v>31</v>
      </c>
      <c r="R406" s="1">
        <f t="shared" si="109"/>
        <v>16446039.635421736</v>
      </c>
      <c r="S406" s="1">
        <f>IF($G$17="si",S394*(1+$G$20),S394)</f>
        <v>10000</v>
      </c>
      <c r="U406" s="1">
        <f t="shared" si="118"/>
        <v>131222.77095645922</v>
      </c>
      <c r="V406" s="35">
        <f t="shared" si="120"/>
        <v>-257.03276587466269</v>
      </c>
      <c r="X406" s="35">
        <f t="shared" si="119"/>
        <v>-16587.262406378195</v>
      </c>
      <c r="Y406" s="1">
        <f t="shared" si="104"/>
        <v>16570418.111205941</v>
      </c>
      <c r="AA406" s="2">
        <f>+Bono!J406</f>
        <v>397471.90867763979</v>
      </c>
      <c r="AC406" s="10">
        <f t="shared" si="110"/>
        <v>31.916666666666668</v>
      </c>
      <c r="AD406" s="1">
        <f t="shared" si="111"/>
        <v>17751981.575589366</v>
      </c>
    </row>
    <row r="407" spans="2:30">
      <c r="B407" s="1">
        <f t="shared" si="105"/>
        <v>384</v>
      </c>
      <c r="C407" s="2">
        <f t="shared" si="112"/>
        <v>31</v>
      </c>
      <c r="D407" s="2">
        <f t="shared" si="113"/>
        <v>12</v>
      </c>
      <c r="E407" s="2">
        <f t="shared" si="114"/>
        <v>60</v>
      </c>
      <c r="F407" s="1">
        <f t="shared" si="106"/>
        <v>784091.55570578412</v>
      </c>
      <c r="H407" s="1">
        <f t="shared" si="102"/>
        <v>6252.4561743155409</v>
      </c>
      <c r="I407" s="1">
        <v>0</v>
      </c>
      <c r="J407" s="69">
        <f>-SUM(F407:H407)*$J$21</f>
        <v>-7113.0961069208979</v>
      </c>
      <c r="K407" s="1">
        <f t="shared" si="107"/>
        <v>-783.23091577317882</v>
      </c>
      <c r="L407" s="1">
        <f t="shared" si="103"/>
        <v>782447.68485740561</v>
      </c>
      <c r="N407" s="1">
        <f t="shared" si="108"/>
        <v>384</v>
      </c>
      <c r="O407" s="2">
        <f t="shared" si="115"/>
        <v>31</v>
      </c>
      <c r="P407" s="2">
        <f t="shared" si="116"/>
        <v>12</v>
      </c>
      <c r="Q407" s="2">
        <f t="shared" si="117"/>
        <v>31</v>
      </c>
      <c r="R407" s="1">
        <f t="shared" si="109"/>
        <v>16570418.111205941</v>
      </c>
      <c r="S407" s="4">
        <f>IF($G$4="mensual",S406,0)</f>
        <v>10000</v>
      </c>
      <c r="U407" s="1">
        <f t="shared" si="118"/>
        <v>132214.58238869547</v>
      </c>
      <c r="V407" s="35">
        <f t="shared" si="120"/>
        <v>-257.03276587466269</v>
      </c>
      <c r="X407" s="35">
        <f t="shared" si="119"/>
        <v>-16712.632693594638</v>
      </c>
      <c r="Y407" s="1">
        <f t="shared" si="104"/>
        <v>16695663.028135167</v>
      </c>
      <c r="AA407" s="2">
        <f>+Bono!J407</f>
        <v>396333.25106023595</v>
      </c>
      <c r="AC407" s="10">
        <f t="shared" si="110"/>
        <v>32</v>
      </c>
      <c r="AD407" s="1">
        <f t="shared" si="111"/>
        <v>17874443.964052808</v>
      </c>
    </row>
    <row r="408" spans="2:30">
      <c r="B408" s="1">
        <f t="shared" si="105"/>
        <v>385</v>
      </c>
      <c r="C408" s="2">
        <f t="shared" si="112"/>
        <v>32</v>
      </c>
      <c r="D408" s="2">
        <f t="shared" si="113"/>
        <v>1</v>
      </c>
      <c r="E408" s="2">
        <f t="shared" si="114"/>
        <v>61</v>
      </c>
      <c r="F408" s="1">
        <f t="shared" si="106"/>
        <v>782447.68485740561</v>
      </c>
      <c r="H408" s="1">
        <f t="shared" ref="H408:H471" si="121">SUM(F408:G408)*$G$8</f>
        <v>6239.3477173235897</v>
      </c>
      <c r="I408" s="1">
        <v>0</v>
      </c>
      <c r="J408" s="1">
        <v>0</v>
      </c>
      <c r="K408" s="1">
        <f t="shared" si="107"/>
        <v>-788.68703257472919</v>
      </c>
      <c r="L408" s="1">
        <f t="shared" ref="L408:L471" si="122">SUM(F408:K408)</f>
        <v>787898.34554215451</v>
      </c>
      <c r="N408" s="1">
        <f t="shared" si="108"/>
        <v>385</v>
      </c>
      <c r="O408" s="2">
        <f t="shared" si="115"/>
        <v>32</v>
      </c>
      <c r="P408" s="2">
        <f t="shared" si="116"/>
        <v>1</v>
      </c>
      <c r="Q408" s="2">
        <f t="shared" si="117"/>
        <v>32</v>
      </c>
      <c r="R408" s="1">
        <f t="shared" si="109"/>
        <v>16695663.028135167</v>
      </c>
      <c r="S408" s="1">
        <f>IF($G$17="si",S396*(1+$G$20),S396)</f>
        <v>10000</v>
      </c>
      <c r="U408" s="1">
        <f t="shared" si="118"/>
        <v>133213.30294429552</v>
      </c>
      <c r="V408" s="35">
        <f>(V407*(1+$G$18))</f>
        <v>-267.31407650964923</v>
      </c>
      <c r="X408" s="35">
        <f t="shared" si="119"/>
        <v>-16838.876331079464</v>
      </c>
      <c r="Y408" s="1">
        <f t="shared" ref="Y408:Y471" si="123">SUM(R408:X408)</f>
        <v>16821770.140671875</v>
      </c>
      <c r="AA408" s="2">
        <f>+Bono!J408</f>
        <v>398790.56318862113</v>
      </c>
      <c r="AC408" s="10">
        <f t="shared" si="110"/>
        <v>32.083333333333336</v>
      </c>
      <c r="AD408" s="1">
        <f t="shared" si="111"/>
        <v>18008459.04940265</v>
      </c>
    </row>
    <row r="409" spans="2:30">
      <c r="B409" s="1">
        <f t="shared" ref="B409:B472" si="124">+B408+1</f>
        <v>386</v>
      </c>
      <c r="C409" s="2">
        <f t="shared" si="112"/>
        <v>32</v>
      </c>
      <c r="D409" s="2">
        <f t="shared" si="113"/>
        <v>2</v>
      </c>
      <c r="E409" s="2">
        <f t="shared" si="114"/>
        <v>61</v>
      </c>
      <c r="F409" s="1">
        <f t="shared" ref="F409:F472" si="125">L408</f>
        <v>787898.34554215451</v>
      </c>
      <c r="H409" s="1">
        <f t="shared" si="121"/>
        <v>6282.8120510540821</v>
      </c>
      <c r="I409" s="1">
        <v>0</v>
      </c>
      <c r="J409" s="1">
        <v>0</v>
      </c>
      <c r="K409" s="1">
        <f t="shared" ref="K409:K472" si="126">-SUM(F409:J409)*0.1%</f>
        <v>-794.18115759320858</v>
      </c>
      <c r="L409" s="1">
        <f t="shared" si="122"/>
        <v>793386.97643561533</v>
      </c>
      <c r="N409" s="1">
        <f t="shared" ref="N409:N472" si="127">+N408+1</f>
        <v>386</v>
      </c>
      <c r="O409" s="2">
        <f t="shared" si="115"/>
        <v>32</v>
      </c>
      <c r="P409" s="2">
        <f t="shared" si="116"/>
        <v>2</v>
      </c>
      <c r="Q409" s="2">
        <f t="shared" si="117"/>
        <v>32</v>
      </c>
      <c r="R409" s="1">
        <f t="shared" ref="R409:R472" si="128">Y408</f>
        <v>16821770.140671875</v>
      </c>
      <c r="S409" s="4">
        <f>IF($G$4="mensual",S408,0)</f>
        <v>10000</v>
      </c>
      <c r="U409" s="1">
        <f t="shared" si="118"/>
        <v>134218.89876874679</v>
      </c>
      <c r="V409" s="35">
        <f t="shared" si="120"/>
        <v>-267.31407650964923</v>
      </c>
      <c r="X409" s="35">
        <f t="shared" si="119"/>
        <v>-16965.989039440621</v>
      </c>
      <c r="Y409" s="1">
        <f t="shared" si="123"/>
        <v>16948755.736324672</v>
      </c>
      <c r="AA409" s="2">
        <f>+Bono!J409</f>
        <v>401263.11093723285</v>
      </c>
      <c r="AC409" s="10">
        <f t="shared" ref="AC409:AC472" si="129">+B409/12</f>
        <v>32.166666666666664</v>
      </c>
      <c r="AD409" s="1">
        <f t="shared" ref="AD409:AD472" si="130">+AA409+Y409+L409</f>
        <v>18143405.823697522</v>
      </c>
    </row>
    <row r="410" spans="2:30">
      <c r="B410" s="1">
        <f t="shared" si="124"/>
        <v>387</v>
      </c>
      <c r="C410" s="2">
        <f t="shared" si="112"/>
        <v>32</v>
      </c>
      <c r="D410" s="2">
        <f t="shared" si="113"/>
        <v>3</v>
      </c>
      <c r="E410" s="2">
        <f t="shared" si="114"/>
        <v>61</v>
      </c>
      <c r="F410" s="1">
        <f t="shared" si="125"/>
        <v>793386.97643561533</v>
      </c>
      <c r="H410" s="1">
        <f t="shared" si="121"/>
        <v>6326.5791645609588</v>
      </c>
      <c r="I410" s="1">
        <v>0</v>
      </c>
      <c r="J410" s="69">
        <f>-SUM(F410:H410)*$J$21</f>
        <v>-7197.4220004015879</v>
      </c>
      <c r="K410" s="1">
        <f t="shared" si="126"/>
        <v>-792.51613359977478</v>
      </c>
      <c r="L410" s="1">
        <f t="shared" si="122"/>
        <v>791723.617466175</v>
      </c>
      <c r="N410" s="1">
        <f t="shared" si="127"/>
        <v>387</v>
      </c>
      <c r="O410" s="2">
        <f t="shared" si="115"/>
        <v>32</v>
      </c>
      <c r="P410" s="2">
        <f t="shared" si="116"/>
        <v>3</v>
      </c>
      <c r="Q410" s="2">
        <f t="shared" si="117"/>
        <v>32</v>
      </c>
      <c r="R410" s="1">
        <f t="shared" si="128"/>
        <v>16948755.736324672</v>
      </c>
      <c r="S410" s="4">
        <f>IF($G$4="mensual",S409,0)</f>
        <v>10000</v>
      </c>
      <c r="U410" s="1">
        <f t="shared" si="118"/>
        <v>135231.49974093019</v>
      </c>
      <c r="V410" s="35">
        <f t="shared" si="120"/>
        <v>-267.31407650964923</v>
      </c>
      <c r="X410" s="35">
        <f t="shared" si="119"/>
        <v>-17093.987236065601</v>
      </c>
      <c r="Y410" s="1">
        <f t="shared" si="123"/>
        <v>17076625.934753027</v>
      </c>
      <c r="AA410" s="2">
        <f>+Bono!J410</f>
        <v>400113.59247347037</v>
      </c>
      <c r="AC410" s="10">
        <f t="shared" si="129"/>
        <v>32.25</v>
      </c>
      <c r="AD410" s="1">
        <f t="shared" si="130"/>
        <v>18268463.144692671</v>
      </c>
    </row>
    <row r="411" spans="2:30">
      <c r="B411" s="1">
        <f t="shared" si="124"/>
        <v>388</v>
      </c>
      <c r="C411" s="2">
        <f t="shared" si="112"/>
        <v>32</v>
      </c>
      <c r="D411" s="2">
        <f t="shared" si="113"/>
        <v>4</v>
      </c>
      <c r="E411" s="2">
        <f t="shared" si="114"/>
        <v>61</v>
      </c>
      <c r="F411" s="1">
        <f t="shared" si="125"/>
        <v>791723.617466175</v>
      </c>
      <c r="H411" s="1">
        <f t="shared" si="121"/>
        <v>6313.3153065549641</v>
      </c>
      <c r="I411" s="1">
        <v>0</v>
      </c>
      <c r="J411" s="1">
        <v>0</v>
      </c>
      <c r="K411" s="1">
        <f t="shared" si="126"/>
        <v>-798.03693277272998</v>
      </c>
      <c r="L411" s="1">
        <f t="shared" si="122"/>
        <v>797238.89583995729</v>
      </c>
      <c r="N411" s="1">
        <f t="shared" si="127"/>
        <v>388</v>
      </c>
      <c r="O411" s="2">
        <f t="shared" si="115"/>
        <v>32</v>
      </c>
      <c r="P411" s="2">
        <f t="shared" si="116"/>
        <v>4</v>
      </c>
      <c r="Q411" s="2">
        <f t="shared" si="117"/>
        <v>32</v>
      </c>
      <c r="R411" s="1">
        <f t="shared" si="128"/>
        <v>17076625.934753027</v>
      </c>
      <c r="S411" s="4">
        <f>IF($G$4="mensual",S408,IF($G$4="trimestral",S408,0))</f>
        <v>10000</v>
      </c>
      <c r="U411" s="1">
        <f t="shared" si="118"/>
        <v>136251.15465986967</v>
      </c>
      <c r="V411" s="35">
        <f t="shared" si="120"/>
        <v>-267.31407650964923</v>
      </c>
      <c r="X411" s="35">
        <f t="shared" si="119"/>
        <v>-17222.877089412897</v>
      </c>
      <c r="Y411" s="1">
        <f t="shared" si="123"/>
        <v>17205386.898246974</v>
      </c>
      <c r="AA411" s="2">
        <f>+Bono!J411</f>
        <v>402594.34315711004</v>
      </c>
      <c r="AC411" s="10">
        <f t="shared" si="129"/>
        <v>32.333333333333336</v>
      </c>
      <c r="AD411" s="1">
        <f t="shared" si="130"/>
        <v>18405220.137244038</v>
      </c>
    </row>
    <row r="412" spans="2:30">
      <c r="B412" s="1">
        <f t="shared" si="124"/>
        <v>389</v>
      </c>
      <c r="C412" s="2">
        <f t="shared" si="112"/>
        <v>32</v>
      </c>
      <c r="D412" s="2">
        <f t="shared" si="113"/>
        <v>5</v>
      </c>
      <c r="E412" s="2">
        <f t="shared" si="114"/>
        <v>61</v>
      </c>
      <c r="F412" s="1">
        <f t="shared" si="125"/>
        <v>797238.89583995729</v>
      </c>
      <c r="H412" s="1">
        <f t="shared" si="121"/>
        <v>6357.2949108120001</v>
      </c>
      <c r="I412" s="1">
        <v>0</v>
      </c>
      <c r="J412" s="1">
        <v>0</v>
      </c>
      <c r="K412" s="1">
        <f t="shared" si="126"/>
        <v>-803.59619075076932</v>
      </c>
      <c r="L412" s="1">
        <f t="shared" si="122"/>
        <v>802792.59456001862</v>
      </c>
      <c r="N412" s="1">
        <f t="shared" si="127"/>
        <v>389</v>
      </c>
      <c r="O412" s="2">
        <f t="shared" si="115"/>
        <v>32</v>
      </c>
      <c r="P412" s="2">
        <f t="shared" si="116"/>
        <v>5</v>
      </c>
      <c r="Q412" s="2">
        <f t="shared" si="117"/>
        <v>32</v>
      </c>
      <c r="R412" s="1">
        <f t="shared" si="128"/>
        <v>17205386.898246974</v>
      </c>
      <c r="S412" s="4">
        <f>IF($G$4="mensual",S411,0)</f>
        <v>10000</v>
      </c>
      <c r="U412" s="1">
        <f t="shared" si="118"/>
        <v>137277.91266453138</v>
      </c>
      <c r="V412" s="35">
        <f t="shared" si="120"/>
        <v>-267.31407650964923</v>
      </c>
      <c r="X412" s="35">
        <f t="shared" si="119"/>
        <v>-17352.664810911509</v>
      </c>
      <c r="Y412" s="1">
        <f t="shared" si="123"/>
        <v>17335044.832024086</v>
      </c>
      <c r="AA412" s="2">
        <f>+Bono!J412</f>
        <v>405090.47478273755</v>
      </c>
      <c r="AC412" s="10">
        <f t="shared" si="129"/>
        <v>32.416666666666664</v>
      </c>
      <c r="AD412" s="1">
        <f t="shared" si="130"/>
        <v>18542927.901366845</v>
      </c>
    </row>
    <row r="413" spans="2:30">
      <c r="B413" s="1">
        <f t="shared" si="124"/>
        <v>390</v>
      </c>
      <c r="C413" s="2">
        <f t="shared" si="112"/>
        <v>32</v>
      </c>
      <c r="D413" s="2">
        <f t="shared" si="113"/>
        <v>6</v>
      </c>
      <c r="E413" s="2">
        <f t="shared" si="114"/>
        <v>61</v>
      </c>
      <c r="F413" s="1">
        <f t="shared" si="125"/>
        <v>802792.59456001862</v>
      </c>
      <c r="H413" s="1">
        <f t="shared" si="121"/>
        <v>6401.5808843055929</v>
      </c>
      <c r="I413" s="1">
        <v>0</v>
      </c>
      <c r="J413" s="69">
        <f>-SUM(F413:H413)*$J$21</f>
        <v>-7282.7475789989194</v>
      </c>
      <c r="K413" s="1">
        <f t="shared" si="126"/>
        <v>-801.91142786532532</v>
      </c>
      <c r="L413" s="1">
        <f t="shared" si="122"/>
        <v>801109.51643746009</v>
      </c>
      <c r="N413" s="1">
        <f t="shared" si="127"/>
        <v>390</v>
      </c>
      <c r="O413" s="2">
        <f t="shared" si="115"/>
        <v>32</v>
      </c>
      <c r="P413" s="2">
        <f t="shared" si="116"/>
        <v>6</v>
      </c>
      <c r="Q413" s="2">
        <f t="shared" si="117"/>
        <v>32</v>
      </c>
      <c r="R413" s="1">
        <f t="shared" si="128"/>
        <v>17335044.832024086</v>
      </c>
      <c r="S413" s="4">
        <f>IF($G$4="mensual",S412,0)</f>
        <v>10000</v>
      </c>
      <c r="U413" s="1">
        <f t="shared" si="118"/>
        <v>138311.82323619156</v>
      </c>
      <c r="V413" s="35">
        <f t="shared" si="120"/>
        <v>-267.31407650964923</v>
      </c>
      <c r="X413" s="35">
        <f t="shared" si="119"/>
        <v>-17483.356655260275</v>
      </c>
      <c r="Y413" s="1">
        <f t="shared" si="123"/>
        <v>17465605.984528508</v>
      </c>
      <c r="AA413" s="2">
        <f>+Bono!J413</f>
        <v>403929.99187871628</v>
      </c>
      <c r="AC413" s="10">
        <f t="shared" si="129"/>
        <v>32.5</v>
      </c>
      <c r="AD413" s="1">
        <f t="shared" si="130"/>
        <v>18670645.492844682</v>
      </c>
    </row>
    <row r="414" spans="2:30">
      <c r="B414" s="1">
        <f t="shared" si="124"/>
        <v>391</v>
      </c>
      <c r="C414" s="2">
        <f t="shared" si="112"/>
        <v>32</v>
      </c>
      <c r="D414" s="2">
        <f t="shared" si="113"/>
        <v>7</v>
      </c>
      <c r="E414" s="2">
        <f t="shared" si="114"/>
        <v>61</v>
      </c>
      <c r="F414" s="1">
        <f t="shared" si="125"/>
        <v>801109.51643746009</v>
      </c>
      <c r="H414" s="1">
        <f t="shared" si="121"/>
        <v>6388.1597830034952</v>
      </c>
      <c r="I414" s="1">
        <v>0</v>
      </c>
      <c r="J414" s="1">
        <v>0</v>
      </c>
      <c r="K414" s="1">
        <f t="shared" si="126"/>
        <v>-807.49767622046363</v>
      </c>
      <c r="L414" s="1">
        <f t="shared" si="122"/>
        <v>806690.1785442431</v>
      </c>
      <c r="N414" s="1">
        <f t="shared" si="127"/>
        <v>391</v>
      </c>
      <c r="O414" s="2">
        <f t="shared" si="115"/>
        <v>32</v>
      </c>
      <c r="P414" s="2">
        <f t="shared" si="116"/>
        <v>7</v>
      </c>
      <c r="Q414" s="2">
        <f t="shared" si="117"/>
        <v>32</v>
      </c>
      <c r="R414" s="1">
        <f t="shared" si="128"/>
        <v>17465605.984528508</v>
      </c>
      <c r="S414" s="1">
        <f>+IF($G$4="mensual",S408,IF($G$4="trimestral",S408,IF($G$4="semestral",S408,0)))</f>
        <v>10000</v>
      </c>
      <c r="U414" s="1">
        <f t="shared" si="118"/>
        <v>139352.93620082134</v>
      </c>
      <c r="V414" s="35">
        <f t="shared" si="120"/>
        <v>-267.31407650964923</v>
      </c>
      <c r="X414" s="35">
        <f t="shared" si="119"/>
        <v>-17614.958920729328</v>
      </c>
      <c r="Y414" s="1">
        <f t="shared" si="123"/>
        <v>17597076.64773209</v>
      </c>
      <c r="AA414" s="2">
        <f>+Bono!J414</f>
        <v>406434.40468134341</v>
      </c>
      <c r="AC414" s="10">
        <f t="shared" si="129"/>
        <v>32.583333333333336</v>
      </c>
      <c r="AD414" s="1">
        <f t="shared" si="130"/>
        <v>18810201.230957676</v>
      </c>
    </row>
    <row r="415" spans="2:30">
      <c r="B415" s="1">
        <f t="shared" si="124"/>
        <v>392</v>
      </c>
      <c r="C415" s="2">
        <f t="shared" si="112"/>
        <v>32</v>
      </c>
      <c r="D415" s="2">
        <f t="shared" si="113"/>
        <v>8</v>
      </c>
      <c r="E415" s="2">
        <f t="shared" si="114"/>
        <v>61</v>
      </c>
      <c r="F415" s="1">
        <f t="shared" si="125"/>
        <v>806690.1785442431</v>
      </c>
      <c r="H415" s="1">
        <f t="shared" si="121"/>
        <v>6432.6607663292452</v>
      </c>
      <c r="I415" s="1">
        <v>0</v>
      </c>
      <c r="J415" s="1">
        <v>0</v>
      </c>
      <c r="K415" s="1">
        <f t="shared" si="126"/>
        <v>-813.12283931057243</v>
      </c>
      <c r="L415" s="1">
        <f t="shared" si="122"/>
        <v>812309.71647126181</v>
      </c>
      <c r="N415" s="1">
        <f t="shared" si="127"/>
        <v>392</v>
      </c>
      <c r="O415" s="2">
        <f t="shared" si="115"/>
        <v>32</v>
      </c>
      <c r="P415" s="2">
        <f t="shared" si="116"/>
        <v>8</v>
      </c>
      <c r="Q415" s="2">
        <f t="shared" si="117"/>
        <v>32</v>
      </c>
      <c r="R415" s="1">
        <f t="shared" si="128"/>
        <v>17597076.64773209</v>
      </c>
      <c r="S415" s="4">
        <f>IF($G$4="mensual",S414,0)</f>
        <v>10000</v>
      </c>
      <c r="U415" s="1">
        <f t="shared" si="118"/>
        <v>140401.30173148782</v>
      </c>
      <c r="V415" s="35">
        <f t="shared" si="120"/>
        <v>-267.31407650964923</v>
      </c>
      <c r="X415" s="35">
        <f t="shared" si="119"/>
        <v>-17747.47794946358</v>
      </c>
      <c r="Y415" s="1">
        <f t="shared" si="123"/>
        <v>17729463.157437608</v>
      </c>
      <c r="AA415" s="2">
        <f>+Bono!J415</f>
        <v>408954.34513384075</v>
      </c>
      <c r="AC415" s="10">
        <f t="shared" si="129"/>
        <v>32.666666666666664</v>
      </c>
      <c r="AD415" s="1">
        <f t="shared" si="130"/>
        <v>18950727.219042711</v>
      </c>
    </row>
    <row r="416" spans="2:30">
      <c r="B416" s="1">
        <f t="shared" si="124"/>
        <v>393</v>
      </c>
      <c r="C416" s="2">
        <f t="shared" si="112"/>
        <v>32</v>
      </c>
      <c r="D416" s="2">
        <f t="shared" si="113"/>
        <v>9</v>
      </c>
      <c r="E416" s="2">
        <f t="shared" si="114"/>
        <v>61</v>
      </c>
      <c r="F416" s="1">
        <f t="shared" si="125"/>
        <v>812309.71647126181</v>
      </c>
      <c r="H416" s="1">
        <f t="shared" si="121"/>
        <v>6477.4717509048432</v>
      </c>
      <c r="I416" s="1">
        <v>0</v>
      </c>
      <c r="J416" s="69">
        <f>-SUM(F416:H416)*$J$21</f>
        <v>-7369.0846939995008</v>
      </c>
      <c r="K416" s="1">
        <f t="shared" si="126"/>
        <v>-811.41810352816719</v>
      </c>
      <c r="L416" s="1">
        <f t="shared" si="122"/>
        <v>810606.68542463891</v>
      </c>
      <c r="N416" s="1">
        <f t="shared" si="127"/>
        <v>393</v>
      </c>
      <c r="O416" s="2">
        <f t="shared" si="115"/>
        <v>32</v>
      </c>
      <c r="P416" s="2">
        <f t="shared" si="116"/>
        <v>9</v>
      </c>
      <c r="Q416" s="2">
        <f t="shared" si="117"/>
        <v>32</v>
      </c>
      <c r="R416" s="1">
        <f t="shared" si="128"/>
        <v>17729463.157437608</v>
      </c>
      <c r="S416" s="4">
        <f>IF($G$4="mensual",S415,0)</f>
        <v>10000</v>
      </c>
      <c r="U416" s="1">
        <f t="shared" si="118"/>
        <v>141456.97035077206</v>
      </c>
      <c r="V416" s="35">
        <f t="shared" si="120"/>
        <v>-267.31407650964923</v>
      </c>
      <c r="X416" s="35">
        <f t="shared" si="119"/>
        <v>-17880.92012778838</v>
      </c>
      <c r="Y416" s="1">
        <f t="shared" si="123"/>
        <v>17862771.893584084</v>
      </c>
      <c r="AA416" s="2">
        <f>+Bono!J416</f>
        <v>407782.7932075517</v>
      </c>
      <c r="AC416" s="10">
        <f t="shared" si="129"/>
        <v>32.75</v>
      </c>
      <c r="AD416" s="1">
        <f t="shared" si="130"/>
        <v>19081161.372216277</v>
      </c>
    </row>
    <row r="417" spans="2:30">
      <c r="B417" s="1">
        <f t="shared" si="124"/>
        <v>394</v>
      </c>
      <c r="C417" s="2">
        <f t="shared" si="112"/>
        <v>32</v>
      </c>
      <c r="D417" s="2">
        <f t="shared" si="113"/>
        <v>10</v>
      </c>
      <c r="E417" s="2">
        <f t="shared" si="114"/>
        <v>61</v>
      </c>
      <c r="F417" s="1">
        <f t="shared" si="125"/>
        <v>810606.68542463891</v>
      </c>
      <c r="H417" s="1">
        <f t="shared" si="121"/>
        <v>6463.8915421842885</v>
      </c>
      <c r="I417" s="1">
        <v>0</v>
      </c>
      <c r="J417" s="1">
        <v>0</v>
      </c>
      <c r="K417" s="1">
        <f t="shared" si="126"/>
        <v>-817.07057696682318</v>
      </c>
      <c r="L417" s="1">
        <f t="shared" si="122"/>
        <v>816253.50638985634</v>
      </c>
      <c r="N417" s="1">
        <f t="shared" si="127"/>
        <v>394</v>
      </c>
      <c r="O417" s="2">
        <f t="shared" si="115"/>
        <v>32</v>
      </c>
      <c r="P417" s="2">
        <f t="shared" si="116"/>
        <v>10</v>
      </c>
      <c r="Q417" s="2">
        <f t="shared" si="117"/>
        <v>32</v>
      </c>
      <c r="R417" s="1">
        <f t="shared" si="128"/>
        <v>17862771.893584084</v>
      </c>
      <c r="S417" s="4">
        <f>IF($G$4="mensual",S408,IF($G$4="trimestral",S408,0))</f>
        <v>10000</v>
      </c>
      <c r="U417" s="1">
        <f t="shared" si="118"/>
        <v>142519.99293320373</v>
      </c>
      <c r="V417" s="35">
        <f t="shared" si="120"/>
        <v>-267.31407650964923</v>
      </c>
      <c r="X417" s="35">
        <f t="shared" si="119"/>
        <v>-18015.291886517287</v>
      </c>
      <c r="Y417" s="1">
        <f t="shared" si="123"/>
        <v>17997009.280554261</v>
      </c>
      <c r="AA417" s="2">
        <f>+Bono!J417</f>
        <v>410311.09382531489</v>
      </c>
      <c r="AC417" s="10">
        <f t="shared" si="129"/>
        <v>32.833333333333336</v>
      </c>
      <c r="AD417" s="1">
        <f t="shared" si="130"/>
        <v>19223573.880769432</v>
      </c>
    </row>
    <row r="418" spans="2:30">
      <c r="B418" s="1">
        <f t="shared" si="124"/>
        <v>395</v>
      </c>
      <c r="C418" s="2">
        <f t="shared" si="112"/>
        <v>32</v>
      </c>
      <c r="D418" s="2">
        <f t="shared" si="113"/>
        <v>11</v>
      </c>
      <c r="E418" s="2">
        <f t="shared" si="114"/>
        <v>61</v>
      </c>
      <c r="F418" s="1">
        <f t="shared" si="125"/>
        <v>816253.50638985634</v>
      </c>
      <c r="H418" s="1">
        <f t="shared" si="121"/>
        <v>6508.9200855378103</v>
      </c>
      <c r="I418" s="1">
        <v>0</v>
      </c>
      <c r="J418" s="1">
        <v>0</v>
      </c>
      <c r="K418" s="1">
        <f t="shared" si="126"/>
        <v>-822.76242647539414</v>
      </c>
      <c r="L418" s="1">
        <f t="shared" si="122"/>
        <v>821939.66404891876</v>
      </c>
      <c r="N418" s="1">
        <f t="shared" si="127"/>
        <v>395</v>
      </c>
      <c r="O418" s="2">
        <f t="shared" si="115"/>
        <v>32</v>
      </c>
      <c r="P418" s="2">
        <f t="shared" si="116"/>
        <v>11</v>
      </c>
      <c r="Q418" s="2">
        <f t="shared" si="117"/>
        <v>32</v>
      </c>
      <c r="R418" s="1">
        <f t="shared" si="128"/>
        <v>17997009.280554261</v>
      </c>
      <c r="S418" s="1">
        <f>IF($G$17="si",S406*(1+$G$20),S406)</f>
        <v>10000</v>
      </c>
      <c r="U418" s="1">
        <f t="shared" si="118"/>
        <v>143590.42070771303</v>
      </c>
      <c r="V418" s="35">
        <f t="shared" si="120"/>
        <v>-267.31407650964923</v>
      </c>
      <c r="X418" s="35">
        <f t="shared" si="119"/>
        <v>-18150.599701261974</v>
      </c>
      <c r="Y418" s="1">
        <f t="shared" si="123"/>
        <v>18132181.787484203</v>
      </c>
      <c r="AA418" s="2">
        <f>+Bono!J418</f>
        <v>412855.07020017295</v>
      </c>
      <c r="AC418" s="10">
        <f t="shared" si="129"/>
        <v>32.916666666666664</v>
      </c>
      <c r="AD418" s="1">
        <f t="shared" si="130"/>
        <v>19366976.521733291</v>
      </c>
    </row>
    <row r="419" spans="2:30">
      <c r="B419" s="1">
        <f t="shared" si="124"/>
        <v>396</v>
      </c>
      <c r="C419" s="2">
        <f t="shared" si="112"/>
        <v>32</v>
      </c>
      <c r="D419" s="2">
        <f t="shared" si="113"/>
        <v>12</v>
      </c>
      <c r="E419" s="2">
        <f t="shared" si="114"/>
        <v>61</v>
      </c>
      <c r="F419" s="1">
        <f t="shared" si="125"/>
        <v>821939.66404891876</v>
      </c>
      <c r="H419" s="1">
        <f t="shared" si="121"/>
        <v>6554.2623052120607</v>
      </c>
      <c r="I419" s="1">
        <v>0</v>
      </c>
      <c r="J419" s="69">
        <f>-SUM(F419:H419)*$J$21</f>
        <v>-7456.4453371871787</v>
      </c>
      <c r="K419" s="1">
        <f t="shared" si="126"/>
        <v>-821.03748101694373</v>
      </c>
      <c r="L419" s="1">
        <f t="shared" si="122"/>
        <v>820216.44353592675</v>
      </c>
      <c r="N419" s="1">
        <f t="shared" si="127"/>
        <v>396</v>
      </c>
      <c r="O419" s="2">
        <f t="shared" si="115"/>
        <v>32</v>
      </c>
      <c r="P419" s="2">
        <f t="shared" si="116"/>
        <v>12</v>
      </c>
      <c r="Q419" s="2">
        <f t="shared" si="117"/>
        <v>32</v>
      </c>
      <c r="R419" s="1">
        <f t="shared" si="128"/>
        <v>18132181.787484203</v>
      </c>
      <c r="S419" s="4">
        <f>IF($G$4="mensual",S418,0)</f>
        <v>10000</v>
      </c>
      <c r="U419" s="1">
        <f t="shared" si="118"/>
        <v>144668.30526009935</v>
      </c>
      <c r="V419" s="35">
        <f t="shared" si="120"/>
        <v>-267.31407650964923</v>
      </c>
      <c r="X419" s="35">
        <f t="shared" si="119"/>
        <v>-18286.850092744302</v>
      </c>
      <c r="Y419" s="1">
        <f t="shared" si="123"/>
        <v>18268295.92857505</v>
      </c>
      <c r="AA419" s="2">
        <f>+Bono!J419</f>
        <v>411672.3436720738</v>
      </c>
      <c r="AC419" s="10">
        <f t="shared" si="129"/>
        <v>33</v>
      </c>
      <c r="AD419" s="1">
        <f t="shared" si="130"/>
        <v>19500184.715783052</v>
      </c>
    </row>
    <row r="420" spans="2:30">
      <c r="B420" s="1">
        <f t="shared" si="124"/>
        <v>397</v>
      </c>
      <c r="C420" s="2">
        <f t="shared" ref="C420:C483" si="131">C408+1</f>
        <v>33</v>
      </c>
      <c r="D420" s="2">
        <f t="shared" ref="D420:D483" si="132">D408</f>
        <v>1</v>
      </c>
      <c r="E420" s="2">
        <f t="shared" ref="E420:E483" si="133">E408+1</f>
        <v>62</v>
      </c>
      <c r="F420" s="1">
        <f t="shared" si="125"/>
        <v>820216.44353592675</v>
      </c>
      <c r="H420" s="1">
        <f t="shared" si="121"/>
        <v>6540.521102851495</v>
      </c>
      <c r="I420" s="1">
        <v>0</v>
      </c>
      <c r="J420" s="1">
        <v>0</v>
      </c>
      <c r="K420" s="1">
        <f t="shared" si="126"/>
        <v>-826.7569646387783</v>
      </c>
      <c r="L420" s="1">
        <f t="shared" si="122"/>
        <v>825930.20767413941</v>
      </c>
      <c r="N420" s="1">
        <f t="shared" si="127"/>
        <v>397</v>
      </c>
      <c r="O420" s="2">
        <f t="shared" ref="O420:O483" si="134">O408+1</f>
        <v>33</v>
      </c>
      <c r="P420" s="2">
        <f t="shared" ref="P420:P483" si="135">P408</f>
        <v>1</v>
      </c>
      <c r="Q420" s="2">
        <f t="shared" ref="Q420:Q483" si="136">Q408+1</f>
        <v>33</v>
      </c>
      <c r="R420" s="1">
        <f t="shared" si="128"/>
        <v>18268295.92857505</v>
      </c>
      <c r="S420" s="1">
        <f>IF($G$17="si",S408*(1+$G$20),S408)</f>
        <v>10000</v>
      </c>
      <c r="U420" s="1">
        <f t="shared" ref="U420:U483" si="137">SUM(R420:T420)*$G$8</f>
        <v>145753.69853551738</v>
      </c>
      <c r="V420" s="35">
        <f>(V419*(1+$G$18))</f>
        <v>-278.00663957003519</v>
      </c>
      <c r="X420" s="35">
        <f t="shared" si="119"/>
        <v>-18424.049627110566</v>
      </c>
      <c r="Y420" s="1">
        <f t="shared" si="123"/>
        <v>18405347.570843887</v>
      </c>
      <c r="AA420" s="2">
        <f>+Bono!J420</f>
        <v>414224.75995387696</v>
      </c>
      <c r="AC420" s="10">
        <f t="shared" si="129"/>
        <v>33.083333333333336</v>
      </c>
      <c r="AD420" s="1">
        <f t="shared" si="130"/>
        <v>19645502.5384719</v>
      </c>
    </row>
    <row r="421" spans="2:30">
      <c r="B421" s="1">
        <f t="shared" si="124"/>
        <v>398</v>
      </c>
      <c r="C421" s="2">
        <f t="shared" si="131"/>
        <v>33</v>
      </c>
      <c r="D421" s="2">
        <f t="shared" si="132"/>
        <v>2</v>
      </c>
      <c r="E421" s="2">
        <f t="shared" si="133"/>
        <v>62</v>
      </c>
      <c r="F421" s="1">
        <f t="shared" si="125"/>
        <v>825930.20767413941</v>
      </c>
      <c r="H421" s="1">
        <f t="shared" si="121"/>
        <v>6586.0834604672373</v>
      </c>
      <c r="I421" s="1">
        <v>0</v>
      </c>
      <c r="J421" s="1">
        <v>0</v>
      </c>
      <c r="K421" s="1">
        <f t="shared" si="126"/>
        <v>-832.51629113460672</v>
      </c>
      <c r="L421" s="1">
        <f t="shared" si="122"/>
        <v>831683.77484347206</v>
      </c>
      <c r="N421" s="1">
        <f t="shared" si="127"/>
        <v>398</v>
      </c>
      <c r="O421" s="2">
        <f t="shared" si="134"/>
        <v>33</v>
      </c>
      <c r="P421" s="2">
        <f t="shared" si="135"/>
        <v>2</v>
      </c>
      <c r="Q421" s="2">
        <f t="shared" si="136"/>
        <v>33</v>
      </c>
      <c r="R421" s="1">
        <f t="shared" si="128"/>
        <v>18405347.570843887</v>
      </c>
      <c r="S421" s="4">
        <f>IF($G$4="mensual",S420,0)</f>
        <v>10000</v>
      </c>
      <c r="U421" s="1">
        <f t="shared" si="137"/>
        <v>146846.56757698097</v>
      </c>
      <c r="V421" s="35">
        <f t="shared" si="120"/>
        <v>-278.00663957003519</v>
      </c>
      <c r="X421" s="35">
        <f t="shared" si="119"/>
        <v>-18562.194138420869</v>
      </c>
      <c r="Y421" s="1">
        <f t="shared" si="123"/>
        <v>18543353.937642876</v>
      </c>
      <c r="AA421" s="2">
        <f>+Bono!J421</f>
        <v>416793.00151268928</v>
      </c>
      <c r="AC421" s="10">
        <f t="shared" si="129"/>
        <v>33.166666666666664</v>
      </c>
      <c r="AD421" s="1">
        <f t="shared" si="130"/>
        <v>19791830.713999037</v>
      </c>
    </row>
    <row r="422" spans="2:30">
      <c r="B422" s="1">
        <f t="shared" si="124"/>
        <v>399</v>
      </c>
      <c r="C422" s="2">
        <f t="shared" si="131"/>
        <v>33</v>
      </c>
      <c r="D422" s="2">
        <f t="shared" si="132"/>
        <v>3</v>
      </c>
      <c r="E422" s="2">
        <f t="shared" si="133"/>
        <v>62</v>
      </c>
      <c r="F422" s="1">
        <f t="shared" si="125"/>
        <v>831683.77484347206</v>
      </c>
      <c r="H422" s="1">
        <f t="shared" si="121"/>
        <v>6631.9632130426262</v>
      </c>
      <c r="I422" s="1">
        <v>0</v>
      </c>
      <c r="J422" s="69">
        <f>-SUM(F422:H422)*$J$21</f>
        <v>-7544.8416425086325</v>
      </c>
      <c r="K422" s="1">
        <f t="shared" si="126"/>
        <v>-830.77089641400607</v>
      </c>
      <c r="L422" s="1">
        <f t="shared" si="122"/>
        <v>829940.12551759195</v>
      </c>
      <c r="N422" s="1">
        <f t="shared" si="127"/>
        <v>399</v>
      </c>
      <c r="O422" s="2">
        <f t="shared" si="134"/>
        <v>33</v>
      </c>
      <c r="P422" s="2">
        <f t="shared" si="135"/>
        <v>3</v>
      </c>
      <c r="Q422" s="2">
        <f t="shared" si="136"/>
        <v>33</v>
      </c>
      <c r="R422" s="1">
        <f t="shared" si="128"/>
        <v>18543353.937642876</v>
      </c>
      <c r="S422" s="4">
        <f>IF($G$4="mensual",S421,0)</f>
        <v>10000</v>
      </c>
      <c r="U422" s="1">
        <f t="shared" si="137"/>
        <v>147947.04972591891</v>
      </c>
      <c r="V422" s="35">
        <f t="shared" si="120"/>
        <v>-278.00663957003519</v>
      </c>
      <c r="X422" s="35">
        <f t="shared" si="119"/>
        <v>-18701.300987368795</v>
      </c>
      <c r="Y422" s="1">
        <f t="shared" si="123"/>
        <v>18682321.679741856</v>
      </c>
      <c r="AA422" s="2">
        <f>+Bono!J422</f>
        <v>415598.99379618937</v>
      </c>
      <c r="AC422" s="10">
        <f t="shared" si="129"/>
        <v>33.25</v>
      </c>
      <c r="AD422" s="1">
        <f t="shared" si="130"/>
        <v>19927860.799055636</v>
      </c>
    </row>
    <row r="423" spans="2:30">
      <c r="B423" s="1">
        <f t="shared" si="124"/>
        <v>400</v>
      </c>
      <c r="C423" s="2">
        <f t="shared" si="131"/>
        <v>33</v>
      </c>
      <c r="D423" s="2">
        <f t="shared" si="132"/>
        <v>4</v>
      </c>
      <c r="E423" s="2">
        <f t="shared" si="133"/>
        <v>62</v>
      </c>
      <c r="F423" s="1">
        <f t="shared" si="125"/>
        <v>829940.12551759195</v>
      </c>
      <c r="H423" s="1">
        <f t="shared" si="121"/>
        <v>6618.0591084592943</v>
      </c>
      <c r="I423" s="1">
        <v>0</v>
      </c>
      <c r="J423" s="1">
        <v>0</v>
      </c>
      <c r="K423" s="1">
        <f t="shared" si="126"/>
        <v>-836.55818462605123</v>
      </c>
      <c r="L423" s="1">
        <f t="shared" si="122"/>
        <v>835721.62644142518</v>
      </c>
      <c r="N423" s="1">
        <f t="shared" si="127"/>
        <v>400</v>
      </c>
      <c r="O423" s="2">
        <f t="shared" si="134"/>
        <v>33</v>
      </c>
      <c r="P423" s="2">
        <f t="shared" si="135"/>
        <v>4</v>
      </c>
      <c r="Q423" s="2">
        <f t="shared" si="136"/>
        <v>33</v>
      </c>
      <c r="R423" s="1">
        <f t="shared" si="128"/>
        <v>18682321.679741856</v>
      </c>
      <c r="S423" s="4">
        <f>IF($G$4="mensual",S420,IF($G$4="trimestral",S420,0))</f>
        <v>10000</v>
      </c>
      <c r="U423" s="1">
        <f t="shared" si="137"/>
        <v>149055.19801650385</v>
      </c>
      <c r="V423" s="35">
        <f t="shared" si="120"/>
        <v>-278.00663957003519</v>
      </c>
      <c r="X423" s="35">
        <f t="shared" si="119"/>
        <v>-18841.376877758361</v>
      </c>
      <c r="Y423" s="1">
        <f t="shared" si="123"/>
        <v>18822257.494241033</v>
      </c>
      <c r="AA423" s="2">
        <f>+Bono!J423</f>
        <v>418175.75576422527</v>
      </c>
      <c r="AC423" s="10">
        <f t="shared" si="129"/>
        <v>33.333333333333336</v>
      </c>
      <c r="AD423" s="1">
        <f t="shared" si="130"/>
        <v>20076154.876446683</v>
      </c>
    </row>
    <row r="424" spans="2:30">
      <c r="B424" s="1">
        <f t="shared" si="124"/>
        <v>401</v>
      </c>
      <c r="C424" s="2">
        <f t="shared" si="131"/>
        <v>33</v>
      </c>
      <c r="D424" s="2">
        <f t="shared" si="132"/>
        <v>5</v>
      </c>
      <c r="E424" s="2">
        <f t="shared" si="133"/>
        <v>62</v>
      </c>
      <c r="F424" s="1">
        <f t="shared" si="125"/>
        <v>835721.62644142518</v>
      </c>
      <c r="H424" s="1">
        <f t="shared" si="121"/>
        <v>6664.1616087157772</v>
      </c>
      <c r="I424" s="1">
        <v>0</v>
      </c>
      <c r="J424" s="1">
        <v>0</v>
      </c>
      <c r="K424" s="1">
        <f t="shared" si="126"/>
        <v>-842.38578805014095</v>
      </c>
      <c r="L424" s="1">
        <f t="shared" si="122"/>
        <v>841543.40226209082</v>
      </c>
      <c r="N424" s="1">
        <f t="shared" si="127"/>
        <v>401</v>
      </c>
      <c r="O424" s="2">
        <f t="shared" si="134"/>
        <v>33</v>
      </c>
      <c r="P424" s="2">
        <f t="shared" si="135"/>
        <v>5</v>
      </c>
      <c r="Q424" s="2">
        <f t="shared" si="136"/>
        <v>33</v>
      </c>
      <c r="R424" s="1">
        <f t="shared" si="128"/>
        <v>18822257.494241033</v>
      </c>
      <c r="S424" s="4">
        <f>IF($G$4="mensual",S423,0)</f>
        <v>10000</v>
      </c>
      <c r="U424" s="1">
        <f t="shared" si="137"/>
        <v>150171.06585235332</v>
      </c>
      <c r="V424" s="35">
        <f t="shared" si="120"/>
        <v>-278.00663957003519</v>
      </c>
      <c r="X424" s="35">
        <f t="shared" si="119"/>
        <v>-18982.428560093384</v>
      </c>
      <c r="Y424" s="1">
        <f t="shared" si="123"/>
        <v>18963168.124893721</v>
      </c>
      <c r="AA424" s="2">
        <f>+Bono!J424</f>
        <v>420768.49395534885</v>
      </c>
      <c r="AC424" s="10">
        <f t="shared" si="129"/>
        <v>33.416666666666664</v>
      </c>
      <c r="AD424" s="1">
        <f t="shared" si="130"/>
        <v>20225480.021111161</v>
      </c>
    </row>
    <row r="425" spans="2:30">
      <c r="B425" s="1">
        <f t="shared" si="124"/>
        <v>402</v>
      </c>
      <c r="C425" s="2">
        <f t="shared" si="131"/>
        <v>33</v>
      </c>
      <c r="D425" s="2">
        <f t="shared" si="132"/>
        <v>6</v>
      </c>
      <c r="E425" s="2">
        <f t="shared" si="133"/>
        <v>62</v>
      </c>
      <c r="F425" s="1">
        <f t="shared" si="125"/>
        <v>841543.40226209082</v>
      </c>
      <c r="H425" s="1">
        <f t="shared" si="121"/>
        <v>6710.5852666553619</v>
      </c>
      <c r="I425" s="1">
        <v>0</v>
      </c>
      <c r="J425" s="69">
        <f>-SUM(F425:H425)*$J$21</f>
        <v>-7634.2858877587159</v>
      </c>
      <c r="K425" s="1">
        <f t="shared" si="126"/>
        <v>-840.61970164098739</v>
      </c>
      <c r="L425" s="1">
        <f t="shared" si="122"/>
        <v>839779.08193934639</v>
      </c>
      <c r="N425" s="1">
        <f t="shared" si="127"/>
        <v>402</v>
      </c>
      <c r="O425" s="2">
        <f t="shared" si="134"/>
        <v>33</v>
      </c>
      <c r="P425" s="2">
        <f t="shared" si="135"/>
        <v>6</v>
      </c>
      <c r="Q425" s="2">
        <f t="shared" si="136"/>
        <v>33</v>
      </c>
      <c r="R425" s="1">
        <f t="shared" si="128"/>
        <v>18963168.124893721</v>
      </c>
      <c r="S425" s="4">
        <f>IF($G$4="mensual",S424,0)</f>
        <v>10000</v>
      </c>
      <c r="U425" s="1">
        <f t="shared" si="137"/>
        <v>151294.70700910324</v>
      </c>
      <c r="V425" s="35">
        <f t="shared" si="120"/>
        <v>-278.00663957003519</v>
      </c>
      <c r="X425" s="35">
        <f t="shared" si="119"/>
        <v>-19124.462831902823</v>
      </c>
      <c r="Y425" s="1">
        <f t="shared" si="123"/>
        <v>19105060.362431351</v>
      </c>
      <c r="AA425" s="2">
        <f>+Bono!J425</f>
        <v>419563.09744720371</v>
      </c>
      <c r="AC425" s="10">
        <f t="shared" si="129"/>
        <v>33.5</v>
      </c>
      <c r="AD425" s="1">
        <f t="shared" si="130"/>
        <v>20364402.541817904</v>
      </c>
    </row>
    <row r="426" spans="2:30">
      <c r="B426" s="1">
        <f t="shared" si="124"/>
        <v>403</v>
      </c>
      <c r="C426" s="2">
        <f t="shared" si="131"/>
        <v>33</v>
      </c>
      <c r="D426" s="2">
        <f t="shared" si="132"/>
        <v>7</v>
      </c>
      <c r="E426" s="2">
        <f t="shared" si="133"/>
        <v>62</v>
      </c>
      <c r="F426" s="1">
        <f t="shared" si="125"/>
        <v>839779.08193934639</v>
      </c>
      <c r="H426" s="1">
        <f t="shared" si="121"/>
        <v>6696.5163286402294</v>
      </c>
      <c r="I426" s="1">
        <v>0</v>
      </c>
      <c r="J426" s="1">
        <v>0</v>
      </c>
      <c r="K426" s="1">
        <f t="shared" si="126"/>
        <v>-846.4755982679867</v>
      </c>
      <c r="L426" s="1">
        <f t="shared" si="122"/>
        <v>845629.12266971869</v>
      </c>
      <c r="N426" s="1">
        <f t="shared" si="127"/>
        <v>403</v>
      </c>
      <c r="O426" s="2">
        <f t="shared" si="134"/>
        <v>33</v>
      </c>
      <c r="P426" s="2">
        <f t="shared" si="135"/>
        <v>7</v>
      </c>
      <c r="Q426" s="2">
        <f t="shared" si="136"/>
        <v>33</v>
      </c>
      <c r="R426" s="1">
        <f t="shared" si="128"/>
        <v>19105060.362431351</v>
      </c>
      <c r="S426" s="1">
        <f>+IF($G$4="mensual",S420,IF($G$4="trimestral",S420,IF($G$4="semestral",S420,0)))</f>
        <v>10000</v>
      </c>
      <c r="U426" s="1">
        <f t="shared" si="137"/>
        <v>152426.17563699969</v>
      </c>
      <c r="V426" s="35">
        <f t="shared" si="120"/>
        <v>-278.00663957003519</v>
      </c>
      <c r="X426" s="35">
        <f t="shared" si="119"/>
        <v>-19267.486538068351</v>
      </c>
      <c r="Y426" s="1">
        <f t="shared" si="123"/>
        <v>19247941.044890713</v>
      </c>
      <c r="AA426" s="2">
        <f>+Bono!J426</f>
        <v>422164.43731768342</v>
      </c>
      <c r="AC426" s="10">
        <f t="shared" si="129"/>
        <v>33.583333333333336</v>
      </c>
      <c r="AD426" s="1">
        <f t="shared" si="130"/>
        <v>20515734.604878116</v>
      </c>
    </row>
    <row r="427" spans="2:30">
      <c r="B427" s="1">
        <f t="shared" si="124"/>
        <v>404</v>
      </c>
      <c r="C427" s="2">
        <f t="shared" si="131"/>
        <v>33</v>
      </c>
      <c r="D427" s="2">
        <f t="shared" si="132"/>
        <v>8</v>
      </c>
      <c r="E427" s="2">
        <f t="shared" si="133"/>
        <v>62</v>
      </c>
      <c r="F427" s="1">
        <f t="shared" si="125"/>
        <v>845629.12266971869</v>
      </c>
      <c r="H427" s="1">
        <f t="shared" si="121"/>
        <v>6743.1653749390243</v>
      </c>
      <c r="I427" s="1">
        <v>0</v>
      </c>
      <c r="J427" s="1">
        <v>0</v>
      </c>
      <c r="K427" s="1">
        <f t="shared" si="126"/>
        <v>-852.37228804465769</v>
      </c>
      <c r="L427" s="1">
        <f t="shared" si="122"/>
        <v>851519.91575661302</v>
      </c>
      <c r="N427" s="1">
        <f t="shared" si="127"/>
        <v>404</v>
      </c>
      <c r="O427" s="2">
        <f t="shared" si="134"/>
        <v>33</v>
      </c>
      <c r="P427" s="2">
        <f t="shared" si="135"/>
        <v>8</v>
      </c>
      <c r="Q427" s="2">
        <f t="shared" si="136"/>
        <v>33</v>
      </c>
      <c r="R427" s="1">
        <f t="shared" si="128"/>
        <v>19247941.044890713</v>
      </c>
      <c r="S427" s="4">
        <f>IF($G$4="mensual",S426,0)</f>
        <v>10000</v>
      </c>
      <c r="U427" s="1">
        <f t="shared" si="137"/>
        <v>153565.52626350825</v>
      </c>
      <c r="V427" s="35">
        <f t="shared" si="120"/>
        <v>-278.00663957003519</v>
      </c>
      <c r="X427" s="35">
        <f t="shared" ref="X427:X490" si="138">-SUM(R427:U427)*0.1%</f>
        <v>-19411.506571154223</v>
      </c>
      <c r="Y427" s="1">
        <f t="shared" si="123"/>
        <v>19391817.057943497</v>
      </c>
      <c r="AA427" s="2">
        <f>+Bono!J427</f>
        <v>424781.9057970969</v>
      </c>
      <c r="AC427" s="10">
        <f t="shared" si="129"/>
        <v>33.666666666666664</v>
      </c>
      <c r="AD427" s="1">
        <f t="shared" si="130"/>
        <v>20668118.879497208</v>
      </c>
    </row>
    <row r="428" spans="2:30">
      <c r="B428" s="1">
        <f t="shared" si="124"/>
        <v>405</v>
      </c>
      <c r="C428" s="2">
        <f t="shared" si="131"/>
        <v>33</v>
      </c>
      <c r="D428" s="2">
        <f t="shared" si="132"/>
        <v>9</v>
      </c>
      <c r="E428" s="2">
        <f t="shared" si="133"/>
        <v>62</v>
      </c>
      <c r="F428" s="1">
        <f t="shared" si="125"/>
        <v>851519.91575661302</v>
      </c>
      <c r="H428" s="1">
        <f t="shared" si="121"/>
        <v>6790.1393862515351</v>
      </c>
      <c r="I428" s="1">
        <v>0</v>
      </c>
      <c r="J428" s="69">
        <f>-SUM(F428:H428)*$J$21</f>
        <v>-7724.790496285782</v>
      </c>
      <c r="K428" s="1">
        <f t="shared" si="126"/>
        <v>-850.58526464657882</v>
      </c>
      <c r="L428" s="1">
        <f t="shared" si="122"/>
        <v>849734.67938193225</v>
      </c>
      <c r="N428" s="1">
        <f t="shared" si="127"/>
        <v>405</v>
      </c>
      <c r="O428" s="2">
        <f t="shared" si="134"/>
        <v>33</v>
      </c>
      <c r="P428" s="2">
        <f t="shared" si="135"/>
        <v>9</v>
      </c>
      <c r="Q428" s="2">
        <f t="shared" si="136"/>
        <v>33</v>
      </c>
      <c r="R428" s="1">
        <f t="shared" si="128"/>
        <v>19391817.057943497</v>
      </c>
      <c r="S428" s="4">
        <f>IF($G$4="mensual",S427,0)</f>
        <v>10000</v>
      </c>
      <c r="U428" s="1">
        <f t="shared" si="137"/>
        <v>154712.81379594194</v>
      </c>
      <c r="V428" s="35">
        <f t="shared" si="120"/>
        <v>-278.00663957003519</v>
      </c>
      <c r="X428" s="35">
        <f t="shared" si="138"/>
        <v>-19556.52987173944</v>
      </c>
      <c r="Y428" s="1">
        <f t="shared" si="123"/>
        <v>19536695.33522813</v>
      </c>
      <c r="AA428" s="2">
        <f>+Bono!J428</f>
        <v>423565.01186771109</v>
      </c>
      <c r="AC428" s="10">
        <f t="shared" si="129"/>
        <v>33.75</v>
      </c>
      <c r="AD428" s="1">
        <f t="shared" si="130"/>
        <v>20809995.026477773</v>
      </c>
    </row>
    <row r="429" spans="2:30">
      <c r="B429" s="1">
        <f t="shared" si="124"/>
        <v>406</v>
      </c>
      <c r="C429" s="2">
        <f t="shared" si="131"/>
        <v>33</v>
      </c>
      <c r="D429" s="2">
        <f t="shared" si="132"/>
        <v>10</v>
      </c>
      <c r="E429" s="2">
        <f t="shared" si="133"/>
        <v>62</v>
      </c>
      <c r="F429" s="1">
        <f t="shared" si="125"/>
        <v>849734.67938193225</v>
      </c>
      <c r="H429" s="1">
        <f t="shared" si="121"/>
        <v>6775.9036607010439</v>
      </c>
      <c r="I429" s="1">
        <v>0</v>
      </c>
      <c r="J429" s="1">
        <v>0</v>
      </c>
      <c r="K429" s="1">
        <f t="shared" si="126"/>
        <v>-856.51058304263324</v>
      </c>
      <c r="L429" s="1">
        <f t="shared" si="122"/>
        <v>855654.07245959062</v>
      </c>
      <c r="N429" s="1">
        <f t="shared" si="127"/>
        <v>406</v>
      </c>
      <c r="O429" s="2">
        <f t="shared" si="134"/>
        <v>33</v>
      </c>
      <c r="P429" s="2">
        <f t="shared" si="135"/>
        <v>10</v>
      </c>
      <c r="Q429" s="2">
        <f t="shared" si="136"/>
        <v>33</v>
      </c>
      <c r="R429" s="1">
        <f t="shared" si="128"/>
        <v>19536695.33522813</v>
      </c>
      <c r="S429" s="4">
        <f>IF($G$4="mensual",S420,IF($G$4="trimestral",S420,0))</f>
        <v>10000</v>
      </c>
      <c r="U429" s="1">
        <f t="shared" si="137"/>
        <v>155868.09352410724</v>
      </c>
      <c r="V429" s="35">
        <f t="shared" si="120"/>
        <v>-278.00663957003519</v>
      </c>
      <c r="X429" s="35">
        <f t="shared" si="138"/>
        <v>-19702.563428752237</v>
      </c>
      <c r="Y429" s="1">
        <f t="shared" si="123"/>
        <v>19682582.858683914</v>
      </c>
      <c r="AA429" s="2">
        <f>+Bono!J429</f>
        <v>426191.16407179134</v>
      </c>
      <c r="AC429" s="10">
        <f t="shared" si="129"/>
        <v>33.833333333333336</v>
      </c>
      <c r="AD429" s="1">
        <f t="shared" si="130"/>
        <v>20964428.095215295</v>
      </c>
    </row>
    <row r="430" spans="2:30">
      <c r="B430" s="1">
        <f t="shared" si="124"/>
        <v>407</v>
      </c>
      <c r="C430" s="2">
        <f t="shared" si="131"/>
        <v>33</v>
      </c>
      <c r="D430" s="2">
        <f t="shared" si="132"/>
        <v>11</v>
      </c>
      <c r="E430" s="2">
        <f t="shared" si="133"/>
        <v>62</v>
      </c>
      <c r="F430" s="1">
        <f t="shared" si="125"/>
        <v>855654.07245959062</v>
      </c>
      <c r="H430" s="1">
        <f t="shared" si="121"/>
        <v>6823.1057323561727</v>
      </c>
      <c r="I430" s="1">
        <v>0</v>
      </c>
      <c r="J430" s="1">
        <v>0</v>
      </c>
      <c r="K430" s="1">
        <f t="shared" si="126"/>
        <v>-862.47717819194679</v>
      </c>
      <c r="L430" s="1">
        <f t="shared" si="122"/>
        <v>861614.70101375482</v>
      </c>
      <c r="N430" s="1">
        <f t="shared" si="127"/>
        <v>407</v>
      </c>
      <c r="O430" s="2">
        <f t="shared" si="134"/>
        <v>33</v>
      </c>
      <c r="P430" s="2">
        <f t="shared" si="135"/>
        <v>11</v>
      </c>
      <c r="Q430" s="2">
        <f t="shared" si="136"/>
        <v>33</v>
      </c>
      <c r="R430" s="1">
        <f t="shared" si="128"/>
        <v>19682582.858683914</v>
      </c>
      <c r="S430" s="1">
        <f>IF($G$17="si",S418*(1+$G$20),S418)</f>
        <v>10000</v>
      </c>
      <c r="U430" s="1">
        <f t="shared" si="137"/>
        <v>157031.42112296866</v>
      </c>
      <c r="V430" s="35">
        <f t="shared" si="120"/>
        <v>-278.00663957003519</v>
      </c>
      <c r="X430" s="35">
        <f t="shared" si="138"/>
        <v>-19849.614279806883</v>
      </c>
      <c r="Y430" s="1">
        <f t="shared" si="123"/>
        <v>19829486.658887506</v>
      </c>
      <c r="AA430" s="2">
        <f>+Bono!J430</f>
        <v>428833.59872415173</v>
      </c>
      <c r="AC430" s="10">
        <f t="shared" si="129"/>
        <v>33.916666666666664</v>
      </c>
      <c r="AD430" s="1">
        <f t="shared" si="130"/>
        <v>21119934.958625413</v>
      </c>
    </row>
    <row r="431" spans="2:30">
      <c r="B431" s="1">
        <f t="shared" si="124"/>
        <v>408</v>
      </c>
      <c r="C431" s="2">
        <f t="shared" si="131"/>
        <v>33</v>
      </c>
      <c r="D431" s="2">
        <f t="shared" si="132"/>
        <v>12</v>
      </c>
      <c r="E431" s="2">
        <f t="shared" si="133"/>
        <v>62</v>
      </c>
      <c r="F431" s="1">
        <f t="shared" si="125"/>
        <v>861614.70101375482</v>
      </c>
      <c r="H431" s="1">
        <f t="shared" si="121"/>
        <v>6870.6366214916115</v>
      </c>
      <c r="I431" s="1">
        <v>0</v>
      </c>
      <c r="J431" s="69">
        <f>-SUM(F431:H431)*$J$21</f>
        <v>-7816.368038717219</v>
      </c>
      <c r="K431" s="1">
        <f t="shared" si="126"/>
        <v>-860.66896959652934</v>
      </c>
      <c r="L431" s="1">
        <f t="shared" si="122"/>
        <v>859808.30062693276</v>
      </c>
      <c r="N431" s="1">
        <f t="shared" si="127"/>
        <v>408</v>
      </c>
      <c r="O431" s="2">
        <f t="shared" si="134"/>
        <v>33</v>
      </c>
      <c r="P431" s="2">
        <f t="shared" si="135"/>
        <v>12</v>
      </c>
      <c r="Q431" s="2">
        <f t="shared" si="136"/>
        <v>33</v>
      </c>
      <c r="R431" s="1">
        <f t="shared" si="128"/>
        <v>19829486.658887506</v>
      </c>
      <c r="S431" s="4">
        <f>IF($G$4="mensual",S430,0)</f>
        <v>10000</v>
      </c>
      <c r="U431" s="1">
        <f t="shared" si="137"/>
        <v>158202.85265533172</v>
      </c>
      <c r="V431" s="35">
        <f t="shared" si="120"/>
        <v>-278.00663957003519</v>
      </c>
      <c r="X431" s="35">
        <f t="shared" si="138"/>
        <v>-19997.689511542838</v>
      </c>
      <c r="Y431" s="1">
        <f t="shared" si="123"/>
        <v>19977413.815391727</v>
      </c>
      <c r="AA431" s="2">
        <f>+Bono!J431</f>
        <v>427605.09770778939</v>
      </c>
      <c r="AC431" s="10">
        <f t="shared" si="129"/>
        <v>34</v>
      </c>
      <c r="AD431" s="1">
        <f t="shared" si="130"/>
        <v>21264827.21372645</v>
      </c>
    </row>
    <row r="432" spans="2:30">
      <c r="B432" s="1">
        <f t="shared" si="124"/>
        <v>409</v>
      </c>
      <c r="C432" s="2">
        <f t="shared" si="131"/>
        <v>34</v>
      </c>
      <c r="D432" s="2">
        <f t="shared" si="132"/>
        <v>1</v>
      </c>
      <c r="E432" s="2">
        <f t="shared" si="133"/>
        <v>63</v>
      </c>
      <c r="F432" s="1">
        <f t="shared" si="125"/>
        <v>859808.30062693276</v>
      </c>
      <c r="H432" s="1">
        <f t="shared" si="121"/>
        <v>6856.2321311362666</v>
      </c>
      <c r="I432" s="1">
        <v>0</v>
      </c>
      <c r="J432" s="1">
        <v>0</v>
      </c>
      <c r="K432" s="1">
        <f t="shared" si="126"/>
        <v>-866.66453275806896</v>
      </c>
      <c r="L432" s="1">
        <f t="shared" si="122"/>
        <v>865797.86822531093</v>
      </c>
      <c r="N432" s="1">
        <f t="shared" si="127"/>
        <v>409</v>
      </c>
      <c r="O432" s="2">
        <f t="shared" si="134"/>
        <v>34</v>
      </c>
      <c r="P432" s="2">
        <f t="shared" si="135"/>
        <v>1</v>
      </c>
      <c r="Q432" s="2">
        <f t="shared" si="136"/>
        <v>34</v>
      </c>
      <c r="R432" s="1">
        <f t="shared" si="128"/>
        <v>19977413.815391727</v>
      </c>
      <c r="S432" s="1">
        <f>IF($G$17="si",S420*(1+$G$20),S420)</f>
        <v>10000</v>
      </c>
      <c r="U432" s="1">
        <f t="shared" si="137"/>
        <v>159382.44457454482</v>
      </c>
      <c r="V432" s="35">
        <f>(V431*(1+$G$18))</f>
        <v>-289.12690515283663</v>
      </c>
      <c r="X432" s="35">
        <f t="shared" si="138"/>
        <v>-20146.796259966271</v>
      </c>
      <c r="Y432" s="1">
        <f t="shared" si="123"/>
        <v>20126360.336801153</v>
      </c>
      <c r="AA432" s="2">
        <f>+Bono!J432</f>
        <v>430256.29891269904</v>
      </c>
      <c r="AC432" s="10">
        <f t="shared" si="129"/>
        <v>34.083333333333336</v>
      </c>
      <c r="AD432" s="1">
        <f t="shared" si="130"/>
        <v>21422414.503939163</v>
      </c>
    </row>
    <row r="433" spans="2:30">
      <c r="B433" s="1">
        <f t="shared" si="124"/>
        <v>410</v>
      </c>
      <c r="C433" s="2">
        <f t="shared" si="131"/>
        <v>34</v>
      </c>
      <c r="D433" s="2">
        <f t="shared" si="132"/>
        <v>2</v>
      </c>
      <c r="E433" s="2">
        <f t="shared" si="133"/>
        <v>63</v>
      </c>
      <c r="F433" s="1">
        <f t="shared" si="125"/>
        <v>865797.86822531093</v>
      </c>
      <c r="H433" s="1">
        <f t="shared" si="121"/>
        <v>6903.9937842741456</v>
      </c>
      <c r="I433" s="1">
        <v>0</v>
      </c>
      <c r="J433" s="1">
        <v>0</v>
      </c>
      <c r="K433" s="1">
        <f t="shared" si="126"/>
        <v>-872.70186200958506</v>
      </c>
      <c r="L433" s="1">
        <f t="shared" si="122"/>
        <v>871829.16014757543</v>
      </c>
      <c r="N433" s="1">
        <f t="shared" si="127"/>
        <v>410</v>
      </c>
      <c r="O433" s="2">
        <f t="shared" si="134"/>
        <v>34</v>
      </c>
      <c r="P433" s="2">
        <f t="shared" si="135"/>
        <v>2</v>
      </c>
      <c r="Q433" s="2">
        <f t="shared" si="136"/>
        <v>34</v>
      </c>
      <c r="R433" s="1">
        <f t="shared" si="128"/>
        <v>20126360.336801153</v>
      </c>
      <c r="S433" s="4">
        <f>IF($G$4="mensual",S432,0)</f>
        <v>10000</v>
      </c>
      <c r="U433" s="1">
        <f t="shared" si="137"/>
        <v>160570.1650526603</v>
      </c>
      <c r="V433" s="35">
        <f t="shared" ref="V433:V496" si="139">V432</f>
        <v>-289.12690515283663</v>
      </c>
      <c r="X433" s="35">
        <f t="shared" si="138"/>
        <v>-20296.930501853814</v>
      </c>
      <c r="Y433" s="1">
        <f t="shared" si="123"/>
        <v>20276344.444446806</v>
      </c>
      <c r="AA433" s="2">
        <f>+Bono!J433</f>
        <v>432923.93787259946</v>
      </c>
      <c r="AC433" s="10">
        <f t="shared" si="129"/>
        <v>34.166666666666664</v>
      </c>
      <c r="AD433" s="1">
        <f t="shared" si="130"/>
        <v>21581097.542466979</v>
      </c>
    </row>
    <row r="434" spans="2:30">
      <c r="B434" s="1">
        <f t="shared" si="124"/>
        <v>411</v>
      </c>
      <c r="C434" s="2">
        <f t="shared" si="131"/>
        <v>34</v>
      </c>
      <c r="D434" s="2">
        <f t="shared" si="132"/>
        <v>3</v>
      </c>
      <c r="E434" s="2">
        <f t="shared" si="133"/>
        <v>63</v>
      </c>
      <c r="F434" s="1">
        <f t="shared" si="125"/>
        <v>871829.16014757543</v>
      </c>
      <c r="H434" s="1">
        <f t="shared" si="121"/>
        <v>6952.0881530299957</v>
      </c>
      <c r="I434" s="1">
        <v>0</v>
      </c>
      <c r="J434" s="69">
        <f>-SUM(F434:H434)*$J$21</f>
        <v>-7909.0312347054496</v>
      </c>
      <c r="K434" s="1">
        <f t="shared" si="126"/>
        <v>-870.87221706590003</v>
      </c>
      <c r="L434" s="1">
        <f t="shared" si="122"/>
        <v>870001.34484883409</v>
      </c>
      <c r="N434" s="1">
        <f t="shared" si="127"/>
        <v>411</v>
      </c>
      <c r="O434" s="2">
        <f t="shared" si="134"/>
        <v>34</v>
      </c>
      <c r="P434" s="2">
        <f t="shared" si="135"/>
        <v>3</v>
      </c>
      <c r="Q434" s="2">
        <f t="shared" si="136"/>
        <v>34</v>
      </c>
      <c r="R434" s="1">
        <f t="shared" si="128"/>
        <v>20276344.444446806</v>
      </c>
      <c r="S434" s="4">
        <f>IF($G$4="mensual",S433,0)</f>
        <v>10000</v>
      </c>
      <c r="U434" s="1">
        <f t="shared" si="137"/>
        <v>161766.15938913054</v>
      </c>
      <c r="V434" s="35">
        <f t="shared" si="139"/>
        <v>-289.12690515283663</v>
      </c>
      <c r="X434" s="35">
        <f t="shared" si="138"/>
        <v>-20448.110603835936</v>
      </c>
      <c r="Y434" s="1">
        <f t="shared" si="123"/>
        <v>20427373.366326947</v>
      </c>
      <c r="AA434" s="2">
        <f>+Bono!J434</f>
        <v>431683.71905750094</v>
      </c>
      <c r="AC434" s="10">
        <f t="shared" si="129"/>
        <v>34.25</v>
      </c>
      <c r="AD434" s="1">
        <f t="shared" si="130"/>
        <v>21729058.430233281</v>
      </c>
    </row>
    <row r="435" spans="2:30">
      <c r="B435" s="1">
        <f t="shared" si="124"/>
        <v>412</v>
      </c>
      <c r="C435" s="2">
        <f t="shared" si="131"/>
        <v>34</v>
      </c>
      <c r="D435" s="2">
        <f t="shared" si="132"/>
        <v>4</v>
      </c>
      <c r="E435" s="2">
        <f t="shared" si="133"/>
        <v>63</v>
      </c>
      <c r="F435" s="1">
        <f t="shared" si="125"/>
        <v>870001.34484883409</v>
      </c>
      <c r="H435" s="1">
        <f t="shared" si="121"/>
        <v>6937.5128971597333</v>
      </c>
      <c r="I435" s="1">
        <v>0</v>
      </c>
      <c r="J435" s="1">
        <v>0</v>
      </c>
      <c r="K435" s="1">
        <f t="shared" si="126"/>
        <v>-876.93885774599391</v>
      </c>
      <c r="L435" s="1">
        <f t="shared" si="122"/>
        <v>876061.91888824792</v>
      </c>
      <c r="N435" s="1">
        <f t="shared" si="127"/>
        <v>412</v>
      </c>
      <c r="O435" s="2">
        <f t="shared" si="134"/>
        <v>34</v>
      </c>
      <c r="P435" s="2">
        <f t="shared" si="135"/>
        <v>4</v>
      </c>
      <c r="Q435" s="2">
        <f t="shared" si="136"/>
        <v>34</v>
      </c>
      <c r="R435" s="1">
        <f t="shared" si="128"/>
        <v>20427373.366326947</v>
      </c>
      <c r="S435" s="4">
        <f>IF($G$4="mensual",S432,IF($G$4="trimestral",S432,0))</f>
        <v>10000</v>
      </c>
      <c r="U435" s="1">
        <f t="shared" si="137"/>
        <v>162970.48522102874</v>
      </c>
      <c r="V435" s="35">
        <f t="shared" si="139"/>
        <v>-289.12690515283663</v>
      </c>
      <c r="X435" s="35">
        <f t="shared" si="138"/>
        <v>-20600.343851547976</v>
      </c>
      <c r="Y435" s="1">
        <f t="shared" si="123"/>
        <v>20579454.380791273</v>
      </c>
      <c r="AA435" s="2">
        <f>+Bono!J435</f>
        <v>434360.20818786963</v>
      </c>
      <c r="AC435" s="10">
        <f t="shared" si="129"/>
        <v>34.333333333333336</v>
      </c>
      <c r="AD435" s="1">
        <f t="shared" si="130"/>
        <v>21889876.507867392</v>
      </c>
    </row>
    <row r="436" spans="2:30">
      <c r="B436" s="1">
        <f t="shared" si="124"/>
        <v>413</v>
      </c>
      <c r="C436" s="2">
        <f t="shared" si="131"/>
        <v>34</v>
      </c>
      <c r="D436" s="2">
        <f t="shared" si="132"/>
        <v>5</v>
      </c>
      <c r="E436" s="2">
        <f t="shared" si="133"/>
        <v>63</v>
      </c>
      <c r="F436" s="1">
        <f t="shared" si="125"/>
        <v>876061.91888824792</v>
      </c>
      <c r="H436" s="1">
        <f t="shared" si="121"/>
        <v>6985.8407656297877</v>
      </c>
      <c r="I436" s="1">
        <v>0</v>
      </c>
      <c r="J436" s="1">
        <v>0</v>
      </c>
      <c r="K436" s="1">
        <f t="shared" si="126"/>
        <v>-883.04775965387773</v>
      </c>
      <c r="L436" s="1">
        <f t="shared" si="122"/>
        <v>882164.71189422382</v>
      </c>
      <c r="N436" s="1">
        <f t="shared" si="127"/>
        <v>413</v>
      </c>
      <c r="O436" s="2">
        <f t="shared" si="134"/>
        <v>34</v>
      </c>
      <c r="P436" s="2">
        <f t="shared" si="135"/>
        <v>5</v>
      </c>
      <c r="Q436" s="2">
        <f t="shared" si="136"/>
        <v>34</v>
      </c>
      <c r="R436" s="1">
        <f t="shared" si="128"/>
        <v>20579454.380791273</v>
      </c>
      <c r="S436" s="4">
        <f>IF($G$4="mensual",S435,0)</f>
        <v>10000</v>
      </c>
      <c r="U436" s="1">
        <f t="shared" si="137"/>
        <v>164183.2005869374</v>
      </c>
      <c r="V436" s="35">
        <f t="shared" si="139"/>
        <v>-289.12690515283663</v>
      </c>
      <c r="X436" s="35">
        <f t="shared" si="138"/>
        <v>-20753.637581378211</v>
      </c>
      <c r="Y436" s="1">
        <f t="shared" si="123"/>
        <v>20732594.816891678</v>
      </c>
      <c r="AA436" s="2">
        <f>+Bono!J436</f>
        <v>437053.29186130012</v>
      </c>
      <c r="AC436" s="10">
        <f t="shared" si="129"/>
        <v>34.416666666666664</v>
      </c>
      <c r="AD436" s="1">
        <f t="shared" si="130"/>
        <v>22051812.820647202</v>
      </c>
    </row>
    <row r="437" spans="2:30">
      <c r="B437" s="1">
        <f t="shared" si="124"/>
        <v>414</v>
      </c>
      <c r="C437" s="2">
        <f t="shared" si="131"/>
        <v>34</v>
      </c>
      <c r="D437" s="2">
        <f t="shared" si="132"/>
        <v>6</v>
      </c>
      <c r="E437" s="2">
        <f t="shared" si="133"/>
        <v>63</v>
      </c>
      <c r="F437" s="1">
        <f t="shared" si="125"/>
        <v>882164.71189422382</v>
      </c>
      <c r="H437" s="1">
        <f t="shared" si="121"/>
        <v>7034.5052940679716</v>
      </c>
      <c r="I437" s="1">
        <v>0</v>
      </c>
      <c r="J437" s="69">
        <f>-SUM(F437:H437)*$J$21</f>
        <v>-8002.792954694627</v>
      </c>
      <c r="K437" s="1">
        <f t="shared" si="126"/>
        <v>-881.19642423359721</v>
      </c>
      <c r="L437" s="1">
        <f t="shared" si="122"/>
        <v>880315.22780936363</v>
      </c>
      <c r="N437" s="1">
        <f t="shared" si="127"/>
        <v>414</v>
      </c>
      <c r="O437" s="2">
        <f t="shared" si="134"/>
        <v>34</v>
      </c>
      <c r="P437" s="2">
        <f t="shared" si="135"/>
        <v>6</v>
      </c>
      <c r="Q437" s="2">
        <f t="shared" si="136"/>
        <v>34</v>
      </c>
      <c r="R437" s="1">
        <f t="shared" si="128"/>
        <v>20732594.816891678</v>
      </c>
      <c r="S437" s="4">
        <f>IF($G$4="mensual",S436,0)</f>
        <v>10000</v>
      </c>
      <c r="U437" s="1">
        <f t="shared" si="137"/>
        <v>165404.3639297456</v>
      </c>
      <c r="V437" s="35">
        <f t="shared" si="139"/>
        <v>-289.12690515283663</v>
      </c>
      <c r="X437" s="35">
        <f t="shared" si="138"/>
        <v>-20907.999180821422</v>
      </c>
      <c r="Y437" s="1">
        <f t="shared" si="123"/>
        <v>20886802.054735448</v>
      </c>
      <c r="AA437" s="2">
        <f>+Bono!J437</f>
        <v>435801.24347970507</v>
      </c>
      <c r="AC437" s="10">
        <f t="shared" si="129"/>
        <v>34.5</v>
      </c>
      <c r="AD437" s="1">
        <f t="shared" si="130"/>
        <v>22202918.526024517</v>
      </c>
    </row>
    <row r="438" spans="2:30">
      <c r="B438" s="1">
        <f t="shared" si="124"/>
        <v>415</v>
      </c>
      <c r="C438" s="2">
        <f t="shared" si="131"/>
        <v>34</v>
      </c>
      <c r="D438" s="2">
        <f t="shared" si="132"/>
        <v>7</v>
      </c>
      <c r="E438" s="2">
        <f t="shared" si="133"/>
        <v>63</v>
      </c>
      <c r="F438" s="1">
        <f t="shared" si="125"/>
        <v>880315.22780936363</v>
      </c>
      <c r="H438" s="1">
        <f t="shared" si="121"/>
        <v>7019.7572482542737</v>
      </c>
      <c r="I438" s="1">
        <v>0</v>
      </c>
      <c r="J438" s="1">
        <v>0</v>
      </c>
      <c r="K438" s="1">
        <f t="shared" si="126"/>
        <v>-887.33498505761793</v>
      </c>
      <c r="L438" s="1">
        <f t="shared" si="122"/>
        <v>886447.6500725603</v>
      </c>
      <c r="N438" s="1">
        <f t="shared" si="127"/>
        <v>415</v>
      </c>
      <c r="O438" s="2">
        <f t="shared" si="134"/>
        <v>34</v>
      </c>
      <c r="P438" s="2">
        <f t="shared" si="135"/>
        <v>7</v>
      </c>
      <c r="Q438" s="2">
        <f t="shared" si="136"/>
        <v>34</v>
      </c>
      <c r="R438" s="1">
        <f t="shared" si="128"/>
        <v>20886802.054735448</v>
      </c>
      <c r="S438" s="1">
        <f>+IF($G$4="mensual",S432,IF($G$4="trimestral",S432,IF($G$4="semestral",S432,0)))</f>
        <v>10000</v>
      </c>
      <c r="U438" s="1">
        <f t="shared" si="137"/>
        <v>166634.03409946518</v>
      </c>
      <c r="V438" s="35">
        <f t="shared" si="139"/>
        <v>-289.12690515283663</v>
      </c>
      <c r="X438" s="35">
        <f t="shared" si="138"/>
        <v>-21063.436088834911</v>
      </c>
      <c r="Y438" s="1">
        <f t="shared" si="123"/>
        <v>21042083.525840923</v>
      </c>
      <c r="AA438" s="2">
        <f>+Bono!J438</f>
        <v>438503.26173909468</v>
      </c>
      <c r="AC438" s="10">
        <f t="shared" si="129"/>
        <v>34.583333333333336</v>
      </c>
      <c r="AD438" s="1">
        <f t="shared" si="130"/>
        <v>22367034.437652577</v>
      </c>
    </row>
    <row r="439" spans="2:30">
      <c r="B439" s="1">
        <f t="shared" si="124"/>
        <v>416</v>
      </c>
      <c r="C439" s="2">
        <f t="shared" si="131"/>
        <v>34</v>
      </c>
      <c r="D439" s="2">
        <f t="shared" si="132"/>
        <v>8</v>
      </c>
      <c r="E439" s="2">
        <f t="shared" si="133"/>
        <v>63</v>
      </c>
      <c r="F439" s="1">
        <f t="shared" si="125"/>
        <v>886447.6500725603</v>
      </c>
      <c r="H439" s="1">
        <f t="shared" si="121"/>
        <v>7068.6580445503396</v>
      </c>
      <c r="I439" s="1">
        <v>0</v>
      </c>
      <c r="J439" s="1">
        <v>0</v>
      </c>
      <c r="K439" s="1">
        <f t="shared" si="126"/>
        <v>-893.51630811711061</v>
      </c>
      <c r="L439" s="1">
        <f t="shared" si="122"/>
        <v>892622.79180899356</v>
      </c>
      <c r="N439" s="1">
        <f t="shared" si="127"/>
        <v>416</v>
      </c>
      <c r="O439" s="2">
        <f t="shared" si="134"/>
        <v>34</v>
      </c>
      <c r="P439" s="2">
        <f t="shared" si="135"/>
        <v>8</v>
      </c>
      <c r="Q439" s="2">
        <f t="shared" si="136"/>
        <v>34</v>
      </c>
      <c r="R439" s="1">
        <f t="shared" si="128"/>
        <v>21042083.525840923</v>
      </c>
      <c r="S439" s="4">
        <f>IF($G$4="mensual",S438,0)</f>
        <v>10000</v>
      </c>
      <c r="U439" s="1">
        <f t="shared" si="137"/>
        <v>167872.27035606702</v>
      </c>
      <c r="V439" s="35">
        <f t="shared" si="139"/>
        <v>-289.12690515283663</v>
      </c>
      <c r="X439" s="35">
        <f t="shared" si="138"/>
        <v>-21219.955796196991</v>
      </c>
      <c r="Y439" s="1">
        <f t="shared" si="123"/>
        <v>21198446.713495638</v>
      </c>
      <c r="AA439" s="2">
        <f>+Bono!J439</f>
        <v>441222.03282510728</v>
      </c>
      <c r="AC439" s="10">
        <f t="shared" si="129"/>
        <v>34.666666666666664</v>
      </c>
      <c r="AD439" s="1">
        <f t="shared" si="130"/>
        <v>22532291.538129739</v>
      </c>
    </row>
    <row r="440" spans="2:30">
      <c r="B440" s="1">
        <f t="shared" si="124"/>
        <v>417</v>
      </c>
      <c r="C440" s="2">
        <f t="shared" si="131"/>
        <v>34</v>
      </c>
      <c r="D440" s="2">
        <f t="shared" si="132"/>
        <v>9</v>
      </c>
      <c r="E440" s="2">
        <f t="shared" si="133"/>
        <v>63</v>
      </c>
      <c r="F440" s="1">
        <f t="shared" si="125"/>
        <v>892622.79180899356</v>
      </c>
      <c r="H440" s="1">
        <f t="shared" si="121"/>
        <v>7117.8994919250435</v>
      </c>
      <c r="I440" s="1">
        <v>0</v>
      </c>
      <c r="J440" s="69">
        <f>-SUM(F440:H440)*$J$21</f>
        <v>-8097.6662217082685</v>
      </c>
      <c r="K440" s="1">
        <f t="shared" si="126"/>
        <v>-891.64302507921036</v>
      </c>
      <c r="L440" s="1">
        <f t="shared" si="122"/>
        <v>890751.38205413113</v>
      </c>
      <c r="N440" s="1">
        <f t="shared" si="127"/>
        <v>417</v>
      </c>
      <c r="O440" s="2">
        <f t="shared" si="134"/>
        <v>34</v>
      </c>
      <c r="P440" s="2">
        <f t="shared" si="135"/>
        <v>9</v>
      </c>
      <c r="Q440" s="2">
        <f t="shared" si="136"/>
        <v>34</v>
      </c>
      <c r="R440" s="1">
        <f t="shared" si="128"/>
        <v>21198446.713495638</v>
      </c>
      <c r="S440" s="4">
        <f>IF($G$4="mensual",S439,0)</f>
        <v>10000</v>
      </c>
      <c r="U440" s="1">
        <f t="shared" si="137"/>
        <v>169119.13237233675</v>
      </c>
      <c r="V440" s="35">
        <f t="shared" si="139"/>
        <v>-289.12690515283663</v>
      </c>
      <c r="X440" s="35">
        <f t="shared" si="138"/>
        <v>-21377.565845867975</v>
      </c>
      <c r="Y440" s="1">
        <f t="shared" si="123"/>
        <v>21355899.153116953</v>
      </c>
      <c r="AA440" s="2">
        <f>+Bono!J440</f>
        <v>439958.04204318213</v>
      </c>
      <c r="AC440" s="10">
        <f t="shared" si="129"/>
        <v>34.75</v>
      </c>
      <c r="AD440" s="1">
        <f t="shared" si="130"/>
        <v>22686608.577214267</v>
      </c>
    </row>
    <row r="441" spans="2:30">
      <c r="B441" s="1">
        <f t="shared" si="124"/>
        <v>418</v>
      </c>
      <c r="C441" s="2">
        <f t="shared" si="131"/>
        <v>34</v>
      </c>
      <c r="D441" s="2">
        <f t="shared" si="132"/>
        <v>10</v>
      </c>
      <c r="E441" s="2">
        <f t="shared" si="133"/>
        <v>63</v>
      </c>
      <c r="F441" s="1">
        <f t="shared" si="125"/>
        <v>890751.38205413113</v>
      </c>
      <c r="H441" s="1">
        <f t="shared" si="121"/>
        <v>7102.9766077397499</v>
      </c>
      <c r="I441" s="1">
        <v>0</v>
      </c>
      <c r="J441" s="1">
        <v>0</v>
      </c>
      <c r="K441" s="1">
        <f t="shared" si="126"/>
        <v>-897.85435866187083</v>
      </c>
      <c r="L441" s="1">
        <f t="shared" si="122"/>
        <v>896956.5043032089</v>
      </c>
      <c r="N441" s="1">
        <f t="shared" si="127"/>
        <v>418</v>
      </c>
      <c r="O441" s="2">
        <f t="shared" si="134"/>
        <v>34</v>
      </c>
      <c r="P441" s="2">
        <f t="shared" si="135"/>
        <v>10</v>
      </c>
      <c r="Q441" s="2">
        <f t="shared" si="136"/>
        <v>34</v>
      </c>
      <c r="R441" s="1">
        <f t="shared" si="128"/>
        <v>21355899.153116953</v>
      </c>
      <c r="S441" s="4">
        <f>IF($G$4="mensual",S432,IF($G$4="trimestral",S432,0))</f>
        <v>10000</v>
      </c>
      <c r="U441" s="1">
        <f t="shared" si="137"/>
        <v>170374.6802367506</v>
      </c>
      <c r="V441" s="35">
        <f t="shared" si="139"/>
        <v>-289.12690515283663</v>
      </c>
      <c r="X441" s="35">
        <f t="shared" si="138"/>
        <v>-21536.273833353702</v>
      </c>
      <c r="Y441" s="1">
        <f t="shared" si="123"/>
        <v>21514448.432615194</v>
      </c>
      <c r="AA441" s="2">
        <f>+Bono!J441</f>
        <v>442685.83293582406</v>
      </c>
      <c r="AC441" s="10">
        <f t="shared" si="129"/>
        <v>34.833333333333336</v>
      </c>
      <c r="AD441" s="1">
        <f t="shared" si="130"/>
        <v>22854090.769854229</v>
      </c>
    </row>
    <row r="442" spans="2:30">
      <c r="B442" s="1">
        <f t="shared" si="124"/>
        <v>419</v>
      </c>
      <c r="C442" s="2">
        <f t="shared" si="131"/>
        <v>34</v>
      </c>
      <c r="D442" s="2">
        <f t="shared" si="132"/>
        <v>11</v>
      </c>
      <c r="E442" s="2">
        <f t="shared" si="133"/>
        <v>63</v>
      </c>
      <c r="F442" s="1">
        <f t="shared" si="125"/>
        <v>896956.5043032089</v>
      </c>
      <c r="H442" s="1">
        <f t="shared" si="121"/>
        <v>7152.4571239324114</v>
      </c>
      <c r="I442" s="1">
        <v>0</v>
      </c>
      <c r="J442" s="1">
        <v>0</v>
      </c>
      <c r="K442" s="1">
        <f t="shared" si="126"/>
        <v>-904.10896142714137</v>
      </c>
      <c r="L442" s="1">
        <f t="shared" si="122"/>
        <v>903204.85246571421</v>
      </c>
      <c r="N442" s="1">
        <f t="shared" si="127"/>
        <v>419</v>
      </c>
      <c r="O442" s="2">
        <f t="shared" si="134"/>
        <v>34</v>
      </c>
      <c r="P442" s="2">
        <f t="shared" si="135"/>
        <v>11</v>
      </c>
      <c r="Q442" s="2">
        <f t="shared" si="136"/>
        <v>34</v>
      </c>
      <c r="R442" s="1">
        <f t="shared" si="128"/>
        <v>21514448.432615194</v>
      </c>
      <c r="S442" s="1">
        <f>IF($G$17="si",S430*(1+$G$20),S430)</f>
        <v>10000</v>
      </c>
      <c r="U442" s="1">
        <f t="shared" si="137"/>
        <v>171638.97445637107</v>
      </c>
      <c r="V442" s="35">
        <f t="shared" si="139"/>
        <v>-289.12690515283663</v>
      </c>
      <c r="X442" s="35">
        <f t="shared" si="138"/>
        <v>-21696.087407071565</v>
      </c>
      <c r="Y442" s="1">
        <f t="shared" si="123"/>
        <v>21674102.192759339</v>
      </c>
      <c r="AA442" s="2">
        <f>+Bono!J442</f>
        <v>445430.53644840454</v>
      </c>
      <c r="AC442" s="10">
        <f t="shared" si="129"/>
        <v>34.916666666666664</v>
      </c>
      <c r="AD442" s="1">
        <f t="shared" si="130"/>
        <v>23022737.581673458</v>
      </c>
    </row>
    <row r="443" spans="2:30">
      <c r="B443" s="1">
        <f t="shared" si="124"/>
        <v>420</v>
      </c>
      <c r="C443" s="2">
        <f t="shared" si="131"/>
        <v>34</v>
      </c>
      <c r="D443" s="2">
        <f t="shared" si="132"/>
        <v>12</v>
      </c>
      <c r="E443" s="2">
        <f t="shared" si="133"/>
        <v>63</v>
      </c>
      <c r="F443" s="1">
        <f t="shared" si="125"/>
        <v>903204.85246571421</v>
      </c>
      <c r="H443" s="1">
        <f t="shared" si="121"/>
        <v>7202.2823296289116</v>
      </c>
      <c r="I443" s="1">
        <v>0</v>
      </c>
      <c r="J443" s="69">
        <f>-SUM(F443:H443)*$J$21</f>
        <v>-8193.6642131580902</v>
      </c>
      <c r="K443" s="1">
        <f t="shared" si="126"/>
        <v>-902.2134705821851</v>
      </c>
      <c r="L443" s="1">
        <f t="shared" si="122"/>
        <v>901311.25711160293</v>
      </c>
      <c r="N443" s="1">
        <f t="shared" si="127"/>
        <v>420</v>
      </c>
      <c r="O443" s="2">
        <f t="shared" si="134"/>
        <v>34</v>
      </c>
      <c r="P443" s="2">
        <f t="shared" si="135"/>
        <v>12</v>
      </c>
      <c r="Q443" s="2">
        <f t="shared" si="136"/>
        <v>34</v>
      </c>
      <c r="R443" s="1">
        <f t="shared" si="128"/>
        <v>21674102.192759339</v>
      </c>
      <c r="S443" s="4">
        <f>IF($G$4="mensual",S442,0)</f>
        <v>10000</v>
      </c>
      <c r="U443" s="1">
        <f t="shared" si="137"/>
        <v>172912.07595976299</v>
      </c>
      <c r="V443" s="35">
        <f t="shared" si="139"/>
        <v>-289.12690515283663</v>
      </c>
      <c r="X443" s="35">
        <f t="shared" si="138"/>
        <v>-21857.014268719104</v>
      </c>
      <c r="Y443" s="1">
        <f t="shared" si="123"/>
        <v>21834868.12754523</v>
      </c>
      <c r="AA443" s="2">
        <f>+Bono!J443</f>
        <v>444154.48935607373</v>
      </c>
      <c r="AC443" s="10">
        <f t="shared" si="129"/>
        <v>35</v>
      </c>
      <c r="AD443" s="1">
        <f t="shared" si="130"/>
        <v>23180333.874012906</v>
      </c>
    </row>
    <row r="444" spans="2:30">
      <c r="B444" s="1">
        <f t="shared" si="124"/>
        <v>421</v>
      </c>
      <c r="C444" s="2">
        <f t="shared" si="131"/>
        <v>35</v>
      </c>
      <c r="D444" s="2">
        <f t="shared" si="132"/>
        <v>1</v>
      </c>
      <c r="E444" s="2">
        <f t="shared" si="133"/>
        <v>64</v>
      </c>
      <c r="F444" s="1">
        <f t="shared" si="125"/>
        <v>901311.25711160293</v>
      </c>
      <c r="H444" s="1">
        <f t="shared" si="121"/>
        <v>7187.1825343597084</v>
      </c>
      <c r="I444" s="1">
        <v>0</v>
      </c>
      <c r="J444" s="1">
        <v>0</v>
      </c>
      <c r="K444" s="1">
        <f t="shared" si="126"/>
        <v>-908.49843964596266</v>
      </c>
      <c r="L444" s="1">
        <f t="shared" si="122"/>
        <v>907589.9412063167</v>
      </c>
      <c r="N444" s="1">
        <f t="shared" si="127"/>
        <v>421</v>
      </c>
      <c r="O444" s="2">
        <f t="shared" si="134"/>
        <v>35</v>
      </c>
      <c r="P444" s="2">
        <f t="shared" si="135"/>
        <v>1</v>
      </c>
      <c r="Q444" s="2">
        <f t="shared" si="136"/>
        <v>35</v>
      </c>
      <c r="R444" s="1">
        <f t="shared" si="128"/>
        <v>21834868.12754523</v>
      </c>
      <c r="S444" s="1">
        <f>IF($G$17="si",S432*(1+$G$20),S432)</f>
        <v>10000</v>
      </c>
      <c r="U444" s="1">
        <f t="shared" si="137"/>
        <v>174194.04609992969</v>
      </c>
      <c r="V444" s="35">
        <f>(V443*(1+$G$18))</f>
        <v>-300.6919813589501</v>
      </c>
      <c r="X444" s="35">
        <f t="shared" si="138"/>
        <v>-22019.062173645161</v>
      </c>
      <c r="Y444" s="1">
        <f t="shared" si="123"/>
        <v>21996742.419490155</v>
      </c>
      <c r="AA444" s="2">
        <f>+Bono!J444</f>
        <v>446908.29870881338</v>
      </c>
      <c r="AC444" s="10">
        <f t="shared" si="129"/>
        <v>35.083333333333336</v>
      </c>
      <c r="AD444" s="1">
        <f t="shared" si="130"/>
        <v>23351240.659405287</v>
      </c>
    </row>
    <row r="445" spans="2:30">
      <c r="B445" s="1">
        <f t="shared" si="124"/>
        <v>422</v>
      </c>
      <c r="C445" s="2">
        <f t="shared" si="131"/>
        <v>35</v>
      </c>
      <c r="D445" s="2">
        <f t="shared" si="132"/>
        <v>2</v>
      </c>
      <c r="E445" s="2">
        <f t="shared" si="133"/>
        <v>64</v>
      </c>
      <c r="F445" s="1">
        <f t="shared" si="125"/>
        <v>907589.9412063167</v>
      </c>
      <c r="H445" s="1">
        <f t="shared" si="121"/>
        <v>7237.2496430396804</v>
      </c>
      <c r="I445" s="1">
        <v>0</v>
      </c>
      <c r="J445" s="1">
        <v>0</v>
      </c>
      <c r="K445" s="1">
        <f t="shared" si="126"/>
        <v>-914.82719084935638</v>
      </c>
      <c r="L445" s="1">
        <f t="shared" si="122"/>
        <v>913912.36365850701</v>
      </c>
      <c r="N445" s="1">
        <f t="shared" si="127"/>
        <v>422</v>
      </c>
      <c r="O445" s="2">
        <f t="shared" si="134"/>
        <v>35</v>
      </c>
      <c r="P445" s="2">
        <f t="shared" si="135"/>
        <v>2</v>
      </c>
      <c r="Q445" s="2">
        <f t="shared" si="136"/>
        <v>35</v>
      </c>
      <c r="R445" s="1">
        <f t="shared" si="128"/>
        <v>21996742.419490155</v>
      </c>
      <c r="S445" s="4">
        <f>IF($G$4="mensual",S444,0)</f>
        <v>10000</v>
      </c>
      <c r="U445" s="1">
        <f t="shared" si="137"/>
        <v>175484.85443572787</v>
      </c>
      <c r="V445" s="35">
        <f t="shared" si="139"/>
        <v>-300.6919813589501</v>
      </c>
      <c r="X445" s="35">
        <f t="shared" si="138"/>
        <v>-22182.227273925881</v>
      </c>
      <c r="Y445" s="1">
        <f t="shared" si="123"/>
        <v>22159744.354670595</v>
      </c>
      <c r="AA445" s="2">
        <f>+Bono!J445</f>
        <v>449679.18199896219</v>
      </c>
      <c r="AC445" s="10">
        <f t="shared" si="129"/>
        <v>35.166666666666664</v>
      </c>
      <c r="AD445" s="1">
        <f t="shared" si="130"/>
        <v>23523335.900328062</v>
      </c>
    </row>
    <row r="446" spans="2:30">
      <c r="B446" s="1">
        <f t="shared" si="124"/>
        <v>423</v>
      </c>
      <c r="C446" s="2">
        <f t="shared" si="131"/>
        <v>35</v>
      </c>
      <c r="D446" s="2">
        <f t="shared" si="132"/>
        <v>3</v>
      </c>
      <c r="E446" s="2">
        <f t="shared" si="133"/>
        <v>64</v>
      </c>
      <c r="F446" s="1">
        <f t="shared" si="125"/>
        <v>913912.36365850701</v>
      </c>
      <c r="H446" s="1">
        <f t="shared" si="121"/>
        <v>7287.6655275243002</v>
      </c>
      <c r="I446" s="1">
        <v>0</v>
      </c>
      <c r="J446" s="69">
        <f>-SUM(F446:H446)*$J$21</f>
        <v>-8290.8002626742837</v>
      </c>
      <c r="K446" s="1">
        <f t="shared" si="126"/>
        <v>-912.90922892335698</v>
      </c>
      <c r="L446" s="1">
        <f t="shared" si="122"/>
        <v>911996.31969443359</v>
      </c>
      <c r="N446" s="1">
        <f t="shared" si="127"/>
        <v>423</v>
      </c>
      <c r="O446" s="2">
        <f t="shared" si="134"/>
        <v>35</v>
      </c>
      <c r="P446" s="2">
        <f t="shared" si="135"/>
        <v>3</v>
      </c>
      <c r="Q446" s="2">
        <f t="shared" si="136"/>
        <v>35</v>
      </c>
      <c r="R446" s="1">
        <f t="shared" si="128"/>
        <v>22159744.354670595</v>
      </c>
      <c r="S446" s="4">
        <f>IF($G$4="mensual",S445,0)</f>
        <v>10000</v>
      </c>
      <c r="U446" s="1">
        <f t="shared" si="137"/>
        <v>176784.6547570398</v>
      </c>
      <c r="V446" s="35">
        <f t="shared" si="139"/>
        <v>-300.6919813589501</v>
      </c>
      <c r="X446" s="35">
        <f t="shared" si="138"/>
        <v>-22346.529009427639</v>
      </c>
      <c r="Y446" s="1">
        <f t="shared" si="123"/>
        <v>22323881.788436849</v>
      </c>
      <c r="AA446" s="2">
        <f>+Bono!J446</f>
        <v>448390.96359964291</v>
      </c>
      <c r="AC446" s="10">
        <f t="shared" si="129"/>
        <v>35.25</v>
      </c>
      <c r="AD446" s="1">
        <f t="shared" si="130"/>
        <v>23684269.071730927</v>
      </c>
    </row>
    <row r="447" spans="2:30">
      <c r="B447" s="1">
        <f t="shared" si="124"/>
        <v>424</v>
      </c>
      <c r="C447" s="2">
        <f t="shared" si="131"/>
        <v>35</v>
      </c>
      <c r="D447" s="2">
        <f t="shared" si="132"/>
        <v>4</v>
      </c>
      <c r="E447" s="2">
        <f t="shared" si="133"/>
        <v>64</v>
      </c>
      <c r="F447" s="1">
        <f t="shared" si="125"/>
        <v>911996.31969443359</v>
      </c>
      <c r="H447" s="1">
        <f t="shared" si="121"/>
        <v>7272.3867238868252</v>
      </c>
      <c r="I447" s="1">
        <v>0</v>
      </c>
      <c r="J447" s="1">
        <v>0</v>
      </c>
      <c r="K447" s="1">
        <f t="shared" si="126"/>
        <v>-919.26870641832045</v>
      </c>
      <c r="L447" s="1">
        <f t="shared" si="122"/>
        <v>918349.43771190208</v>
      </c>
      <c r="N447" s="1">
        <f t="shared" si="127"/>
        <v>424</v>
      </c>
      <c r="O447" s="2">
        <f t="shared" si="134"/>
        <v>35</v>
      </c>
      <c r="P447" s="2">
        <f t="shared" si="135"/>
        <v>4</v>
      </c>
      <c r="Q447" s="2">
        <f t="shared" si="136"/>
        <v>35</v>
      </c>
      <c r="R447" s="1">
        <f t="shared" si="128"/>
        <v>22323881.788436849</v>
      </c>
      <c r="S447" s="4">
        <f>IF($G$4="mensual",S444,IF($G$4="trimestral",S444,0))</f>
        <v>10000</v>
      </c>
      <c r="U447" s="1">
        <f t="shared" si="137"/>
        <v>178093.50970353177</v>
      </c>
      <c r="V447" s="35">
        <f t="shared" si="139"/>
        <v>-300.6919813589501</v>
      </c>
      <c r="X447" s="35">
        <f t="shared" si="138"/>
        <v>-22511.97529814038</v>
      </c>
      <c r="Y447" s="1">
        <f t="shared" si="123"/>
        <v>22489162.63086088</v>
      </c>
      <c r="AA447" s="2">
        <f>+Bono!J447</f>
        <v>451171.03958409326</v>
      </c>
      <c r="AC447" s="10">
        <f t="shared" si="129"/>
        <v>35.333333333333336</v>
      </c>
      <c r="AD447" s="1">
        <f t="shared" si="130"/>
        <v>23858683.108156875</v>
      </c>
    </row>
    <row r="448" spans="2:30">
      <c r="B448" s="1">
        <f t="shared" si="124"/>
        <v>425</v>
      </c>
      <c r="C448" s="2">
        <f t="shared" si="131"/>
        <v>35</v>
      </c>
      <c r="D448" s="2">
        <f t="shared" si="132"/>
        <v>5</v>
      </c>
      <c r="E448" s="2">
        <f t="shared" si="133"/>
        <v>64</v>
      </c>
      <c r="F448" s="1">
        <f t="shared" si="125"/>
        <v>918349.43771190208</v>
      </c>
      <c r="H448" s="1">
        <f t="shared" si="121"/>
        <v>7323.0473791195172</v>
      </c>
      <c r="I448" s="1">
        <v>0</v>
      </c>
      <c r="J448" s="1">
        <v>0</v>
      </c>
      <c r="K448" s="1">
        <f t="shared" si="126"/>
        <v>-925.6724850910216</v>
      </c>
      <c r="L448" s="1">
        <f t="shared" si="122"/>
        <v>924746.81260593061</v>
      </c>
      <c r="N448" s="1">
        <f t="shared" si="127"/>
        <v>425</v>
      </c>
      <c r="O448" s="2">
        <f t="shared" si="134"/>
        <v>35</v>
      </c>
      <c r="P448" s="2">
        <f t="shared" si="135"/>
        <v>5</v>
      </c>
      <c r="Q448" s="2">
        <f t="shared" si="136"/>
        <v>35</v>
      </c>
      <c r="R448" s="1">
        <f t="shared" si="128"/>
        <v>22489162.63086088</v>
      </c>
      <c r="S448" s="4">
        <f>IF($G$4="mensual",S447,0)</f>
        <v>10000</v>
      </c>
      <c r="U448" s="1">
        <f t="shared" si="137"/>
        <v>179411.48235122854</v>
      </c>
      <c r="V448" s="35">
        <f t="shared" si="139"/>
        <v>-300.6919813589501</v>
      </c>
      <c r="X448" s="35">
        <f t="shared" si="138"/>
        <v>-22678.574113212107</v>
      </c>
      <c r="Y448" s="1">
        <f t="shared" si="123"/>
        <v>22655594.847117536</v>
      </c>
      <c r="AA448" s="2">
        <f>+Bono!J448</f>
        <v>453968.3523621161</v>
      </c>
      <c r="AC448" s="10">
        <f t="shared" si="129"/>
        <v>35.416666666666664</v>
      </c>
      <c r="AD448" s="1">
        <f t="shared" si="130"/>
        <v>24034310.012085583</v>
      </c>
    </row>
    <row r="449" spans="2:30">
      <c r="B449" s="1">
        <f t="shared" si="124"/>
        <v>426</v>
      </c>
      <c r="C449" s="2">
        <f t="shared" si="131"/>
        <v>35</v>
      </c>
      <c r="D449" s="2">
        <f t="shared" si="132"/>
        <v>6</v>
      </c>
      <c r="E449" s="2">
        <f t="shared" si="133"/>
        <v>64</v>
      </c>
      <c r="F449" s="1">
        <f t="shared" si="125"/>
        <v>924746.81260593061</v>
      </c>
      <c r="H449" s="1">
        <f t="shared" si="121"/>
        <v>7374.0609449008443</v>
      </c>
      <c r="I449" s="1">
        <v>0</v>
      </c>
      <c r="J449" s="69">
        <f>-SUM(F449:H449)*$J$21</f>
        <v>-8389.0878619574833</v>
      </c>
      <c r="K449" s="1">
        <f t="shared" si="126"/>
        <v>-923.73178568887397</v>
      </c>
      <c r="L449" s="1">
        <f t="shared" si="122"/>
        <v>922808.05390318506</v>
      </c>
      <c r="N449" s="1">
        <f t="shared" si="127"/>
        <v>426</v>
      </c>
      <c r="O449" s="2">
        <f t="shared" si="134"/>
        <v>35</v>
      </c>
      <c r="P449" s="2">
        <f t="shared" si="135"/>
        <v>6</v>
      </c>
      <c r="Q449" s="2">
        <f t="shared" si="136"/>
        <v>35</v>
      </c>
      <c r="R449" s="1">
        <f t="shared" si="128"/>
        <v>22655594.847117536</v>
      </c>
      <c r="S449" s="4">
        <f>IF($G$4="mensual",S448,0)</f>
        <v>10000</v>
      </c>
      <c r="U449" s="1">
        <f t="shared" si="137"/>
        <v>180738.63621555277</v>
      </c>
      <c r="V449" s="35">
        <f t="shared" si="139"/>
        <v>-300.6919813589501</v>
      </c>
      <c r="X449" s="35">
        <f t="shared" si="138"/>
        <v>-22846.333483333088</v>
      </c>
      <c r="Y449" s="1">
        <f t="shared" si="123"/>
        <v>22823186.457868394</v>
      </c>
      <c r="AA449" s="2">
        <f>+Bono!J449</f>
        <v>452667.84656235494</v>
      </c>
      <c r="AC449" s="10">
        <f t="shared" si="129"/>
        <v>35.5</v>
      </c>
      <c r="AD449" s="1">
        <f t="shared" si="130"/>
        <v>24198662.358333934</v>
      </c>
    </row>
    <row r="450" spans="2:30">
      <c r="B450" s="1">
        <f t="shared" si="124"/>
        <v>427</v>
      </c>
      <c r="C450" s="2">
        <f t="shared" si="131"/>
        <v>35</v>
      </c>
      <c r="D450" s="2">
        <f t="shared" si="132"/>
        <v>7</v>
      </c>
      <c r="E450" s="2">
        <f t="shared" si="133"/>
        <v>64</v>
      </c>
      <c r="F450" s="1">
        <f t="shared" si="125"/>
        <v>922808.05390318506</v>
      </c>
      <c r="H450" s="1">
        <f t="shared" si="121"/>
        <v>7358.6010107473921</v>
      </c>
      <c r="I450" s="1">
        <v>0</v>
      </c>
      <c r="J450" s="1">
        <v>0</v>
      </c>
      <c r="K450" s="1">
        <f t="shared" si="126"/>
        <v>-930.16665491393246</v>
      </c>
      <c r="L450" s="1">
        <f t="shared" si="122"/>
        <v>929236.48825901852</v>
      </c>
      <c r="N450" s="1">
        <f t="shared" si="127"/>
        <v>427</v>
      </c>
      <c r="O450" s="2">
        <f t="shared" si="134"/>
        <v>35</v>
      </c>
      <c r="P450" s="2">
        <f t="shared" si="135"/>
        <v>7</v>
      </c>
      <c r="Q450" s="2">
        <f t="shared" si="136"/>
        <v>35</v>
      </c>
      <c r="R450" s="1">
        <f t="shared" si="128"/>
        <v>22823186.457868394</v>
      </c>
      <c r="S450" s="1">
        <f>+IF($G$4="mensual",S444,IF($G$4="trimestral",S444,IF($G$4="semestral",S444,0)))</f>
        <v>10000</v>
      </c>
      <c r="U450" s="1">
        <f t="shared" si="137"/>
        <v>182075.03525438628</v>
      </c>
      <c r="V450" s="35">
        <f t="shared" si="139"/>
        <v>-300.6919813589501</v>
      </c>
      <c r="X450" s="35">
        <f t="shared" si="138"/>
        <v>-23015.26149312278</v>
      </c>
      <c r="Y450" s="1">
        <f t="shared" si="123"/>
        <v>22991945.539648294</v>
      </c>
      <c r="AA450" s="2">
        <f>+Bono!J450</f>
        <v>455474.43971726188</v>
      </c>
      <c r="AC450" s="10">
        <f t="shared" si="129"/>
        <v>35.583333333333336</v>
      </c>
      <c r="AD450" s="1">
        <f t="shared" si="130"/>
        <v>24376656.467624575</v>
      </c>
    </row>
    <row r="451" spans="2:30">
      <c r="B451" s="1">
        <f t="shared" si="124"/>
        <v>428</v>
      </c>
      <c r="C451" s="2">
        <f t="shared" si="131"/>
        <v>35</v>
      </c>
      <c r="D451" s="2">
        <f t="shared" si="132"/>
        <v>8</v>
      </c>
      <c r="E451" s="2">
        <f t="shared" si="133"/>
        <v>64</v>
      </c>
      <c r="F451" s="1">
        <f t="shared" si="125"/>
        <v>929236.48825901852</v>
      </c>
      <c r="H451" s="1">
        <f t="shared" si="121"/>
        <v>7409.8622490387979</v>
      </c>
      <c r="I451" s="1">
        <v>0</v>
      </c>
      <c r="J451" s="1">
        <v>0</v>
      </c>
      <c r="K451" s="1">
        <f t="shared" si="126"/>
        <v>-936.64635050805725</v>
      </c>
      <c r="L451" s="1">
        <f t="shared" si="122"/>
        <v>935709.70415754919</v>
      </c>
      <c r="N451" s="1">
        <f t="shared" si="127"/>
        <v>428</v>
      </c>
      <c r="O451" s="2">
        <f t="shared" si="134"/>
        <v>35</v>
      </c>
      <c r="P451" s="2">
        <f t="shared" si="135"/>
        <v>8</v>
      </c>
      <c r="Q451" s="2">
        <f t="shared" si="136"/>
        <v>35</v>
      </c>
      <c r="R451" s="1">
        <f t="shared" si="128"/>
        <v>22991945.539648294</v>
      </c>
      <c r="S451" s="4">
        <f>IF($G$4="mensual",S450,0)</f>
        <v>10000</v>
      </c>
      <c r="U451" s="1">
        <f t="shared" si="137"/>
        <v>183420.74387115208</v>
      </c>
      <c r="V451" s="35">
        <f t="shared" si="139"/>
        <v>-300.6919813589501</v>
      </c>
      <c r="X451" s="35">
        <f t="shared" si="138"/>
        <v>-23185.366283519448</v>
      </c>
      <c r="Y451" s="1">
        <f t="shared" si="123"/>
        <v>23161880.225254565</v>
      </c>
      <c r="AA451" s="2">
        <f>+Bono!J451</f>
        <v>458298.43407527386</v>
      </c>
      <c r="AC451" s="10">
        <f t="shared" si="129"/>
        <v>35.666666666666664</v>
      </c>
      <c r="AD451" s="1">
        <f t="shared" si="130"/>
        <v>24555888.363487389</v>
      </c>
    </row>
    <row r="452" spans="2:30">
      <c r="B452" s="1">
        <f t="shared" si="124"/>
        <v>429</v>
      </c>
      <c r="C452" s="2">
        <f t="shared" si="131"/>
        <v>35</v>
      </c>
      <c r="D452" s="2">
        <f t="shared" si="132"/>
        <v>9</v>
      </c>
      <c r="E452" s="2">
        <f t="shared" si="133"/>
        <v>64</v>
      </c>
      <c r="F452" s="1">
        <f t="shared" si="125"/>
        <v>935709.70415754919</v>
      </c>
      <c r="H452" s="1">
        <f t="shared" si="121"/>
        <v>7461.4805816402941</v>
      </c>
      <c r="I452" s="1">
        <v>0</v>
      </c>
      <c r="J452" s="69">
        <f>-SUM(F452:H452)*$J$21</f>
        <v>-8488.5406626527056</v>
      </c>
      <c r="K452" s="1">
        <f t="shared" si="126"/>
        <v>-934.6826440765368</v>
      </c>
      <c r="L452" s="1">
        <f t="shared" si="122"/>
        <v>933747.96143246023</v>
      </c>
      <c r="N452" s="1">
        <f t="shared" si="127"/>
        <v>429</v>
      </c>
      <c r="O452" s="2">
        <f t="shared" si="134"/>
        <v>35</v>
      </c>
      <c r="P452" s="2">
        <f t="shared" si="135"/>
        <v>9</v>
      </c>
      <c r="Q452" s="2">
        <f t="shared" si="136"/>
        <v>35</v>
      </c>
      <c r="R452" s="1">
        <f t="shared" si="128"/>
        <v>23161880.225254565</v>
      </c>
      <c r="S452" s="4">
        <f>IF($G$4="mensual",S451,0)</f>
        <v>10000</v>
      </c>
      <c r="U452" s="1">
        <f t="shared" si="137"/>
        <v>184775.82691791811</v>
      </c>
      <c r="V452" s="35">
        <f t="shared" si="139"/>
        <v>-300.6919813589501</v>
      </c>
      <c r="X452" s="35">
        <f t="shared" si="138"/>
        <v>-23356.656052172482</v>
      </c>
      <c r="Y452" s="1">
        <f t="shared" si="123"/>
        <v>23332998.70413895</v>
      </c>
      <c r="AA452" s="2">
        <f>+Bono!J452</f>
        <v>456985.52367428417</v>
      </c>
      <c r="AC452" s="10">
        <f t="shared" si="129"/>
        <v>35.75</v>
      </c>
      <c r="AD452" s="1">
        <f t="shared" si="130"/>
        <v>24723732.189245693</v>
      </c>
    </row>
    <row r="453" spans="2:30">
      <c r="B453" s="1">
        <f t="shared" si="124"/>
        <v>430</v>
      </c>
      <c r="C453" s="2">
        <f t="shared" si="131"/>
        <v>35</v>
      </c>
      <c r="D453" s="2">
        <f t="shared" si="132"/>
        <v>10</v>
      </c>
      <c r="E453" s="2">
        <f t="shared" si="133"/>
        <v>64</v>
      </c>
      <c r="F453" s="1">
        <f t="shared" si="125"/>
        <v>933747.96143246023</v>
      </c>
      <c r="H453" s="1">
        <f t="shared" si="121"/>
        <v>7445.8373696650542</v>
      </c>
      <c r="I453" s="1">
        <v>0</v>
      </c>
      <c r="J453" s="1">
        <v>0</v>
      </c>
      <c r="K453" s="1">
        <f t="shared" si="126"/>
        <v>-941.19379880212534</v>
      </c>
      <c r="L453" s="1">
        <f t="shared" si="122"/>
        <v>940252.60500332317</v>
      </c>
      <c r="N453" s="1">
        <f t="shared" si="127"/>
        <v>430</v>
      </c>
      <c r="O453" s="2">
        <f t="shared" si="134"/>
        <v>35</v>
      </c>
      <c r="P453" s="2">
        <f t="shared" si="135"/>
        <v>10</v>
      </c>
      <c r="Q453" s="2">
        <f t="shared" si="136"/>
        <v>35</v>
      </c>
      <c r="R453" s="1">
        <f t="shared" si="128"/>
        <v>23332998.70413895</v>
      </c>
      <c r="S453" s="4">
        <f>IF($G$4="mensual",S444,IF($G$4="trimestral",S444,0))</f>
        <v>10000</v>
      </c>
      <c r="U453" s="1">
        <f t="shared" si="137"/>
        <v>186140.34969852256</v>
      </c>
      <c r="V453" s="35">
        <f t="shared" si="139"/>
        <v>-300.6919813589501</v>
      </c>
      <c r="X453" s="35">
        <f t="shared" si="138"/>
        <v>-23529.139053837473</v>
      </c>
      <c r="Y453" s="1">
        <f t="shared" si="123"/>
        <v>23505309.222802274</v>
      </c>
      <c r="AA453" s="2">
        <f>+Bono!J453</f>
        <v>459818.88692810456</v>
      </c>
      <c r="AC453" s="10">
        <f t="shared" si="129"/>
        <v>35.833333333333336</v>
      </c>
      <c r="AD453" s="1">
        <f t="shared" si="130"/>
        <v>24905380.714733701</v>
      </c>
    </row>
    <row r="454" spans="2:30">
      <c r="B454" s="1">
        <f t="shared" si="124"/>
        <v>431</v>
      </c>
      <c r="C454" s="2">
        <f t="shared" si="131"/>
        <v>35</v>
      </c>
      <c r="D454" s="2">
        <f t="shared" si="132"/>
        <v>11</v>
      </c>
      <c r="E454" s="2">
        <f t="shared" si="133"/>
        <v>64</v>
      </c>
      <c r="F454" s="1">
        <f t="shared" si="125"/>
        <v>940252.60500332317</v>
      </c>
      <c r="H454" s="1">
        <f t="shared" si="121"/>
        <v>7497.706310939081</v>
      </c>
      <c r="I454" s="1">
        <v>0</v>
      </c>
      <c r="J454" s="1">
        <v>0</v>
      </c>
      <c r="K454" s="1">
        <f t="shared" si="126"/>
        <v>-947.75031131426226</v>
      </c>
      <c r="L454" s="1">
        <f t="shared" si="122"/>
        <v>946802.56100294797</v>
      </c>
      <c r="N454" s="1">
        <f t="shared" si="127"/>
        <v>431</v>
      </c>
      <c r="O454" s="2">
        <f t="shared" si="134"/>
        <v>35</v>
      </c>
      <c r="P454" s="2">
        <f t="shared" si="135"/>
        <v>11</v>
      </c>
      <c r="Q454" s="2">
        <f t="shared" si="136"/>
        <v>35</v>
      </c>
      <c r="R454" s="1">
        <f t="shared" si="128"/>
        <v>23505309.222802274</v>
      </c>
      <c r="S454" s="1">
        <f>IF($G$17="si",S442*(1+$G$20),S442)</f>
        <v>10000</v>
      </c>
      <c r="U454" s="1">
        <f t="shared" si="137"/>
        <v>187514.37797172117</v>
      </c>
      <c r="V454" s="35">
        <f t="shared" si="139"/>
        <v>-300.6919813589501</v>
      </c>
      <c r="X454" s="35">
        <f t="shared" si="138"/>
        <v>-23702.823600773994</v>
      </c>
      <c r="Y454" s="1">
        <f t="shared" si="123"/>
        <v>23678820.085191861</v>
      </c>
      <c r="AA454" s="2">
        <f>+Bono!J454</f>
        <v>462669.81736274849</v>
      </c>
      <c r="AC454" s="10">
        <f t="shared" si="129"/>
        <v>35.916666666666664</v>
      </c>
      <c r="AD454" s="1">
        <f t="shared" si="130"/>
        <v>25088292.463557556</v>
      </c>
    </row>
    <row r="455" spans="2:30">
      <c r="B455" s="1">
        <f t="shared" si="124"/>
        <v>432</v>
      </c>
      <c r="C455" s="2">
        <f t="shared" si="131"/>
        <v>35</v>
      </c>
      <c r="D455" s="2">
        <f t="shared" si="132"/>
        <v>12</v>
      </c>
      <c r="E455" s="2">
        <f t="shared" si="133"/>
        <v>64</v>
      </c>
      <c r="F455" s="1">
        <f t="shared" si="125"/>
        <v>946802.56100294797</v>
      </c>
      <c r="H455" s="1">
        <f t="shared" si="121"/>
        <v>7549.9365798832296</v>
      </c>
      <c r="I455" s="1">
        <v>0</v>
      </c>
      <c r="J455" s="69">
        <f>-SUM(F455:H455)*$J$21</f>
        <v>-8589.1724782454821</v>
      </c>
      <c r="K455" s="1">
        <f t="shared" si="126"/>
        <v>-945.76332510458576</v>
      </c>
      <c r="L455" s="1">
        <f t="shared" si="122"/>
        <v>944817.56177948113</v>
      </c>
      <c r="N455" s="1">
        <f t="shared" si="127"/>
        <v>432</v>
      </c>
      <c r="O455" s="2">
        <f t="shared" si="134"/>
        <v>35</v>
      </c>
      <c r="P455" s="2">
        <f t="shared" si="135"/>
        <v>12</v>
      </c>
      <c r="Q455" s="2">
        <f t="shared" si="136"/>
        <v>35</v>
      </c>
      <c r="R455" s="1">
        <f t="shared" si="128"/>
        <v>23678820.085191861</v>
      </c>
      <c r="S455" s="4">
        <f>IF($G$4="mensual",S454,0)</f>
        <v>10000</v>
      </c>
      <c r="U455" s="1">
        <f t="shared" si="137"/>
        <v>188897.97795435594</v>
      </c>
      <c r="V455" s="35">
        <f t="shared" si="139"/>
        <v>-300.6919813589501</v>
      </c>
      <c r="X455" s="35">
        <f t="shared" si="138"/>
        <v>-23877.718063146214</v>
      </c>
      <c r="Y455" s="1">
        <f t="shared" si="123"/>
        <v>23853539.653101709</v>
      </c>
      <c r="AA455" s="2">
        <f>+Bono!J455</f>
        <v>461344.38404184877</v>
      </c>
      <c r="AC455" s="10">
        <f t="shared" si="129"/>
        <v>36</v>
      </c>
      <c r="AD455" s="1">
        <f t="shared" si="130"/>
        <v>25259701.598923039</v>
      </c>
    </row>
    <row r="456" spans="2:30">
      <c r="B456" s="1">
        <f t="shared" si="124"/>
        <v>433</v>
      </c>
      <c r="C456" s="2">
        <f t="shared" si="131"/>
        <v>36</v>
      </c>
      <c r="D456" s="2">
        <f t="shared" si="132"/>
        <v>1</v>
      </c>
      <c r="E456" s="2">
        <f t="shared" si="133"/>
        <v>65</v>
      </c>
      <c r="F456" s="1">
        <f t="shared" si="125"/>
        <v>944817.56177948113</v>
      </c>
      <c r="H456" s="1">
        <f t="shared" si="121"/>
        <v>7534.1079173240405</v>
      </c>
      <c r="I456" s="1">
        <v>0</v>
      </c>
      <c r="J456" s="1">
        <v>0</v>
      </c>
      <c r="K456" s="1">
        <f t="shared" si="126"/>
        <v>-952.35166969680517</v>
      </c>
      <c r="L456" s="1">
        <f t="shared" si="122"/>
        <v>951399.31802710833</v>
      </c>
      <c r="N456" s="1">
        <f t="shared" si="127"/>
        <v>433</v>
      </c>
      <c r="O456" s="2">
        <f t="shared" si="134"/>
        <v>36</v>
      </c>
      <c r="P456" s="2">
        <f t="shared" si="135"/>
        <v>1</v>
      </c>
      <c r="Q456" s="2">
        <f t="shared" si="136"/>
        <v>36</v>
      </c>
      <c r="R456" s="1">
        <f t="shared" si="128"/>
        <v>23853539.653101709</v>
      </c>
      <c r="S456" s="1">
        <f>IF($G$17="si",S444*(1+$G$20),S444)</f>
        <v>10000</v>
      </c>
      <c r="U456" s="1">
        <f t="shared" si="137"/>
        <v>190291.21632454643</v>
      </c>
      <c r="V456" s="35">
        <f>(V455*(1+$G$18))</f>
        <v>-312.71966061330812</v>
      </c>
      <c r="X456" s="35">
        <f t="shared" si="138"/>
        <v>-24053.830869426256</v>
      </c>
      <c r="Y456" s="1">
        <f t="shared" si="123"/>
        <v>24029464.318896215</v>
      </c>
      <c r="AA456" s="2">
        <f>+Bono!J456</f>
        <v>464204.77273554454</v>
      </c>
      <c r="AC456" s="10">
        <f t="shared" si="129"/>
        <v>36.083333333333336</v>
      </c>
      <c r="AD456" s="1">
        <f t="shared" si="130"/>
        <v>25445068.409658868</v>
      </c>
    </row>
    <row r="457" spans="2:30">
      <c r="B457" s="1">
        <f t="shared" si="124"/>
        <v>434</v>
      </c>
      <c r="C457" s="2">
        <f t="shared" si="131"/>
        <v>36</v>
      </c>
      <c r="D457" s="2">
        <f t="shared" si="132"/>
        <v>2</v>
      </c>
      <c r="E457" s="2">
        <f t="shared" si="133"/>
        <v>65</v>
      </c>
      <c r="F457" s="1">
        <f t="shared" si="125"/>
        <v>951399.31802710833</v>
      </c>
      <c r="H457" s="1">
        <f t="shared" si="121"/>
        <v>7586.5917659114348</v>
      </c>
      <c r="I457" s="1">
        <v>0</v>
      </c>
      <c r="J457" s="1">
        <v>0</v>
      </c>
      <c r="K457" s="1">
        <f t="shared" si="126"/>
        <v>-958.9859097930198</v>
      </c>
      <c r="L457" s="1">
        <f t="shared" si="122"/>
        <v>958026.9238832267</v>
      </c>
      <c r="N457" s="1">
        <f t="shared" si="127"/>
        <v>434</v>
      </c>
      <c r="O457" s="2">
        <f t="shared" si="134"/>
        <v>36</v>
      </c>
      <c r="P457" s="2">
        <f t="shared" si="135"/>
        <v>2</v>
      </c>
      <c r="Q457" s="2">
        <f t="shared" si="136"/>
        <v>36</v>
      </c>
      <c r="R457" s="1">
        <f t="shared" si="128"/>
        <v>24029464.318896215</v>
      </c>
      <c r="S457" s="4">
        <f>IF($G$4="mensual",S456,0)</f>
        <v>10000</v>
      </c>
      <c r="U457" s="1">
        <f t="shared" si="137"/>
        <v>191694.06431449982</v>
      </c>
      <c r="V457" s="35">
        <f t="shared" si="139"/>
        <v>-312.71966061330812</v>
      </c>
      <c r="X457" s="35">
        <f t="shared" si="138"/>
        <v>-24231.158383210717</v>
      </c>
      <c r="Y457" s="1">
        <f t="shared" si="123"/>
        <v>24206614.505166892</v>
      </c>
      <c r="AA457" s="2">
        <f>+Bono!J457</f>
        <v>467082.89617092581</v>
      </c>
      <c r="AC457" s="10">
        <f t="shared" si="129"/>
        <v>36.166666666666664</v>
      </c>
      <c r="AD457" s="1">
        <f t="shared" si="130"/>
        <v>25631724.325221043</v>
      </c>
    </row>
    <row r="458" spans="2:30">
      <c r="B458" s="1">
        <f t="shared" si="124"/>
        <v>435</v>
      </c>
      <c r="C458" s="2">
        <f t="shared" si="131"/>
        <v>36</v>
      </c>
      <c r="D458" s="2">
        <f t="shared" si="132"/>
        <v>3</v>
      </c>
      <c r="E458" s="2">
        <f t="shared" si="133"/>
        <v>65</v>
      </c>
      <c r="F458" s="1">
        <f t="shared" si="125"/>
        <v>958026.9238832267</v>
      </c>
      <c r="H458" s="1">
        <f t="shared" si="121"/>
        <v>7639.4412257155473</v>
      </c>
      <c r="I458" s="1">
        <v>0</v>
      </c>
      <c r="J458" s="69">
        <f>-SUM(F458:H458)*$J$21</f>
        <v>-8690.997285980482</v>
      </c>
      <c r="K458" s="1">
        <f t="shared" si="126"/>
        <v>-956.97536782296174</v>
      </c>
      <c r="L458" s="1">
        <f t="shared" si="122"/>
        <v>956018.39245513885</v>
      </c>
      <c r="N458" s="1">
        <f t="shared" si="127"/>
        <v>435</v>
      </c>
      <c r="O458" s="2">
        <f t="shared" si="134"/>
        <v>36</v>
      </c>
      <c r="P458" s="2">
        <f t="shared" si="135"/>
        <v>3</v>
      </c>
      <c r="Q458" s="2">
        <f t="shared" si="136"/>
        <v>36</v>
      </c>
      <c r="R458" s="1">
        <f t="shared" si="128"/>
        <v>24206614.505166892</v>
      </c>
      <c r="S458" s="4">
        <f>IF($G$4="mensual",S457,0)</f>
        <v>10000</v>
      </c>
      <c r="U458" s="1">
        <f t="shared" si="137"/>
        <v>193106.68477682865</v>
      </c>
      <c r="V458" s="35">
        <f t="shared" si="139"/>
        <v>-312.71966061330812</v>
      </c>
      <c r="X458" s="35">
        <f t="shared" si="138"/>
        <v>-24409.721189943721</v>
      </c>
      <c r="Y458" s="1">
        <f t="shared" si="123"/>
        <v>24384998.749093164</v>
      </c>
      <c r="AA458" s="2">
        <f>+Bono!J458</f>
        <v>465744.82048287656</v>
      </c>
      <c r="AC458" s="10">
        <f t="shared" si="129"/>
        <v>36.25</v>
      </c>
      <c r="AD458" s="1">
        <f t="shared" si="130"/>
        <v>25806761.962031178</v>
      </c>
    </row>
    <row r="459" spans="2:30">
      <c r="B459" s="1">
        <f t="shared" si="124"/>
        <v>436</v>
      </c>
      <c r="C459" s="2">
        <f t="shared" si="131"/>
        <v>36</v>
      </c>
      <c r="D459" s="2">
        <f t="shared" si="132"/>
        <v>4</v>
      </c>
      <c r="E459" s="2">
        <f t="shared" si="133"/>
        <v>65</v>
      </c>
      <c r="F459" s="1">
        <f t="shared" si="125"/>
        <v>956018.39245513885</v>
      </c>
      <c r="H459" s="1">
        <f t="shared" si="121"/>
        <v>7623.4249140521079</v>
      </c>
      <c r="I459" s="1">
        <v>0</v>
      </c>
      <c r="J459" s="1">
        <v>0</v>
      </c>
      <c r="K459" s="1">
        <f t="shared" si="126"/>
        <v>-963.64181736919102</v>
      </c>
      <c r="L459" s="1">
        <f t="shared" si="122"/>
        <v>962678.17555182183</v>
      </c>
      <c r="N459" s="1">
        <f t="shared" si="127"/>
        <v>436</v>
      </c>
      <c r="O459" s="2">
        <f t="shared" si="134"/>
        <v>36</v>
      </c>
      <c r="P459" s="2">
        <f t="shared" si="135"/>
        <v>4</v>
      </c>
      <c r="Q459" s="2">
        <f t="shared" si="136"/>
        <v>36</v>
      </c>
      <c r="R459" s="1">
        <f t="shared" si="128"/>
        <v>24384998.749093164</v>
      </c>
      <c r="S459" s="4">
        <f>IF($G$4="mensual",S456,IF($G$4="trimestral",S456,0))</f>
        <v>10000</v>
      </c>
      <c r="U459" s="1">
        <f t="shared" si="137"/>
        <v>194529.14578820055</v>
      </c>
      <c r="V459" s="35">
        <f t="shared" si="139"/>
        <v>-312.71966061330812</v>
      </c>
      <c r="X459" s="35">
        <f t="shared" si="138"/>
        <v>-24589.527894881365</v>
      </c>
      <c r="Y459" s="1">
        <f t="shared" si="123"/>
        <v>24564625.64732587</v>
      </c>
      <c r="AA459" s="2">
        <f>+Bono!J459</f>
        <v>468632.49239292578</v>
      </c>
      <c r="AC459" s="10">
        <f t="shared" si="129"/>
        <v>36.333333333333336</v>
      </c>
      <c r="AD459" s="1">
        <f t="shared" si="130"/>
        <v>25995936.315270618</v>
      </c>
    </row>
    <row r="460" spans="2:30">
      <c r="B460" s="1">
        <f t="shared" si="124"/>
        <v>437</v>
      </c>
      <c r="C460" s="2">
        <f t="shared" si="131"/>
        <v>36</v>
      </c>
      <c r="D460" s="2">
        <f t="shared" si="132"/>
        <v>5</v>
      </c>
      <c r="E460" s="2">
        <f t="shared" si="133"/>
        <v>65</v>
      </c>
      <c r="F460" s="1">
        <f t="shared" si="125"/>
        <v>962678.17555182183</v>
      </c>
      <c r="H460" s="1">
        <f t="shared" si="121"/>
        <v>7676.5309596910975</v>
      </c>
      <c r="I460" s="1">
        <v>0</v>
      </c>
      <c r="J460" s="1">
        <v>0</v>
      </c>
      <c r="K460" s="1">
        <f t="shared" si="126"/>
        <v>-970.35470651151297</v>
      </c>
      <c r="L460" s="1">
        <f t="shared" si="122"/>
        <v>969384.3518050015</v>
      </c>
      <c r="N460" s="1">
        <f t="shared" si="127"/>
        <v>437</v>
      </c>
      <c r="O460" s="2">
        <f t="shared" si="134"/>
        <v>36</v>
      </c>
      <c r="P460" s="2">
        <f t="shared" si="135"/>
        <v>5</v>
      </c>
      <c r="Q460" s="2">
        <f t="shared" si="136"/>
        <v>36</v>
      </c>
      <c r="R460" s="1">
        <f t="shared" si="128"/>
        <v>24564625.64732587</v>
      </c>
      <c r="S460" s="4">
        <f>IF($G$4="mensual",S459,0)</f>
        <v>10000</v>
      </c>
      <c r="U460" s="1">
        <f t="shared" si="137"/>
        <v>195961.51589951655</v>
      </c>
      <c r="V460" s="35">
        <f t="shared" si="139"/>
        <v>-312.71966061330812</v>
      </c>
      <c r="X460" s="35">
        <f t="shared" si="138"/>
        <v>-24770.587163225387</v>
      </c>
      <c r="Y460" s="1">
        <f t="shared" si="123"/>
        <v>24745503.856401548</v>
      </c>
      <c r="AA460" s="2">
        <f>+Bono!J460</f>
        <v>471538.06820376654</v>
      </c>
      <c r="AC460" s="10">
        <f t="shared" si="129"/>
        <v>36.416666666666664</v>
      </c>
      <c r="AD460" s="1">
        <f t="shared" si="130"/>
        <v>26186426.276410315</v>
      </c>
    </row>
    <row r="461" spans="2:30">
      <c r="B461" s="1">
        <f t="shared" si="124"/>
        <v>438</v>
      </c>
      <c r="C461" s="2">
        <f t="shared" si="131"/>
        <v>36</v>
      </c>
      <c r="D461" s="2">
        <f t="shared" si="132"/>
        <v>6</v>
      </c>
      <c r="E461" s="2">
        <f t="shared" si="133"/>
        <v>65</v>
      </c>
      <c r="F461" s="1">
        <f t="shared" si="125"/>
        <v>969384.3518050015</v>
      </c>
      <c r="H461" s="1">
        <f t="shared" si="121"/>
        <v>7730.006950874932</v>
      </c>
      <c r="I461" s="1">
        <v>0</v>
      </c>
      <c r="J461" s="69">
        <f>-SUM(F461:H461)*$J$21</f>
        <v>-8794.0292288028886</v>
      </c>
      <c r="K461" s="1">
        <f t="shared" si="126"/>
        <v>-968.32032952707357</v>
      </c>
      <c r="L461" s="1">
        <f t="shared" si="122"/>
        <v>967352.00919754652</v>
      </c>
      <c r="N461" s="1">
        <f t="shared" si="127"/>
        <v>438</v>
      </c>
      <c r="O461" s="2">
        <f t="shared" si="134"/>
        <v>36</v>
      </c>
      <c r="P461" s="2">
        <f t="shared" si="135"/>
        <v>6</v>
      </c>
      <c r="Q461" s="2">
        <f t="shared" si="136"/>
        <v>36</v>
      </c>
      <c r="R461" s="1">
        <f t="shared" si="128"/>
        <v>24745503.856401548</v>
      </c>
      <c r="S461" s="4">
        <f>IF($G$4="mensual",S460,0)</f>
        <v>10000</v>
      </c>
      <c r="U461" s="1">
        <f t="shared" si="137"/>
        <v>197403.86413921462</v>
      </c>
      <c r="V461" s="35">
        <f t="shared" si="139"/>
        <v>-312.71966061330812</v>
      </c>
      <c r="X461" s="35">
        <f t="shared" si="138"/>
        <v>-24952.907720540763</v>
      </c>
      <c r="Y461" s="1">
        <f t="shared" si="123"/>
        <v>24927642.093159609</v>
      </c>
      <c r="AA461" s="2">
        <f>+Bono!J461</f>
        <v>470187.22956200584</v>
      </c>
      <c r="AC461" s="10">
        <f t="shared" si="129"/>
        <v>36.5</v>
      </c>
      <c r="AD461" s="1">
        <f t="shared" si="130"/>
        <v>26365181.331919163</v>
      </c>
    </row>
    <row r="462" spans="2:30">
      <c r="B462" s="1">
        <f t="shared" si="124"/>
        <v>439</v>
      </c>
      <c r="C462" s="2">
        <f t="shared" si="131"/>
        <v>36</v>
      </c>
      <c r="D462" s="2">
        <f t="shared" si="132"/>
        <v>7</v>
      </c>
      <c r="E462" s="2">
        <f t="shared" si="133"/>
        <v>65</v>
      </c>
      <c r="F462" s="1">
        <f t="shared" si="125"/>
        <v>967352.00919754652</v>
      </c>
      <c r="H462" s="1">
        <f t="shared" si="121"/>
        <v>7713.8007655234414</v>
      </c>
      <c r="I462" s="1">
        <v>0</v>
      </c>
      <c r="J462" s="1">
        <v>0</v>
      </c>
      <c r="K462" s="1">
        <f t="shared" si="126"/>
        <v>-975.06580996307002</v>
      </c>
      <c r="L462" s="1">
        <f t="shared" si="122"/>
        <v>974090.74415310693</v>
      </c>
      <c r="N462" s="1">
        <f t="shared" si="127"/>
        <v>439</v>
      </c>
      <c r="O462" s="2">
        <f t="shared" si="134"/>
        <v>36</v>
      </c>
      <c r="P462" s="2">
        <f t="shared" si="135"/>
        <v>7</v>
      </c>
      <c r="Q462" s="2">
        <f t="shared" si="136"/>
        <v>36</v>
      </c>
      <c r="R462" s="1">
        <f t="shared" si="128"/>
        <v>24927642.093159609</v>
      </c>
      <c r="S462" s="1">
        <f>+IF($G$4="mensual",S456,IF($G$4="trimestral",S456,IF($G$4="semestral",S456,0)))</f>
        <v>10000</v>
      </c>
      <c r="U462" s="1">
        <f t="shared" si="137"/>
        <v>198856.26001659632</v>
      </c>
      <c r="V462" s="35">
        <f t="shared" si="139"/>
        <v>-312.71966061330812</v>
      </c>
      <c r="X462" s="35">
        <f t="shared" si="138"/>
        <v>-25136.498353176208</v>
      </c>
      <c r="Y462" s="1">
        <f t="shared" si="123"/>
        <v>25111049.135162417</v>
      </c>
      <c r="AA462" s="2">
        <f>+Bono!J462</f>
        <v>473102.44492363324</v>
      </c>
      <c r="AC462" s="10">
        <f t="shared" si="129"/>
        <v>36.583333333333336</v>
      </c>
      <c r="AD462" s="1">
        <f t="shared" si="130"/>
        <v>26558242.324239157</v>
      </c>
    </row>
    <row r="463" spans="2:30">
      <c r="B463" s="1">
        <f t="shared" si="124"/>
        <v>440</v>
      </c>
      <c r="C463" s="2">
        <f t="shared" si="131"/>
        <v>36</v>
      </c>
      <c r="D463" s="2">
        <f t="shared" si="132"/>
        <v>8</v>
      </c>
      <c r="E463" s="2">
        <f t="shared" si="133"/>
        <v>65</v>
      </c>
      <c r="F463" s="1">
        <f t="shared" si="125"/>
        <v>974090.74415310693</v>
      </c>
      <c r="H463" s="1">
        <f t="shared" si="121"/>
        <v>7767.5363843722434</v>
      </c>
      <c r="I463" s="1">
        <v>0</v>
      </c>
      <c r="J463" s="1">
        <v>0</v>
      </c>
      <c r="K463" s="1">
        <f t="shared" si="126"/>
        <v>-981.85828053747923</v>
      </c>
      <c r="L463" s="1">
        <f t="shared" si="122"/>
        <v>980876.42225694167</v>
      </c>
      <c r="N463" s="1">
        <f t="shared" si="127"/>
        <v>440</v>
      </c>
      <c r="O463" s="2">
        <f t="shared" si="134"/>
        <v>36</v>
      </c>
      <c r="P463" s="2">
        <f t="shared" si="135"/>
        <v>8</v>
      </c>
      <c r="Q463" s="2">
        <f t="shared" si="136"/>
        <v>36</v>
      </c>
      <c r="R463" s="1">
        <f t="shared" si="128"/>
        <v>25111049.135162417</v>
      </c>
      <c r="S463" s="4">
        <f>IF($G$4="mensual",S462,0)</f>
        <v>10000</v>
      </c>
      <c r="U463" s="1">
        <f t="shared" si="137"/>
        <v>200318.77352517657</v>
      </c>
      <c r="V463" s="35">
        <f t="shared" si="139"/>
        <v>-312.71966061330812</v>
      </c>
      <c r="X463" s="35">
        <f t="shared" si="138"/>
        <v>-25321.367908687593</v>
      </c>
      <c r="Y463" s="1">
        <f t="shared" si="123"/>
        <v>25295733.821118291</v>
      </c>
      <c r="AA463" s="2">
        <f>+Bono!J463</f>
        <v>476035.73495864682</v>
      </c>
      <c r="AC463" s="10">
        <f t="shared" si="129"/>
        <v>36.666666666666664</v>
      </c>
      <c r="AD463" s="1">
        <f t="shared" si="130"/>
        <v>26752645.978333879</v>
      </c>
    </row>
    <row r="464" spans="2:30">
      <c r="B464" s="1">
        <f t="shared" si="124"/>
        <v>441</v>
      </c>
      <c r="C464" s="2">
        <f t="shared" si="131"/>
        <v>36</v>
      </c>
      <c r="D464" s="2">
        <f t="shared" si="132"/>
        <v>9</v>
      </c>
      <c r="E464" s="2">
        <f t="shared" si="133"/>
        <v>65</v>
      </c>
      <c r="F464" s="1">
        <f t="shared" si="125"/>
        <v>980876.42225694167</v>
      </c>
      <c r="H464" s="1">
        <f t="shared" si="121"/>
        <v>7821.6463344775584</v>
      </c>
      <c r="I464" s="1">
        <v>0</v>
      </c>
      <c r="J464" s="69">
        <f>-SUM(F464:H464)*$J$21</f>
        <v>-8898.282617322775</v>
      </c>
      <c r="K464" s="1">
        <f t="shared" si="126"/>
        <v>-979.79978597409649</v>
      </c>
      <c r="L464" s="1">
        <f t="shared" si="122"/>
        <v>978819.98618812242</v>
      </c>
      <c r="N464" s="1">
        <f t="shared" si="127"/>
        <v>441</v>
      </c>
      <c r="O464" s="2">
        <f t="shared" si="134"/>
        <v>36</v>
      </c>
      <c r="P464" s="2">
        <f t="shared" si="135"/>
        <v>9</v>
      </c>
      <c r="Q464" s="2">
        <f t="shared" si="136"/>
        <v>36</v>
      </c>
      <c r="R464" s="1">
        <f t="shared" si="128"/>
        <v>25295733.821118291</v>
      </c>
      <c r="S464" s="4">
        <f>IF($G$4="mensual",S463,0)</f>
        <v>10000</v>
      </c>
      <c r="U464" s="1">
        <f t="shared" si="137"/>
        <v>201791.47514605671</v>
      </c>
      <c r="V464" s="35">
        <f t="shared" si="139"/>
        <v>-312.71966061330812</v>
      </c>
      <c r="X464" s="35">
        <f t="shared" si="138"/>
        <v>-25507.525296264346</v>
      </c>
      <c r="Y464" s="1">
        <f t="shared" si="123"/>
        <v>25481705.05130747</v>
      </c>
      <c r="AA464" s="2">
        <f>+Bono!J464</f>
        <v>474672.01162642328</v>
      </c>
      <c r="AC464" s="10">
        <f t="shared" si="129"/>
        <v>36.75</v>
      </c>
      <c r="AD464" s="1">
        <f t="shared" si="130"/>
        <v>26935197.049122013</v>
      </c>
    </row>
    <row r="465" spans="2:30">
      <c r="B465" s="1">
        <f t="shared" si="124"/>
        <v>442</v>
      </c>
      <c r="C465" s="2">
        <f t="shared" si="131"/>
        <v>36</v>
      </c>
      <c r="D465" s="2">
        <f t="shared" si="132"/>
        <v>10</v>
      </c>
      <c r="E465" s="2">
        <f t="shared" si="133"/>
        <v>65</v>
      </c>
      <c r="F465" s="1">
        <f t="shared" si="125"/>
        <v>978819.98618812242</v>
      </c>
      <c r="H465" s="1">
        <f t="shared" si="121"/>
        <v>7805.2480244817316</v>
      </c>
      <c r="I465" s="1">
        <v>0</v>
      </c>
      <c r="J465" s="1">
        <v>0</v>
      </c>
      <c r="K465" s="1">
        <f t="shared" si="126"/>
        <v>-986.62523421260414</v>
      </c>
      <c r="L465" s="1">
        <f t="shared" si="122"/>
        <v>985638.60897839151</v>
      </c>
      <c r="N465" s="1">
        <f t="shared" si="127"/>
        <v>442</v>
      </c>
      <c r="O465" s="2">
        <f t="shared" si="134"/>
        <v>36</v>
      </c>
      <c r="P465" s="2">
        <f t="shared" si="135"/>
        <v>10</v>
      </c>
      <c r="Q465" s="2">
        <f t="shared" si="136"/>
        <v>36</v>
      </c>
      <c r="R465" s="1">
        <f t="shared" si="128"/>
        <v>25481705.05130747</v>
      </c>
      <c r="S465" s="4">
        <f>IF($G$4="mensual",S456,IF($G$4="trimestral",S456,0))</f>
        <v>10000</v>
      </c>
      <c r="U465" s="1">
        <f t="shared" si="137"/>
        <v>203274.43585132121</v>
      </c>
      <c r="V465" s="35">
        <f t="shared" si="139"/>
        <v>-312.71966061330812</v>
      </c>
      <c r="X465" s="35">
        <f t="shared" si="138"/>
        <v>-25694.979487158791</v>
      </c>
      <c r="Y465" s="1">
        <f t="shared" si="123"/>
        <v>25668971.788011018</v>
      </c>
      <c r="AA465" s="2">
        <f>+Bono!J465</f>
        <v>477615.03315705259</v>
      </c>
      <c r="AC465" s="10">
        <f t="shared" si="129"/>
        <v>36.833333333333336</v>
      </c>
      <c r="AD465" s="1">
        <f t="shared" si="130"/>
        <v>27132225.430146463</v>
      </c>
    </row>
    <row r="466" spans="2:30">
      <c r="B466" s="1">
        <f t="shared" si="124"/>
        <v>443</v>
      </c>
      <c r="C466" s="2">
        <f t="shared" si="131"/>
        <v>36</v>
      </c>
      <c r="D466" s="2">
        <f t="shared" si="132"/>
        <v>11</v>
      </c>
      <c r="E466" s="2">
        <f t="shared" si="133"/>
        <v>65</v>
      </c>
      <c r="F466" s="1">
        <f t="shared" si="125"/>
        <v>985638.60897839151</v>
      </c>
      <c r="H466" s="1">
        <f t="shared" si="121"/>
        <v>7859.6206801430608</v>
      </c>
      <c r="I466" s="1">
        <v>0</v>
      </c>
      <c r="J466" s="1">
        <v>0</v>
      </c>
      <c r="K466" s="1">
        <f t="shared" si="126"/>
        <v>-993.49822965853457</v>
      </c>
      <c r="L466" s="1">
        <f t="shared" si="122"/>
        <v>992504.73142887594</v>
      </c>
      <c r="N466" s="1">
        <f t="shared" si="127"/>
        <v>443</v>
      </c>
      <c r="O466" s="2">
        <f t="shared" si="134"/>
        <v>36</v>
      </c>
      <c r="P466" s="2">
        <f t="shared" si="135"/>
        <v>11</v>
      </c>
      <c r="Q466" s="2">
        <f t="shared" si="136"/>
        <v>36</v>
      </c>
      <c r="R466" s="1">
        <f t="shared" si="128"/>
        <v>25668971.788011018</v>
      </c>
      <c r="S466" s="1">
        <f>IF($G$17="si",S454*(1+$G$20),S454)</f>
        <v>10000</v>
      </c>
      <c r="U466" s="1">
        <f t="shared" si="137"/>
        <v>204767.72710745785</v>
      </c>
      <c r="V466" s="35">
        <f t="shared" si="139"/>
        <v>-312.71966061330812</v>
      </c>
      <c r="X466" s="35">
        <f t="shared" si="138"/>
        <v>-25883.739515118476</v>
      </c>
      <c r="Y466" s="1">
        <f t="shared" si="123"/>
        <v>25857543.055942744</v>
      </c>
      <c r="AA466" s="2">
        <f>+Bono!J466</f>
        <v>480576.30176254112</v>
      </c>
      <c r="AC466" s="10">
        <f t="shared" si="129"/>
        <v>36.916666666666664</v>
      </c>
      <c r="AD466" s="1">
        <f t="shared" si="130"/>
        <v>27330624.08913416</v>
      </c>
    </row>
    <row r="467" spans="2:30">
      <c r="B467" s="1">
        <f t="shared" si="124"/>
        <v>444</v>
      </c>
      <c r="C467" s="2">
        <f t="shared" si="131"/>
        <v>36</v>
      </c>
      <c r="D467" s="2">
        <f t="shared" si="132"/>
        <v>12</v>
      </c>
      <c r="E467" s="2">
        <f t="shared" si="133"/>
        <v>65</v>
      </c>
      <c r="F467" s="1">
        <f t="shared" si="125"/>
        <v>992504.73142887594</v>
      </c>
      <c r="H467" s="1">
        <f t="shared" si="121"/>
        <v>7914.3721047652725</v>
      </c>
      <c r="I467" s="1">
        <v>0</v>
      </c>
      <c r="J467" s="69">
        <f>-SUM(F467:H467)*$J$21</f>
        <v>-9003.7719318027721</v>
      </c>
      <c r="K467" s="1">
        <f t="shared" si="126"/>
        <v>-991.41533160183849</v>
      </c>
      <c r="L467" s="1">
        <f t="shared" si="122"/>
        <v>990423.9162702366</v>
      </c>
      <c r="N467" s="1">
        <f t="shared" si="127"/>
        <v>444</v>
      </c>
      <c r="O467" s="2">
        <f t="shared" si="134"/>
        <v>36</v>
      </c>
      <c r="P467" s="2">
        <f t="shared" si="135"/>
        <v>12</v>
      </c>
      <c r="Q467" s="2">
        <f t="shared" si="136"/>
        <v>36</v>
      </c>
      <c r="R467" s="1">
        <f t="shared" si="128"/>
        <v>25857543.055942744</v>
      </c>
      <c r="S467" s="4">
        <f>IF($G$4="mensual",S466,0)</f>
        <v>10000</v>
      </c>
      <c r="U467" s="1">
        <f t="shared" si="137"/>
        <v>206271.42087880187</v>
      </c>
      <c r="V467" s="35">
        <f t="shared" si="139"/>
        <v>-312.71966061330812</v>
      </c>
      <c r="X467" s="35">
        <f t="shared" si="138"/>
        <v>-26073.814476821546</v>
      </c>
      <c r="Y467" s="1">
        <f t="shared" si="123"/>
        <v>26047427.94268411</v>
      </c>
      <c r="AA467" s="2">
        <f>+Bono!J467</f>
        <v>479199.5708419428</v>
      </c>
      <c r="AC467" s="10">
        <f t="shared" si="129"/>
        <v>37</v>
      </c>
      <c r="AD467" s="1">
        <f t="shared" si="130"/>
        <v>27517051.42979629</v>
      </c>
    </row>
    <row r="468" spans="2:30">
      <c r="B468" s="1">
        <f t="shared" si="124"/>
        <v>445</v>
      </c>
      <c r="C468" s="2">
        <f t="shared" si="131"/>
        <v>37</v>
      </c>
      <c r="D468" s="2">
        <f t="shared" si="132"/>
        <v>1</v>
      </c>
      <c r="E468" s="2">
        <f t="shared" si="133"/>
        <v>66</v>
      </c>
      <c r="F468" s="1">
        <f t="shared" si="125"/>
        <v>990423.9162702366</v>
      </c>
      <c r="H468" s="1">
        <f t="shared" si="121"/>
        <v>7897.7793924836906</v>
      </c>
      <c r="I468" s="1">
        <v>0</v>
      </c>
      <c r="J468" s="1">
        <v>0</v>
      </c>
      <c r="K468" s="1">
        <f t="shared" si="126"/>
        <v>-998.32169566272023</v>
      </c>
      <c r="L468" s="1">
        <f t="shared" si="122"/>
        <v>997323.37396705756</v>
      </c>
      <c r="N468" s="1">
        <f t="shared" si="127"/>
        <v>445</v>
      </c>
      <c r="O468" s="2">
        <f t="shared" si="134"/>
        <v>37</v>
      </c>
      <c r="P468" s="2">
        <f t="shared" si="135"/>
        <v>1</v>
      </c>
      <c r="Q468" s="2">
        <f t="shared" si="136"/>
        <v>37</v>
      </c>
      <c r="R468" s="1">
        <f t="shared" si="128"/>
        <v>26047427.94268411</v>
      </c>
      <c r="S468" s="1">
        <f>IF($G$17="si",S456*(1+$G$20),S456)</f>
        <v>10000</v>
      </c>
      <c r="U468" s="1">
        <f t="shared" si="137"/>
        <v>207785.589631004</v>
      </c>
      <c r="V468" s="35">
        <f>(V467*(1+$G$18))</f>
        <v>-325.22844703784045</v>
      </c>
      <c r="X468" s="35">
        <f t="shared" si="138"/>
        <v>-26265.213532315112</v>
      </c>
      <c r="Y468" s="1">
        <f t="shared" si="123"/>
        <v>26238623.09033576</v>
      </c>
      <c r="AA468" s="2">
        <f>+Bono!J468</f>
        <v>482170.66376487265</v>
      </c>
      <c r="AC468" s="10">
        <f t="shared" si="129"/>
        <v>37.083333333333336</v>
      </c>
      <c r="AD468" s="1">
        <f t="shared" si="130"/>
        <v>27718117.128067691</v>
      </c>
    </row>
    <row r="469" spans="2:30">
      <c r="B469" s="1">
        <f t="shared" si="124"/>
        <v>446</v>
      </c>
      <c r="C469" s="2">
        <f t="shared" si="131"/>
        <v>37</v>
      </c>
      <c r="D469" s="2">
        <f t="shared" si="132"/>
        <v>2</v>
      </c>
      <c r="E469" s="2">
        <f t="shared" si="133"/>
        <v>66</v>
      </c>
      <c r="F469" s="1">
        <f t="shared" si="125"/>
        <v>997323.37396705756</v>
      </c>
      <c r="H469" s="1">
        <f t="shared" si="121"/>
        <v>7952.7966370414215</v>
      </c>
      <c r="I469" s="1">
        <v>0</v>
      </c>
      <c r="J469" s="1">
        <v>0</v>
      </c>
      <c r="K469" s="1">
        <f t="shared" si="126"/>
        <v>-1005.276170604099</v>
      </c>
      <c r="L469" s="1">
        <f t="shared" si="122"/>
        <v>1004270.8944334949</v>
      </c>
      <c r="N469" s="1">
        <f t="shared" si="127"/>
        <v>446</v>
      </c>
      <c r="O469" s="2">
        <f t="shared" si="134"/>
        <v>37</v>
      </c>
      <c r="P469" s="2">
        <f t="shared" si="135"/>
        <v>2</v>
      </c>
      <c r="Q469" s="2">
        <f t="shared" si="136"/>
        <v>37</v>
      </c>
      <c r="R469" s="1">
        <f t="shared" si="128"/>
        <v>26238623.09033576</v>
      </c>
      <c r="S469" s="4">
        <f>IF($G$4="mensual",S468,0)</f>
        <v>10000</v>
      </c>
      <c r="U469" s="1">
        <f t="shared" si="137"/>
        <v>209310.20658770326</v>
      </c>
      <c r="V469" s="35">
        <f t="shared" si="139"/>
        <v>-325.22844703784045</v>
      </c>
      <c r="X469" s="35">
        <f t="shared" si="138"/>
        <v>-26457.933296923464</v>
      </c>
      <c r="Y469" s="1">
        <f t="shared" si="123"/>
        <v>26431150.135179501</v>
      </c>
      <c r="AA469" s="2">
        <f>+Bono!J469</f>
        <v>485160.17780855013</v>
      </c>
      <c r="AC469" s="10">
        <f t="shared" si="129"/>
        <v>37.166666666666664</v>
      </c>
      <c r="AD469" s="1">
        <f t="shared" si="130"/>
        <v>27920581.207421545</v>
      </c>
    </row>
    <row r="470" spans="2:30">
      <c r="B470" s="1">
        <f t="shared" si="124"/>
        <v>447</v>
      </c>
      <c r="C470" s="2">
        <f t="shared" si="131"/>
        <v>37</v>
      </c>
      <c r="D470" s="2">
        <f t="shared" si="132"/>
        <v>3</v>
      </c>
      <c r="E470" s="2">
        <f t="shared" si="133"/>
        <v>66</v>
      </c>
      <c r="F470" s="1">
        <f t="shared" si="125"/>
        <v>1004270.8944334949</v>
      </c>
      <c r="H470" s="1">
        <f t="shared" si="121"/>
        <v>8008.1971408734762</v>
      </c>
      <c r="I470" s="1">
        <v>0</v>
      </c>
      <c r="J470" s="69">
        <f>-SUM(F470:H470)*$J$21</f>
        <v>-9110.5118241693162</v>
      </c>
      <c r="K470" s="1">
        <f t="shared" si="126"/>
        <v>-1003.1685797501991</v>
      </c>
      <c r="L470" s="1">
        <f t="shared" si="122"/>
        <v>1002165.4111704489</v>
      </c>
      <c r="N470" s="1">
        <f t="shared" si="127"/>
        <v>447</v>
      </c>
      <c r="O470" s="2">
        <f t="shared" si="134"/>
        <v>37</v>
      </c>
      <c r="P470" s="2">
        <f t="shared" si="135"/>
        <v>3</v>
      </c>
      <c r="Q470" s="2">
        <f t="shared" si="136"/>
        <v>37</v>
      </c>
      <c r="R470" s="1">
        <f t="shared" si="128"/>
        <v>26431150.135179501</v>
      </c>
      <c r="S470" s="4">
        <f>IF($G$4="mensual",S469,0)</f>
        <v>10000</v>
      </c>
      <c r="U470" s="1">
        <f t="shared" si="137"/>
        <v>210845.44427964909</v>
      </c>
      <c r="V470" s="35">
        <f t="shared" si="139"/>
        <v>-325.22844703784045</v>
      </c>
      <c r="X470" s="35">
        <f t="shared" si="138"/>
        <v>-26651.995579459151</v>
      </c>
      <c r="Y470" s="1">
        <f t="shared" si="123"/>
        <v>26625018.355432652</v>
      </c>
      <c r="AA470" s="2">
        <f>+Bono!J470</f>
        <v>483770.3152294294</v>
      </c>
      <c r="AC470" s="10">
        <f t="shared" si="129"/>
        <v>37.25</v>
      </c>
      <c r="AD470" s="1">
        <f t="shared" si="130"/>
        <v>28110954.081832532</v>
      </c>
    </row>
    <row r="471" spans="2:30">
      <c r="B471" s="1">
        <f t="shared" si="124"/>
        <v>448</v>
      </c>
      <c r="C471" s="2">
        <f t="shared" si="131"/>
        <v>37</v>
      </c>
      <c r="D471" s="2">
        <f t="shared" si="132"/>
        <v>4</v>
      </c>
      <c r="E471" s="2">
        <f t="shared" si="133"/>
        <v>66</v>
      </c>
      <c r="F471" s="1">
        <f t="shared" si="125"/>
        <v>1002165.4111704489</v>
      </c>
      <c r="H471" s="1">
        <f t="shared" si="121"/>
        <v>7991.4077216632404</v>
      </c>
      <c r="I471" s="1">
        <v>0</v>
      </c>
      <c r="J471" s="1">
        <v>0</v>
      </c>
      <c r="K471" s="1">
        <f t="shared" si="126"/>
        <v>-1010.1568188921121</v>
      </c>
      <c r="L471" s="1">
        <f t="shared" si="122"/>
        <v>1009146.66207322</v>
      </c>
      <c r="N471" s="1">
        <f t="shared" si="127"/>
        <v>448</v>
      </c>
      <c r="O471" s="2">
        <f t="shared" si="134"/>
        <v>37</v>
      </c>
      <c r="P471" s="2">
        <f t="shared" si="135"/>
        <v>4</v>
      </c>
      <c r="Q471" s="2">
        <f t="shared" si="136"/>
        <v>37</v>
      </c>
      <c r="R471" s="1">
        <f t="shared" si="128"/>
        <v>26625018.355432652</v>
      </c>
      <c r="S471" s="4">
        <f>IF($G$4="mensual",S468,IF($G$4="trimestral",S468,0))</f>
        <v>10000</v>
      </c>
      <c r="U471" s="1">
        <f t="shared" si="137"/>
        <v>212391.37669264936</v>
      </c>
      <c r="V471" s="35">
        <f t="shared" si="139"/>
        <v>-325.22844703784045</v>
      </c>
      <c r="X471" s="35">
        <f t="shared" si="138"/>
        <v>-26847.409732125303</v>
      </c>
      <c r="Y471" s="1">
        <f t="shared" si="123"/>
        <v>26820237.093946137</v>
      </c>
      <c r="AA471" s="2">
        <f>+Bono!J471</f>
        <v>486769.74729773524</v>
      </c>
      <c r="AC471" s="10">
        <f t="shared" si="129"/>
        <v>37.333333333333336</v>
      </c>
      <c r="AD471" s="1">
        <f t="shared" si="130"/>
        <v>28316153.503317092</v>
      </c>
    </row>
    <row r="472" spans="2:30">
      <c r="B472" s="1">
        <f t="shared" si="124"/>
        <v>449</v>
      </c>
      <c r="C472" s="2">
        <f t="shared" si="131"/>
        <v>37</v>
      </c>
      <c r="D472" s="2">
        <f t="shared" si="132"/>
        <v>5</v>
      </c>
      <c r="E472" s="2">
        <f t="shared" si="133"/>
        <v>66</v>
      </c>
      <c r="F472" s="1">
        <f t="shared" si="125"/>
        <v>1009146.66207322</v>
      </c>
      <c r="H472" s="1">
        <f t="shared" ref="H472:H535" si="140">SUM(F472:G472)*$G$8</f>
        <v>8047.0771967313485</v>
      </c>
      <c r="I472" s="1">
        <v>0</v>
      </c>
      <c r="J472" s="1">
        <v>0</v>
      </c>
      <c r="K472" s="1">
        <f t="shared" si="126"/>
        <v>-1017.1937392699514</v>
      </c>
      <c r="L472" s="1">
        <f t="shared" ref="L472:L535" si="141">SUM(F472:K472)</f>
        <v>1016176.5455306814</v>
      </c>
      <c r="N472" s="1">
        <f t="shared" si="127"/>
        <v>449</v>
      </c>
      <c r="O472" s="2">
        <f t="shared" si="134"/>
        <v>37</v>
      </c>
      <c r="P472" s="2">
        <f t="shared" si="135"/>
        <v>5</v>
      </c>
      <c r="Q472" s="2">
        <f t="shared" si="136"/>
        <v>37</v>
      </c>
      <c r="R472" s="1">
        <f t="shared" si="128"/>
        <v>26820237.093946137</v>
      </c>
      <c r="S472" s="4">
        <f>IF($G$4="mensual",S471,0)</f>
        <v>10000</v>
      </c>
      <c r="U472" s="1">
        <f t="shared" si="137"/>
        <v>213948.07832790934</v>
      </c>
      <c r="V472" s="35">
        <f t="shared" si="139"/>
        <v>-325.22844703784045</v>
      </c>
      <c r="X472" s="35">
        <f t="shared" si="138"/>
        <v>-27044.185172274047</v>
      </c>
      <c r="Y472" s="1">
        <f t="shared" ref="Y472:Y535" si="142">SUM(R472:X472)</f>
        <v>27016815.758654732</v>
      </c>
      <c r="AA472" s="2">
        <f>+Bono!J472</f>
        <v>489787.77619277715</v>
      </c>
      <c r="AC472" s="10">
        <f t="shared" si="129"/>
        <v>37.416666666666664</v>
      </c>
      <c r="AD472" s="1">
        <f t="shared" si="130"/>
        <v>28522780.08037819</v>
      </c>
    </row>
    <row r="473" spans="2:30">
      <c r="B473" s="1">
        <f t="shared" ref="B473:B536" si="143">+B472+1</f>
        <v>450</v>
      </c>
      <c r="C473" s="2">
        <f t="shared" si="131"/>
        <v>37</v>
      </c>
      <c r="D473" s="2">
        <f t="shared" si="132"/>
        <v>6</v>
      </c>
      <c r="E473" s="2">
        <f t="shared" si="133"/>
        <v>66</v>
      </c>
      <c r="F473" s="1">
        <f t="shared" ref="F473:F536" si="144">L472</f>
        <v>1016176.5455306814</v>
      </c>
      <c r="H473" s="1">
        <f t="shared" si="140"/>
        <v>8103.1344746199729</v>
      </c>
      <c r="I473" s="1">
        <v>0</v>
      </c>
      <c r="J473" s="69">
        <f>-SUM(F473:H473)*$J$21</f>
        <v>-9218.5171200477125</v>
      </c>
      <c r="K473" s="1">
        <f t="shared" ref="K473:K536" si="145">-SUM(F473:J473)*0.1%</f>
        <v>-1015.0611628852537</v>
      </c>
      <c r="L473" s="1">
        <f t="shared" si="141"/>
        <v>1014046.1017223684</v>
      </c>
      <c r="N473" s="1">
        <f t="shared" ref="N473:N536" si="146">+N472+1</f>
        <v>450</v>
      </c>
      <c r="O473" s="2">
        <f t="shared" si="134"/>
        <v>37</v>
      </c>
      <c r="P473" s="2">
        <f t="shared" si="135"/>
        <v>6</v>
      </c>
      <c r="Q473" s="2">
        <f t="shared" si="136"/>
        <v>37</v>
      </c>
      <c r="R473" s="1">
        <f t="shared" ref="R473:R536" si="147">Y472</f>
        <v>27016815.758654732</v>
      </c>
      <c r="S473" s="4">
        <f>IF($G$4="mensual",S472,0)</f>
        <v>10000</v>
      </c>
      <c r="U473" s="1">
        <f t="shared" si="137"/>
        <v>215515.62420562207</v>
      </c>
      <c r="V473" s="35">
        <f t="shared" si="139"/>
        <v>-325.22844703784045</v>
      </c>
      <c r="X473" s="35">
        <f t="shared" si="138"/>
        <v>-27242.331382860357</v>
      </c>
      <c r="Y473" s="1">
        <f t="shared" si="142"/>
        <v>27214763.823030457</v>
      </c>
      <c r="AA473" s="2">
        <f>+Bono!J473</f>
        <v>488384.65670156921</v>
      </c>
      <c r="AC473" s="10">
        <f t="shared" ref="AC473:AC536" si="148">+B473/12</f>
        <v>37.5</v>
      </c>
      <c r="AD473" s="1">
        <f t="shared" ref="AD473:AD536" si="149">+AA473+Y473+L473</f>
        <v>28717194.581454393</v>
      </c>
    </row>
    <row r="474" spans="2:30">
      <c r="B474" s="1">
        <f t="shared" si="143"/>
        <v>451</v>
      </c>
      <c r="C474" s="2">
        <f t="shared" si="131"/>
        <v>37</v>
      </c>
      <c r="D474" s="2">
        <f t="shared" si="132"/>
        <v>7</v>
      </c>
      <c r="E474" s="2">
        <f t="shared" si="133"/>
        <v>66</v>
      </c>
      <c r="F474" s="1">
        <f t="shared" si="144"/>
        <v>1014046.1017223684</v>
      </c>
      <c r="H474" s="1">
        <f t="shared" si="140"/>
        <v>8086.1460165165972</v>
      </c>
      <c r="I474" s="1">
        <v>0</v>
      </c>
      <c r="J474" s="1">
        <v>0</v>
      </c>
      <c r="K474" s="1">
        <f t="shared" si="145"/>
        <v>-1022.132247738885</v>
      </c>
      <c r="L474" s="1">
        <f t="shared" si="141"/>
        <v>1021110.1154911461</v>
      </c>
      <c r="N474" s="1">
        <f t="shared" si="146"/>
        <v>451</v>
      </c>
      <c r="O474" s="2">
        <f t="shared" si="134"/>
        <v>37</v>
      </c>
      <c r="P474" s="2">
        <f t="shared" si="135"/>
        <v>7</v>
      </c>
      <c r="Q474" s="2">
        <f t="shared" si="136"/>
        <v>37</v>
      </c>
      <c r="R474" s="1">
        <f t="shared" si="147"/>
        <v>27214763.823030457</v>
      </c>
      <c r="S474" s="1">
        <f>+IF($G$4="mensual",S468,IF($G$4="trimestral",S468,IF($G$4="semestral",S468,0)))</f>
        <v>10000</v>
      </c>
      <c r="U474" s="1">
        <f t="shared" si="137"/>
        <v>217094.08986858377</v>
      </c>
      <c r="V474" s="35">
        <f t="shared" si="139"/>
        <v>-325.22844703784045</v>
      </c>
      <c r="X474" s="35">
        <f t="shared" si="138"/>
        <v>-27441.857912899039</v>
      </c>
      <c r="Y474" s="1">
        <f t="shared" si="142"/>
        <v>27414090.826539103</v>
      </c>
      <c r="AA474" s="2">
        <f>+Bono!J474</f>
        <v>491412.69822223281</v>
      </c>
      <c r="AC474" s="10">
        <f t="shared" si="148"/>
        <v>37.583333333333336</v>
      </c>
      <c r="AD474" s="1">
        <f t="shared" si="149"/>
        <v>28926613.640252478</v>
      </c>
    </row>
    <row r="475" spans="2:30">
      <c r="B475" s="1">
        <f t="shared" si="143"/>
        <v>452</v>
      </c>
      <c r="C475" s="2">
        <f t="shared" si="131"/>
        <v>37</v>
      </c>
      <c r="D475" s="2">
        <f t="shared" si="132"/>
        <v>8</v>
      </c>
      <c r="E475" s="2">
        <f t="shared" si="133"/>
        <v>66</v>
      </c>
      <c r="F475" s="1">
        <f t="shared" si="144"/>
        <v>1021110.1154911461</v>
      </c>
      <c r="H475" s="1">
        <f t="shared" si="140"/>
        <v>8142.4754543005402</v>
      </c>
      <c r="I475" s="1">
        <v>0</v>
      </c>
      <c r="J475" s="1">
        <v>0</v>
      </c>
      <c r="K475" s="1">
        <f t="shared" si="145"/>
        <v>-1029.2525909454466</v>
      </c>
      <c r="L475" s="1">
        <f t="shared" si="141"/>
        <v>1028223.3383545012</v>
      </c>
      <c r="N475" s="1">
        <f t="shared" si="146"/>
        <v>452</v>
      </c>
      <c r="O475" s="2">
        <f t="shared" si="134"/>
        <v>37</v>
      </c>
      <c r="P475" s="2">
        <f t="shared" si="135"/>
        <v>8</v>
      </c>
      <c r="Q475" s="2">
        <f t="shared" si="136"/>
        <v>37</v>
      </c>
      <c r="R475" s="1">
        <f t="shared" si="147"/>
        <v>27414090.826539103</v>
      </c>
      <c r="S475" s="4">
        <f>IF($G$4="mensual",S474,0)</f>
        <v>10000</v>
      </c>
      <c r="U475" s="1">
        <f t="shared" si="137"/>
        <v>218683.55138583432</v>
      </c>
      <c r="V475" s="35">
        <f t="shared" si="139"/>
        <v>-325.22844703784045</v>
      </c>
      <c r="X475" s="35">
        <f t="shared" si="138"/>
        <v>-27642.774377924939</v>
      </c>
      <c r="Y475" s="1">
        <f t="shared" si="142"/>
        <v>27614806.375099976</v>
      </c>
      <c r="AA475" s="2">
        <f>+Bono!J475</f>
        <v>494459.51395155559</v>
      </c>
      <c r="AC475" s="10">
        <f t="shared" si="148"/>
        <v>37.666666666666664</v>
      </c>
      <c r="AD475" s="1">
        <f t="shared" si="149"/>
        <v>29137489.227406032</v>
      </c>
    </row>
    <row r="476" spans="2:30">
      <c r="B476" s="1">
        <f t="shared" si="143"/>
        <v>453</v>
      </c>
      <c r="C476" s="2">
        <f t="shared" si="131"/>
        <v>37</v>
      </c>
      <c r="D476" s="2">
        <f t="shared" si="132"/>
        <v>9</v>
      </c>
      <c r="E476" s="2">
        <f t="shared" si="133"/>
        <v>66</v>
      </c>
      <c r="F476" s="1">
        <f t="shared" si="144"/>
        <v>1028223.3383545012</v>
      </c>
      <c r="H476" s="1">
        <f t="shared" si="140"/>
        <v>8199.1972923150224</v>
      </c>
      <c r="I476" s="1">
        <v>0</v>
      </c>
      <c r="J476" s="69">
        <f>-SUM(F476:H476)*$J$21</f>
        <v>-9327.8028208213473</v>
      </c>
      <c r="K476" s="1">
        <f t="shared" si="145"/>
        <v>-1027.0947328259949</v>
      </c>
      <c r="L476" s="1">
        <f t="shared" si="141"/>
        <v>1026067.638093169</v>
      </c>
      <c r="N476" s="1">
        <f t="shared" si="146"/>
        <v>453</v>
      </c>
      <c r="O476" s="2">
        <f t="shared" si="134"/>
        <v>37</v>
      </c>
      <c r="P476" s="2">
        <f t="shared" si="135"/>
        <v>9</v>
      </c>
      <c r="Q476" s="2">
        <f t="shared" si="136"/>
        <v>37</v>
      </c>
      <c r="R476" s="1">
        <f t="shared" si="147"/>
        <v>27614806.375099976</v>
      </c>
      <c r="S476" s="4">
        <f>IF($G$4="mensual",S475,0)</f>
        <v>10000</v>
      </c>
      <c r="U476" s="1">
        <f t="shared" si="137"/>
        <v>220284.08535632316</v>
      </c>
      <c r="V476" s="35">
        <f t="shared" si="139"/>
        <v>-325.22844703784045</v>
      </c>
      <c r="X476" s="35">
        <f t="shared" si="138"/>
        <v>-27845.0904604563</v>
      </c>
      <c r="Y476" s="1">
        <f t="shared" si="142"/>
        <v>27816920.141548805</v>
      </c>
      <c r="AA476" s="2">
        <f>+Bono!J476</f>
        <v>493043.01109999081</v>
      </c>
      <c r="AC476" s="10">
        <f t="shared" si="148"/>
        <v>37.75</v>
      </c>
      <c r="AD476" s="1">
        <f t="shared" si="149"/>
        <v>29336030.790741965</v>
      </c>
    </row>
    <row r="477" spans="2:30">
      <c r="B477" s="1">
        <f t="shared" si="143"/>
        <v>454</v>
      </c>
      <c r="C477" s="2">
        <f t="shared" si="131"/>
        <v>37</v>
      </c>
      <c r="D477" s="2">
        <f t="shared" si="132"/>
        <v>10</v>
      </c>
      <c r="E477" s="2">
        <f t="shared" si="133"/>
        <v>66</v>
      </c>
      <c r="F477" s="1">
        <f t="shared" si="144"/>
        <v>1026067.638093169</v>
      </c>
      <c r="H477" s="1">
        <f t="shared" si="140"/>
        <v>8182.007435708535</v>
      </c>
      <c r="I477" s="1">
        <v>0</v>
      </c>
      <c r="J477" s="1">
        <v>0</v>
      </c>
      <c r="K477" s="1">
        <f t="shared" si="145"/>
        <v>-1034.2496455288776</v>
      </c>
      <c r="L477" s="1">
        <f t="shared" si="141"/>
        <v>1033215.3958833487</v>
      </c>
      <c r="N477" s="1">
        <f t="shared" si="146"/>
        <v>454</v>
      </c>
      <c r="O477" s="2">
        <f t="shared" si="134"/>
        <v>37</v>
      </c>
      <c r="P477" s="2">
        <f t="shared" si="135"/>
        <v>10</v>
      </c>
      <c r="Q477" s="2">
        <f t="shared" si="136"/>
        <v>37</v>
      </c>
      <c r="R477" s="1">
        <f t="shared" si="147"/>
        <v>27816920.141548805</v>
      </c>
      <c r="S477" s="4">
        <f>IF($G$4="mensual",S468,IF($G$4="trimestral",S468,0))</f>
        <v>10000</v>
      </c>
      <c r="U477" s="1">
        <f t="shared" si="137"/>
        <v>221895.76891260079</v>
      </c>
      <c r="V477" s="35">
        <f t="shared" si="139"/>
        <v>-325.22844703784045</v>
      </c>
      <c r="X477" s="35">
        <f t="shared" si="138"/>
        <v>-28048.815910461406</v>
      </c>
      <c r="Y477" s="1">
        <f t="shared" si="142"/>
        <v>28020441.866103906</v>
      </c>
      <c r="AA477" s="2">
        <f>+Bono!J477</f>
        <v>496099.93495826027</v>
      </c>
      <c r="AC477" s="10">
        <f t="shared" si="148"/>
        <v>37.833333333333336</v>
      </c>
      <c r="AD477" s="1">
        <f t="shared" si="149"/>
        <v>29549757.196945515</v>
      </c>
    </row>
    <row r="478" spans="2:30">
      <c r="B478" s="1">
        <f t="shared" si="143"/>
        <v>455</v>
      </c>
      <c r="C478" s="2">
        <f t="shared" si="131"/>
        <v>37</v>
      </c>
      <c r="D478" s="2">
        <f t="shared" si="132"/>
        <v>11</v>
      </c>
      <c r="E478" s="2">
        <f t="shared" si="133"/>
        <v>66</v>
      </c>
      <c r="F478" s="1">
        <f t="shared" si="144"/>
        <v>1033215.3958833487</v>
      </c>
      <c r="H478" s="1">
        <f t="shared" si="140"/>
        <v>8239.0046600792193</v>
      </c>
      <c r="I478" s="1">
        <v>0</v>
      </c>
      <c r="J478" s="1">
        <v>0</v>
      </c>
      <c r="K478" s="1">
        <f t="shared" si="145"/>
        <v>-1041.4544005434279</v>
      </c>
      <c r="L478" s="1">
        <f t="shared" si="141"/>
        <v>1040412.9461428844</v>
      </c>
      <c r="N478" s="1">
        <f t="shared" si="146"/>
        <v>455</v>
      </c>
      <c r="O478" s="2">
        <f t="shared" si="134"/>
        <v>37</v>
      </c>
      <c r="P478" s="2">
        <f t="shared" si="135"/>
        <v>11</v>
      </c>
      <c r="Q478" s="2">
        <f t="shared" si="136"/>
        <v>37</v>
      </c>
      <c r="R478" s="1">
        <f t="shared" si="147"/>
        <v>28020441.866103906</v>
      </c>
      <c r="S478" s="1">
        <f>IF($G$17="si",S466*(1+$G$20),S466)</f>
        <v>10000</v>
      </c>
      <c r="U478" s="1">
        <f t="shared" si="137"/>
        <v>223518.67972453585</v>
      </c>
      <c r="V478" s="35">
        <f t="shared" si="139"/>
        <v>-325.22844703784045</v>
      </c>
      <c r="X478" s="35">
        <f t="shared" si="138"/>
        <v>-28253.960545828442</v>
      </c>
      <c r="Y478" s="1">
        <f t="shared" si="142"/>
        <v>28225381.356835578</v>
      </c>
      <c r="AA478" s="2">
        <f>+Bono!J478</f>
        <v>499175.81209903222</v>
      </c>
      <c r="AC478" s="10">
        <f t="shared" si="148"/>
        <v>37.916666666666664</v>
      </c>
      <c r="AD478" s="1">
        <f t="shared" si="149"/>
        <v>29764970.115077496</v>
      </c>
    </row>
    <row r="479" spans="2:30">
      <c r="B479" s="1">
        <f t="shared" si="143"/>
        <v>456</v>
      </c>
      <c r="C479" s="2">
        <f t="shared" si="131"/>
        <v>37</v>
      </c>
      <c r="D479" s="2">
        <f t="shared" si="132"/>
        <v>12</v>
      </c>
      <c r="E479" s="2">
        <f t="shared" si="133"/>
        <v>66</v>
      </c>
      <c r="F479" s="1">
        <f t="shared" si="144"/>
        <v>1040412.9461428844</v>
      </c>
      <c r="H479" s="1">
        <f t="shared" si="140"/>
        <v>8296.3989365928501</v>
      </c>
      <c r="I479" s="1">
        <v>0</v>
      </c>
      <c r="J479" s="69">
        <f>-SUM(F479:H479)*$J$21</f>
        <v>-9438.3841057152949</v>
      </c>
      <c r="K479" s="1">
        <f t="shared" si="145"/>
        <v>-1039.2709609737619</v>
      </c>
      <c r="L479" s="1">
        <f t="shared" si="141"/>
        <v>1038231.6900127881</v>
      </c>
      <c r="N479" s="1">
        <f t="shared" si="146"/>
        <v>456</v>
      </c>
      <c r="O479" s="2">
        <f t="shared" si="134"/>
        <v>37</v>
      </c>
      <c r="P479" s="2">
        <f t="shared" si="135"/>
        <v>12</v>
      </c>
      <c r="Q479" s="2">
        <f t="shared" si="136"/>
        <v>37</v>
      </c>
      <c r="R479" s="1">
        <f t="shared" si="147"/>
        <v>28225381.356835578</v>
      </c>
      <c r="S479" s="4">
        <f>IF($G$4="mensual",S478,0)</f>
        <v>10000</v>
      </c>
      <c r="U479" s="1">
        <f t="shared" si="137"/>
        <v>225152.89600305821</v>
      </c>
      <c r="V479" s="35">
        <f t="shared" si="139"/>
        <v>-325.22844703784045</v>
      </c>
      <c r="X479" s="35">
        <f t="shared" si="138"/>
        <v>-28460.534252838639</v>
      </c>
      <c r="Y479" s="1">
        <f t="shared" si="142"/>
        <v>28431748.490138762</v>
      </c>
      <c r="AA479" s="2">
        <f>+Bono!J479</f>
        <v>497745.79823274078</v>
      </c>
      <c r="AC479" s="10">
        <f t="shared" si="148"/>
        <v>38</v>
      </c>
      <c r="AD479" s="1">
        <f t="shared" si="149"/>
        <v>29967725.97838429</v>
      </c>
    </row>
    <row r="480" spans="2:30">
      <c r="B480" s="1">
        <f t="shared" si="143"/>
        <v>457</v>
      </c>
      <c r="C480" s="2">
        <f t="shared" si="131"/>
        <v>38</v>
      </c>
      <c r="D480" s="2">
        <f t="shared" si="132"/>
        <v>1</v>
      </c>
      <c r="E480" s="2">
        <f t="shared" si="133"/>
        <v>67</v>
      </c>
      <c r="F480" s="1">
        <f t="shared" si="144"/>
        <v>1038231.6900127881</v>
      </c>
      <c r="H480" s="1">
        <f t="shared" si="140"/>
        <v>8279.0052939000543</v>
      </c>
      <c r="I480" s="1">
        <v>0</v>
      </c>
      <c r="J480" s="1">
        <v>0</v>
      </c>
      <c r="K480" s="1">
        <f t="shared" si="145"/>
        <v>-1046.5106953066881</v>
      </c>
      <c r="L480" s="1">
        <f t="shared" si="141"/>
        <v>1045464.1846113814</v>
      </c>
      <c r="N480" s="1">
        <f t="shared" si="146"/>
        <v>457</v>
      </c>
      <c r="O480" s="2">
        <f t="shared" si="134"/>
        <v>38</v>
      </c>
      <c r="P480" s="2">
        <f t="shared" si="135"/>
        <v>1</v>
      </c>
      <c r="Q480" s="2">
        <f t="shared" si="136"/>
        <v>38</v>
      </c>
      <c r="R480" s="1">
        <f t="shared" si="147"/>
        <v>28431748.490138762</v>
      </c>
      <c r="S480" s="1">
        <f>IF($G$17="si",S468*(1+$G$20),S468)</f>
        <v>10000</v>
      </c>
      <c r="U480" s="1">
        <f t="shared" si="137"/>
        <v>226798.49650392809</v>
      </c>
      <c r="V480" s="35">
        <f>(V479*(1+$G$18))</f>
        <v>-338.23758491935411</v>
      </c>
      <c r="X480" s="35">
        <f t="shared" si="138"/>
        <v>-28668.54698664269</v>
      </c>
      <c r="Y480" s="1">
        <f t="shared" si="142"/>
        <v>28639540.202071127</v>
      </c>
      <c r="AA480" s="2">
        <f>+Bono!J480</f>
        <v>500831.87991672283</v>
      </c>
      <c r="AC480" s="10">
        <f t="shared" si="148"/>
        <v>38.083333333333336</v>
      </c>
      <c r="AD480" s="1">
        <f t="shared" si="149"/>
        <v>30185836.26659923</v>
      </c>
    </row>
    <row r="481" spans="2:30">
      <c r="B481" s="1">
        <f t="shared" si="143"/>
        <v>458</v>
      </c>
      <c r="C481" s="2">
        <f t="shared" si="131"/>
        <v>38</v>
      </c>
      <c r="D481" s="2">
        <f t="shared" si="132"/>
        <v>2</v>
      </c>
      <c r="E481" s="2">
        <f t="shared" si="133"/>
        <v>67</v>
      </c>
      <c r="F481" s="1">
        <f t="shared" si="144"/>
        <v>1045464.1846113814</v>
      </c>
      <c r="H481" s="1">
        <f t="shared" si="140"/>
        <v>8336.6782214805244</v>
      </c>
      <c r="I481" s="1">
        <v>0</v>
      </c>
      <c r="J481" s="1">
        <v>0</v>
      </c>
      <c r="K481" s="1">
        <f t="shared" si="145"/>
        <v>-1053.8008628328619</v>
      </c>
      <c r="L481" s="1">
        <f t="shared" si="141"/>
        <v>1052747.061970029</v>
      </c>
      <c r="N481" s="1">
        <f t="shared" si="146"/>
        <v>458</v>
      </c>
      <c r="O481" s="2">
        <f t="shared" si="134"/>
        <v>38</v>
      </c>
      <c r="P481" s="2">
        <f t="shared" si="135"/>
        <v>2</v>
      </c>
      <c r="Q481" s="2">
        <f t="shared" si="136"/>
        <v>38</v>
      </c>
      <c r="R481" s="1">
        <f t="shared" si="147"/>
        <v>28639540.202071127</v>
      </c>
      <c r="S481" s="4">
        <f>IF($G$4="mensual",S480,0)</f>
        <v>10000</v>
      </c>
      <c r="U481" s="1">
        <f t="shared" si="137"/>
        <v>228455.45679483909</v>
      </c>
      <c r="V481" s="35">
        <f t="shared" si="139"/>
        <v>-338.23758491935411</v>
      </c>
      <c r="X481" s="35">
        <f t="shared" si="138"/>
        <v>-28877.995658865966</v>
      </c>
      <c r="Y481" s="1">
        <f t="shared" si="142"/>
        <v>28848779.42562218</v>
      </c>
      <c r="AA481" s="2">
        <f>+Bono!J481</f>
        <v>503937.09566510888</v>
      </c>
      <c r="AC481" s="10">
        <f t="shared" si="148"/>
        <v>38.166666666666664</v>
      </c>
      <c r="AD481" s="1">
        <f t="shared" si="149"/>
        <v>30405463.583257318</v>
      </c>
    </row>
    <row r="482" spans="2:30">
      <c r="B482" s="1">
        <f t="shared" si="143"/>
        <v>459</v>
      </c>
      <c r="C482" s="2">
        <f t="shared" si="131"/>
        <v>38</v>
      </c>
      <c r="D482" s="2">
        <f t="shared" si="132"/>
        <v>3</v>
      </c>
      <c r="E482" s="2">
        <f t="shared" si="133"/>
        <v>67</v>
      </c>
      <c r="F482" s="1">
        <f t="shared" si="144"/>
        <v>1052747.061970029</v>
      </c>
      <c r="H482" s="1">
        <f t="shared" si="140"/>
        <v>8394.7529082648653</v>
      </c>
      <c r="I482" s="1">
        <v>0</v>
      </c>
      <c r="J482" s="69">
        <f>-SUM(F482:H482)*$J$21</f>
        <v>-9550.2763339046451</v>
      </c>
      <c r="K482" s="1">
        <f t="shared" si="145"/>
        <v>-1051.5915385443891</v>
      </c>
      <c r="L482" s="1">
        <f t="shared" si="141"/>
        <v>1050539.9470058449</v>
      </c>
      <c r="N482" s="1">
        <f t="shared" si="146"/>
        <v>459</v>
      </c>
      <c r="O482" s="2">
        <f t="shared" si="134"/>
        <v>38</v>
      </c>
      <c r="P482" s="2">
        <f t="shared" si="135"/>
        <v>3</v>
      </c>
      <c r="Q482" s="2">
        <f t="shared" si="136"/>
        <v>38</v>
      </c>
      <c r="R482" s="1">
        <f t="shared" si="147"/>
        <v>28848779.42562218</v>
      </c>
      <c r="S482" s="4">
        <f>IF($G$4="mensual",S481,0)</f>
        <v>10000</v>
      </c>
      <c r="U482" s="1">
        <f t="shared" si="137"/>
        <v>230123.95974666998</v>
      </c>
      <c r="V482" s="35">
        <f t="shared" si="139"/>
        <v>-338.23758491935411</v>
      </c>
      <c r="X482" s="35">
        <f t="shared" si="138"/>
        <v>-29088.903385368852</v>
      </c>
      <c r="Y482" s="1">
        <f t="shared" si="142"/>
        <v>29059476.244398564</v>
      </c>
      <c r="AA482" s="2">
        <f>+Bono!J482</f>
        <v>502493.4419121166</v>
      </c>
      <c r="AC482" s="10">
        <f t="shared" si="148"/>
        <v>38.25</v>
      </c>
      <c r="AD482" s="1">
        <f t="shared" si="149"/>
        <v>30612509.633316528</v>
      </c>
    </row>
    <row r="483" spans="2:30">
      <c r="B483" s="1">
        <f t="shared" si="143"/>
        <v>460</v>
      </c>
      <c r="C483" s="2">
        <f t="shared" si="131"/>
        <v>38</v>
      </c>
      <c r="D483" s="2">
        <f t="shared" si="132"/>
        <v>4</v>
      </c>
      <c r="E483" s="2">
        <f t="shared" si="133"/>
        <v>67</v>
      </c>
      <c r="F483" s="1">
        <f t="shared" si="144"/>
        <v>1050539.9470058449</v>
      </c>
      <c r="H483" s="1">
        <f t="shared" si="140"/>
        <v>8377.1530635977251</v>
      </c>
      <c r="I483" s="1">
        <v>0</v>
      </c>
      <c r="J483" s="1">
        <v>0</v>
      </c>
      <c r="K483" s="1">
        <f t="shared" si="145"/>
        <v>-1058.9171000694425</v>
      </c>
      <c r="L483" s="1">
        <f t="shared" si="141"/>
        <v>1057858.1829693732</v>
      </c>
      <c r="N483" s="1">
        <f t="shared" si="146"/>
        <v>460</v>
      </c>
      <c r="O483" s="2">
        <f t="shared" si="134"/>
        <v>38</v>
      </c>
      <c r="P483" s="2">
        <f t="shared" si="135"/>
        <v>4</v>
      </c>
      <c r="Q483" s="2">
        <f t="shared" si="136"/>
        <v>38</v>
      </c>
      <c r="R483" s="1">
        <f t="shared" si="147"/>
        <v>29059476.244398564</v>
      </c>
      <c r="S483" s="4">
        <f>IF($G$4="mensual",S480,IF($G$4="trimestral",S480,0))</f>
        <v>10000</v>
      </c>
      <c r="U483" s="1">
        <f t="shared" si="137"/>
        <v>231804.08576751614</v>
      </c>
      <c r="V483" s="35">
        <f t="shared" si="139"/>
        <v>-338.23758491935411</v>
      </c>
      <c r="X483" s="35">
        <f t="shared" si="138"/>
        <v>-29301.280330166079</v>
      </c>
      <c r="Y483" s="1">
        <f t="shared" si="142"/>
        <v>29271640.812250994</v>
      </c>
      <c r="AA483" s="2">
        <f>+Bono!J483</f>
        <v>505608.95953760337</v>
      </c>
      <c r="AC483" s="10">
        <f t="shared" si="148"/>
        <v>38.333333333333336</v>
      </c>
      <c r="AD483" s="1">
        <f t="shared" si="149"/>
        <v>30835107.95475797</v>
      </c>
    </row>
    <row r="484" spans="2:30">
      <c r="B484" s="1">
        <f t="shared" si="143"/>
        <v>461</v>
      </c>
      <c r="C484" s="2">
        <f t="shared" ref="C484:C547" si="150">C472+1</f>
        <v>38</v>
      </c>
      <c r="D484" s="2">
        <f t="shared" ref="D484:D547" si="151">D472</f>
        <v>5</v>
      </c>
      <c r="E484" s="2">
        <f t="shared" ref="E484:E547" si="152">E472+1</f>
        <v>67</v>
      </c>
      <c r="F484" s="1">
        <f t="shared" si="144"/>
        <v>1057858.1829693732</v>
      </c>
      <c r="H484" s="1">
        <f t="shared" si="140"/>
        <v>8435.509704862754</v>
      </c>
      <c r="I484" s="1">
        <v>0</v>
      </c>
      <c r="J484" s="1">
        <v>0</v>
      </c>
      <c r="K484" s="1">
        <f t="shared" si="145"/>
        <v>-1066.2936926742359</v>
      </c>
      <c r="L484" s="1">
        <f t="shared" si="141"/>
        <v>1065227.3989815617</v>
      </c>
      <c r="N484" s="1">
        <f t="shared" si="146"/>
        <v>461</v>
      </c>
      <c r="O484" s="2">
        <f t="shared" ref="O484:O547" si="153">O472+1</f>
        <v>38</v>
      </c>
      <c r="P484" s="2">
        <f t="shared" ref="P484:P547" si="154">P472</f>
        <v>5</v>
      </c>
      <c r="Q484" s="2">
        <f t="shared" ref="Q484:Q547" si="155">Q472+1</f>
        <v>38</v>
      </c>
      <c r="R484" s="1">
        <f t="shared" si="147"/>
        <v>29271640.812250994</v>
      </c>
      <c r="S484" s="4">
        <f>IF($G$4="mensual",S483,0)</f>
        <v>10000</v>
      </c>
      <c r="U484" s="1">
        <f t="shared" ref="U484:U547" si="156">SUM(R484:T484)*$G$8</f>
        <v>233495.91582560912</v>
      </c>
      <c r="V484" s="35">
        <f t="shared" si="139"/>
        <v>-338.23758491935411</v>
      </c>
      <c r="X484" s="35">
        <f t="shared" si="138"/>
        <v>-29515.136728076603</v>
      </c>
      <c r="Y484" s="1">
        <f t="shared" si="142"/>
        <v>29485283.353763606</v>
      </c>
      <c r="AA484" s="2">
        <f>+Bono!J484</f>
        <v>508743.79373374581</v>
      </c>
      <c r="AC484" s="10">
        <f t="shared" si="148"/>
        <v>38.416666666666664</v>
      </c>
      <c r="AD484" s="1">
        <f t="shared" si="149"/>
        <v>31059254.546478912</v>
      </c>
    </row>
    <row r="485" spans="2:30">
      <c r="B485" s="1">
        <f t="shared" si="143"/>
        <v>462</v>
      </c>
      <c r="C485" s="2">
        <f t="shared" si="150"/>
        <v>38</v>
      </c>
      <c r="D485" s="2">
        <f t="shared" si="151"/>
        <v>6</v>
      </c>
      <c r="E485" s="2">
        <f t="shared" si="152"/>
        <v>67</v>
      </c>
      <c r="F485" s="1">
        <f t="shared" si="144"/>
        <v>1065227.3989815617</v>
      </c>
      <c r="H485" s="1">
        <f t="shared" si="140"/>
        <v>8494.272868194872</v>
      </c>
      <c r="I485" s="1">
        <v>0</v>
      </c>
      <c r="J485" s="69">
        <f>-SUM(F485:H485)*$J$21</f>
        <v>-9663.4950466478094</v>
      </c>
      <c r="K485" s="1">
        <f t="shared" si="145"/>
        <v>-1064.0581768031088</v>
      </c>
      <c r="L485" s="1">
        <f t="shared" si="141"/>
        <v>1062994.1186263056</v>
      </c>
      <c r="N485" s="1">
        <f t="shared" si="146"/>
        <v>462</v>
      </c>
      <c r="O485" s="2">
        <f t="shared" si="153"/>
        <v>38</v>
      </c>
      <c r="P485" s="2">
        <f t="shared" si="154"/>
        <v>6</v>
      </c>
      <c r="Q485" s="2">
        <f t="shared" si="155"/>
        <v>38</v>
      </c>
      <c r="R485" s="1">
        <f t="shared" si="147"/>
        <v>29485283.353763606</v>
      </c>
      <c r="S485" s="4">
        <f>IF($G$4="mensual",S484,0)</f>
        <v>10000</v>
      </c>
      <c r="U485" s="1">
        <f t="shared" si="156"/>
        <v>235199.53145321857</v>
      </c>
      <c r="V485" s="35">
        <f t="shared" si="139"/>
        <v>-338.23758491935411</v>
      </c>
      <c r="X485" s="35">
        <f t="shared" si="138"/>
        <v>-29730.482885216825</v>
      </c>
      <c r="Y485" s="1">
        <f t="shared" si="142"/>
        <v>29700414.164746691</v>
      </c>
      <c r="AA485" s="2">
        <f>+Bono!J485</f>
        <v>507286.3699928603</v>
      </c>
      <c r="AC485" s="10">
        <f t="shared" si="148"/>
        <v>38.5</v>
      </c>
      <c r="AD485" s="1">
        <f t="shared" si="149"/>
        <v>31270694.653365854</v>
      </c>
    </row>
    <row r="486" spans="2:30">
      <c r="B486" s="1">
        <f t="shared" si="143"/>
        <v>463</v>
      </c>
      <c r="C486" s="2">
        <f t="shared" si="150"/>
        <v>38</v>
      </c>
      <c r="D486" s="2">
        <f t="shared" si="151"/>
        <v>7</v>
      </c>
      <c r="E486" s="2">
        <f t="shared" si="152"/>
        <v>67</v>
      </c>
      <c r="F486" s="1">
        <f t="shared" si="144"/>
        <v>1062994.1186263056</v>
      </c>
      <c r="H486" s="1">
        <f t="shared" si="140"/>
        <v>8476.4643770249477</v>
      </c>
      <c r="I486" s="1">
        <v>0</v>
      </c>
      <c r="J486" s="1">
        <v>0</v>
      </c>
      <c r="K486" s="1">
        <f t="shared" si="145"/>
        <v>-1071.4705830033306</v>
      </c>
      <c r="L486" s="1">
        <f t="shared" si="141"/>
        <v>1070399.1124203273</v>
      </c>
      <c r="N486" s="1">
        <f t="shared" si="146"/>
        <v>463</v>
      </c>
      <c r="O486" s="2">
        <f t="shared" si="153"/>
        <v>38</v>
      </c>
      <c r="P486" s="2">
        <f t="shared" si="154"/>
        <v>7</v>
      </c>
      <c r="Q486" s="2">
        <f t="shared" si="155"/>
        <v>38</v>
      </c>
      <c r="R486" s="1">
        <f t="shared" si="147"/>
        <v>29700414.164746691</v>
      </c>
      <c r="S486" s="1">
        <f>+IF($G$4="mensual",S480,IF($G$4="trimestral",S480,IF($G$4="semestral",S480,0)))</f>
        <v>10000</v>
      </c>
      <c r="U486" s="1">
        <f t="shared" si="156"/>
        <v>236915.01475058164</v>
      </c>
      <c r="V486" s="35">
        <f t="shared" si="139"/>
        <v>-338.23758491935411</v>
      </c>
      <c r="X486" s="35">
        <f t="shared" si="138"/>
        <v>-29947.329179497272</v>
      </c>
      <c r="Y486" s="1">
        <f t="shared" si="142"/>
        <v>29917043.612732857</v>
      </c>
      <c r="AA486" s="2">
        <f>+Bono!J486</f>
        <v>510431.60432839295</v>
      </c>
      <c r="AC486" s="10">
        <f t="shared" si="148"/>
        <v>38.583333333333336</v>
      </c>
      <c r="AD486" s="1">
        <f t="shared" si="149"/>
        <v>31497874.329481579</v>
      </c>
    </row>
    <row r="487" spans="2:30">
      <c r="B487" s="1">
        <f t="shared" si="143"/>
        <v>464</v>
      </c>
      <c r="C487" s="2">
        <f t="shared" si="150"/>
        <v>38</v>
      </c>
      <c r="D487" s="2">
        <f t="shared" si="151"/>
        <v>8</v>
      </c>
      <c r="E487" s="2">
        <f t="shared" si="152"/>
        <v>67</v>
      </c>
      <c r="F487" s="1">
        <f t="shared" si="144"/>
        <v>1070399.1124203273</v>
      </c>
      <c r="H487" s="1">
        <f t="shared" si="140"/>
        <v>8535.5128374136366</v>
      </c>
      <c r="I487" s="1">
        <v>0</v>
      </c>
      <c r="J487" s="1">
        <v>0</v>
      </c>
      <c r="K487" s="1">
        <f t="shared" si="145"/>
        <v>-1078.9346252577409</v>
      </c>
      <c r="L487" s="1">
        <f t="shared" si="141"/>
        <v>1077855.6906324832</v>
      </c>
      <c r="N487" s="1">
        <f t="shared" si="146"/>
        <v>464</v>
      </c>
      <c r="O487" s="2">
        <f t="shared" si="153"/>
        <v>38</v>
      </c>
      <c r="P487" s="2">
        <f t="shared" si="154"/>
        <v>8</v>
      </c>
      <c r="Q487" s="2">
        <f t="shared" si="155"/>
        <v>38</v>
      </c>
      <c r="R487" s="1">
        <f t="shared" si="147"/>
        <v>29917043.612732857</v>
      </c>
      <c r="S487" s="4">
        <f>IF($G$4="mensual",S486,0)</f>
        <v>10000</v>
      </c>
      <c r="U487" s="1">
        <f t="shared" si="156"/>
        <v>238642.44838985926</v>
      </c>
      <c r="V487" s="35">
        <f t="shared" si="139"/>
        <v>-338.23758491935411</v>
      </c>
      <c r="X487" s="35">
        <f t="shared" si="138"/>
        <v>-30165.686061122717</v>
      </c>
      <c r="Y487" s="1">
        <f t="shared" si="142"/>
        <v>30135182.137476675</v>
      </c>
      <c r="AA487" s="2">
        <f>+Bono!J487</f>
        <v>513596.33948163048</v>
      </c>
      <c r="AC487" s="10">
        <f t="shared" si="148"/>
        <v>38.666666666666664</v>
      </c>
      <c r="AD487" s="1">
        <f t="shared" si="149"/>
        <v>31726634.167590789</v>
      </c>
    </row>
    <row r="488" spans="2:30">
      <c r="B488" s="1">
        <f t="shared" si="143"/>
        <v>465</v>
      </c>
      <c r="C488" s="2">
        <f t="shared" si="150"/>
        <v>38</v>
      </c>
      <c r="D488" s="2">
        <f t="shared" si="151"/>
        <v>9</v>
      </c>
      <c r="E488" s="2">
        <f t="shared" si="152"/>
        <v>67</v>
      </c>
      <c r="F488" s="1">
        <f t="shared" si="144"/>
        <v>1077855.6906324832</v>
      </c>
      <c r="H488" s="1">
        <f t="shared" si="140"/>
        <v>8594.9726391964723</v>
      </c>
      <c r="I488" s="1">
        <v>0</v>
      </c>
      <c r="J488" s="69">
        <f>-SUM(F488:H488)*$J$21</f>
        <v>-9778.0559694451185</v>
      </c>
      <c r="K488" s="1">
        <f t="shared" si="145"/>
        <v>-1076.6726073022348</v>
      </c>
      <c r="L488" s="1">
        <f t="shared" si="141"/>
        <v>1075595.9346949325</v>
      </c>
      <c r="N488" s="1">
        <f t="shared" si="146"/>
        <v>465</v>
      </c>
      <c r="O488" s="2">
        <f t="shared" si="153"/>
        <v>38</v>
      </c>
      <c r="P488" s="2">
        <f t="shared" si="154"/>
        <v>9</v>
      </c>
      <c r="Q488" s="2">
        <f t="shared" si="155"/>
        <v>38</v>
      </c>
      <c r="R488" s="1">
        <f t="shared" si="147"/>
        <v>30135182.137476675</v>
      </c>
      <c r="S488" s="4">
        <f>IF($G$4="mensual",S487,0)</f>
        <v>10000</v>
      </c>
      <c r="U488" s="1">
        <f t="shared" si="156"/>
        <v>240381.91561912035</v>
      </c>
      <c r="V488" s="35">
        <f t="shared" si="139"/>
        <v>-338.23758491935411</v>
      </c>
      <c r="X488" s="35">
        <f t="shared" si="138"/>
        <v>-30385.564053095797</v>
      </c>
      <c r="Y488" s="1">
        <f t="shared" si="142"/>
        <v>30354840.251457781</v>
      </c>
      <c r="AA488" s="2">
        <f>+Bono!J488</f>
        <v>512125.01441071625</v>
      </c>
      <c r="AC488" s="10">
        <f t="shared" si="148"/>
        <v>38.75</v>
      </c>
      <c r="AD488" s="1">
        <f t="shared" si="149"/>
        <v>31942561.200563427</v>
      </c>
    </row>
    <row r="489" spans="2:30">
      <c r="B489" s="1">
        <f t="shared" si="143"/>
        <v>466</v>
      </c>
      <c r="C489" s="2">
        <f t="shared" si="150"/>
        <v>38</v>
      </c>
      <c r="D489" s="2">
        <f t="shared" si="151"/>
        <v>10</v>
      </c>
      <c r="E489" s="2">
        <f t="shared" si="152"/>
        <v>67</v>
      </c>
      <c r="F489" s="1">
        <f t="shared" si="144"/>
        <v>1075595.9346949325</v>
      </c>
      <c r="H489" s="1">
        <f t="shared" si="140"/>
        <v>8576.953028015394</v>
      </c>
      <c r="I489" s="1">
        <v>0</v>
      </c>
      <c r="J489" s="1">
        <v>0</v>
      </c>
      <c r="K489" s="1">
        <f t="shared" si="145"/>
        <v>-1084.172887722948</v>
      </c>
      <c r="L489" s="1">
        <f t="shared" si="141"/>
        <v>1083088.7148352249</v>
      </c>
      <c r="N489" s="1">
        <f t="shared" si="146"/>
        <v>466</v>
      </c>
      <c r="O489" s="2">
        <f t="shared" si="153"/>
        <v>38</v>
      </c>
      <c r="P489" s="2">
        <f t="shared" si="154"/>
        <v>10</v>
      </c>
      <c r="Q489" s="2">
        <f t="shared" si="155"/>
        <v>38</v>
      </c>
      <c r="R489" s="1">
        <f t="shared" si="147"/>
        <v>30354840.251457781</v>
      </c>
      <c r="S489" s="4">
        <f>IF($G$4="mensual",S480,IF($G$4="trimestral",S480,0))</f>
        <v>10000</v>
      </c>
      <c r="U489" s="1">
        <f t="shared" si="156"/>
        <v>242133.50026635383</v>
      </c>
      <c r="V489" s="35">
        <f t="shared" si="139"/>
        <v>-338.23758491935411</v>
      </c>
      <c r="X489" s="35">
        <f t="shared" si="138"/>
        <v>-30606.973751724137</v>
      </c>
      <c r="Y489" s="1">
        <f t="shared" si="142"/>
        <v>30576028.540387493</v>
      </c>
      <c r="AA489" s="2">
        <f>+Bono!J489</f>
        <v>515300.24890288763</v>
      </c>
      <c r="AC489" s="10">
        <f t="shared" si="148"/>
        <v>38.833333333333336</v>
      </c>
      <c r="AD489" s="1">
        <f t="shared" si="149"/>
        <v>32174417.504125606</v>
      </c>
    </row>
    <row r="490" spans="2:30">
      <c r="B490" s="1">
        <f t="shared" si="143"/>
        <v>467</v>
      </c>
      <c r="C490" s="2">
        <f t="shared" si="150"/>
        <v>38</v>
      </c>
      <c r="D490" s="2">
        <f t="shared" si="151"/>
        <v>11</v>
      </c>
      <c r="E490" s="2">
        <f t="shared" si="152"/>
        <v>67</v>
      </c>
      <c r="F490" s="1">
        <f t="shared" si="144"/>
        <v>1083088.7148352249</v>
      </c>
      <c r="H490" s="1">
        <f t="shared" si="140"/>
        <v>8636.7015090569876</v>
      </c>
      <c r="I490" s="1">
        <v>0</v>
      </c>
      <c r="J490" s="1">
        <v>0</v>
      </c>
      <c r="K490" s="1">
        <f t="shared" si="145"/>
        <v>-1091.7254163442819</v>
      </c>
      <c r="L490" s="1">
        <f t="shared" si="141"/>
        <v>1090633.6909279376</v>
      </c>
      <c r="N490" s="1">
        <f t="shared" si="146"/>
        <v>467</v>
      </c>
      <c r="O490" s="2">
        <f t="shared" si="153"/>
        <v>38</v>
      </c>
      <c r="P490" s="2">
        <f t="shared" si="154"/>
        <v>11</v>
      </c>
      <c r="Q490" s="2">
        <f t="shared" si="155"/>
        <v>38</v>
      </c>
      <c r="R490" s="1">
        <f t="shared" si="147"/>
        <v>30576028.540387493</v>
      </c>
      <c r="S490" s="1">
        <f>IF($G$17="si",S478*(1+$G$20),S478)</f>
        <v>10000</v>
      </c>
      <c r="U490" s="1">
        <f t="shared" si="156"/>
        <v>243897.2867435083</v>
      </c>
      <c r="V490" s="35">
        <f t="shared" si="139"/>
        <v>-338.23758491935411</v>
      </c>
      <c r="X490" s="35">
        <f t="shared" si="138"/>
        <v>-30829.925827130999</v>
      </c>
      <c r="Y490" s="1">
        <f t="shared" si="142"/>
        <v>30798757.66371895</v>
      </c>
      <c r="AA490" s="2">
        <f>+Bono!J490</f>
        <v>518495.17021721485</v>
      </c>
      <c r="AC490" s="10">
        <f t="shared" si="148"/>
        <v>38.916666666666664</v>
      </c>
      <c r="AD490" s="1">
        <f t="shared" si="149"/>
        <v>32407886.524864104</v>
      </c>
    </row>
    <row r="491" spans="2:30">
      <c r="B491" s="1">
        <f t="shared" si="143"/>
        <v>468</v>
      </c>
      <c r="C491" s="2">
        <f t="shared" si="150"/>
        <v>38</v>
      </c>
      <c r="D491" s="2">
        <f t="shared" si="151"/>
        <v>12</v>
      </c>
      <c r="E491" s="2">
        <f t="shared" si="152"/>
        <v>67</v>
      </c>
      <c r="F491" s="1">
        <f t="shared" si="144"/>
        <v>1090633.6909279376</v>
      </c>
      <c r="H491" s="1">
        <f t="shared" si="140"/>
        <v>8696.8662079530004</v>
      </c>
      <c r="I491" s="1">
        <v>0</v>
      </c>
      <c r="J491" s="69">
        <f>-SUM(F491:H491)*$J$21</f>
        <v>-9893.9750142230168</v>
      </c>
      <c r="K491" s="1">
        <f t="shared" si="145"/>
        <v>-1089.4365821216677</v>
      </c>
      <c r="L491" s="1">
        <f t="shared" si="141"/>
        <v>1088347.1455395459</v>
      </c>
      <c r="N491" s="1">
        <f t="shared" si="146"/>
        <v>468</v>
      </c>
      <c r="O491" s="2">
        <f t="shared" si="153"/>
        <v>38</v>
      </c>
      <c r="P491" s="2">
        <f t="shared" si="154"/>
        <v>12</v>
      </c>
      <c r="Q491" s="2">
        <f t="shared" si="155"/>
        <v>38</v>
      </c>
      <c r="R491" s="1">
        <f t="shared" si="147"/>
        <v>30798757.66371895</v>
      </c>
      <c r="S491" s="4">
        <f>IF($G$4="mensual",S490,0)</f>
        <v>10000</v>
      </c>
      <c r="U491" s="1">
        <f t="shared" si="156"/>
        <v>245673.36005055998</v>
      </c>
      <c r="V491" s="35">
        <f t="shared" si="139"/>
        <v>-338.23758491935411</v>
      </c>
      <c r="X491" s="35">
        <f t="shared" ref="X491:X554" si="157">-SUM(R491:U491)*0.1%</f>
        <v>-31054.43102376951</v>
      </c>
      <c r="Y491" s="1">
        <f t="shared" si="142"/>
        <v>31023038.355160821</v>
      </c>
      <c r="AA491" s="2">
        <f>+Bono!J491</f>
        <v>517009.81122135743</v>
      </c>
      <c r="AC491" s="10">
        <f t="shared" si="148"/>
        <v>39</v>
      </c>
      <c r="AD491" s="1">
        <f t="shared" si="149"/>
        <v>32628395.311921723</v>
      </c>
    </row>
    <row r="492" spans="2:30">
      <c r="B492" s="1">
        <f t="shared" si="143"/>
        <v>469</v>
      </c>
      <c r="C492" s="2">
        <f t="shared" si="150"/>
        <v>39</v>
      </c>
      <c r="D492" s="2">
        <f t="shared" si="151"/>
        <v>1</v>
      </c>
      <c r="E492" s="2">
        <f t="shared" si="152"/>
        <v>68</v>
      </c>
      <c r="F492" s="1">
        <f t="shared" si="144"/>
        <v>1088347.1455395459</v>
      </c>
      <c r="H492" s="1">
        <f t="shared" si="140"/>
        <v>8678.6329739289031</v>
      </c>
      <c r="I492" s="1">
        <v>0</v>
      </c>
      <c r="J492" s="1">
        <v>0</v>
      </c>
      <c r="K492" s="1">
        <f t="shared" si="145"/>
        <v>-1097.025778513475</v>
      </c>
      <c r="L492" s="1">
        <f t="shared" si="141"/>
        <v>1095928.7527349615</v>
      </c>
      <c r="N492" s="1">
        <f t="shared" si="146"/>
        <v>469</v>
      </c>
      <c r="O492" s="2">
        <f t="shared" si="153"/>
        <v>39</v>
      </c>
      <c r="P492" s="2">
        <f t="shared" si="154"/>
        <v>1</v>
      </c>
      <c r="Q492" s="2">
        <f t="shared" si="155"/>
        <v>39</v>
      </c>
      <c r="R492" s="1">
        <f t="shared" si="147"/>
        <v>31023038.355160821</v>
      </c>
      <c r="S492" s="1">
        <f>IF($G$17="si",S480*(1+$G$20),S480)</f>
        <v>10000</v>
      </c>
      <c r="U492" s="1">
        <f t="shared" si="156"/>
        <v>247461.80577960907</v>
      </c>
      <c r="V492" s="35">
        <f>(V491*(1+$G$18))</f>
        <v>-351.76708831612831</v>
      </c>
      <c r="X492" s="35">
        <f t="shared" si="157"/>
        <v>-31280.500160940432</v>
      </c>
      <c r="Y492" s="1">
        <f t="shared" si="142"/>
        <v>31248867.893691175</v>
      </c>
      <c r="AA492" s="2">
        <f>+Bono!J492</f>
        <v>520215.33202035615</v>
      </c>
      <c r="AC492" s="10">
        <f t="shared" si="148"/>
        <v>39.083333333333336</v>
      </c>
      <c r="AD492" s="1">
        <f t="shared" si="149"/>
        <v>32865011.978446495</v>
      </c>
    </row>
    <row r="493" spans="2:30">
      <c r="B493" s="1">
        <f t="shared" si="143"/>
        <v>470</v>
      </c>
      <c r="C493" s="2">
        <f t="shared" si="150"/>
        <v>39</v>
      </c>
      <c r="D493" s="2">
        <f t="shared" si="151"/>
        <v>2</v>
      </c>
      <c r="E493" s="2">
        <f t="shared" si="152"/>
        <v>68</v>
      </c>
      <c r="F493" s="1">
        <f t="shared" si="144"/>
        <v>1095928.7527349615</v>
      </c>
      <c r="H493" s="1">
        <f t="shared" si="140"/>
        <v>8739.0897743819332</v>
      </c>
      <c r="I493" s="1">
        <v>0</v>
      </c>
      <c r="J493" s="1">
        <v>0</v>
      </c>
      <c r="K493" s="1">
        <f t="shared" si="145"/>
        <v>-1104.6678425093432</v>
      </c>
      <c r="L493" s="1">
        <f t="shared" si="141"/>
        <v>1103563.1746668338</v>
      </c>
      <c r="N493" s="1">
        <f t="shared" si="146"/>
        <v>470</v>
      </c>
      <c r="O493" s="2">
        <f t="shared" si="153"/>
        <v>39</v>
      </c>
      <c r="P493" s="2">
        <f t="shared" si="154"/>
        <v>2</v>
      </c>
      <c r="Q493" s="2">
        <f t="shared" si="155"/>
        <v>39</v>
      </c>
      <c r="R493" s="1">
        <f t="shared" si="147"/>
        <v>31248867.893691175</v>
      </c>
      <c r="S493" s="4">
        <f>IF($G$4="mensual",S492,0)</f>
        <v>10000</v>
      </c>
      <c r="U493" s="1">
        <f t="shared" si="156"/>
        <v>249262.60223284466</v>
      </c>
      <c r="V493" s="35">
        <f t="shared" si="139"/>
        <v>-351.76708831612831</v>
      </c>
      <c r="X493" s="35">
        <f t="shared" si="157"/>
        <v>-31508.130495924019</v>
      </c>
      <c r="Y493" s="1">
        <f t="shared" si="142"/>
        <v>31476270.598339777</v>
      </c>
      <c r="AA493" s="2">
        <f>+Bono!J493</f>
        <v>523440.72742012603</v>
      </c>
      <c r="AC493" s="10">
        <f t="shared" si="148"/>
        <v>39.166666666666664</v>
      </c>
      <c r="AD493" s="1">
        <f t="shared" si="149"/>
        <v>33103274.500426736</v>
      </c>
    </row>
    <row r="494" spans="2:30">
      <c r="B494" s="1">
        <f t="shared" si="143"/>
        <v>471</v>
      </c>
      <c r="C494" s="2">
        <f t="shared" si="150"/>
        <v>39</v>
      </c>
      <c r="D494" s="2">
        <f t="shared" si="151"/>
        <v>3</v>
      </c>
      <c r="E494" s="2">
        <f t="shared" si="152"/>
        <v>68</v>
      </c>
      <c r="F494" s="1">
        <f t="shared" si="144"/>
        <v>1103563.1746668338</v>
      </c>
      <c r="H494" s="1">
        <f t="shared" si="140"/>
        <v>8799.9677269601852</v>
      </c>
      <c r="I494" s="1">
        <v>0</v>
      </c>
      <c r="J494" s="69">
        <f>-SUM(F494:H494)*$J$21</f>
        <v>-10011.268281544146</v>
      </c>
      <c r="K494" s="1">
        <f t="shared" si="145"/>
        <v>-1102.3518741122498</v>
      </c>
      <c r="L494" s="1">
        <f t="shared" si="141"/>
        <v>1101249.5222381377</v>
      </c>
      <c r="N494" s="1">
        <f t="shared" si="146"/>
        <v>471</v>
      </c>
      <c r="O494" s="2">
        <f t="shared" si="153"/>
        <v>39</v>
      </c>
      <c r="P494" s="2">
        <f t="shared" si="154"/>
        <v>3</v>
      </c>
      <c r="Q494" s="2">
        <f t="shared" si="155"/>
        <v>39</v>
      </c>
      <c r="R494" s="1">
        <f t="shared" si="147"/>
        <v>31476270.598339777</v>
      </c>
      <c r="S494" s="4">
        <f>IF($G$4="mensual",S493,0)</f>
        <v>10000</v>
      </c>
      <c r="U494" s="1">
        <f t="shared" si="156"/>
        <v>251075.94333362512</v>
      </c>
      <c r="V494" s="35">
        <f t="shared" si="139"/>
        <v>-351.76708831612831</v>
      </c>
      <c r="X494" s="35">
        <f t="shared" si="157"/>
        <v>-31737.346541673403</v>
      </c>
      <c r="Y494" s="1">
        <f t="shared" si="142"/>
        <v>31705257.428043414</v>
      </c>
      <c r="AA494" s="2">
        <f>+Bono!J494</f>
        <v>521941.20063968195</v>
      </c>
      <c r="AC494" s="10">
        <f t="shared" si="148"/>
        <v>39.25</v>
      </c>
      <c r="AD494" s="1">
        <f t="shared" si="149"/>
        <v>33328448.150921237</v>
      </c>
    </row>
    <row r="495" spans="2:30">
      <c r="B495" s="1">
        <f t="shared" si="143"/>
        <v>472</v>
      </c>
      <c r="C495" s="2">
        <f t="shared" si="150"/>
        <v>39</v>
      </c>
      <c r="D495" s="2">
        <f t="shared" si="151"/>
        <v>4</v>
      </c>
      <c r="E495" s="2">
        <f t="shared" si="152"/>
        <v>68</v>
      </c>
      <c r="F495" s="1">
        <f t="shared" si="144"/>
        <v>1101249.5222381377</v>
      </c>
      <c r="H495" s="1">
        <f t="shared" si="140"/>
        <v>8781.5183375900888</v>
      </c>
      <c r="I495" s="1">
        <v>0</v>
      </c>
      <c r="J495" s="1">
        <v>0</v>
      </c>
      <c r="K495" s="1">
        <f t="shared" si="145"/>
        <v>-1110.031040575728</v>
      </c>
      <c r="L495" s="1">
        <f t="shared" si="141"/>
        <v>1108921.009535152</v>
      </c>
      <c r="N495" s="1">
        <f t="shared" si="146"/>
        <v>472</v>
      </c>
      <c r="O495" s="2">
        <f t="shared" si="153"/>
        <v>39</v>
      </c>
      <c r="P495" s="2">
        <f t="shared" si="154"/>
        <v>4</v>
      </c>
      <c r="Q495" s="2">
        <f t="shared" si="155"/>
        <v>39</v>
      </c>
      <c r="R495" s="1">
        <f t="shared" si="147"/>
        <v>31705257.428043414</v>
      </c>
      <c r="S495" s="4">
        <f>IF($G$4="mensual",S492,IF($G$4="trimestral",S492,0))</f>
        <v>10000</v>
      </c>
      <c r="U495" s="1">
        <f t="shared" si="156"/>
        <v>252901.91647005139</v>
      </c>
      <c r="V495" s="35">
        <f t="shared" si="139"/>
        <v>-351.76708831612831</v>
      </c>
      <c r="X495" s="35">
        <f t="shared" si="157"/>
        <v>-31968.159344513464</v>
      </c>
      <c r="Y495" s="1">
        <f t="shared" si="142"/>
        <v>31935839.418080635</v>
      </c>
      <c r="AA495" s="2">
        <f>+Bono!J495</f>
        <v>525177.29662508005</v>
      </c>
      <c r="AC495" s="10">
        <f t="shared" si="148"/>
        <v>39.333333333333336</v>
      </c>
      <c r="AD495" s="1">
        <f t="shared" si="149"/>
        <v>33569937.724240869</v>
      </c>
    </row>
    <row r="496" spans="2:30">
      <c r="B496" s="1">
        <f t="shared" si="143"/>
        <v>473</v>
      </c>
      <c r="C496" s="2">
        <f t="shared" si="150"/>
        <v>39</v>
      </c>
      <c r="D496" s="2">
        <f t="shared" si="151"/>
        <v>5</v>
      </c>
      <c r="E496" s="2">
        <f t="shared" si="152"/>
        <v>68</v>
      </c>
      <c r="F496" s="1">
        <f t="shared" si="144"/>
        <v>1108921.009535152</v>
      </c>
      <c r="H496" s="1">
        <f t="shared" si="140"/>
        <v>8842.6918545950321</v>
      </c>
      <c r="I496" s="1">
        <v>0</v>
      </c>
      <c r="J496" s="1">
        <v>0</v>
      </c>
      <c r="K496" s="1">
        <f t="shared" si="145"/>
        <v>-1117.763701389747</v>
      </c>
      <c r="L496" s="1">
        <f t="shared" si="141"/>
        <v>1116645.9376883572</v>
      </c>
      <c r="N496" s="1">
        <f t="shared" si="146"/>
        <v>473</v>
      </c>
      <c r="O496" s="2">
        <f t="shared" si="153"/>
        <v>39</v>
      </c>
      <c r="P496" s="2">
        <f t="shared" si="154"/>
        <v>5</v>
      </c>
      <c r="Q496" s="2">
        <f t="shared" si="155"/>
        <v>39</v>
      </c>
      <c r="R496" s="1">
        <f t="shared" si="147"/>
        <v>31935839.418080635</v>
      </c>
      <c r="S496" s="4">
        <f>IF($G$4="mensual",S495,0)</f>
        <v>10000</v>
      </c>
      <c r="U496" s="1">
        <f t="shared" si="156"/>
        <v>254740.60963898429</v>
      </c>
      <c r="V496" s="35">
        <f t="shared" si="139"/>
        <v>-351.76708831612831</v>
      </c>
      <c r="X496" s="35">
        <f t="shared" si="157"/>
        <v>-32200.580027719621</v>
      </c>
      <c r="Y496" s="1">
        <f t="shared" si="142"/>
        <v>32168027.680603586</v>
      </c>
      <c r="AA496" s="2">
        <f>+Bono!J496</f>
        <v>528433.45678095159</v>
      </c>
      <c r="AC496" s="10">
        <f t="shared" si="148"/>
        <v>39.416666666666664</v>
      </c>
      <c r="AD496" s="1">
        <f t="shared" si="149"/>
        <v>33813107.075072892</v>
      </c>
    </row>
    <row r="497" spans="2:30">
      <c r="B497" s="1">
        <f t="shared" si="143"/>
        <v>474</v>
      </c>
      <c r="C497" s="2">
        <f t="shared" si="150"/>
        <v>39</v>
      </c>
      <c r="D497" s="2">
        <f t="shared" si="151"/>
        <v>6</v>
      </c>
      <c r="E497" s="2">
        <f t="shared" si="152"/>
        <v>68</v>
      </c>
      <c r="F497" s="1">
        <f t="shared" si="144"/>
        <v>1116645.9376883572</v>
      </c>
      <c r="H497" s="1">
        <f t="shared" si="140"/>
        <v>8904.2915164918832</v>
      </c>
      <c r="I497" s="1">
        <v>0</v>
      </c>
      <c r="J497" s="69">
        <f>-SUM(F497:H497)*$J$21</f>
        <v>-10129.952062843644</v>
      </c>
      <c r="K497" s="1">
        <f t="shared" si="145"/>
        <v>-1115.4202771420055</v>
      </c>
      <c r="L497" s="1">
        <f t="shared" si="141"/>
        <v>1114304.8568648635</v>
      </c>
      <c r="N497" s="1">
        <f t="shared" si="146"/>
        <v>474</v>
      </c>
      <c r="O497" s="2">
        <f t="shared" si="153"/>
        <v>39</v>
      </c>
      <c r="P497" s="2">
        <f t="shared" si="154"/>
        <v>6</v>
      </c>
      <c r="Q497" s="2">
        <f t="shared" si="155"/>
        <v>39</v>
      </c>
      <c r="R497" s="1">
        <f t="shared" si="147"/>
        <v>32168027.680603586</v>
      </c>
      <c r="S497" s="4">
        <f>IF($G$4="mensual",S496,0)</f>
        <v>10000</v>
      </c>
      <c r="U497" s="1">
        <f t="shared" si="156"/>
        <v>256592.11145028548</v>
      </c>
      <c r="V497" s="35">
        <f t="shared" ref="V497:V560" si="158">V496</f>
        <v>-351.76708831612831</v>
      </c>
      <c r="X497" s="35">
        <f t="shared" si="157"/>
        <v>-32434.619792053873</v>
      </c>
      <c r="Y497" s="1">
        <f t="shared" si="142"/>
        <v>32401833.405173499</v>
      </c>
      <c r="AA497" s="2">
        <f>+Bono!J497</f>
        <v>526919.62707948533</v>
      </c>
      <c r="AC497" s="10">
        <f t="shared" si="148"/>
        <v>39.5</v>
      </c>
      <c r="AD497" s="1">
        <f t="shared" si="149"/>
        <v>34043057.889117852</v>
      </c>
    </row>
    <row r="498" spans="2:30">
      <c r="B498" s="1">
        <f t="shared" si="143"/>
        <v>475</v>
      </c>
      <c r="C498" s="2">
        <f t="shared" si="150"/>
        <v>39</v>
      </c>
      <c r="D498" s="2">
        <f t="shared" si="151"/>
        <v>7</v>
      </c>
      <c r="E498" s="2">
        <f t="shared" si="152"/>
        <v>68</v>
      </c>
      <c r="F498" s="1">
        <f t="shared" si="144"/>
        <v>1114304.8568648635</v>
      </c>
      <c r="H498" s="1">
        <f t="shared" si="140"/>
        <v>8885.6234092499308</v>
      </c>
      <c r="I498" s="1">
        <v>0</v>
      </c>
      <c r="J498" s="1">
        <v>0</v>
      </c>
      <c r="K498" s="1">
        <f t="shared" si="145"/>
        <v>-1123.1904802741135</v>
      </c>
      <c r="L498" s="1">
        <f t="shared" si="141"/>
        <v>1122067.2897938392</v>
      </c>
      <c r="N498" s="1">
        <f t="shared" si="146"/>
        <v>475</v>
      </c>
      <c r="O498" s="2">
        <f t="shared" si="153"/>
        <v>39</v>
      </c>
      <c r="P498" s="2">
        <f t="shared" si="154"/>
        <v>7</v>
      </c>
      <c r="Q498" s="2">
        <f t="shared" si="155"/>
        <v>39</v>
      </c>
      <c r="R498" s="1">
        <f t="shared" si="147"/>
        <v>32401833.405173499</v>
      </c>
      <c r="S498" s="1">
        <f>+IF($G$4="mensual",S492,IF($G$4="trimestral",S492,IF($G$4="semestral",S492,0)))</f>
        <v>10000</v>
      </c>
      <c r="U498" s="1">
        <f t="shared" si="156"/>
        <v>258456.51113108755</v>
      </c>
      <c r="V498" s="35">
        <f t="shared" si="158"/>
        <v>-351.76708831612831</v>
      </c>
      <c r="X498" s="35">
        <f t="shared" si="157"/>
        <v>-32670.289916304588</v>
      </c>
      <c r="Y498" s="1">
        <f t="shared" si="142"/>
        <v>32637267.859299969</v>
      </c>
      <c r="AA498" s="2">
        <f>+Bono!J498</f>
        <v>530186.58988627198</v>
      </c>
      <c r="AC498" s="10">
        <f t="shared" si="148"/>
        <v>39.583333333333336</v>
      </c>
      <c r="AD498" s="1">
        <f t="shared" si="149"/>
        <v>34289521.738980077</v>
      </c>
    </row>
    <row r="499" spans="2:30">
      <c r="B499" s="1">
        <f t="shared" si="143"/>
        <v>476</v>
      </c>
      <c r="C499" s="2">
        <f t="shared" si="150"/>
        <v>39</v>
      </c>
      <c r="D499" s="2">
        <f t="shared" si="151"/>
        <v>8</v>
      </c>
      <c r="E499" s="2">
        <f t="shared" si="152"/>
        <v>68</v>
      </c>
      <c r="F499" s="1">
        <f t="shared" si="144"/>
        <v>1122067.2897938392</v>
      </c>
      <c r="H499" s="1">
        <f t="shared" si="140"/>
        <v>8947.5221394955297</v>
      </c>
      <c r="I499" s="1">
        <v>0</v>
      </c>
      <c r="J499" s="1">
        <v>0</v>
      </c>
      <c r="K499" s="1">
        <f t="shared" si="145"/>
        <v>-1131.0148119333346</v>
      </c>
      <c r="L499" s="1">
        <f t="shared" si="141"/>
        <v>1129883.7971214014</v>
      </c>
      <c r="N499" s="1">
        <f t="shared" si="146"/>
        <v>476</v>
      </c>
      <c r="O499" s="2">
        <f t="shared" si="153"/>
        <v>39</v>
      </c>
      <c r="P499" s="2">
        <f t="shared" si="154"/>
        <v>8</v>
      </c>
      <c r="Q499" s="2">
        <f t="shared" si="155"/>
        <v>39</v>
      </c>
      <c r="R499" s="1">
        <f t="shared" si="147"/>
        <v>32637267.859299969</v>
      </c>
      <c r="S499" s="4">
        <f>IF($G$4="mensual",S498,0)</f>
        <v>10000</v>
      </c>
      <c r="U499" s="1">
        <f t="shared" si="156"/>
        <v>260333.89853009433</v>
      </c>
      <c r="V499" s="35">
        <f t="shared" si="158"/>
        <v>-351.76708831612831</v>
      </c>
      <c r="X499" s="35">
        <f t="shared" si="157"/>
        <v>-32907.601757830067</v>
      </c>
      <c r="Y499" s="1">
        <f t="shared" si="142"/>
        <v>32874342.388983916</v>
      </c>
      <c r="AA499" s="2">
        <f>+Bono!J499</f>
        <v>533473.80824140494</v>
      </c>
      <c r="AC499" s="10">
        <f t="shared" si="148"/>
        <v>39.666666666666664</v>
      </c>
      <c r="AD499" s="1">
        <f t="shared" si="149"/>
        <v>34537699.994346723</v>
      </c>
    </row>
    <row r="500" spans="2:30">
      <c r="B500" s="1">
        <f t="shared" si="143"/>
        <v>477</v>
      </c>
      <c r="C500" s="2">
        <f t="shared" si="150"/>
        <v>39</v>
      </c>
      <c r="D500" s="2">
        <f t="shared" si="151"/>
        <v>9</v>
      </c>
      <c r="E500" s="2">
        <f t="shared" si="152"/>
        <v>68</v>
      </c>
      <c r="F500" s="1">
        <f t="shared" si="144"/>
        <v>1129883.7971214014</v>
      </c>
      <c r="H500" s="1">
        <f t="shared" si="140"/>
        <v>9009.8520665890665</v>
      </c>
      <c r="I500" s="1">
        <v>0</v>
      </c>
      <c r="J500" s="69">
        <f>-SUM(F500:H500)*$J$21</f>
        <v>-10250.042842691915</v>
      </c>
      <c r="K500" s="1">
        <f t="shared" si="145"/>
        <v>-1128.6436063452984</v>
      </c>
      <c r="L500" s="1">
        <f t="shared" si="141"/>
        <v>1127514.9627389531</v>
      </c>
      <c r="N500" s="1">
        <f t="shared" si="146"/>
        <v>477</v>
      </c>
      <c r="O500" s="2">
        <f t="shared" si="153"/>
        <v>39</v>
      </c>
      <c r="P500" s="2">
        <f t="shared" si="154"/>
        <v>9</v>
      </c>
      <c r="Q500" s="2">
        <f t="shared" si="155"/>
        <v>39</v>
      </c>
      <c r="R500" s="1">
        <f t="shared" si="147"/>
        <v>32874342.388983916</v>
      </c>
      <c r="S500" s="4">
        <f>IF($G$4="mensual",S499,0)</f>
        <v>10000</v>
      </c>
      <c r="U500" s="1">
        <f t="shared" si="156"/>
        <v>262224.36412191042</v>
      </c>
      <c r="V500" s="35">
        <f t="shared" si="158"/>
        <v>-351.76708831612831</v>
      </c>
      <c r="X500" s="35">
        <f t="shared" si="157"/>
        <v>-33146.566753105828</v>
      </c>
      <c r="Y500" s="1">
        <f t="shared" si="142"/>
        <v>33113068.419264406</v>
      </c>
      <c r="AA500" s="2">
        <f>+Bono!J500</f>
        <v>531945.53919351054</v>
      </c>
      <c r="AC500" s="10">
        <f t="shared" si="148"/>
        <v>39.75</v>
      </c>
      <c r="AD500" s="1">
        <f t="shared" si="149"/>
        <v>34772528.921196871</v>
      </c>
    </row>
    <row r="501" spans="2:30">
      <c r="B501" s="1">
        <f t="shared" si="143"/>
        <v>478</v>
      </c>
      <c r="C501" s="2">
        <f t="shared" si="150"/>
        <v>39</v>
      </c>
      <c r="D501" s="2">
        <f t="shared" si="151"/>
        <v>10</v>
      </c>
      <c r="E501" s="2">
        <f t="shared" si="152"/>
        <v>68</v>
      </c>
      <c r="F501" s="1">
        <f t="shared" si="144"/>
        <v>1127514.9627389531</v>
      </c>
      <c r="H501" s="1">
        <f t="shared" si="140"/>
        <v>8990.9626485706067</v>
      </c>
      <c r="I501" s="1">
        <v>0</v>
      </c>
      <c r="J501" s="1">
        <v>0</v>
      </c>
      <c r="K501" s="1">
        <f t="shared" si="145"/>
        <v>-1136.5059253875236</v>
      </c>
      <c r="L501" s="1">
        <f t="shared" si="141"/>
        <v>1135369.419462136</v>
      </c>
      <c r="N501" s="1">
        <f t="shared" si="146"/>
        <v>478</v>
      </c>
      <c r="O501" s="2">
        <f t="shared" si="153"/>
        <v>39</v>
      </c>
      <c r="P501" s="2">
        <f t="shared" si="154"/>
        <v>10</v>
      </c>
      <c r="Q501" s="2">
        <f t="shared" si="155"/>
        <v>39</v>
      </c>
      <c r="R501" s="1">
        <f t="shared" si="147"/>
        <v>33113068.419264406</v>
      </c>
      <c r="S501" s="4">
        <f>IF($G$4="mensual",S492,IF($G$4="trimestral",S492,0))</f>
        <v>10000</v>
      </c>
      <c r="U501" s="1">
        <f t="shared" si="156"/>
        <v>264127.99901140179</v>
      </c>
      <c r="V501" s="35">
        <f t="shared" si="158"/>
        <v>-351.76708831612831</v>
      </c>
      <c r="X501" s="35">
        <f t="shared" si="157"/>
        <v>-33387.196418275809</v>
      </c>
      <c r="Y501" s="1">
        <f t="shared" si="142"/>
        <v>33353457.454769216</v>
      </c>
      <c r="AA501" s="2">
        <f>+Bono!J501</f>
        <v>535243.66323837382</v>
      </c>
      <c r="AC501" s="10">
        <f t="shared" si="148"/>
        <v>39.833333333333336</v>
      </c>
      <c r="AD501" s="1">
        <f t="shared" si="149"/>
        <v>35024070.53746973</v>
      </c>
    </row>
    <row r="502" spans="2:30">
      <c r="B502" s="1">
        <f t="shared" si="143"/>
        <v>479</v>
      </c>
      <c r="C502" s="2">
        <f t="shared" si="150"/>
        <v>39</v>
      </c>
      <c r="D502" s="2">
        <f t="shared" si="151"/>
        <v>11</v>
      </c>
      <c r="E502" s="2">
        <f t="shared" si="152"/>
        <v>68</v>
      </c>
      <c r="F502" s="1">
        <f t="shared" si="144"/>
        <v>1135369.419462136</v>
      </c>
      <c r="H502" s="1">
        <f t="shared" si="140"/>
        <v>9053.5951894740156</v>
      </c>
      <c r="I502" s="1">
        <v>0</v>
      </c>
      <c r="J502" s="1">
        <v>0</v>
      </c>
      <c r="K502" s="1">
        <f t="shared" si="145"/>
        <v>-1144.4230146516102</v>
      </c>
      <c r="L502" s="1">
        <f t="shared" si="141"/>
        <v>1143278.5916369585</v>
      </c>
      <c r="N502" s="1">
        <f t="shared" si="146"/>
        <v>479</v>
      </c>
      <c r="O502" s="2">
        <f t="shared" si="153"/>
        <v>39</v>
      </c>
      <c r="P502" s="2">
        <f t="shared" si="154"/>
        <v>11</v>
      </c>
      <c r="Q502" s="2">
        <f t="shared" si="155"/>
        <v>39</v>
      </c>
      <c r="R502" s="1">
        <f t="shared" si="147"/>
        <v>33353457.454769216</v>
      </c>
      <c r="S502" s="1">
        <f>IF($G$17="si",S490*(1+$G$20),S490)</f>
        <v>10000</v>
      </c>
      <c r="U502" s="1">
        <f t="shared" si="156"/>
        <v>266044.89493808587</v>
      </c>
      <c r="V502" s="35">
        <f t="shared" si="158"/>
        <v>-351.76708831612831</v>
      </c>
      <c r="X502" s="35">
        <f t="shared" si="157"/>
        <v>-33629.502349707305</v>
      </c>
      <c r="Y502" s="1">
        <f t="shared" si="142"/>
        <v>33595521.080269285</v>
      </c>
      <c r="AA502" s="2">
        <f>+Bono!J502</f>
        <v>538562.23603487399</v>
      </c>
      <c r="AC502" s="10">
        <f t="shared" si="148"/>
        <v>39.916666666666664</v>
      </c>
      <c r="AD502" s="1">
        <f t="shared" si="149"/>
        <v>35277361.907941118</v>
      </c>
    </row>
    <row r="503" spans="2:30">
      <c r="B503" s="1">
        <f t="shared" si="143"/>
        <v>480</v>
      </c>
      <c r="C503" s="2">
        <f t="shared" si="150"/>
        <v>39</v>
      </c>
      <c r="D503" s="2">
        <f t="shared" si="151"/>
        <v>12</v>
      </c>
      <c r="E503" s="2">
        <f t="shared" si="152"/>
        <v>68</v>
      </c>
      <c r="F503" s="1">
        <f t="shared" si="144"/>
        <v>1143278.5916369585</v>
      </c>
      <c r="H503" s="1">
        <f t="shared" si="140"/>
        <v>9116.6640390724278</v>
      </c>
      <c r="I503" s="1">
        <v>0</v>
      </c>
      <c r="J503" s="69">
        <f>-SUM(F503:H503)*$J$21</f>
        <v>-10371.55730108428</v>
      </c>
      <c r="K503" s="1">
        <f t="shared" si="145"/>
        <v>-1142.0236983749467</v>
      </c>
      <c r="L503" s="1">
        <f t="shared" si="141"/>
        <v>1140881.6746765717</v>
      </c>
      <c r="N503" s="1">
        <f t="shared" si="146"/>
        <v>480</v>
      </c>
      <c r="O503" s="2">
        <f t="shared" si="153"/>
        <v>39</v>
      </c>
      <c r="P503" s="2">
        <f t="shared" si="154"/>
        <v>12</v>
      </c>
      <c r="Q503" s="2">
        <f t="shared" si="155"/>
        <v>39</v>
      </c>
      <c r="R503" s="1">
        <f t="shared" si="147"/>
        <v>33595521.080269285</v>
      </c>
      <c r="S503" s="4">
        <f>IF($G$4="mensual",S502,0)</f>
        <v>10000</v>
      </c>
      <c r="U503" s="1">
        <f t="shared" si="156"/>
        <v>267975.14428055298</v>
      </c>
      <c r="V503" s="35">
        <f t="shared" si="158"/>
        <v>-351.76708831612831</v>
      </c>
      <c r="X503" s="35">
        <f t="shared" si="157"/>
        <v>-33873.496224549839</v>
      </c>
      <c r="Y503" s="1">
        <f t="shared" si="142"/>
        <v>33839270.961236969</v>
      </c>
      <c r="AA503" s="2">
        <f>+Bono!J503</f>
        <v>537019.3899138805</v>
      </c>
      <c r="AC503" s="10">
        <f t="shared" si="148"/>
        <v>40</v>
      </c>
      <c r="AD503" s="1">
        <f t="shared" si="149"/>
        <v>35517172.025827423</v>
      </c>
    </row>
    <row r="504" spans="2:30">
      <c r="B504" s="1">
        <f t="shared" si="143"/>
        <v>481</v>
      </c>
      <c r="C504" s="2">
        <f t="shared" si="150"/>
        <v>40</v>
      </c>
      <c r="D504" s="2">
        <f t="shared" si="151"/>
        <v>1</v>
      </c>
      <c r="E504" s="2">
        <f t="shared" si="152"/>
        <v>69</v>
      </c>
      <c r="F504" s="1">
        <f t="shared" si="144"/>
        <v>1140881.6746765717</v>
      </c>
      <c r="H504" s="1">
        <f t="shared" si="140"/>
        <v>9097.5506866338819</v>
      </c>
      <c r="I504" s="1">
        <v>0</v>
      </c>
      <c r="J504" s="1">
        <v>0</v>
      </c>
      <c r="K504" s="1">
        <f t="shared" si="145"/>
        <v>-1149.9792253632056</v>
      </c>
      <c r="L504" s="1">
        <f t="shared" si="141"/>
        <v>1148829.2461378425</v>
      </c>
      <c r="N504" s="1">
        <f t="shared" si="146"/>
        <v>481</v>
      </c>
      <c r="O504" s="2">
        <f t="shared" si="153"/>
        <v>40</v>
      </c>
      <c r="P504" s="2">
        <f t="shared" si="154"/>
        <v>1</v>
      </c>
      <c r="Q504" s="2">
        <f t="shared" si="155"/>
        <v>40</v>
      </c>
      <c r="R504" s="1">
        <f t="shared" si="147"/>
        <v>33839270.961236969</v>
      </c>
      <c r="S504" s="1">
        <f>IF($G$17="si",S492*(1+$G$20),S492)</f>
        <v>10000</v>
      </c>
      <c r="U504" s="1">
        <f t="shared" si="156"/>
        <v>269918.84006091789</v>
      </c>
      <c r="V504" s="35">
        <f>(V503*(1+$G$18))</f>
        <v>-365.83777184877346</v>
      </c>
      <c r="X504" s="35">
        <f t="shared" si="157"/>
        <v>-34119.189801297885</v>
      </c>
      <c r="Y504" s="1">
        <f t="shared" si="142"/>
        <v>34084704.773724742</v>
      </c>
      <c r="AA504" s="2">
        <f>+Bono!J504</f>
        <v>540348.9724217403</v>
      </c>
      <c r="AC504" s="10">
        <f t="shared" si="148"/>
        <v>40.083333333333336</v>
      </c>
      <c r="AD504" s="1">
        <f t="shared" si="149"/>
        <v>35773882.992284328</v>
      </c>
    </row>
    <row r="505" spans="2:30">
      <c r="B505" s="1">
        <f t="shared" si="143"/>
        <v>482</v>
      </c>
      <c r="C505" s="2">
        <f t="shared" si="150"/>
        <v>40</v>
      </c>
      <c r="D505" s="2">
        <f t="shared" si="151"/>
        <v>2</v>
      </c>
      <c r="E505" s="2">
        <f t="shared" si="152"/>
        <v>69</v>
      </c>
      <c r="F505" s="1">
        <f t="shared" si="144"/>
        <v>1148829.2461378425</v>
      </c>
      <c r="H505" s="1">
        <f t="shared" si="140"/>
        <v>9160.9257375348043</v>
      </c>
      <c r="I505" s="1">
        <v>0</v>
      </c>
      <c r="J505" s="1">
        <v>0</v>
      </c>
      <c r="K505" s="1">
        <f t="shared" si="145"/>
        <v>-1157.9901718753774</v>
      </c>
      <c r="L505" s="1">
        <f t="shared" si="141"/>
        <v>1156832.1817035021</v>
      </c>
      <c r="N505" s="1">
        <f t="shared" si="146"/>
        <v>482</v>
      </c>
      <c r="O505" s="2">
        <f t="shared" si="153"/>
        <v>40</v>
      </c>
      <c r="P505" s="2">
        <f t="shared" si="154"/>
        <v>2</v>
      </c>
      <c r="Q505" s="2">
        <f t="shared" si="155"/>
        <v>40</v>
      </c>
      <c r="R505" s="1">
        <f t="shared" si="147"/>
        <v>34084704.773724742</v>
      </c>
      <c r="S505" s="4">
        <f>IF($G$4="mensual",S504,0)</f>
        <v>10000</v>
      </c>
      <c r="U505" s="1">
        <f t="shared" si="156"/>
        <v>271875.96374769666</v>
      </c>
      <c r="V505" s="35">
        <f t="shared" si="158"/>
        <v>-365.83777184877346</v>
      </c>
      <c r="X505" s="35">
        <f t="shared" si="157"/>
        <v>-34366.580737472439</v>
      </c>
      <c r="Y505" s="1">
        <f t="shared" si="142"/>
        <v>34331848.318963118</v>
      </c>
      <c r="AA505" s="2">
        <f>+Bono!J505</f>
        <v>543699.1987273565</v>
      </c>
      <c r="AC505" s="10">
        <f t="shared" si="148"/>
        <v>40.166666666666664</v>
      </c>
      <c r="AD505" s="1">
        <f t="shared" si="149"/>
        <v>36032379.699393973</v>
      </c>
    </row>
    <row r="506" spans="2:30">
      <c r="B506" s="1">
        <f t="shared" si="143"/>
        <v>483</v>
      </c>
      <c r="C506" s="2">
        <f t="shared" si="150"/>
        <v>40</v>
      </c>
      <c r="D506" s="2">
        <f t="shared" si="151"/>
        <v>3</v>
      </c>
      <c r="E506" s="2">
        <f t="shared" si="152"/>
        <v>69</v>
      </c>
      <c r="F506" s="1">
        <f t="shared" si="144"/>
        <v>1156832.1817035021</v>
      </c>
      <c r="H506" s="1">
        <f t="shared" si="140"/>
        <v>9224.7422695788409</v>
      </c>
      <c r="I506" s="1">
        <v>0</v>
      </c>
      <c r="J506" s="69">
        <f>-SUM(F506:H506)*$J$21</f>
        <v>-10494.512315757729</v>
      </c>
      <c r="K506" s="1">
        <f t="shared" si="145"/>
        <v>-1155.5624116573231</v>
      </c>
      <c r="L506" s="1">
        <f t="shared" si="141"/>
        <v>1154406.8492456658</v>
      </c>
      <c r="N506" s="1">
        <f t="shared" si="146"/>
        <v>483</v>
      </c>
      <c r="O506" s="2">
        <f t="shared" si="153"/>
        <v>40</v>
      </c>
      <c r="P506" s="2">
        <f t="shared" si="154"/>
        <v>3</v>
      </c>
      <c r="Q506" s="2">
        <f t="shared" si="155"/>
        <v>40</v>
      </c>
      <c r="R506" s="1">
        <f t="shared" si="147"/>
        <v>34331848.318963118</v>
      </c>
      <c r="S506" s="4">
        <f>IF($G$4="mensual",S505,0)</f>
        <v>10000</v>
      </c>
      <c r="U506" s="1">
        <f t="shared" si="156"/>
        <v>273846.72108352458</v>
      </c>
      <c r="V506" s="35">
        <f t="shared" si="158"/>
        <v>-365.83777184877346</v>
      </c>
      <c r="X506" s="35">
        <f t="shared" si="157"/>
        <v>-34615.695040046638</v>
      </c>
      <c r="Y506" s="1">
        <f t="shared" si="142"/>
        <v>34580713.507234745</v>
      </c>
      <c r="AA506" s="2">
        <f>+Bono!J506</f>
        <v>542141.63649291592</v>
      </c>
      <c r="AC506" s="10">
        <f t="shared" si="148"/>
        <v>40.25</v>
      </c>
      <c r="AD506" s="1">
        <f t="shared" si="149"/>
        <v>36277261.992973328</v>
      </c>
    </row>
    <row r="507" spans="2:30">
      <c r="B507" s="1">
        <f t="shared" si="143"/>
        <v>484</v>
      </c>
      <c r="C507" s="2">
        <f t="shared" si="150"/>
        <v>40</v>
      </c>
      <c r="D507" s="2">
        <f t="shared" si="151"/>
        <v>4</v>
      </c>
      <c r="E507" s="2">
        <f t="shared" si="152"/>
        <v>69</v>
      </c>
      <c r="F507" s="1">
        <f t="shared" si="144"/>
        <v>1154406.8492456658</v>
      </c>
      <c r="H507" s="1">
        <f t="shared" si="140"/>
        <v>9205.4023279732774</v>
      </c>
      <c r="I507" s="1">
        <v>0</v>
      </c>
      <c r="J507" s="1">
        <v>0</v>
      </c>
      <c r="K507" s="1">
        <f t="shared" si="145"/>
        <v>-1163.612251573639</v>
      </c>
      <c r="L507" s="1">
        <f t="shared" si="141"/>
        <v>1162448.6393220653</v>
      </c>
      <c r="N507" s="1">
        <f t="shared" si="146"/>
        <v>484</v>
      </c>
      <c r="O507" s="2">
        <f t="shared" si="153"/>
        <v>40</v>
      </c>
      <c r="P507" s="2">
        <f t="shared" si="154"/>
        <v>4</v>
      </c>
      <c r="Q507" s="2">
        <f t="shared" si="155"/>
        <v>40</v>
      </c>
      <c r="R507" s="1">
        <f t="shared" si="147"/>
        <v>34580713.507234745</v>
      </c>
      <c r="S507" s="4">
        <f>IF($G$4="mensual",S504,IF($G$4="trimestral",S504,0))</f>
        <v>10000</v>
      </c>
      <c r="U507" s="1">
        <f t="shared" si="156"/>
        <v>275831.20704266807</v>
      </c>
      <c r="V507" s="35">
        <f t="shared" si="158"/>
        <v>-365.83777184877346</v>
      </c>
      <c r="X507" s="35">
        <f t="shared" si="157"/>
        <v>-34866.544714277414</v>
      </c>
      <c r="Y507" s="1">
        <f t="shared" si="142"/>
        <v>34831312.331791289</v>
      </c>
      <c r="AA507" s="2">
        <f>+Bono!J507</f>
        <v>545502.97752370953</v>
      </c>
      <c r="AC507" s="10">
        <f t="shared" si="148"/>
        <v>40.333333333333336</v>
      </c>
      <c r="AD507" s="1">
        <f t="shared" si="149"/>
        <v>36539263.948637061</v>
      </c>
    </row>
    <row r="508" spans="2:30">
      <c r="B508" s="1">
        <f t="shared" si="143"/>
        <v>485</v>
      </c>
      <c r="C508" s="2">
        <f t="shared" si="150"/>
        <v>40</v>
      </c>
      <c r="D508" s="2">
        <f t="shared" si="151"/>
        <v>5</v>
      </c>
      <c r="E508" s="2">
        <f t="shared" si="152"/>
        <v>69</v>
      </c>
      <c r="F508" s="1">
        <f t="shared" si="144"/>
        <v>1162448.6393220653</v>
      </c>
      <c r="H508" s="1">
        <f t="shared" si="140"/>
        <v>9269.5286913422515</v>
      </c>
      <c r="I508" s="1">
        <v>0</v>
      </c>
      <c r="J508" s="1">
        <v>0</v>
      </c>
      <c r="K508" s="1">
        <f t="shared" si="145"/>
        <v>-1171.7181680134076</v>
      </c>
      <c r="L508" s="1">
        <f t="shared" si="141"/>
        <v>1170546.4498453941</v>
      </c>
      <c r="N508" s="1">
        <f t="shared" si="146"/>
        <v>485</v>
      </c>
      <c r="O508" s="2">
        <f t="shared" si="153"/>
        <v>40</v>
      </c>
      <c r="P508" s="2">
        <f t="shared" si="154"/>
        <v>5</v>
      </c>
      <c r="Q508" s="2">
        <f t="shared" si="155"/>
        <v>40</v>
      </c>
      <c r="R508" s="1">
        <f t="shared" si="147"/>
        <v>34831312.331791289</v>
      </c>
      <c r="S508" s="4">
        <f>IF($G$4="mensual",S507,0)</f>
        <v>10000</v>
      </c>
      <c r="U508" s="1">
        <f t="shared" si="156"/>
        <v>277829.51726100018</v>
      </c>
      <c r="V508" s="35">
        <f t="shared" si="158"/>
        <v>-365.83777184877346</v>
      </c>
      <c r="X508" s="35">
        <f t="shared" si="157"/>
        <v>-35119.141849052292</v>
      </c>
      <c r="Y508" s="1">
        <f t="shared" si="142"/>
        <v>35083656.869431384</v>
      </c>
      <c r="AA508" s="2">
        <f>+Bono!J508</f>
        <v>548885.15925878554</v>
      </c>
      <c r="AC508" s="10">
        <f t="shared" si="148"/>
        <v>40.416666666666664</v>
      </c>
      <c r="AD508" s="1">
        <f t="shared" si="149"/>
        <v>36803088.478535563</v>
      </c>
    </row>
    <row r="509" spans="2:30">
      <c r="B509" s="1">
        <f t="shared" si="143"/>
        <v>486</v>
      </c>
      <c r="C509" s="2">
        <f t="shared" si="150"/>
        <v>40</v>
      </c>
      <c r="D509" s="2">
        <f t="shared" si="151"/>
        <v>6</v>
      </c>
      <c r="E509" s="2">
        <f t="shared" si="152"/>
        <v>69</v>
      </c>
      <c r="F509" s="1">
        <f t="shared" si="144"/>
        <v>1170546.4498453941</v>
      </c>
      <c r="H509" s="1">
        <f t="shared" si="140"/>
        <v>9334.1017696219296</v>
      </c>
      <c r="I509" s="1">
        <v>0</v>
      </c>
      <c r="J509" s="69">
        <f>-SUM(F509:H509)*$J$21</f>
        <v>-10618.924964535147</v>
      </c>
      <c r="K509" s="1">
        <f t="shared" si="145"/>
        <v>-1169.261626650481</v>
      </c>
      <c r="L509" s="1">
        <f t="shared" si="141"/>
        <v>1168092.3650238304</v>
      </c>
      <c r="N509" s="1">
        <f t="shared" si="146"/>
        <v>486</v>
      </c>
      <c r="O509" s="2">
        <f t="shared" si="153"/>
        <v>40</v>
      </c>
      <c r="P509" s="2">
        <f t="shared" si="154"/>
        <v>6</v>
      </c>
      <c r="Q509" s="2">
        <f t="shared" si="155"/>
        <v>40</v>
      </c>
      <c r="R509" s="1">
        <f t="shared" si="147"/>
        <v>35083656.869431384</v>
      </c>
      <c r="S509" s="4">
        <f>IF($G$4="mensual",S508,0)</f>
        <v>10000</v>
      </c>
      <c r="U509" s="1">
        <f t="shared" si="156"/>
        <v>279841.74804060912</v>
      </c>
      <c r="V509" s="35">
        <f t="shared" si="158"/>
        <v>-365.83777184877346</v>
      </c>
      <c r="X509" s="35">
        <f t="shared" si="157"/>
        <v>-35373.498617471996</v>
      </c>
      <c r="Y509" s="1">
        <f t="shared" si="142"/>
        <v>35337759.281082675</v>
      </c>
      <c r="AA509" s="2">
        <f>+Bono!J509</f>
        <v>547312.7405443429</v>
      </c>
      <c r="AC509" s="10">
        <f t="shared" si="148"/>
        <v>40.5</v>
      </c>
      <c r="AD509" s="1">
        <f t="shared" si="149"/>
        <v>37053164.386650845</v>
      </c>
    </row>
    <row r="510" spans="2:30">
      <c r="B510" s="1">
        <f t="shared" si="143"/>
        <v>487</v>
      </c>
      <c r="C510" s="2">
        <f t="shared" si="150"/>
        <v>40</v>
      </c>
      <c r="D510" s="2">
        <f t="shared" si="151"/>
        <v>7</v>
      </c>
      <c r="E510" s="2">
        <f t="shared" si="152"/>
        <v>69</v>
      </c>
      <c r="F510" s="1">
        <f t="shared" si="144"/>
        <v>1168092.3650238304</v>
      </c>
      <c r="H510" s="1">
        <f t="shared" si="140"/>
        <v>9314.5325526303404</v>
      </c>
      <c r="I510" s="1">
        <v>0</v>
      </c>
      <c r="J510" s="1">
        <v>0</v>
      </c>
      <c r="K510" s="1">
        <f t="shared" si="145"/>
        <v>-1177.4068975764608</v>
      </c>
      <c r="L510" s="1">
        <f t="shared" si="141"/>
        <v>1176229.4906788843</v>
      </c>
      <c r="N510" s="1">
        <f t="shared" si="146"/>
        <v>487</v>
      </c>
      <c r="O510" s="2">
        <f t="shared" si="153"/>
        <v>40</v>
      </c>
      <c r="P510" s="2">
        <f t="shared" si="154"/>
        <v>7</v>
      </c>
      <c r="Q510" s="2">
        <f t="shared" si="155"/>
        <v>40</v>
      </c>
      <c r="R510" s="1">
        <f t="shared" si="147"/>
        <v>35337759.281082675</v>
      </c>
      <c r="S510" s="1">
        <f>+IF($G$4="mensual",S504,IF($G$4="trimestral",S504,IF($G$4="semestral",S504,0)))</f>
        <v>10000</v>
      </c>
      <c r="U510" s="1">
        <f t="shared" si="156"/>
        <v>281867.99635443959</v>
      </c>
      <c r="V510" s="35">
        <f t="shared" si="158"/>
        <v>-365.83777184877346</v>
      </c>
      <c r="X510" s="35">
        <f t="shared" si="157"/>
        <v>-35629.627277437117</v>
      </c>
      <c r="Y510" s="1">
        <f t="shared" si="142"/>
        <v>35593631.812387832</v>
      </c>
      <c r="AA510" s="2">
        <f>+Bono!J510</f>
        <v>550706.14302006632</v>
      </c>
      <c r="AC510" s="10">
        <f t="shared" si="148"/>
        <v>40.583333333333336</v>
      </c>
      <c r="AD510" s="1">
        <f t="shared" si="149"/>
        <v>37320567.446086779</v>
      </c>
    </row>
    <row r="511" spans="2:30">
      <c r="B511" s="1">
        <f t="shared" si="143"/>
        <v>488</v>
      </c>
      <c r="C511" s="2">
        <f t="shared" si="150"/>
        <v>40</v>
      </c>
      <c r="D511" s="2">
        <f t="shared" si="151"/>
        <v>8</v>
      </c>
      <c r="E511" s="2">
        <f t="shared" si="152"/>
        <v>69</v>
      </c>
      <c r="F511" s="1">
        <f t="shared" si="144"/>
        <v>1176229.4906788843</v>
      </c>
      <c r="H511" s="1">
        <f t="shared" si="140"/>
        <v>9379.4191352913749</v>
      </c>
      <c r="I511" s="1">
        <v>0</v>
      </c>
      <c r="J511" s="1">
        <v>0</v>
      </c>
      <c r="K511" s="1">
        <f t="shared" si="145"/>
        <v>-1185.6089098141756</v>
      </c>
      <c r="L511" s="1">
        <f t="shared" si="141"/>
        <v>1184423.3009043615</v>
      </c>
      <c r="N511" s="1">
        <f t="shared" si="146"/>
        <v>488</v>
      </c>
      <c r="O511" s="2">
        <f t="shared" si="153"/>
        <v>40</v>
      </c>
      <c r="P511" s="2">
        <f t="shared" si="154"/>
        <v>8</v>
      </c>
      <c r="Q511" s="2">
        <f t="shared" si="155"/>
        <v>40</v>
      </c>
      <c r="R511" s="1">
        <f t="shared" si="147"/>
        <v>35593631.812387832</v>
      </c>
      <c r="S511" s="4">
        <f>IF($G$4="mensual",S510,0)</f>
        <v>10000</v>
      </c>
      <c r="U511" s="1">
        <f t="shared" si="156"/>
        <v>283908.35985096602</v>
      </c>
      <c r="V511" s="35">
        <f t="shared" si="158"/>
        <v>-365.83777184877346</v>
      </c>
      <c r="X511" s="35">
        <f t="shared" si="157"/>
        <v>-35887.540172238798</v>
      </c>
      <c r="Y511" s="1">
        <f t="shared" si="142"/>
        <v>35851286.794294707</v>
      </c>
      <c r="AA511" s="2">
        <f>+Bono!J511</f>
        <v>554120.58498474956</v>
      </c>
      <c r="AC511" s="10">
        <f t="shared" si="148"/>
        <v>40.666666666666664</v>
      </c>
      <c r="AD511" s="1">
        <f t="shared" si="149"/>
        <v>37589830.68018382</v>
      </c>
    </row>
    <row r="512" spans="2:30">
      <c r="B512" s="1">
        <f t="shared" si="143"/>
        <v>489</v>
      </c>
      <c r="C512" s="2">
        <f t="shared" si="150"/>
        <v>40</v>
      </c>
      <c r="D512" s="2">
        <f t="shared" si="151"/>
        <v>9</v>
      </c>
      <c r="E512" s="2">
        <f t="shared" si="152"/>
        <v>69</v>
      </c>
      <c r="F512" s="1">
        <f t="shared" si="144"/>
        <v>1184423.3009043615</v>
      </c>
      <c r="H512" s="1">
        <f t="shared" si="140"/>
        <v>9444.7577286771175</v>
      </c>
      <c r="I512" s="1">
        <v>0</v>
      </c>
      <c r="J512" s="69">
        <f>-SUM(F512:H512)*$J$21</f>
        <v>-10744.812527697348</v>
      </c>
      <c r="K512" s="1">
        <f t="shared" si="145"/>
        <v>-1183.1232461053412</v>
      </c>
      <c r="L512" s="1">
        <f t="shared" si="141"/>
        <v>1181940.1228592359</v>
      </c>
      <c r="N512" s="1">
        <f t="shared" si="146"/>
        <v>489</v>
      </c>
      <c r="O512" s="2">
        <f t="shared" si="153"/>
        <v>40</v>
      </c>
      <c r="P512" s="2">
        <f t="shared" si="154"/>
        <v>9</v>
      </c>
      <c r="Q512" s="2">
        <f t="shared" si="155"/>
        <v>40</v>
      </c>
      <c r="R512" s="1">
        <f t="shared" si="147"/>
        <v>35851286.794294707</v>
      </c>
      <c r="S512" s="4">
        <f>IF($G$4="mensual",S511,0)</f>
        <v>10000</v>
      </c>
      <c r="U512" s="1">
        <f t="shared" si="156"/>
        <v>285962.93685889809</v>
      </c>
      <c r="V512" s="35">
        <f t="shared" si="158"/>
        <v>-365.83777184877346</v>
      </c>
      <c r="X512" s="35">
        <f t="shared" si="157"/>
        <v>-36147.249731153606</v>
      </c>
      <c r="Y512" s="1">
        <f t="shared" si="142"/>
        <v>36110736.643650606</v>
      </c>
      <c r="AA512" s="2">
        <f>+Bono!J512</f>
        <v>552533.16808489279</v>
      </c>
      <c r="AC512" s="10">
        <f t="shared" si="148"/>
        <v>40.75</v>
      </c>
      <c r="AD512" s="1">
        <f t="shared" si="149"/>
        <v>37845209.934594736</v>
      </c>
    </row>
    <row r="513" spans="2:30">
      <c r="B513" s="1">
        <f t="shared" si="143"/>
        <v>490</v>
      </c>
      <c r="C513" s="2">
        <f t="shared" si="150"/>
        <v>40</v>
      </c>
      <c r="D513" s="2">
        <f t="shared" si="151"/>
        <v>10</v>
      </c>
      <c r="E513" s="2">
        <f t="shared" si="152"/>
        <v>69</v>
      </c>
      <c r="F513" s="1">
        <f t="shared" si="144"/>
        <v>1181940.1228592359</v>
      </c>
      <c r="H513" s="1">
        <f t="shared" si="140"/>
        <v>9424.9565182353144</v>
      </c>
      <c r="I513" s="1">
        <v>0</v>
      </c>
      <c r="J513" s="1">
        <v>0</v>
      </c>
      <c r="K513" s="1">
        <f t="shared" si="145"/>
        <v>-1191.3650793774714</v>
      </c>
      <c r="L513" s="1">
        <f t="shared" si="141"/>
        <v>1190173.7142980937</v>
      </c>
      <c r="N513" s="1">
        <f t="shared" si="146"/>
        <v>490</v>
      </c>
      <c r="O513" s="2">
        <f t="shared" si="153"/>
        <v>40</v>
      </c>
      <c r="P513" s="2">
        <f t="shared" si="154"/>
        <v>10</v>
      </c>
      <c r="Q513" s="2">
        <f t="shared" si="155"/>
        <v>40</v>
      </c>
      <c r="R513" s="1">
        <f t="shared" si="147"/>
        <v>36110736.643650606</v>
      </c>
      <c r="S513" s="4">
        <f>IF($G$4="mensual",S504,IF($G$4="trimestral",S504,0))</f>
        <v>10000</v>
      </c>
      <c r="U513" s="1">
        <f t="shared" si="156"/>
        <v>288031.82639191998</v>
      </c>
      <c r="V513" s="35">
        <f t="shared" si="158"/>
        <v>-365.83777184877346</v>
      </c>
      <c r="X513" s="35">
        <f t="shared" si="157"/>
        <v>-36408.768470042531</v>
      </c>
      <c r="Y513" s="1">
        <f t="shared" si="142"/>
        <v>36371993.863800637</v>
      </c>
      <c r="AA513" s="2">
        <f>+Bono!J513</f>
        <v>555958.93781689974</v>
      </c>
      <c r="AC513" s="10">
        <f t="shared" si="148"/>
        <v>40.833333333333336</v>
      </c>
      <c r="AD513" s="1">
        <f t="shared" si="149"/>
        <v>38118126.515915632</v>
      </c>
    </row>
    <row r="514" spans="2:30">
      <c r="B514" s="1">
        <f t="shared" si="143"/>
        <v>491</v>
      </c>
      <c r="C514" s="2">
        <f t="shared" si="150"/>
        <v>40</v>
      </c>
      <c r="D514" s="2">
        <f t="shared" si="151"/>
        <v>11</v>
      </c>
      <c r="E514" s="2">
        <f t="shared" si="152"/>
        <v>69</v>
      </c>
      <c r="F514" s="1">
        <f t="shared" si="144"/>
        <v>1190173.7142980937</v>
      </c>
      <c r="H514" s="1">
        <f t="shared" si="140"/>
        <v>9490.6123326029865</v>
      </c>
      <c r="I514" s="1">
        <v>0</v>
      </c>
      <c r="J514" s="1">
        <v>0</v>
      </c>
      <c r="K514" s="1">
        <f t="shared" si="145"/>
        <v>-1199.6643266306967</v>
      </c>
      <c r="L514" s="1">
        <f t="shared" si="141"/>
        <v>1198464.6623040659</v>
      </c>
      <c r="N514" s="1">
        <f t="shared" si="146"/>
        <v>491</v>
      </c>
      <c r="O514" s="2">
        <f t="shared" si="153"/>
        <v>40</v>
      </c>
      <c r="P514" s="2">
        <f t="shared" si="154"/>
        <v>11</v>
      </c>
      <c r="Q514" s="2">
        <f t="shared" si="155"/>
        <v>40</v>
      </c>
      <c r="R514" s="1">
        <f t="shared" si="147"/>
        <v>36371993.863800637</v>
      </c>
      <c r="S514" s="1">
        <f>IF($G$17="si",S502*(1+$G$20),S502)</f>
        <v>10000</v>
      </c>
      <c r="U514" s="1">
        <f t="shared" si="156"/>
        <v>290115.12815346132</v>
      </c>
      <c r="V514" s="35">
        <f t="shared" si="158"/>
        <v>-365.83777184877346</v>
      </c>
      <c r="X514" s="35">
        <f t="shared" si="157"/>
        <v>-36672.108991954097</v>
      </c>
      <c r="Y514" s="1">
        <f t="shared" si="142"/>
        <v>36635071.045190297</v>
      </c>
      <c r="AA514" s="2">
        <f>+Bono!J514</f>
        <v>559405.94771860994</v>
      </c>
      <c r="AC514" s="10">
        <f t="shared" si="148"/>
        <v>40.916666666666664</v>
      </c>
      <c r="AD514" s="1">
        <f t="shared" si="149"/>
        <v>38392941.655212976</v>
      </c>
    </row>
    <row r="515" spans="2:30">
      <c r="B515" s="1">
        <f t="shared" si="143"/>
        <v>492</v>
      </c>
      <c r="C515" s="2">
        <f t="shared" si="150"/>
        <v>40</v>
      </c>
      <c r="D515" s="2">
        <f t="shared" si="151"/>
        <v>12</v>
      </c>
      <c r="E515" s="2">
        <f t="shared" si="152"/>
        <v>69</v>
      </c>
      <c r="F515" s="1">
        <f t="shared" si="144"/>
        <v>1198464.6623040659</v>
      </c>
      <c r="H515" s="1">
        <f t="shared" si="140"/>
        <v>9556.7255162913498</v>
      </c>
      <c r="I515" s="1">
        <v>0</v>
      </c>
      <c r="J515" s="69">
        <f>-SUM(F515:H515)*$J$21</f>
        <v>-10872.192490383217</v>
      </c>
      <c r="K515" s="1">
        <f t="shared" si="145"/>
        <v>-1197.149195329974</v>
      </c>
      <c r="L515" s="1">
        <f t="shared" si="141"/>
        <v>1195952.046134644</v>
      </c>
      <c r="N515" s="1">
        <f t="shared" si="146"/>
        <v>492</v>
      </c>
      <c r="O515" s="2">
        <f t="shared" si="153"/>
        <v>40</v>
      </c>
      <c r="P515" s="2">
        <f t="shared" si="154"/>
        <v>12</v>
      </c>
      <c r="Q515" s="2">
        <f t="shared" si="155"/>
        <v>40</v>
      </c>
      <c r="R515" s="1">
        <f t="shared" si="147"/>
        <v>36635071.045190297</v>
      </c>
      <c r="S515" s="4">
        <f>IF($G$4="mensual",S514,0)</f>
        <v>10000</v>
      </c>
      <c r="U515" s="1">
        <f t="shared" si="156"/>
        <v>292212.94254150265</v>
      </c>
      <c r="V515" s="35">
        <f t="shared" si="158"/>
        <v>-365.83777184877346</v>
      </c>
      <c r="X515" s="35">
        <f t="shared" si="157"/>
        <v>-36937.283987731804</v>
      </c>
      <c r="Y515" s="1">
        <f t="shared" si="142"/>
        <v>36899980.865972221</v>
      </c>
      <c r="AA515" s="2">
        <f>+Bono!J515</f>
        <v>557803.38957629993</v>
      </c>
      <c r="AC515" s="10">
        <f t="shared" si="148"/>
        <v>41</v>
      </c>
      <c r="AD515" s="1">
        <f t="shared" si="149"/>
        <v>38653736.301683165</v>
      </c>
    </row>
    <row r="516" spans="2:30">
      <c r="B516" s="1">
        <f t="shared" si="143"/>
        <v>493</v>
      </c>
      <c r="C516" s="2">
        <f t="shared" si="150"/>
        <v>41</v>
      </c>
      <c r="D516" s="2">
        <f t="shared" si="151"/>
        <v>1</v>
      </c>
      <c r="E516" s="2">
        <f t="shared" si="152"/>
        <v>70</v>
      </c>
      <c r="F516" s="1">
        <f t="shared" si="144"/>
        <v>1195952.046134644</v>
      </c>
      <c r="H516" s="1">
        <f t="shared" si="140"/>
        <v>9536.689562112444</v>
      </c>
      <c r="I516" s="1">
        <v>0</v>
      </c>
      <c r="J516" s="1">
        <v>0</v>
      </c>
      <c r="K516" s="1">
        <f t="shared" si="145"/>
        <v>-1205.4887356967565</v>
      </c>
      <c r="L516" s="1">
        <f t="shared" si="141"/>
        <v>1204283.2469610597</v>
      </c>
      <c r="N516" s="1">
        <f t="shared" si="146"/>
        <v>493</v>
      </c>
      <c r="O516" s="2">
        <f t="shared" si="153"/>
        <v>41</v>
      </c>
      <c r="P516" s="2">
        <f t="shared" si="154"/>
        <v>1</v>
      </c>
      <c r="Q516" s="2">
        <f t="shared" si="155"/>
        <v>41</v>
      </c>
      <c r="R516" s="1">
        <f t="shared" si="147"/>
        <v>36899980.865972221</v>
      </c>
      <c r="S516" s="1">
        <f>IF($G$17="si",S504*(1+$G$20),S504)</f>
        <v>10000</v>
      </c>
      <c r="U516" s="1">
        <f t="shared" si="156"/>
        <v>294325.37065341347</v>
      </c>
      <c r="V516" s="35">
        <f>(V515*(1+$G$18))</f>
        <v>-380.47128272272442</v>
      </c>
      <c r="X516" s="35">
        <f t="shared" si="157"/>
        <v>-37204.306236625634</v>
      </c>
      <c r="Y516" s="1">
        <f t="shared" si="142"/>
        <v>37166721.459106289</v>
      </c>
      <c r="AA516" s="2">
        <f>+Bono!J516</f>
        <v>561261.83529286145</v>
      </c>
      <c r="AC516" s="10">
        <f t="shared" si="148"/>
        <v>41.083333333333336</v>
      </c>
      <c r="AD516" s="1">
        <f t="shared" si="149"/>
        <v>38932266.541360207</v>
      </c>
    </row>
    <row r="517" spans="2:30">
      <c r="B517" s="1">
        <f t="shared" si="143"/>
        <v>494</v>
      </c>
      <c r="C517" s="2">
        <f t="shared" si="150"/>
        <v>41</v>
      </c>
      <c r="D517" s="2">
        <f t="shared" si="151"/>
        <v>2</v>
      </c>
      <c r="E517" s="2">
        <f t="shared" si="152"/>
        <v>70</v>
      </c>
      <c r="F517" s="1">
        <f t="shared" si="144"/>
        <v>1204283.2469610597</v>
      </c>
      <c r="H517" s="1">
        <f t="shared" si="140"/>
        <v>9603.1237274436826</v>
      </c>
      <c r="I517" s="1">
        <v>0</v>
      </c>
      <c r="J517" s="1">
        <v>0</v>
      </c>
      <c r="K517" s="1">
        <f t="shared" si="145"/>
        <v>-1213.8863706885033</v>
      </c>
      <c r="L517" s="1">
        <f t="shared" si="141"/>
        <v>1212672.4843178149</v>
      </c>
      <c r="N517" s="1">
        <f t="shared" si="146"/>
        <v>494</v>
      </c>
      <c r="O517" s="2">
        <f t="shared" si="153"/>
        <v>41</v>
      </c>
      <c r="P517" s="2">
        <f t="shared" si="154"/>
        <v>2</v>
      </c>
      <c r="Q517" s="2">
        <f t="shared" si="155"/>
        <v>41</v>
      </c>
      <c r="R517" s="1">
        <f t="shared" si="147"/>
        <v>37166721.459106289</v>
      </c>
      <c r="S517" s="4">
        <f>IF($G$4="mensual",S516,0)</f>
        <v>10000</v>
      </c>
      <c r="U517" s="1">
        <f t="shared" si="156"/>
        <v>296452.39760115359</v>
      </c>
      <c r="V517" s="35">
        <f t="shared" si="158"/>
        <v>-380.47128272272442</v>
      </c>
      <c r="X517" s="35">
        <f t="shared" si="157"/>
        <v>-37473.173856707443</v>
      </c>
      <c r="Y517" s="1">
        <f t="shared" si="142"/>
        <v>37435320.211568013</v>
      </c>
      <c r="AA517" s="2">
        <f>+Bono!J517</f>
        <v>564741.72377402056</v>
      </c>
      <c r="AC517" s="10">
        <f t="shared" si="148"/>
        <v>41.166666666666664</v>
      </c>
      <c r="AD517" s="1">
        <f t="shared" si="149"/>
        <v>39212734.419659853</v>
      </c>
    </row>
    <row r="518" spans="2:30">
      <c r="B518" s="1">
        <f t="shared" si="143"/>
        <v>495</v>
      </c>
      <c r="C518" s="2">
        <f t="shared" si="150"/>
        <v>41</v>
      </c>
      <c r="D518" s="2">
        <f t="shared" si="151"/>
        <v>3</v>
      </c>
      <c r="E518" s="2">
        <f t="shared" si="152"/>
        <v>70</v>
      </c>
      <c r="F518" s="1">
        <f t="shared" si="144"/>
        <v>1212672.4843178149</v>
      </c>
      <c r="H518" s="1">
        <f t="shared" si="140"/>
        <v>9670.0206842178541</v>
      </c>
      <c r="I518" s="1">
        <v>0</v>
      </c>
      <c r="J518" s="69">
        <f>-SUM(F518:H518)*$J$21</f>
        <v>-11001.082545018297</v>
      </c>
      <c r="K518" s="1">
        <f t="shared" si="145"/>
        <v>-1211.3414224570145</v>
      </c>
      <c r="L518" s="1">
        <f t="shared" si="141"/>
        <v>1210130.0810345574</v>
      </c>
      <c r="N518" s="1">
        <f t="shared" si="146"/>
        <v>495</v>
      </c>
      <c r="O518" s="2">
        <f t="shared" si="153"/>
        <v>41</v>
      </c>
      <c r="P518" s="2">
        <f t="shared" si="154"/>
        <v>3</v>
      </c>
      <c r="Q518" s="2">
        <f t="shared" si="155"/>
        <v>41</v>
      </c>
      <c r="R518" s="1">
        <f t="shared" si="147"/>
        <v>37435320.211568013</v>
      </c>
      <c r="S518" s="4">
        <f>IF($G$4="mensual",S517,0)</f>
        <v>10000</v>
      </c>
      <c r="U518" s="1">
        <f t="shared" si="156"/>
        <v>298594.24177231174</v>
      </c>
      <c r="V518" s="35">
        <f t="shared" si="158"/>
        <v>-380.47128272272442</v>
      </c>
      <c r="X518" s="35">
        <f t="shared" si="157"/>
        <v>-37743.914453340323</v>
      </c>
      <c r="Y518" s="1">
        <f t="shared" si="142"/>
        <v>37705790.067604259</v>
      </c>
      <c r="AA518" s="2">
        <f>+Bono!J518</f>
        <v>563123.87996769859</v>
      </c>
      <c r="AC518" s="10">
        <f t="shared" si="148"/>
        <v>41.25</v>
      </c>
      <c r="AD518" s="1">
        <f t="shared" si="149"/>
        <v>39479044.028606512</v>
      </c>
    </row>
    <row r="519" spans="2:30">
      <c r="B519" s="1">
        <f t="shared" si="143"/>
        <v>496</v>
      </c>
      <c r="C519" s="2">
        <f t="shared" si="150"/>
        <v>41</v>
      </c>
      <c r="D519" s="2">
        <f t="shared" si="151"/>
        <v>4</v>
      </c>
      <c r="E519" s="2">
        <f t="shared" si="152"/>
        <v>70</v>
      </c>
      <c r="F519" s="1">
        <f t="shared" si="144"/>
        <v>1210130.0810345574</v>
      </c>
      <c r="H519" s="1">
        <f t="shared" si="140"/>
        <v>9649.747203410252</v>
      </c>
      <c r="I519" s="1">
        <v>0</v>
      </c>
      <c r="J519" s="1">
        <v>0</v>
      </c>
      <c r="K519" s="1">
        <f t="shared" si="145"/>
        <v>-1219.7798282379676</v>
      </c>
      <c r="L519" s="1">
        <f t="shared" si="141"/>
        <v>1218560.0484097295</v>
      </c>
      <c r="N519" s="1">
        <f t="shared" si="146"/>
        <v>496</v>
      </c>
      <c r="O519" s="2">
        <f t="shared" si="153"/>
        <v>41</v>
      </c>
      <c r="P519" s="2">
        <f t="shared" si="154"/>
        <v>4</v>
      </c>
      <c r="Q519" s="2">
        <f t="shared" si="155"/>
        <v>41</v>
      </c>
      <c r="R519" s="1">
        <f t="shared" si="147"/>
        <v>37705790.067604259</v>
      </c>
      <c r="S519" s="4">
        <f>IF($G$4="mensual",S516,IF($G$4="trimestral",S516,0))</f>
        <v>10000</v>
      </c>
      <c r="U519" s="1">
        <f t="shared" si="156"/>
        <v>300751.00638613018</v>
      </c>
      <c r="V519" s="35">
        <f t="shared" si="158"/>
        <v>-380.47128272272442</v>
      </c>
      <c r="X519" s="35">
        <f t="shared" si="157"/>
        <v>-38016.541073990389</v>
      </c>
      <c r="Y519" s="1">
        <f t="shared" si="142"/>
        <v>37978144.061633676</v>
      </c>
      <c r="AA519" s="2">
        <f>+Bono!J519</f>
        <v>566615.3133418255</v>
      </c>
      <c r="AC519" s="10">
        <f t="shared" si="148"/>
        <v>41.333333333333336</v>
      </c>
      <c r="AD519" s="1">
        <f t="shared" si="149"/>
        <v>39763319.423385233</v>
      </c>
    </row>
    <row r="520" spans="2:30">
      <c r="B520" s="1">
        <f t="shared" si="143"/>
        <v>497</v>
      </c>
      <c r="C520" s="2">
        <f t="shared" si="150"/>
        <v>41</v>
      </c>
      <c r="D520" s="2">
        <f t="shared" si="151"/>
        <v>5</v>
      </c>
      <c r="E520" s="2">
        <f t="shared" si="152"/>
        <v>70</v>
      </c>
      <c r="F520" s="1">
        <f t="shared" si="144"/>
        <v>1218560.0484097295</v>
      </c>
      <c r="H520" s="1">
        <f t="shared" si="140"/>
        <v>9716.9689470709527</v>
      </c>
      <c r="I520" s="1">
        <v>0</v>
      </c>
      <c r="J520" s="1">
        <v>0</v>
      </c>
      <c r="K520" s="1">
        <f t="shared" si="145"/>
        <v>-1228.2770173568003</v>
      </c>
      <c r="L520" s="1">
        <f t="shared" si="141"/>
        <v>1227048.7403394436</v>
      </c>
      <c r="N520" s="1">
        <f t="shared" si="146"/>
        <v>497</v>
      </c>
      <c r="O520" s="2">
        <f t="shared" si="153"/>
        <v>41</v>
      </c>
      <c r="P520" s="2">
        <f t="shared" si="154"/>
        <v>5</v>
      </c>
      <c r="Q520" s="2">
        <f t="shared" si="155"/>
        <v>41</v>
      </c>
      <c r="R520" s="1">
        <f t="shared" si="147"/>
        <v>37978144.061633676</v>
      </c>
      <c r="S520" s="4">
        <f>IF($G$4="mensual",S519,0)</f>
        <v>10000</v>
      </c>
      <c r="U520" s="1">
        <f t="shared" si="156"/>
        <v>302922.79538089357</v>
      </c>
      <c r="V520" s="35">
        <f t="shared" si="158"/>
        <v>-380.47128272272442</v>
      </c>
      <c r="X520" s="35">
        <f t="shared" si="157"/>
        <v>-38291.066857014564</v>
      </c>
      <c r="Y520" s="1">
        <f t="shared" si="142"/>
        <v>38252395.318874829</v>
      </c>
      <c r="AA520" s="2">
        <f>+Bono!J520</f>
        <v>570128.39400785323</v>
      </c>
      <c r="AC520" s="10">
        <f t="shared" si="148"/>
        <v>41.416666666666664</v>
      </c>
      <c r="AD520" s="1">
        <f t="shared" si="149"/>
        <v>40049572.453222126</v>
      </c>
    </row>
    <row r="521" spans="2:30">
      <c r="B521" s="1">
        <f t="shared" si="143"/>
        <v>498</v>
      </c>
      <c r="C521" s="2">
        <f t="shared" si="150"/>
        <v>41</v>
      </c>
      <c r="D521" s="2">
        <f t="shared" si="151"/>
        <v>6</v>
      </c>
      <c r="E521" s="2">
        <f t="shared" si="152"/>
        <v>70</v>
      </c>
      <c r="F521" s="1">
        <f t="shared" si="144"/>
        <v>1227048.7403394436</v>
      </c>
      <c r="H521" s="1">
        <f t="shared" si="140"/>
        <v>9784.6589685761937</v>
      </c>
      <c r="I521" s="1">
        <v>0</v>
      </c>
      <c r="J521" s="69">
        <f>-SUM(F521:H521)*$J$21</f>
        <v>-11131.50059377218</v>
      </c>
      <c r="K521" s="1">
        <f t="shared" si="145"/>
        <v>-1225.7018987142476</v>
      </c>
      <c r="L521" s="1">
        <f t="shared" si="141"/>
        <v>1224476.1968155333</v>
      </c>
      <c r="N521" s="1">
        <f t="shared" si="146"/>
        <v>498</v>
      </c>
      <c r="O521" s="2">
        <f t="shared" si="153"/>
        <v>41</v>
      </c>
      <c r="P521" s="2">
        <f t="shared" si="154"/>
        <v>6</v>
      </c>
      <c r="Q521" s="2">
        <f t="shared" si="155"/>
        <v>41</v>
      </c>
      <c r="R521" s="1">
        <f t="shared" si="147"/>
        <v>38252395.318874829</v>
      </c>
      <c r="S521" s="4">
        <f>IF($G$4="mensual",S520,0)</f>
        <v>10000</v>
      </c>
      <c r="U521" s="1">
        <f t="shared" si="156"/>
        <v>305109.71341893793</v>
      </c>
      <c r="V521" s="35">
        <f t="shared" si="158"/>
        <v>-380.47128272272442</v>
      </c>
      <c r="X521" s="35">
        <f t="shared" si="157"/>
        <v>-38567.505032293768</v>
      </c>
      <c r="Y521" s="1">
        <f t="shared" si="142"/>
        <v>38528557.055978753</v>
      </c>
      <c r="AA521" s="2">
        <f>+Bono!J521</f>
        <v>568495.11873842578</v>
      </c>
      <c r="AC521" s="10">
        <f t="shared" si="148"/>
        <v>41.5</v>
      </c>
      <c r="AD521" s="1">
        <f t="shared" si="149"/>
        <v>40321528.371532716</v>
      </c>
    </row>
    <row r="522" spans="2:30">
      <c r="B522" s="1">
        <f t="shared" si="143"/>
        <v>499</v>
      </c>
      <c r="C522" s="2">
        <f t="shared" si="150"/>
        <v>41</v>
      </c>
      <c r="D522" s="2">
        <f t="shared" si="151"/>
        <v>7</v>
      </c>
      <c r="E522" s="2">
        <f t="shared" si="152"/>
        <v>70</v>
      </c>
      <c r="F522" s="1">
        <f t="shared" si="144"/>
        <v>1224476.1968155333</v>
      </c>
      <c r="H522" s="1">
        <f t="shared" si="140"/>
        <v>9764.1451452570673</v>
      </c>
      <c r="I522" s="1">
        <v>0</v>
      </c>
      <c r="J522" s="1">
        <v>0</v>
      </c>
      <c r="K522" s="1">
        <f t="shared" si="145"/>
        <v>-1234.2403419607904</v>
      </c>
      <c r="L522" s="1">
        <f t="shared" si="141"/>
        <v>1233006.1016188296</v>
      </c>
      <c r="N522" s="1">
        <f t="shared" si="146"/>
        <v>499</v>
      </c>
      <c r="O522" s="2">
        <f t="shared" si="153"/>
        <v>41</v>
      </c>
      <c r="P522" s="2">
        <f t="shared" si="154"/>
        <v>7</v>
      </c>
      <c r="Q522" s="2">
        <f t="shared" si="155"/>
        <v>41</v>
      </c>
      <c r="R522" s="1">
        <f t="shared" si="147"/>
        <v>38528557.055978753</v>
      </c>
      <c r="S522" s="1">
        <f>+IF($G$4="mensual",S516,IF($G$4="trimestral",S516,IF($G$4="semestral",S516,0)))</f>
        <v>10000</v>
      </c>
      <c r="U522" s="1">
        <f t="shared" si="156"/>
        <v>307311.86589169462</v>
      </c>
      <c r="V522" s="35">
        <f t="shared" si="158"/>
        <v>-380.47128272272442</v>
      </c>
      <c r="X522" s="35">
        <f t="shared" si="157"/>
        <v>-38845.868921870446</v>
      </c>
      <c r="Y522" s="1">
        <f t="shared" si="142"/>
        <v>38806642.581665859</v>
      </c>
      <c r="AA522" s="2">
        <f>+Bono!J522</f>
        <v>572019.8544159563</v>
      </c>
      <c r="AC522" s="10">
        <f t="shared" si="148"/>
        <v>41.583333333333336</v>
      </c>
      <c r="AD522" s="1">
        <f t="shared" si="149"/>
        <v>40611668.537700638</v>
      </c>
    </row>
    <row r="523" spans="2:30">
      <c r="B523" s="1">
        <f t="shared" si="143"/>
        <v>500</v>
      </c>
      <c r="C523" s="2">
        <f t="shared" si="150"/>
        <v>41</v>
      </c>
      <c r="D523" s="2">
        <f t="shared" si="151"/>
        <v>8</v>
      </c>
      <c r="E523" s="2">
        <f t="shared" si="152"/>
        <v>70</v>
      </c>
      <c r="F523" s="1">
        <f t="shared" si="144"/>
        <v>1233006.1016188296</v>
      </c>
      <c r="H523" s="1">
        <f t="shared" si="140"/>
        <v>9832.1638040037324</v>
      </c>
      <c r="I523" s="1">
        <v>0</v>
      </c>
      <c r="J523" s="1">
        <v>0</v>
      </c>
      <c r="K523" s="1">
        <f t="shared" si="145"/>
        <v>-1242.8382654228335</v>
      </c>
      <c r="L523" s="1">
        <f t="shared" si="141"/>
        <v>1241595.4271574107</v>
      </c>
      <c r="N523" s="1">
        <f t="shared" si="146"/>
        <v>500</v>
      </c>
      <c r="O523" s="2">
        <f t="shared" si="153"/>
        <v>41</v>
      </c>
      <c r="P523" s="2">
        <f t="shared" si="154"/>
        <v>8</v>
      </c>
      <c r="Q523" s="2">
        <f t="shared" si="155"/>
        <v>41</v>
      </c>
      <c r="R523" s="1">
        <f t="shared" si="147"/>
        <v>38806642.581665859</v>
      </c>
      <c r="S523" s="4">
        <f>IF($G$4="mensual",S522,0)</f>
        <v>10000</v>
      </c>
      <c r="U523" s="1">
        <f t="shared" si="156"/>
        <v>309529.3589247691</v>
      </c>
      <c r="V523" s="35">
        <f t="shared" si="158"/>
        <v>-380.47128272272442</v>
      </c>
      <c r="X523" s="35">
        <f t="shared" si="157"/>
        <v>-39126.171940590626</v>
      </c>
      <c r="Y523" s="1">
        <f t="shared" si="142"/>
        <v>39086665.297367319</v>
      </c>
      <c r="AA523" s="2">
        <f>+Bono!J523</f>
        <v>575566.44386353157</v>
      </c>
      <c r="AC523" s="10">
        <f t="shared" si="148"/>
        <v>41.666666666666664</v>
      </c>
      <c r="AD523" s="1">
        <f t="shared" si="149"/>
        <v>40903827.168388262</v>
      </c>
    </row>
    <row r="524" spans="2:30">
      <c r="B524" s="1">
        <f t="shared" si="143"/>
        <v>501</v>
      </c>
      <c r="C524" s="2">
        <f t="shared" si="150"/>
        <v>41</v>
      </c>
      <c r="D524" s="2">
        <f t="shared" si="151"/>
        <v>9</v>
      </c>
      <c r="E524" s="2">
        <f t="shared" si="152"/>
        <v>70</v>
      </c>
      <c r="F524" s="1">
        <f t="shared" si="144"/>
        <v>1241595.4271574107</v>
      </c>
      <c r="H524" s="1">
        <f t="shared" si="140"/>
        <v>9900.6562920379474</v>
      </c>
      <c r="I524" s="1">
        <v>0</v>
      </c>
      <c r="J524" s="69">
        <f>-SUM(F524:H524)*$J$21</f>
        <v>-11263.46475104504</v>
      </c>
      <c r="K524" s="1">
        <f t="shared" si="145"/>
        <v>-1240.2326186984037</v>
      </c>
      <c r="L524" s="1">
        <f t="shared" si="141"/>
        <v>1238992.3860797053</v>
      </c>
      <c r="N524" s="1">
        <f t="shared" si="146"/>
        <v>501</v>
      </c>
      <c r="O524" s="2">
        <f t="shared" si="153"/>
        <v>41</v>
      </c>
      <c r="P524" s="2">
        <f t="shared" si="154"/>
        <v>9</v>
      </c>
      <c r="Q524" s="2">
        <f t="shared" si="155"/>
        <v>41</v>
      </c>
      <c r="R524" s="1">
        <f t="shared" si="147"/>
        <v>39086665.297367319</v>
      </c>
      <c r="S524" s="4">
        <f>IF($G$4="mensual",S523,0)</f>
        <v>10000</v>
      </c>
      <c r="U524" s="1">
        <f t="shared" si="156"/>
        <v>311762.29938305554</v>
      </c>
      <c r="V524" s="35">
        <f t="shared" si="158"/>
        <v>-380.47128272272442</v>
      </c>
      <c r="X524" s="35">
        <f t="shared" si="157"/>
        <v>-39408.427596750378</v>
      </c>
      <c r="Y524" s="1">
        <f t="shared" si="142"/>
        <v>39368638.69787091</v>
      </c>
      <c r="AA524" s="2">
        <f>+Bono!J524</f>
        <v>573917.58994123142</v>
      </c>
      <c r="AC524" s="10">
        <f t="shared" si="148"/>
        <v>41.75</v>
      </c>
      <c r="AD524" s="1">
        <f t="shared" si="149"/>
        <v>41181548.67389185</v>
      </c>
    </row>
    <row r="525" spans="2:30">
      <c r="B525" s="1">
        <f t="shared" si="143"/>
        <v>502</v>
      </c>
      <c r="C525" s="2">
        <f t="shared" si="150"/>
        <v>41</v>
      </c>
      <c r="D525" s="2">
        <f t="shared" si="151"/>
        <v>10</v>
      </c>
      <c r="E525" s="2">
        <f t="shared" si="152"/>
        <v>70</v>
      </c>
      <c r="F525" s="1">
        <f t="shared" si="144"/>
        <v>1238992.3860797053</v>
      </c>
      <c r="H525" s="1">
        <f t="shared" si="140"/>
        <v>9879.8992769421202</v>
      </c>
      <c r="I525" s="1">
        <v>0</v>
      </c>
      <c r="J525" s="1">
        <v>0</v>
      </c>
      <c r="K525" s="1">
        <f t="shared" si="145"/>
        <v>-1248.8722853566474</v>
      </c>
      <c r="L525" s="1">
        <f t="shared" si="141"/>
        <v>1247623.4130712906</v>
      </c>
      <c r="N525" s="1">
        <f t="shared" si="146"/>
        <v>502</v>
      </c>
      <c r="O525" s="2">
        <f t="shared" si="153"/>
        <v>41</v>
      </c>
      <c r="P525" s="2">
        <f t="shared" si="154"/>
        <v>10</v>
      </c>
      <c r="Q525" s="2">
        <f t="shared" si="155"/>
        <v>41</v>
      </c>
      <c r="R525" s="1">
        <f t="shared" si="147"/>
        <v>39368638.69787091</v>
      </c>
      <c r="S525" s="4">
        <f>IF($G$4="mensual",S516,IF($G$4="trimestral",S516,0))</f>
        <v>10000</v>
      </c>
      <c r="U525" s="1">
        <f t="shared" si="156"/>
        <v>314010.7948758867</v>
      </c>
      <c r="V525" s="35">
        <f t="shared" si="158"/>
        <v>-380.47128272272442</v>
      </c>
      <c r="X525" s="35">
        <f t="shared" si="157"/>
        <v>-39692.649492746801</v>
      </c>
      <c r="Y525" s="1">
        <f t="shared" si="142"/>
        <v>39652576.371971332</v>
      </c>
      <c r="AA525" s="2">
        <f>+Bono!J525</f>
        <v>577475.94556918705</v>
      </c>
      <c r="AC525" s="10">
        <f t="shared" si="148"/>
        <v>41.833333333333336</v>
      </c>
      <c r="AD525" s="1">
        <f t="shared" si="149"/>
        <v>41477675.730611809</v>
      </c>
    </row>
    <row r="526" spans="2:30">
      <c r="B526" s="1">
        <f t="shared" si="143"/>
        <v>503</v>
      </c>
      <c r="C526" s="2">
        <f t="shared" si="150"/>
        <v>41</v>
      </c>
      <c r="D526" s="2">
        <f t="shared" si="151"/>
        <v>11</v>
      </c>
      <c r="E526" s="2">
        <f t="shared" si="152"/>
        <v>70</v>
      </c>
      <c r="F526" s="1">
        <f t="shared" si="144"/>
        <v>1247623.4130712906</v>
      </c>
      <c r="H526" s="1">
        <f t="shared" si="140"/>
        <v>9948.7242982186799</v>
      </c>
      <c r="I526" s="1">
        <v>0</v>
      </c>
      <c r="J526" s="1">
        <v>0</v>
      </c>
      <c r="K526" s="1">
        <f t="shared" si="145"/>
        <v>-1257.5721373695094</v>
      </c>
      <c r="L526" s="1">
        <f t="shared" si="141"/>
        <v>1256314.5652321398</v>
      </c>
      <c r="N526" s="1">
        <f t="shared" si="146"/>
        <v>503</v>
      </c>
      <c r="O526" s="2">
        <f t="shared" si="153"/>
        <v>41</v>
      </c>
      <c r="P526" s="2">
        <f t="shared" si="154"/>
        <v>11</v>
      </c>
      <c r="Q526" s="2">
        <f t="shared" si="155"/>
        <v>41</v>
      </c>
      <c r="R526" s="1">
        <f t="shared" si="147"/>
        <v>39652576.371971332</v>
      </c>
      <c r="S526" s="1">
        <f>IF($G$17="si",S514*(1+$G$20),S514)</f>
        <v>10000</v>
      </c>
      <c r="U526" s="1">
        <f t="shared" si="156"/>
        <v>316274.95376221975</v>
      </c>
      <c r="V526" s="35">
        <f t="shared" si="158"/>
        <v>-380.47128272272442</v>
      </c>
      <c r="X526" s="35">
        <f t="shared" si="157"/>
        <v>-39978.851325733551</v>
      </c>
      <c r="Y526" s="1">
        <f t="shared" si="142"/>
        <v>39938492.003125094</v>
      </c>
      <c r="AA526" s="2">
        <f>+Bono!J526</f>
        <v>581056.36341477977</v>
      </c>
      <c r="AC526" s="10">
        <f t="shared" si="148"/>
        <v>41.916666666666664</v>
      </c>
      <c r="AD526" s="1">
        <f t="shared" si="149"/>
        <v>41775862.931772016</v>
      </c>
    </row>
    <row r="527" spans="2:30">
      <c r="B527" s="1">
        <f t="shared" si="143"/>
        <v>504</v>
      </c>
      <c r="C527" s="2">
        <f t="shared" si="150"/>
        <v>41</v>
      </c>
      <c r="D527" s="2">
        <f t="shared" si="151"/>
        <v>12</v>
      </c>
      <c r="E527" s="2">
        <f t="shared" si="152"/>
        <v>70</v>
      </c>
      <c r="F527" s="1">
        <f t="shared" si="144"/>
        <v>1256314.5652321398</v>
      </c>
      <c r="H527" s="1">
        <f t="shared" si="140"/>
        <v>10018.028766038262</v>
      </c>
      <c r="I527" s="1">
        <v>0</v>
      </c>
      <c r="J527" s="69">
        <f>-SUM(F527:H527)*$J$21</f>
        <v>-11396.993345983605</v>
      </c>
      <c r="K527" s="1">
        <f t="shared" si="145"/>
        <v>-1254.9356006521946</v>
      </c>
      <c r="L527" s="1">
        <f t="shared" si="141"/>
        <v>1253680.6650515425</v>
      </c>
      <c r="N527" s="1">
        <f t="shared" si="146"/>
        <v>504</v>
      </c>
      <c r="O527" s="2">
        <f t="shared" si="153"/>
        <v>41</v>
      </c>
      <c r="P527" s="2">
        <f t="shared" si="154"/>
        <v>12</v>
      </c>
      <c r="Q527" s="2">
        <f t="shared" si="155"/>
        <v>41</v>
      </c>
      <c r="R527" s="1">
        <f t="shared" si="147"/>
        <v>39938492.003125094</v>
      </c>
      <c r="S527" s="4">
        <f>IF($G$4="mensual",S526,0)</f>
        <v>10000</v>
      </c>
      <c r="U527" s="1">
        <f t="shared" si="156"/>
        <v>318554.88515585853</v>
      </c>
      <c r="V527" s="35">
        <f t="shared" si="158"/>
        <v>-380.47128272272442</v>
      </c>
      <c r="X527" s="35">
        <f t="shared" si="157"/>
        <v>-40267.046888280951</v>
      </c>
      <c r="Y527" s="1">
        <f t="shared" si="142"/>
        <v>40226399.370109946</v>
      </c>
      <c r="AA527" s="2">
        <f>+Bono!J527</f>
        <v>579391.7822459006</v>
      </c>
      <c r="AC527" s="10">
        <f t="shared" si="148"/>
        <v>42</v>
      </c>
      <c r="AD527" s="1">
        <f t="shared" si="149"/>
        <v>42059471.817407392</v>
      </c>
    </row>
    <row r="528" spans="2:30">
      <c r="B528" s="1">
        <f t="shared" si="143"/>
        <v>505</v>
      </c>
      <c r="C528" s="2">
        <f t="shared" si="150"/>
        <v>42</v>
      </c>
      <c r="D528" s="2">
        <f t="shared" si="151"/>
        <v>1</v>
      </c>
      <c r="E528" s="2">
        <f t="shared" si="152"/>
        <v>71</v>
      </c>
      <c r="F528" s="1">
        <f t="shared" si="144"/>
        <v>1253680.6650515425</v>
      </c>
      <c r="H528" s="1">
        <f t="shared" si="140"/>
        <v>9997.0256761224628</v>
      </c>
      <c r="I528" s="1">
        <v>0</v>
      </c>
      <c r="J528" s="1">
        <v>0</v>
      </c>
      <c r="K528" s="1">
        <f t="shared" si="145"/>
        <v>-1263.6776907276649</v>
      </c>
      <c r="L528" s="1">
        <f t="shared" si="141"/>
        <v>1262414.0130369372</v>
      </c>
      <c r="N528" s="1">
        <f t="shared" si="146"/>
        <v>505</v>
      </c>
      <c r="O528" s="2">
        <f t="shared" si="153"/>
        <v>42</v>
      </c>
      <c r="P528" s="2">
        <f t="shared" si="154"/>
        <v>1</v>
      </c>
      <c r="Q528" s="2">
        <f t="shared" si="155"/>
        <v>42</v>
      </c>
      <c r="R528" s="1">
        <f t="shared" si="147"/>
        <v>40226399.370109946</v>
      </c>
      <c r="S528" s="1">
        <f>IF($G$17="si",S516*(1+$G$20),S516)</f>
        <v>10000</v>
      </c>
      <c r="U528" s="1">
        <f t="shared" si="156"/>
        <v>320850.69893071166</v>
      </c>
      <c r="V528" s="35">
        <f>(V527*(1+$G$18))</f>
        <v>-395.69013403163342</v>
      </c>
      <c r="X528" s="35">
        <f t="shared" si="157"/>
        <v>-40557.25006904066</v>
      </c>
      <c r="Y528" s="1">
        <f t="shared" si="142"/>
        <v>40516297.128837585</v>
      </c>
      <c r="AA528" s="2">
        <f>+Bono!J528</f>
        <v>582984.07850111229</v>
      </c>
      <c r="AC528" s="10">
        <f t="shared" si="148"/>
        <v>42.083333333333336</v>
      </c>
      <c r="AD528" s="1">
        <f t="shared" si="149"/>
        <v>42361695.220375635</v>
      </c>
    </row>
    <row r="529" spans="2:30">
      <c r="B529" s="1">
        <f t="shared" si="143"/>
        <v>506</v>
      </c>
      <c r="C529" s="2">
        <f t="shared" si="150"/>
        <v>42</v>
      </c>
      <c r="D529" s="2">
        <f t="shared" si="151"/>
        <v>2</v>
      </c>
      <c r="E529" s="2">
        <f t="shared" si="152"/>
        <v>71</v>
      </c>
      <c r="F529" s="1">
        <f t="shared" si="144"/>
        <v>1262414.0130369372</v>
      </c>
      <c r="H529" s="1">
        <f t="shared" si="140"/>
        <v>10066.666619372485</v>
      </c>
      <c r="I529" s="1">
        <v>0</v>
      </c>
      <c r="J529" s="1">
        <v>0</v>
      </c>
      <c r="K529" s="1">
        <f t="shared" si="145"/>
        <v>-1272.4806796563098</v>
      </c>
      <c r="L529" s="1">
        <f t="shared" si="141"/>
        <v>1271208.1989766534</v>
      </c>
      <c r="N529" s="1">
        <f t="shared" si="146"/>
        <v>506</v>
      </c>
      <c r="O529" s="2">
        <f t="shared" si="153"/>
        <v>42</v>
      </c>
      <c r="P529" s="2">
        <f t="shared" si="154"/>
        <v>2</v>
      </c>
      <c r="Q529" s="2">
        <f t="shared" si="155"/>
        <v>42</v>
      </c>
      <c r="R529" s="1">
        <f t="shared" si="147"/>
        <v>40516297.128837585</v>
      </c>
      <c r="S529" s="4">
        <f>IF($G$4="mensual",S528,0)</f>
        <v>10000</v>
      </c>
      <c r="U529" s="1">
        <f t="shared" si="156"/>
        <v>323162.38436883036</v>
      </c>
      <c r="V529" s="35">
        <f t="shared" si="158"/>
        <v>-395.69013403163342</v>
      </c>
      <c r="X529" s="35">
        <f t="shared" si="157"/>
        <v>-40849.459513206413</v>
      </c>
      <c r="Y529" s="1">
        <f t="shared" si="142"/>
        <v>40808214.363559172</v>
      </c>
      <c r="AA529" s="2">
        <f>+Bono!J529</f>
        <v>586598.64740978682</v>
      </c>
      <c r="AC529" s="10">
        <f t="shared" si="148"/>
        <v>42.166666666666664</v>
      </c>
      <c r="AD529" s="1">
        <f t="shared" si="149"/>
        <v>42666021.209945612</v>
      </c>
    </row>
    <row r="530" spans="2:30">
      <c r="B530" s="1">
        <f t="shared" si="143"/>
        <v>507</v>
      </c>
      <c r="C530" s="2">
        <f t="shared" si="150"/>
        <v>42</v>
      </c>
      <c r="D530" s="2">
        <f t="shared" si="151"/>
        <v>3</v>
      </c>
      <c r="E530" s="2">
        <f t="shared" si="152"/>
        <v>71</v>
      </c>
      <c r="F530" s="1">
        <f t="shared" si="144"/>
        <v>1271208.1989766534</v>
      </c>
      <c r="H530" s="1">
        <f t="shared" si="140"/>
        <v>10136.792693013673</v>
      </c>
      <c r="I530" s="1">
        <v>0</v>
      </c>
      <c r="J530" s="69">
        <f>-SUM(F530:H530)*$J$21</f>
        <v>-11532.104925027004</v>
      </c>
      <c r="K530" s="1">
        <f t="shared" si="145"/>
        <v>-1269.8128867446399</v>
      </c>
      <c r="L530" s="1">
        <f t="shared" si="141"/>
        <v>1268543.0738578951</v>
      </c>
      <c r="N530" s="1">
        <f t="shared" si="146"/>
        <v>507</v>
      </c>
      <c r="O530" s="2">
        <f t="shared" si="153"/>
        <v>42</v>
      </c>
      <c r="P530" s="2">
        <f t="shared" si="154"/>
        <v>3</v>
      </c>
      <c r="Q530" s="2">
        <f t="shared" si="155"/>
        <v>42</v>
      </c>
      <c r="R530" s="1">
        <f t="shared" si="147"/>
        <v>40808214.363559172</v>
      </c>
      <c r="S530" s="4">
        <f>IF($G$4="mensual",S529,0)</f>
        <v>10000</v>
      </c>
      <c r="U530" s="1">
        <f t="shared" si="156"/>
        <v>325490.17339211755</v>
      </c>
      <c r="V530" s="35">
        <f t="shared" si="158"/>
        <v>-395.69013403163342</v>
      </c>
      <c r="X530" s="35">
        <f t="shared" si="157"/>
        <v>-41143.704536951293</v>
      </c>
      <c r="Y530" s="1">
        <f t="shared" si="142"/>
        <v>41102165.142280303</v>
      </c>
      <c r="AA530" s="2">
        <f>+Bono!J530</f>
        <v>584918.1889832929</v>
      </c>
      <c r="AC530" s="10">
        <f t="shared" si="148"/>
        <v>42.25</v>
      </c>
      <c r="AD530" s="1">
        <f t="shared" si="149"/>
        <v>42955626.40512149</v>
      </c>
    </row>
    <row r="531" spans="2:30">
      <c r="B531" s="1">
        <f t="shared" si="143"/>
        <v>508</v>
      </c>
      <c r="C531" s="2">
        <f t="shared" si="150"/>
        <v>42</v>
      </c>
      <c r="D531" s="2">
        <f t="shared" si="151"/>
        <v>4</v>
      </c>
      <c r="E531" s="2">
        <f t="shared" si="152"/>
        <v>71</v>
      </c>
      <c r="F531" s="1">
        <f t="shared" si="144"/>
        <v>1268543.0738578951</v>
      </c>
      <c r="H531" s="1">
        <f t="shared" si="140"/>
        <v>10115.540611056094</v>
      </c>
      <c r="I531" s="1">
        <v>0</v>
      </c>
      <c r="J531" s="1">
        <v>0</v>
      </c>
      <c r="K531" s="1">
        <f t="shared" si="145"/>
        <v>-1278.6586144689513</v>
      </c>
      <c r="L531" s="1">
        <f t="shared" si="141"/>
        <v>1277379.9558544823</v>
      </c>
      <c r="N531" s="1">
        <f t="shared" si="146"/>
        <v>508</v>
      </c>
      <c r="O531" s="2">
        <f t="shared" si="153"/>
        <v>42</v>
      </c>
      <c r="P531" s="2">
        <f t="shared" si="154"/>
        <v>4</v>
      </c>
      <c r="Q531" s="2">
        <f t="shared" si="155"/>
        <v>42</v>
      </c>
      <c r="R531" s="1">
        <f t="shared" si="147"/>
        <v>41102165.142280303</v>
      </c>
      <c r="S531" s="4">
        <f>IF($G$4="mensual",S528,IF($G$4="trimestral",S528,0))</f>
        <v>10000</v>
      </c>
      <c r="U531" s="1">
        <f t="shared" si="156"/>
        <v>327834.17818082543</v>
      </c>
      <c r="V531" s="35">
        <f t="shared" si="158"/>
        <v>-395.69013403163342</v>
      </c>
      <c r="X531" s="35">
        <f t="shared" si="157"/>
        <v>-41439.999320461131</v>
      </c>
      <c r="Y531" s="1">
        <f t="shared" si="142"/>
        <v>41398163.631006636</v>
      </c>
      <c r="AA531" s="2">
        <f>+Bono!J531</f>
        <v>588544.74960129987</v>
      </c>
      <c r="AC531" s="10">
        <f t="shared" si="148"/>
        <v>42.333333333333336</v>
      </c>
      <c r="AD531" s="1">
        <f t="shared" si="149"/>
        <v>43264088.336462416</v>
      </c>
    </row>
    <row r="532" spans="2:30">
      <c r="B532" s="1">
        <f t="shared" si="143"/>
        <v>509</v>
      </c>
      <c r="C532" s="2">
        <f t="shared" si="150"/>
        <v>42</v>
      </c>
      <c r="D532" s="2">
        <f t="shared" si="151"/>
        <v>5</v>
      </c>
      <c r="E532" s="2">
        <f t="shared" si="152"/>
        <v>71</v>
      </c>
      <c r="F532" s="1">
        <f t="shared" si="144"/>
        <v>1277379.9558544823</v>
      </c>
      <c r="H532" s="1">
        <f t="shared" si="140"/>
        <v>10186.007149050532</v>
      </c>
      <c r="I532" s="1">
        <v>0</v>
      </c>
      <c r="J532" s="1">
        <v>0</v>
      </c>
      <c r="K532" s="1">
        <f t="shared" si="145"/>
        <v>-1287.5659630035327</v>
      </c>
      <c r="L532" s="1">
        <f t="shared" si="141"/>
        <v>1286278.3970405292</v>
      </c>
      <c r="N532" s="1">
        <f t="shared" si="146"/>
        <v>509</v>
      </c>
      <c r="O532" s="2">
        <f t="shared" si="153"/>
        <v>42</v>
      </c>
      <c r="P532" s="2">
        <f t="shared" si="154"/>
        <v>5</v>
      </c>
      <c r="Q532" s="2">
        <f t="shared" si="155"/>
        <v>42</v>
      </c>
      <c r="R532" s="1">
        <f t="shared" si="147"/>
        <v>41398163.631006636</v>
      </c>
      <c r="S532" s="4">
        <f>IF($G$4="mensual",S531,0)</f>
        <v>10000</v>
      </c>
      <c r="U532" s="1">
        <f t="shared" si="156"/>
        <v>330194.51169667253</v>
      </c>
      <c r="V532" s="35">
        <f t="shared" si="158"/>
        <v>-395.69013403163342</v>
      </c>
      <c r="X532" s="35">
        <f t="shared" si="157"/>
        <v>-41738.358142703313</v>
      </c>
      <c r="Y532" s="1">
        <f t="shared" si="142"/>
        <v>41696224.094426572</v>
      </c>
      <c r="AA532" s="2">
        <f>+Bono!J532</f>
        <v>592193.79531579348</v>
      </c>
      <c r="AC532" s="10">
        <f t="shared" si="148"/>
        <v>42.416666666666664</v>
      </c>
      <c r="AD532" s="1">
        <f t="shared" si="149"/>
        <v>43574696.286782898</v>
      </c>
    </row>
    <row r="533" spans="2:30">
      <c r="B533" s="1">
        <f t="shared" si="143"/>
        <v>510</v>
      </c>
      <c r="C533" s="2">
        <f t="shared" si="150"/>
        <v>42</v>
      </c>
      <c r="D533" s="2">
        <f t="shared" si="151"/>
        <v>6</v>
      </c>
      <c r="E533" s="2">
        <f t="shared" si="152"/>
        <v>71</v>
      </c>
      <c r="F533" s="1">
        <f t="shared" si="144"/>
        <v>1286278.3970405292</v>
      </c>
      <c r="H533" s="1">
        <f t="shared" si="140"/>
        <v>10256.964568666412</v>
      </c>
      <c r="I533" s="1">
        <v>0</v>
      </c>
      <c r="J533" s="69">
        <f>-SUM(F533:H533)*$J$21</f>
        <v>-11668.818254482761</v>
      </c>
      <c r="K533" s="1">
        <f t="shared" si="145"/>
        <v>-1284.866543354713</v>
      </c>
      <c r="L533" s="1">
        <f t="shared" si="141"/>
        <v>1283581.6768113582</v>
      </c>
      <c r="N533" s="1">
        <f t="shared" si="146"/>
        <v>510</v>
      </c>
      <c r="O533" s="2">
        <f t="shared" si="153"/>
        <v>42</v>
      </c>
      <c r="P533" s="2">
        <f t="shared" si="154"/>
        <v>6</v>
      </c>
      <c r="Q533" s="2">
        <f t="shared" si="155"/>
        <v>42</v>
      </c>
      <c r="R533" s="1">
        <f t="shared" si="147"/>
        <v>41696224.094426572</v>
      </c>
      <c r="S533" s="4">
        <f>IF($G$4="mensual",S532,0)</f>
        <v>10000</v>
      </c>
      <c r="U533" s="1">
        <f t="shared" si="156"/>
        <v>332571.28768828721</v>
      </c>
      <c r="V533" s="35">
        <f t="shared" si="158"/>
        <v>-395.69013403163342</v>
      </c>
      <c r="X533" s="35">
        <f t="shared" si="157"/>
        <v>-42038.795382114855</v>
      </c>
      <c r="Y533" s="1">
        <f t="shared" si="142"/>
        <v>41996360.896598712</v>
      </c>
      <c r="AA533" s="2">
        <f>+Bono!J533</f>
        <v>590497.30818980013</v>
      </c>
      <c r="AC533" s="10">
        <f t="shared" si="148"/>
        <v>42.5</v>
      </c>
      <c r="AD533" s="1">
        <f t="shared" si="149"/>
        <v>43870439.881599873</v>
      </c>
    </row>
    <row r="534" spans="2:30">
      <c r="B534" s="1">
        <f t="shared" si="143"/>
        <v>511</v>
      </c>
      <c r="C534" s="2">
        <f t="shared" si="150"/>
        <v>42</v>
      </c>
      <c r="D534" s="2">
        <f t="shared" si="151"/>
        <v>7</v>
      </c>
      <c r="E534" s="2">
        <f t="shared" si="152"/>
        <v>71</v>
      </c>
      <c r="F534" s="1">
        <f t="shared" si="144"/>
        <v>1283581.6768113582</v>
      </c>
      <c r="H534" s="1">
        <f t="shared" si="140"/>
        <v>10235.460542861536</v>
      </c>
      <c r="I534" s="1">
        <v>0</v>
      </c>
      <c r="J534" s="1">
        <v>0</v>
      </c>
      <c r="K534" s="1">
        <f t="shared" si="145"/>
        <v>-1293.8171373542198</v>
      </c>
      <c r="L534" s="1">
        <f t="shared" si="141"/>
        <v>1292523.3202168655</v>
      </c>
      <c r="N534" s="1">
        <f t="shared" si="146"/>
        <v>511</v>
      </c>
      <c r="O534" s="2">
        <f t="shared" si="153"/>
        <v>42</v>
      </c>
      <c r="P534" s="2">
        <f t="shared" si="154"/>
        <v>7</v>
      </c>
      <c r="Q534" s="2">
        <f t="shared" si="155"/>
        <v>42</v>
      </c>
      <c r="R534" s="1">
        <f t="shared" si="147"/>
        <v>41996360.896598712</v>
      </c>
      <c r="S534" s="1">
        <f>+IF($G$4="mensual",S528,IF($G$4="trimestral",S528,IF($G$4="semestral",S528,0)))</f>
        <v>10000</v>
      </c>
      <c r="U534" s="1">
        <f t="shared" si="156"/>
        <v>334964.62069668999</v>
      </c>
      <c r="V534" s="35">
        <f t="shared" si="158"/>
        <v>-395.69013403163342</v>
      </c>
      <c r="X534" s="35">
        <f t="shared" si="157"/>
        <v>-42341.325517295409</v>
      </c>
      <c r="Y534" s="1">
        <f t="shared" si="142"/>
        <v>42298588.501644075</v>
      </c>
      <c r="AA534" s="2">
        <f>+Bono!J534</f>
        <v>594158.45999402518</v>
      </c>
      <c r="AC534" s="10">
        <f t="shared" si="148"/>
        <v>42.583333333333336</v>
      </c>
      <c r="AD534" s="1">
        <f t="shared" si="149"/>
        <v>44185270.281854965</v>
      </c>
    </row>
    <row r="535" spans="2:30">
      <c r="B535" s="1">
        <f t="shared" si="143"/>
        <v>512</v>
      </c>
      <c r="C535" s="2">
        <f t="shared" si="150"/>
        <v>42</v>
      </c>
      <c r="D535" s="2">
        <f t="shared" si="151"/>
        <v>8</v>
      </c>
      <c r="E535" s="2">
        <f t="shared" si="152"/>
        <v>71</v>
      </c>
      <c r="F535" s="1">
        <f t="shared" si="144"/>
        <v>1292523.3202168655</v>
      </c>
      <c r="H535" s="1">
        <f t="shared" si="140"/>
        <v>10306.762463042234</v>
      </c>
      <c r="I535" s="1">
        <v>0</v>
      </c>
      <c r="J535" s="1">
        <v>0</v>
      </c>
      <c r="K535" s="1">
        <f t="shared" si="145"/>
        <v>-1302.8300826799077</v>
      </c>
      <c r="L535" s="1">
        <f t="shared" si="141"/>
        <v>1301527.2525972279</v>
      </c>
      <c r="N535" s="1">
        <f t="shared" si="146"/>
        <v>512</v>
      </c>
      <c r="O535" s="2">
        <f t="shared" si="153"/>
        <v>42</v>
      </c>
      <c r="P535" s="2">
        <f t="shared" si="154"/>
        <v>8</v>
      </c>
      <c r="Q535" s="2">
        <f t="shared" si="155"/>
        <v>42</v>
      </c>
      <c r="R535" s="1">
        <f t="shared" si="147"/>
        <v>42298588.501644075</v>
      </c>
      <c r="S535" s="4">
        <f>IF($G$4="mensual",S534,0)</f>
        <v>10000</v>
      </c>
      <c r="U535" s="1">
        <f t="shared" si="156"/>
        <v>337374.62606081297</v>
      </c>
      <c r="V535" s="35">
        <f t="shared" si="158"/>
        <v>-395.69013403163342</v>
      </c>
      <c r="X535" s="35">
        <f t="shared" si="157"/>
        <v>-42645.96312770489</v>
      </c>
      <c r="Y535" s="1">
        <f t="shared" si="142"/>
        <v>42602921.474443153</v>
      </c>
      <c r="AA535" s="2">
        <f>+Bono!J535</f>
        <v>597842.31136410369</v>
      </c>
      <c r="AC535" s="10">
        <f t="shared" si="148"/>
        <v>42.666666666666664</v>
      </c>
      <c r="AD535" s="1">
        <f t="shared" si="149"/>
        <v>44502291.038404487</v>
      </c>
    </row>
    <row r="536" spans="2:30">
      <c r="B536" s="1">
        <f t="shared" si="143"/>
        <v>513</v>
      </c>
      <c r="C536" s="2">
        <f t="shared" si="150"/>
        <v>42</v>
      </c>
      <c r="D536" s="2">
        <f t="shared" si="151"/>
        <v>9</v>
      </c>
      <c r="E536" s="2">
        <f t="shared" si="152"/>
        <v>71</v>
      </c>
      <c r="F536" s="1">
        <f t="shared" si="144"/>
        <v>1301527.2525972279</v>
      </c>
      <c r="H536" s="1">
        <f t="shared" ref="H536:H599" si="159">SUM(F536:G536)*$G$8</f>
        <v>10378.561084255598</v>
      </c>
      <c r="I536" s="1">
        <v>0</v>
      </c>
      <c r="J536" s="69">
        <f>-SUM(F536:H536)*$J$21</f>
        <v>-11807.152323133352</v>
      </c>
      <c r="K536" s="1">
        <f t="shared" si="145"/>
        <v>-1300.0986613583502</v>
      </c>
      <c r="L536" s="1">
        <f t="shared" ref="L536:L599" si="160">SUM(F536:K536)</f>
        <v>1298798.562696992</v>
      </c>
      <c r="N536" s="1">
        <f t="shared" si="146"/>
        <v>513</v>
      </c>
      <c r="O536" s="2">
        <f t="shared" si="153"/>
        <v>42</v>
      </c>
      <c r="P536" s="2">
        <f t="shared" si="154"/>
        <v>9</v>
      </c>
      <c r="Q536" s="2">
        <f t="shared" si="155"/>
        <v>42</v>
      </c>
      <c r="R536" s="1">
        <f t="shared" si="147"/>
        <v>42602921.474443153</v>
      </c>
      <c r="S536" s="4">
        <f>IF($G$4="mensual",S535,0)</f>
        <v>10000</v>
      </c>
      <c r="U536" s="1">
        <f t="shared" si="156"/>
        <v>339801.41992305854</v>
      </c>
      <c r="V536" s="35">
        <f t="shared" si="158"/>
        <v>-395.69013403163342</v>
      </c>
      <c r="X536" s="35">
        <f t="shared" si="157"/>
        <v>-42952.722894366212</v>
      </c>
      <c r="Y536" s="1">
        <f t="shared" ref="Y536:Y599" si="161">SUM(R536:X536)</f>
        <v>42909374.481337816</v>
      </c>
      <c r="AA536" s="2">
        <f>+Bono!J536</f>
        <v>596129.64265222964</v>
      </c>
      <c r="AC536" s="10">
        <f t="shared" si="148"/>
        <v>42.75</v>
      </c>
      <c r="AD536" s="1">
        <f t="shared" si="149"/>
        <v>44804302.686687037</v>
      </c>
    </row>
    <row r="537" spans="2:30">
      <c r="B537" s="1">
        <f t="shared" ref="B537:B600" si="162">+B536+1</f>
        <v>514</v>
      </c>
      <c r="C537" s="2">
        <f t="shared" si="150"/>
        <v>42</v>
      </c>
      <c r="D537" s="2">
        <f t="shared" si="151"/>
        <v>10</v>
      </c>
      <c r="E537" s="2">
        <f t="shared" si="152"/>
        <v>71</v>
      </c>
      <c r="F537" s="1">
        <f t="shared" ref="F537:F600" si="163">L536</f>
        <v>1298798.562696992</v>
      </c>
      <c r="H537" s="1">
        <f t="shared" si="159"/>
        <v>10356.802127804183</v>
      </c>
      <c r="I537" s="1">
        <v>0</v>
      </c>
      <c r="J537" s="1">
        <v>0</v>
      </c>
      <c r="K537" s="1">
        <f t="shared" ref="K537:K600" si="164">-SUM(F537:J537)*0.1%</f>
        <v>-1309.1553648247962</v>
      </c>
      <c r="L537" s="1">
        <f t="shared" si="160"/>
        <v>1307846.2094599714</v>
      </c>
      <c r="N537" s="1">
        <f t="shared" ref="N537:N600" si="165">+N536+1</f>
        <v>514</v>
      </c>
      <c r="O537" s="2">
        <f t="shared" si="153"/>
        <v>42</v>
      </c>
      <c r="P537" s="2">
        <f t="shared" si="154"/>
        <v>10</v>
      </c>
      <c r="Q537" s="2">
        <f t="shared" si="155"/>
        <v>42</v>
      </c>
      <c r="R537" s="1">
        <f t="shared" ref="R537:R600" si="166">Y536</f>
        <v>42909374.481337816</v>
      </c>
      <c r="S537" s="4">
        <f>IF($G$4="mensual",S528,IF($G$4="trimestral",S528,0))</f>
        <v>10000</v>
      </c>
      <c r="U537" s="1">
        <f t="shared" si="156"/>
        <v>342245.11923489638</v>
      </c>
      <c r="V537" s="35">
        <f t="shared" si="158"/>
        <v>-395.69013403163342</v>
      </c>
      <c r="X537" s="35">
        <f t="shared" si="157"/>
        <v>-43261.619600572711</v>
      </c>
      <c r="Y537" s="1">
        <f t="shared" si="161"/>
        <v>43217962.290838107</v>
      </c>
      <c r="AA537" s="2">
        <f>+Bono!J537</f>
        <v>599825.71558343212</v>
      </c>
      <c r="AC537" s="10">
        <f t="shared" ref="AC537:AC600" si="167">+B537/12</f>
        <v>42.833333333333336</v>
      </c>
      <c r="AD537" s="1">
        <f t="shared" ref="AD537:AD600" si="168">+AA537+Y537+L537</f>
        <v>45125634.215881504</v>
      </c>
    </row>
    <row r="538" spans="2:30">
      <c r="B538" s="1">
        <f t="shared" si="162"/>
        <v>515</v>
      </c>
      <c r="C538" s="2">
        <f t="shared" si="150"/>
        <v>42</v>
      </c>
      <c r="D538" s="2">
        <f t="shared" si="151"/>
        <v>11</v>
      </c>
      <c r="E538" s="2">
        <f t="shared" si="152"/>
        <v>71</v>
      </c>
      <c r="F538" s="1">
        <f t="shared" si="163"/>
        <v>1307846.2094599714</v>
      </c>
      <c r="H538" s="1">
        <f t="shared" si="159"/>
        <v>10428.949333643299</v>
      </c>
      <c r="I538" s="1">
        <v>0</v>
      </c>
      <c r="J538" s="1">
        <v>0</v>
      </c>
      <c r="K538" s="1">
        <f t="shared" si="164"/>
        <v>-1318.2751587936148</v>
      </c>
      <c r="L538" s="1">
        <f t="shared" si="160"/>
        <v>1316956.883634821</v>
      </c>
      <c r="N538" s="1">
        <f t="shared" si="165"/>
        <v>515</v>
      </c>
      <c r="O538" s="2">
        <f t="shared" si="153"/>
        <v>42</v>
      </c>
      <c r="P538" s="2">
        <f t="shared" si="154"/>
        <v>11</v>
      </c>
      <c r="Q538" s="2">
        <f t="shared" si="155"/>
        <v>42</v>
      </c>
      <c r="R538" s="1">
        <f t="shared" si="166"/>
        <v>43217962.290838107</v>
      </c>
      <c r="S538" s="1">
        <f>IF($G$17="si",S526*(1+$G$20),S526)</f>
        <v>10000</v>
      </c>
      <c r="U538" s="1">
        <f t="shared" si="156"/>
        <v>344705.84176249953</v>
      </c>
      <c r="V538" s="35">
        <f t="shared" si="158"/>
        <v>-395.69013403163342</v>
      </c>
      <c r="X538" s="35">
        <f t="shared" si="157"/>
        <v>-43572.668132600607</v>
      </c>
      <c r="Y538" s="1">
        <f t="shared" si="161"/>
        <v>43528699.774333969</v>
      </c>
      <c r="AA538" s="2">
        <f>+Bono!J538</f>
        <v>603544.7045955261</v>
      </c>
      <c r="AC538" s="10">
        <f t="shared" si="167"/>
        <v>42.916666666666664</v>
      </c>
      <c r="AD538" s="1">
        <f t="shared" si="168"/>
        <v>45449201.362564318</v>
      </c>
    </row>
    <row r="539" spans="2:30">
      <c r="B539" s="1">
        <f t="shared" si="162"/>
        <v>516</v>
      </c>
      <c r="C539" s="2">
        <f t="shared" si="150"/>
        <v>42</v>
      </c>
      <c r="D539" s="2">
        <f t="shared" si="151"/>
        <v>12</v>
      </c>
      <c r="E539" s="2">
        <f t="shared" si="152"/>
        <v>71</v>
      </c>
      <c r="F539" s="1">
        <f t="shared" si="163"/>
        <v>1316956.883634821</v>
      </c>
      <c r="H539" s="1">
        <f t="shared" si="159"/>
        <v>10501.599128915537</v>
      </c>
      <c r="I539" s="1">
        <v>0</v>
      </c>
      <c r="J539" s="69">
        <f>-SUM(F539:H539)*$J$21</f>
        <v>-11947.12634487363</v>
      </c>
      <c r="K539" s="1">
        <f t="shared" si="164"/>
        <v>-1315.511356418863</v>
      </c>
      <c r="L539" s="1">
        <f t="shared" si="160"/>
        <v>1314195.845062444</v>
      </c>
      <c r="N539" s="1">
        <f t="shared" si="165"/>
        <v>516</v>
      </c>
      <c r="O539" s="2">
        <f t="shared" si="153"/>
        <v>42</v>
      </c>
      <c r="P539" s="2">
        <f t="shared" si="154"/>
        <v>12</v>
      </c>
      <c r="Q539" s="2">
        <f t="shared" si="155"/>
        <v>42</v>
      </c>
      <c r="R539" s="1">
        <f t="shared" si="166"/>
        <v>43528699.774333969</v>
      </c>
      <c r="S539" s="4">
        <f>IF($G$4="mensual",S538,0)</f>
        <v>10000</v>
      </c>
      <c r="U539" s="1">
        <f t="shared" si="156"/>
        <v>347183.70609241968</v>
      </c>
      <c r="V539" s="35">
        <f t="shared" si="158"/>
        <v>-395.69013403163342</v>
      </c>
      <c r="X539" s="35">
        <f t="shared" si="157"/>
        <v>-43885.88348042639</v>
      </c>
      <c r="Y539" s="1">
        <f t="shared" si="161"/>
        <v>43841601.906811923</v>
      </c>
      <c r="AA539" s="2">
        <f>+Bono!J539</f>
        <v>601815.69995311543</v>
      </c>
      <c r="AC539" s="10">
        <f t="shared" si="167"/>
        <v>43</v>
      </c>
      <c r="AD539" s="1">
        <f t="shared" si="168"/>
        <v>45757613.451827481</v>
      </c>
    </row>
    <row r="540" spans="2:30">
      <c r="B540" s="1">
        <f t="shared" si="162"/>
        <v>517</v>
      </c>
      <c r="C540" s="2">
        <f t="shared" si="150"/>
        <v>43</v>
      </c>
      <c r="D540" s="2">
        <f t="shared" si="151"/>
        <v>1</v>
      </c>
      <c r="E540" s="2">
        <f t="shared" si="152"/>
        <v>72</v>
      </c>
      <c r="F540" s="1">
        <f t="shared" si="163"/>
        <v>1314195.845062444</v>
      </c>
      <c r="H540" s="1">
        <f t="shared" si="159"/>
        <v>10479.582219609782</v>
      </c>
      <c r="I540" s="1">
        <v>0</v>
      </c>
      <c r="J540" s="1">
        <v>0</v>
      </c>
      <c r="K540" s="1">
        <f t="shared" si="164"/>
        <v>-1324.6754272820538</v>
      </c>
      <c r="L540" s="1">
        <f t="shared" si="160"/>
        <v>1323350.7518547717</v>
      </c>
      <c r="N540" s="1">
        <f t="shared" si="165"/>
        <v>517</v>
      </c>
      <c r="O540" s="2">
        <f t="shared" si="153"/>
        <v>43</v>
      </c>
      <c r="P540" s="2">
        <f t="shared" si="154"/>
        <v>1</v>
      </c>
      <c r="Q540" s="2">
        <f t="shared" si="155"/>
        <v>43</v>
      </c>
      <c r="R540" s="1">
        <f t="shared" si="166"/>
        <v>43841601.906811923</v>
      </c>
      <c r="S540" s="1">
        <f>IF($G$17="si",S528*(1+$G$20),S528)</f>
        <v>10000</v>
      </c>
      <c r="U540" s="1">
        <f t="shared" si="156"/>
        <v>349678.83163730236</v>
      </c>
      <c r="V540" s="35">
        <f>(V539*(1+$G$18))</f>
        <v>-411.51773939289876</v>
      </c>
      <c r="X540" s="35">
        <f t="shared" si="157"/>
        <v>-44201.280738449226</v>
      </c>
      <c r="Y540" s="1">
        <f t="shared" si="161"/>
        <v>44156667.93997138</v>
      </c>
      <c r="AA540" s="2">
        <f>+Bono!J540</f>
        <v>605547.0270991252</v>
      </c>
      <c r="AC540" s="10">
        <f t="shared" si="167"/>
        <v>43.083333333333336</v>
      </c>
      <c r="AD540" s="1">
        <f t="shared" si="168"/>
        <v>46085565.718925275</v>
      </c>
    </row>
    <row r="541" spans="2:30">
      <c r="B541" s="1">
        <f t="shared" si="162"/>
        <v>518</v>
      </c>
      <c r="C541" s="2">
        <f t="shared" si="150"/>
        <v>43</v>
      </c>
      <c r="D541" s="2">
        <f t="shared" si="151"/>
        <v>2</v>
      </c>
      <c r="E541" s="2">
        <f t="shared" si="152"/>
        <v>72</v>
      </c>
      <c r="F541" s="1">
        <f t="shared" si="163"/>
        <v>1323350.7518547717</v>
      </c>
      <c r="H541" s="1">
        <f t="shared" si="159"/>
        <v>10552.584731985329</v>
      </c>
      <c r="I541" s="1">
        <v>0</v>
      </c>
      <c r="J541" s="1">
        <v>0</v>
      </c>
      <c r="K541" s="1">
        <f t="shared" si="164"/>
        <v>-1333.9033365867572</v>
      </c>
      <c r="L541" s="1">
        <f t="shared" si="160"/>
        <v>1332569.4332501704</v>
      </c>
      <c r="N541" s="1">
        <f t="shared" si="165"/>
        <v>518</v>
      </c>
      <c r="O541" s="2">
        <f t="shared" si="153"/>
        <v>43</v>
      </c>
      <c r="P541" s="2">
        <f t="shared" si="154"/>
        <v>2</v>
      </c>
      <c r="Q541" s="2">
        <f t="shared" si="155"/>
        <v>43</v>
      </c>
      <c r="R541" s="1">
        <f t="shared" si="166"/>
        <v>44156667.93997138</v>
      </c>
      <c r="S541" s="4">
        <f>IF($G$4="mensual",S540,0)</f>
        <v>10000</v>
      </c>
      <c r="U541" s="1">
        <f t="shared" si="156"/>
        <v>352191.2124300935</v>
      </c>
      <c r="V541" s="35">
        <f t="shared" si="158"/>
        <v>-411.51773939289876</v>
      </c>
      <c r="X541" s="35">
        <f t="shared" si="157"/>
        <v>-44518.859152401477</v>
      </c>
      <c r="Y541" s="1">
        <f t="shared" si="161"/>
        <v>44473928.775509685</v>
      </c>
      <c r="AA541" s="2">
        <f>+Bono!J541</f>
        <v>609301.48890624754</v>
      </c>
      <c r="AC541" s="10">
        <f t="shared" si="167"/>
        <v>43.166666666666664</v>
      </c>
      <c r="AD541" s="1">
        <f t="shared" si="168"/>
        <v>46415799.697666109</v>
      </c>
    </row>
    <row r="542" spans="2:30">
      <c r="B542" s="1">
        <f t="shared" si="162"/>
        <v>519</v>
      </c>
      <c r="C542" s="2">
        <f t="shared" si="150"/>
        <v>43</v>
      </c>
      <c r="D542" s="2">
        <f t="shared" si="151"/>
        <v>3</v>
      </c>
      <c r="E542" s="2">
        <f t="shared" si="152"/>
        <v>72</v>
      </c>
      <c r="F542" s="1">
        <f t="shared" si="163"/>
        <v>1332569.4332501704</v>
      </c>
      <c r="H542" s="1">
        <f t="shared" si="159"/>
        <v>10626.095792001561</v>
      </c>
      <c r="I542" s="1">
        <v>0</v>
      </c>
      <c r="J542" s="69">
        <f>-SUM(F542:H542)*$J$21</f>
        <v>-12088.75976137955</v>
      </c>
      <c r="K542" s="1">
        <f t="shared" si="164"/>
        <v>-1331.1067692807924</v>
      </c>
      <c r="L542" s="1">
        <f t="shared" si="160"/>
        <v>1329775.6625115117</v>
      </c>
      <c r="N542" s="1">
        <f t="shared" si="165"/>
        <v>519</v>
      </c>
      <c r="O542" s="2">
        <f t="shared" si="153"/>
        <v>43</v>
      </c>
      <c r="P542" s="2">
        <f t="shared" si="154"/>
        <v>3</v>
      </c>
      <c r="Q542" s="2">
        <f t="shared" si="155"/>
        <v>43</v>
      </c>
      <c r="R542" s="1">
        <f t="shared" si="166"/>
        <v>44473928.775509685</v>
      </c>
      <c r="S542" s="4">
        <f>IF($G$4="mensual",S541,0)</f>
        <v>10000</v>
      </c>
      <c r="U542" s="1">
        <f t="shared" si="156"/>
        <v>354721.09488526732</v>
      </c>
      <c r="V542" s="35">
        <f t="shared" si="158"/>
        <v>-411.51773939289876</v>
      </c>
      <c r="X542" s="35">
        <f t="shared" si="157"/>
        <v>-44838.649870394955</v>
      </c>
      <c r="Y542" s="1">
        <f t="shared" si="161"/>
        <v>44793399.702785164</v>
      </c>
      <c r="AA542" s="2">
        <f>+Bono!J542</f>
        <v>607555.99251646036</v>
      </c>
      <c r="AC542" s="10">
        <f t="shared" si="167"/>
        <v>43.25</v>
      </c>
      <c r="AD542" s="1">
        <f t="shared" si="168"/>
        <v>46730731.357813135</v>
      </c>
    </row>
    <row r="543" spans="2:30">
      <c r="B543" s="1">
        <f t="shared" si="162"/>
        <v>520</v>
      </c>
      <c r="C543" s="2">
        <f t="shared" si="150"/>
        <v>43</v>
      </c>
      <c r="D543" s="2">
        <f t="shared" si="151"/>
        <v>4</v>
      </c>
      <c r="E543" s="2">
        <f t="shared" si="152"/>
        <v>72</v>
      </c>
      <c r="F543" s="1">
        <f t="shared" si="163"/>
        <v>1329775.6625115117</v>
      </c>
      <c r="H543" s="1">
        <f t="shared" si="159"/>
        <v>10603.817871805333</v>
      </c>
      <c r="I543" s="1">
        <v>0</v>
      </c>
      <c r="J543" s="1">
        <v>0</v>
      </c>
      <c r="K543" s="1">
        <f t="shared" si="164"/>
        <v>-1340.3794803833171</v>
      </c>
      <c r="L543" s="1">
        <f t="shared" si="160"/>
        <v>1339039.1009029336</v>
      </c>
      <c r="N543" s="1">
        <f t="shared" si="165"/>
        <v>520</v>
      </c>
      <c r="O543" s="2">
        <f t="shared" si="153"/>
        <v>43</v>
      </c>
      <c r="P543" s="2">
        <f t="shared" si="154"/>
        <v>4</v>
      </c>
      <c r="Q543" s="2">
        <f t="shared" si="155"/>
        <v>43</v>
      </c>
      <c r="R543" s="1">
        <f t="shared" si="166"/>
        <v>44793399.702785164</v>
      </c>
      <c r="S543" s="4">
        <f>IF($G$4="mensual",S540,IF($G$4="trimestral",S540,0))</f>
        <v>10000</v>
      </c>
      <c r="U543" s="1">
        <f t="shared" si="156"/>
        <v>357268.6009223141</v>
      </c>
      <c r="V543" s="35">
        <f t="shared" si="158"/>
        <v>-411.51773939289876</v>
      </c>
      <c r="X543" s="35">
        <f t="shared" si="157"/>
        <v>-45160.668303707484</v>
      </c>
      <c r="Y543" s="1">
        <f t="shared" si="161"/>
        <v>45115096.117664382</v>
      </c>
      <c r="AA543" s="2">
        <f>+Bono!J543</f>
        <v>611322.91014219564</v>
      </c>
      <c r="AC543" s="10">
        <f t="shared" si="167"/>
        <v>43.333333333333336</v>
      </c>
      <c r="AD543" s="1">
        <f t="shared" si="168"/>
        <v>47065458.12870951</v>
      </c>
    </row>
    <row r="544" spans="2:30">
      <c r="B544" s="1">
        <f t="shared" si="162"/>
        <v>521</v>
      </c>
      <c r="C544" s="2">
        <f t="shared" si="150"/>
        <v>43</v>
      </c>
      <c r="D544" s="2">
        <f t="shared" si="151"/>
        <v>5</v>
      </c>
      <c r="E544" s="2">
        <f t="shared" si="152"/>
        <v>72</v>
      </c>
      <c r="F544" s="1">
        <f t="shared" si="163"/>
        <v>1339039.1009029336</v>
      </c>
      <c r="H544" s="1">
        <f t="shared" si="159"/>
        <v>10677.685830393029</v>
      </c>
      <c r="I544" s="1">
        <v>0</v>
      </c>
      <c r="J544" s="1">
        <v>0</v>
      </c>
      <c r="K544" s="1">
        <f t="shared" si="164"/>
        <v>-1349.7167867333267</v>
      </c>
      <c r="L544" s="1">
        <f t="shared" si="160"/>
        <v>1348367.0699465934</v>
      </c>
      <c r="N544" s="1">
        <f t="shared" si="165"/>
        <v>521</v>
      </c>
      <c r="O544" s="2">
        <f t="shared" si="153"/>
        <v>43</v>
      </c>
      <c r="P544" s="2">
        <f t="shared" si="154"/>
        <v>5</v>
      </c>
      <c r="Q544" s="2">
        <f t="shared" si="155"/>
        <v>43</v>
      </c>
      <c r="R544" s="1">
        <f t="shared" si="166"/>
        <v>45115096.117664382</v>
      </c>
      <c r="S544" s="4">
        <f>IF($G$4="mensual",S543,0)</f>
        <v>10000</v>
      </c>
      <c r="U544" s="1">
        <f t="shared" si="156"/>
        <v>359833.85331003583</v>
      </c>
      <c r="V544" s="35">
        <f t="shared" si="158"/>
        <v>-411.51773939289876</v>
      </c>
      <c r="X544" s="35">
        <f t="shared" si="157"/>
        <v>-45484.929970974415</v>
      </c>
      <c r="Y544" s="1">
        <f t="shared" si="161"/>
        <v>45439033.52326405</v>
      </c>
      <c r="AA544" s="2">
        <f>+Bono!J544</f>
        <v>615113.18309414596</v>
      </c>
      <c r="AC544" s="10">
        <f t="shared" si="167"/>
        <v>43.416666666666664</v>
      </c>
      <c r="AD544" s="1">
        <f t="shared" si="168"/>
        <v>47402513.776304789</v>
      </c>
    </row>
    <row r="545" spans="2:30">
      <c r="B545" s="1">
        <f t="shared" si="162"/>
        <v>522</v>
      </c>
      <c r="C545" s="2">
        <f t="shared" si="150"/>
        <v>43</v>
      </c>
      <c r="D545" s="2">
        <f t="shared" si="151"/>
        <v>6</v>
      </c>
      <c r="E545" s="2">
        <f t="shared" si="152"/>
        <v>72</v>
      </c>
      <c r="F545" s="1">
        <f t="shared" si="163"/>
        <v>1348367.0699465934</v>
      </c>
      <c r="H545" s="1">
        <f t="shared" si="159"/>
        <v>10752.06836546364</v>
      </c>
      <c r="I545" s="1">
        <v>0</v>
      </c>
      <c r="J545" s="69">
        <f>-SUM(F545:H545)*$J$21</f>
        <v>-12232.072244808516</v>
      </c>
      <c r="K545" s="1">
        <f t="shared" si="164"/>
        <v>-1346.8870660672485</v>
      </c>
      <c r="L545" s="1">
        <f t="shared" si="160"/>
        <v>1345540.1790011814</v>
      </c>
      <c r="N545" s="1">
        <f t="shared" si="165"/>
        <v>522</v>
      </c>
      <c r="O545" s="2">
        <f t="shared" si="153"/>
        <v>43</v>
      </c>
      <c r="P545" s="2">
        <f t="shared" si="154"/>
        <v>6</v>
      </c>
      <c r="Q545" s="2">
        <f t="shared" si="155"/>
        <v>43</v>
      </c>
      <c r="R545" s="1">
        <f t="shared" si="166"/>
        <v>45439033.52326405</v>
      </c>
      <c r="S545" s="4">
        <f>IF($G$4="mensual",S544,0)</f>
        <v>10000</v>
      </c>
      <c r="U545" s="1">
        <f t="shared" si="156"/>
        <v>362416.97567246237</v>
      </c>
      <c r="V545" s="35">
        <f t="shared" si="158"/>
        <v>-411.51773939289876</v>
      </c>
      <c r="X545" s="35">
        <f t="shared" si="157"/>
        <v>-45811.450498936516</v>
      </c>
      <c r="Y545" s="1">
        <f t="shared" si="161"/>
        <v>45765227.53069818</v>
      </c>
      <c r="AA545" s="2">
        <f>+Bono!J545</f>
        <v>613351.03765391617</v>
      </c>
      <c r="AC545" s="10">
        <f t="shared" si="167"/>
        <v>43.5</v>
      </c>
      <c r="AD545" s="1">
        <f t="shared" si="168"/>
        <v>47724118.747353278</v>
      </c>
    </row>
    <row r="546" spans="2:30">
      <c r="B546" s="1">
        <f t="shared" si="162"/>
        <v>523</v>
      </c>
      <c r="C546" s="2">
        <f t="shared" si="150"/>
        <v>43</v>
      </c>
      <c r="D546" s="2">
        <f t="shared" si="151"/>
        <v>7</v>
      </c>
      <c r="E546" s="2">
        <f t="shared" si="152"/>
        <v>72</v>
      </c>
      <c r="F546" s="1">
        <f t="shared" si="163"/>
        <v>1345540.1790011814</v>
      </c>
      <c r="H546" s="1">
        <f t="shared" si="159"/>
        <v>10729.526340087728</v>
      </c>
      <c r="I546" s="1">
        <v>0</v>
      </c>
      <c r="J546" s="1">
        <v>0</v>
      </c>
      <c r="K546" s="1">
        <f t="shared" si="164"/>
        <v>-1356.2697053412689</v>
      </c>
      <c r="L546" s="1">
        <f t="shared" si="160"/>
        <v>1354913.4356359278</v>
      </c>
      <c r="N546" s="1">
        <f t="shared" si="165"/>
        <v>523</v>
      </c>
      <c r="O546" s="2">
        <f t="shared" si="153"/>
        <v>43</v>
      </c>
      <c r="P546" s="2">
        <f t="shared" si="154"/>
        <v>7</v>
      </c>
      <c r="Q546" s="2">
        <f t="shared" si="155"/>
        <v>43</v>
      </c>
      <c r="R546" s="1">
        <f t="shared" si="166"/>
        <v>45765227.53069818</v>
      </c>
      <c r="S546" s="1">
        <f>+IF($G$4="mensual",S540,IF($G$4="trimestral",S540,IF($G$4="semestral",S540,0)))</f>
        <v>10000</v>
      </c>
      <c r="U546" s="1">
        <f t="shared" si="156"/>
        <v>365018.09249480901</v>
      </c>
      <c r="V546" s="35">
        <f t="shared" si="158"/>
        <v>-411.51773939289876</v>
      </c>
      <c r="X546" s="35">
        <f t="shared" si="157"/>
        <v>-46140.24562319299</v>
      </c>
      <c r="Y546" s="1">
        <f t="shared" si="161"/>
        <v>46093693.859830402</v>
      </c>
      <c r="AA546" s="2">
        <f>+Bono!J546</f>
        <v>617153.88523168734</v>
      </c>
      <c r="AC546" s="10">
        <f t="shared" si="167"/>
        <v>43.583333333333336</v>
      </c>
      <c r="AD546" s="1">
        <f t="shared" si="168"/>
        <v>48065761.180698015</v>
      </c>
    </row>
    <row r="547" spans="2:30">
      <c r="B547" s="1">
        <f t="shared" si="162"/>
        <v>524</v>
      </c>
      <c r="C547" s="2">
        <f t="shared" si="150"/>
        <v>43</v>
      </c>
      <c r="D547" s="2">
        <f t="shared" si="151"/>
        <v>8</v>
      </c>
      <c r="E547" s="2">
        <f t="shared" si="152"/>
        <v>72</v>
      </c>
      <c r="F547" s="1">
        <f t="shared" si="163"/>
        <v>1354913.4356359278</v>
      </c>
      <c r="H547" s="1">
        <f t="shared" si="159"/>
        <v>10804.270004769351</v>
      </c>
      <c r="I547" s="1">
        <v>0</v>
      </c>
      <c r="J547" s="1">
        <v>0</v>
      </c>
      <c r="K547" s="1">
        <f t="shared" si="164"/>
        <v>-1365.7177056406972</v>
      </c>
      <c r="L547" s="1">
        <f t="shared" si="160"/>
        <v>1364351.9879350564</v>
      </c>
      <c r="N547" s="1">
        <f t="shared" si="165"/>
        <v>524</v>
      </c>
      <c r="O547" s="2">
        <f t="shared" si="153"/>
        <v>43</v>
      </c>
      <c r="P547" s="2">
        <f t="shared" si="154"/>
        <v>8</v>
      </c>
      <c r="Q547" s="2">
        <f t="shared" si="155"/>
        <v>43</v>
      </c>
      <c r="R547" s="1">
        <f t="shared" si="166"/>
        <v>46093693.859830402</v>
      </c>
      <c r="S547" s="4">
        <f>IF($G$4="mensual",S546,0)</f>
        <v>10000</v>
      </c>
      <c r="U547" s="1">
        <f t="shared" si="156"/>
        <v>367637.32912947587</v>
      </c>
      <c r="V547" s="35">
        <f t="shared" si="158"/>
        <v>-411.51773939289876</v>
      </c>
      <c r="X547" s="35">
        <f t="shared" si="157"/>
        <v>-46471.331188959877</v>
      </c>
      <c r="Y547" s="1">
        <f t="shared" si="161"/>
        <v>46424448.34003152</v>
      </c>
      <c r="AA547" s="2">
        <f>+Bono!J547</f>
        <v>620980.31090554362</v>
      </c>
      <c r="AC547" s="10">
        <f t="shared" si="167"/>
        <v>43.666666666666664</v>
      </c>
      <c r="AD547" s="1">
        <f t="shared" si="168"/>
        <v>48409780.638872124</v>
      </c>
    </row>
    <row r="548" spans="2:30">
      <c r="B548" s="1">
        <f t="shared" si="162"/>
        <v>525</v>
      </c>
      <c r="C548" s="2">
        <f t="shared" ref="C548:C611" si="169">C536+1</f>
        <v>43</v>
      </c>
      <c r="D548" s="2">
        <f t="shared" ref="D548:D611" si="170">D536</f>
        <v>9</v>
      </c>
      <c r="E548" s="2">
        <f t="shared" ref="E548:E611" si="171">E536+1</f>
        <v>72</v>
      </c>
      <c r="F548" s="1">
        <f t="shared" si="163"/>
        <v>1364351.9879350564</v>
      </c>
      <c r="H548" s="1">
        <f t="shared" si="159"/>
        <v>10879.534346248154</v>
      </c>
      <c r="I548" s="1">
        <v>0</v>
      </c>
      <c r="J548" s="69">
        <f>-SUM(F548:H548)*$J$21</f>
        <v>-12377.083700531744</v>
      </c>
      <c r="K548" s="1">
        <f t="shared" si="164"/>
        <v>-1362.8544385807729</v>
      </c>
      <c r="L548" s="1">
        <f t="shared" si="160"/>
        <v>1361491.584142192</v>
      </c>
      <c r="N548" s="1">
        <f t="shared" si="165"/>
        <v>525</v>
      </c>
      <c r="O548" s="2">
        <f t="shared" ref="O548:O611" si="172">O536+1</f>
        <v>43</v>
      </c>
      <c r="P548" s="2">
        <f t="shared" ref="P548:P611" si="173">P536</f>
        <v>9</v>
      </c>
      <c r="Q548" s="2">
        <f t="shared" ref="Q548:Q611" si="174">Q536+1</f>
        <v>43</v>
      </c>
      <c r="R548" s="1">
        <f t="shared" si="166"/>
        <v>46424448.34003152</v>
      </c>
      <c r="S548" s="4">
        <f>IF($G$4="mensual",S547,0)</f>
        <v>10000</v>
      </c>
      <c r="U548" s="1">
        <f t="shared" ref="U548:U611" si="175">SUM(R548:T548)*$G$8</f>
        <v>370274.81180208863</v>
      </c>
      <c r="V548" s="35">
        <f t="shared" si="158"/>
        <v>-411.51773939289876</v>
      </c>
      <c r="X548" s="35">
        <f t="shared" si="157"/>
        <v>-46804.723151833612</v>
      </c>
      <c r="Y548" s="1">
        <f t="shared" si="161"/>
        <v>46757506.910942383</v>
      </c>
      <c r="AA548" s="2">
        <f>+Bono!J548</f>
        <v>619201.35761140299</v>
      </c>
      <c r="AC548" s="10">
        <f t="shared" si="167"/>
        <v>43.75</v>
      </c>
      <c r="AD548" s="1">
        <f t="shared" si="168"/>
        <v>48738199.852695979</v>
      </c>
    </row>
    <row r="549" spans="2:30">
      <c r="B549" s="1">
        <f t="shared" si="162"/>
        <v>526</v>
      </c>
      <c r="C549" s="2">
        <f t="shared" si="169"/>
        <v>43</v>
      </c>
      <c r="D549" s="2">
        <f t="shared" si="170"/>
        <v>10</v>
      </c>
      <c r="E549" s="2">
        <f t="shared" si="171"/>
        <v>72</v>
      </c>
      <c r="F549" s="1">
        <f t="shared" si="163"/>
        <v>1361491.584142192</v>
      </c>
      <c r="H549" s="1">
        <f t="shared" si="159"/>
        <v>10856.725084720485</v>
      </c>
      <c r="I549" s="1">
        <v>0</v>
      </c>
      <c r="J549" s="1">
        <v>0</v>
      </c>
      <c r="K549" s="1">
        <f t="shared" si="164"/>
        <v>-1372.3483092269125</v>
      </c>
      <c r="L549" s="1">
        <f t="shared" si="160"/>
        <v>1370975.9609176856</v>
      </c>
      <c r="N549" s="1">
        <f t="shared" si="165"/>
        <v>526</v>
      </c>
      <c r="O549" s="2">
        <f t="shared" si="172"/>
        <v>43</v>
      </c>
      <c r="P549" s="2">
        <f t="shared" si="173"/>
        <v>10</v>
      </c>
      <c r="Q549" s="2">
        <f t="shared" si="174"/>
        <v>43</v>
      </c>
      <c r="R549" s="1">
        <f t="shared" si="166"/>
        <v>46757506.910942383</v>
      </c>
      <c r="S549" s="4">
        <f>IF($G$4="mensual",S540,IF($G$4="trimestral",S540,0))</f>
        <v>10000</v>
      </c>
      <c r="U549" s="1">
        <f t="shared" si="175"/>
        <v>372930.66761758184</v>
      </c>
      <c r="V549" s="35">
        <f t="shared" si="158"/>
        <v>-411.51773939289876</v>
      </c>
      <c r="X549" s="35">
        <f t="shared" si="157"/>
        <v>-47140.437578559962</v>
      </c>
      <c r="Y549" s="1">
        <f t="shared" si="161"/>
        <v>47092885.623242013</v>
      </c>
      <c r="AA549" s="2">
        <f>+Bono!J549</f>
        <v>623040.47785150562</v>
      </c>
      <c r="AC549" s="10">
        <f t="shared" si="167"/>
        <v>43.833333333333336</v>
      </c>
      <c r="AD549" s="1">
        <f t="shared" si="168"/>
        <v>49086902.062011205</v>
      </c>
    </row>
    <row r="550" spans="2:30">
      <c r="B550" s="1">
        <f t="shared" si="162"/>
        <v>527</v>
      </c>
      <c r="C550" s="2">
        <f t="shared" si="169"/>
        <v>43</v>
      </c>
      <c r="D550" s="2">
        <f t="shared" si="170"/>
        <v>11</v>
      </c>
      <c r="E550" s="2">
        <f t="shared" si="171"/>
        <v>72</v>
      </c>
      <c r="F550" s="1">
        <f t="shared" si="163"/>
        <v>1370975.9609176856</v>
      </c>
      <c r="H550" s="1">
        <f t="shared" si="159"/>
        <v>10932.354837008905</v>
      </c>
      <c r="I550" s="1">
        <v>0</v>
      </c>
      <c r="J550" s="1">
        <v>0</v>
      </c>
      <c r="K550" s="1">
        <f t="shared" si="164"/>
        <v>-1381.9083157546947</v>
      </c>
      <c r="L550" s="1">
        <f t="shared" si="160"/>
        <v>1380526.4074389399</v>
      </c>
      <c r="N550" s="1">
        <f t="shared" si="165"/>
        <v>527</v>
      </c>
      <c r="O550" s="2">
        <f t="shared" si="172"/>
        <v>43</v>
      </c>
      <c r="P550" s="2">
        <f t="shared" si="173"/>
        <v>11</v>
      </c>
      <c r="Q550" s="2">
        <f t="shared" si="174"/>
        <v>43</v>
      </c>
      <c r="R550" s="1">
        <f t="shared" si="166"/>
        <v>47092885.623242013</v>
      </c>
      <c r="S550" s="1">
        <f>IF($G$17="si",S538*(1+$G$20),S538)</f>
        <v>10000</v>
      </c>
      <c r="U550" s="1">
        <f t="shared" si="175"/>
        <v>375605.02456632402</v>
      </c>
      <c r="V550" s="35">
        <f t="shared" si="158"/>
        <v>-411.51773939289876</v>
      </c>
      <c r="X550" s="35">
        <f t="shared" si="157"/>
        <v>-47478.490647808336</v>
      </c>
      <c r="Y550" s="1">
        <f t="shared" si="161"/>
        <v>47430600.639421135</v>
      </c>
      <c r="AA550" s="2">
        <f>+Bono!J550</f>
        <v>626903.40108240733</v>
      </c>
      <c r="AC550" s="10">
        <f t="shared" si="167"/>
        <v>43.916666666666664</v>
      </c>
      <c r="AD550" s="1">
        <f t="shared" si="168"/>
        <v>49438030.44794248</v>
      </c>
    </row>
    <row r="551" spans="2:30">
      <c r="B551" s="1">
        <f t="shared" si="162"/>
        <v>528</v>
      </c>
      <c r="C551" s="2">
        <f t="shared" si="169"/>
        <v>43</v>
      </c>
      <c r="D551" s="2">
        <f t="shared" si="170"/>
        <v>12</v>
      </c>
      <c r="E551" s="2">
        <f t="shared" si="171"/>
        <v>72</v>
      </c>
      <c r="F551" s="1">
        <f t="shared" si="163"/>
        <v>1380526.4074389399</v>
      </c>
      <c r="H551" s="1">
        <f t="shared" si="159"/>
        <v>11008.511438728121</v>
      </c>
      <c r="I551" s="1">
        <v>0</v>
      </c>
      <c r="J551" s="69">
        <f>-SUM(F551:H551)*$J$21</f>
        <v>-12523.814269899014</v>
      </c>
      <c r="K551" s="1">
        <f t="shared" si="164"/>
        <v>-1379.0111046077691</v>
      </c>
      <c r="L551" s="1">
        <f t="shared" si="160"/>
        <v>1377632.0935031613</v>
      </c>
      <c r="N551" s="1">
        <f t="shared" si="165"/>
        <v>528</v>
      </c>
      <c r="O551" s="2">
        <f t="shared" si="172"/>
        <v>43</v>
      </c>
      <c r="P551" s="2">
        <f t="shared" si="173"/>
        <v>12</v>
      </c>
      <c r="Q551" s="2">
        <f t="shared" si="174"/>
        <v>43</v>
      </c>
      <c r="R551" s="1">
        <f t="shared" si="166"/>
        <v>47430600.639421135</v>
      </c>
      <c r="S551" s="4">
        <f>IF($G$4="mensual",S550,0)</f>
        <v>10000</v>
      </c>
      <c r="U551" s="1">
        <f t="shared" si="175"/>
        <v>378298.01153028582</v>
      </c>
      <c r="V551" s="35">
        <f t="shared" si="158"/>
        <v>-411.51773939289876</v>
      </c>
      <c r="X551" s="35">
        <f t="shared" si="157"/>
        <v>-47818.898650951422</v>
      </c>
      <c r="Y551" s="1">
        <f t="shared" si="161"/>
        <v>47770668.234561078</v>
      </c>
      <c r="AA551" s="2">
        <f>+Bono!J551</f>
        <v>625107.47961617401</v>
      </c>
      <c r="AC551" s="10">
        <f t="shared" si="167"/>
        <v>44</v>
      </c>
      <c r="AD551" s="1">
        <f t="shared" si="168"/>
        <v>49773407.807680413</v>
      </c>
    </row>
    <row r="552" spans="2:30">
      <c r="B552" s="1">
        <f t="shared" si="162"/>
        <v>529</v>
      </c>
      <c r="C552" s="2">
        <f t="shared" si="169"/>
        <v>44</v>
      </c>
      <c r="D552" s="2">
        <f t="shared" si="170"/>
        <v>1</v>
      </c>
      <c r="E552" s="2">
        <f t="shared" si="171"/>
        <v>73</v>
      </c>
      <c r="F552" s="1">
        <f t="shared" si="163"/>
        <v>1377632.0935031613</v>
      </c>
      <c r="H552" s="1">
        <f t="shared" si="159"/>
        <v>10985.431772958889</v>
      </c>
      <c r="I552" s="1">
        <v>0</v>
      </c>
      <c r="J552" s="1">
        <v>0</v>
      </c>
      <c r="K552" s="1">
        <f t="shared" si="164"/>
        <v>-1388.6175252761202</v>
      </c>
      <c r="L552" s="1">
        <f t="shared" si="160"/>
        <v>1387228.9077508443</v>
      </c>
      <c r="N552" s="1">
        <f t="shared" si="165"/>
        <v>529</v>
      </c>
      <c r="O552" s="2">
        <f t="shared" si="172"/>
        <v>44</v>
      </c>
      <c r="P552" s="2">
        <f t="shared" si="173"/>
        <v>1</v>
      </c>
      <c r="Q552" s="2">
        <f t="shared" si="174"/>
        <v>44</v>
      </c>
      <c r="R552" s="1">
        <f t="shared" si="166"/>
        <v>47770668.234561078</v>
      </c>
      <c r="S552" s="1">
        <f>IF($G$17="si",S540*(1+$G$20),S540)</f>
        <v>10000</v>
      </c>
      <c r="U552" s="1">
        <f t="shared" si="175"/>
        <v>381009.75828925136</v>
      </c>
      <c r="V552" s="35">
        <f>(V551*(1+$G$18))</f>
        <v>-427.97844896861471</v>
      </c>
      <c r="X552" s="35">
        <f t="shared" si="157"/>
        <v>-48161.677992850324</v>
      </c>
      <c r="Y552" s="1">
        <f t="shared" si="161"/>
        <v>48113088.336408503</v>
      </c>
      <c r="AA552" s="2">
        <f>+Bono!J552</f>
        <v>628983.21849777398</v>
      </c>
      <c r="AC552" s="10">
        <f t="shared" si="167"/>
        <v>44.083333333333336</v>
      </c>
      <c r="AD552" s="1">
        <f t="shared" si="168"/>
        <v>50129300.462657124</v>
      </c>
    </row>
    <row r="553" spans="2:30">
      <c r="B553" s="1">
        <f t="shared" si="162"/>
        <v>530</v>
      </c>
      <c r="C553" s="2">
        <f t="shared" si="169"/>
        <v>44</v>
      </c>
      <c r="D553" s="2">
        <f t="shared" si="170"/>
        <v>2</v>
      </c>
      <c r="E553" s="2">
        <f t="shared" si="171"/>
        <v>73</v>
      </c>
      <c r="F553" s="1">
        <f t="shared" si="163"/>
        <v>1387228.9077508443</v>
      </c>
      <c r="H553" s="1">
        <f t="shared" si="159"/>
        <v>11061.958117440017</v>
      </c>
      <c r="I553" s="1">
        <v>0</v>
      </c>
      <c r="J553" s="1">
        <v>0</v>
      </c>
      <c r="K553" s="1">
        <f t="shared" si="164"/>
        <v>-1398.2908658682843</v>
      </c>
      <c r="L553" s="1">
        <f t="shared" si="160"/>
        <v>1396892.575002416</v>
      </c>
      <c r="N553" s="1">
        <f t="shared" si="165"/>
        <v>530</v>
      </c>
      <c r="O553" s="2">
        <f t="shared" si="172"/>
        <v>44</v>
      </c>
      <c r="P553" s="2">
        <f t="shared" si="173"/>
        <v>2</v>
      </c>
      <c r="Q553" s="2">
        <f t="shared" si="174"/>
        <v>44</v>
      </c>
      <c r="R553" s="1">
        <f t="shared" si="166"/>
        <v>48113088.336408503</v>
      </c>
      <c r="S553" s="4">
        <f>IF($G$4="mensual",S552,0)</f>
        <v>10000</v>
      </c>
      <c r="U553" s="1">
        <f t="shared" si="175"/>
        <v>383740.26426706224</v>
      </c>
      <c r="V553" s="35">
        <f t="shared" si="158"/>
        <v>-427.97844896861471</v>
      </c>
      <c r="X553" s="35">
        <f t="shared" si="157"/>
        <v>-48506.828600675566</v>
      </c>
      <c r="Y553" s="1">
        <f t="shared" si="161"/>
        <v>48457893.793625921</v>
      </c>
      <c r="AA553" s="2">
        <f>+Bono!J553</f>
        <v>632882.98740999785</v>
      </c>
      <c r="AC553" s="10">
        <f t="shared" si="167"/>
        <v>44.166666666666664</v>
      </c>
      <c r="AD553" s="1">
        <f t="shared" si="168"/>
        <v>50487669.356038339</v>
      </c>
    </row>
    <row r="554" spans="2:30">
      <c r="B554" s="1">
        <f t="shared" si="162"/>
        <v>531</v>
      </c>
      <c r="C554" s="2">
        <f t="shared" si="169"/>
        <v>44</v>
      </c>
      <c r="D554" s="2">
        <f t="shared" si="170"/>
        <v>3</v>
      </c>
      <c r="E554" s="2">
        <f t="shared" si="171"/>
        <v>73</v>
      </c>
      <c r="F554" s="1">
        <f t="shared" si="163"/>
        <v>1396892.575002416</v>
      </c>
      <c r="H554" s="1">
        <f t="shared" si="159"/>
        <v>11139.017557162249</v>
      </c>
      <c r="I554" s="1">
        <v>0</v>
      </c>
      <c r="J554" s="69">
        <f>-SUM(F554:H554)*$J$21</f>
        <v>-12672.284333036207</v>
      </c>
      <c r="K554" s="1">
        <f t="shared" si="164"/>
        <v>-1395.359308226542</v>
      </c>
      <c r="L554" s="1">
        <f t="shared" si="160"/>
        <v>1393963.9489183156</v>
      </c>
      <c r="N554" s="1">
        <f t="shared" si="165"/>
        <v>531</v>
      </c>
      <c r="O554" s="2">
        <f t="shared" si="172"/>
        <v>44</v>
      </c>
      <c r="P554" s="2">
        <f t="shared" si="173"/>
        <v>3</v>
      </c>
      <c r="Q554" s="2">
        <f t="shared" si="174"/>
        <v>44</v>
      </c>
      <c r="R554" s="1">
        <f t="shared" si="166"/>
        <v>48457893.793625921</v>
      </c>
      <c r="S554" s="4">
        <f>IF($G$4="mensual",S553,0)</f>
        <v>10000</v>
      </c>
      <c r="U554" s="1">
        <f t="shared" si="175"/>
        <v>386489.79140356631</v>
      </c>
      <c r="V554" s="35">
        <f t="shared" si="158"/>
        <v>-427.97844896861471</v>
      </c>
      <c r="X554" s="35">
        <f t="shared" si="157"/>
        <v>-48854.383585029493</v>
      </c>
      <c r="Y554" s="1">
        <f t="shared" si="161"/>
        <v>48805101.22299549</v>
      </c>
      <c r="AA554" s="2">
        <f>+Bono!J554</f>
        <v>631069.93592432875</v>
      </c>
      <c r="AC554" s="10">
        <f t="shared" si="167"/>
        <v>44.25</v>
      </c>
      <c r="AD554" s="1">
        <f t="shared" si="168"/>
        <v>50830135.107838131</v>
      </c>
    </row>
    <row r="555" spans="2:30">
      <c r="B555" s="1">
        <f t="shared" si="162"/>
        <v>532</v>
      </c>
      <c r="C555" s="2">
        <f t="shared" si="169"/>
        <v>44</v>
      </c>
      <c r="D555" s="2">
        <f t="shared" si="170"/>
        <v>4</v>
      </c>
      <c r="E555" s="2">
        <f t="shared" si="171"/>
        <v>73</v>
      </c>
      <c r="F555" s="1">
        <f t="shared" si="163"/>
        <v>1393963.9489183156</v>
      </c>
      <c r="H555" s="1">
        <f t="shared" si="159"/>
        <v>11115.664281503881</v>
      </c>
      <c r="I555" s="1">
        <v>0</v>
      </c>
      <c r="J555" s="1">
        <v>0</v>
      </c>
      <c r="K555" s="1">
        <f t="shared" si="164"/>
        <v>-1405.0796131998195</v>
      </c>
      <c r="L555" s="1">
        <f t="shared" si="160"/>
        <v>1403674.5335866197</v>
      </c>
      <c r="N555" s="1">
        <f t="shared" si="165"/>
        <v>532</v>
      </c>
      <c r="O555" s="2">
        <f t="shared" si="172"/>
        <v>44</v>
      </c>
      <c r="P555" s="2">
        <f t="shared" si="173"/>
        <v>4</v>
      </c>
      <c r="Q555" s="2">
        <f t="shared" si="174"/>
        <v>44</v>
      </c>
      <c r="R555" s="1">
        <f t="shared" si="166"/>
        <v>48805101.22299549</v>
      </c>
      <c r="S555" s="4">
        <f>IF($G$4="mensual",S552,IF($G$4="trimestral",S552,0))</f>
        <v>10000</v>
      </c>
      <c r="U555" s="1">
        <f t="shared" si="175"/>
        <v>389258.47220331791</v>
      </c>
      <c r="V555" s="35">
        <f t="shared" si="158"/>
        <v>-427.97844896861471</v>
      </c>
      <c r="X555" s="35">
        <f t="shared" ref="X555:X618" si="176">-SUM(R555:U555)*0.1%</f>
        <v>-49204.359695198807</v>
      </c>
      <c r="Y555" s="1">
        <f t="shared" si="161"/>
        <v>49154727.357054636</v>
      </c>
      <c r="AA555" s="2">
        <f>+Bono!J555</f>
        <v>634982.64272664138</v>
      </c>
      <c r="AC555" s="10">
        <f t="shared" si="167"/>
        <v>44.333333333333336</v>
      </c>
      <c r="AD555" s="1">
        <f t="shared" si="168"/>
        <v>51193384.533367902</v>
      </c>
    </row>
    <row r="556" spans="2:30">
      <c r="B556" s="1">
        <f t="shared" si="162"/>
        <v>533</v>
      </c>
      <c r="C556" s="2">
        <f t="shared" si="169"/>
        <v>44</v>
      </c>
      <c r="D556" s="2">
        <f t="shared" si="170"/>
        <v>5</v>
      </c>
      <c r="E556" s="2">
        <f t="shared" si="171"/>
        <v>73</v>
      </c>
      <c r="F556" s="1">
        <f t="shared" si="163"/>
        <v>1403674.5335866197</v>
      </c>
      <c r="H556" s="1">
        <f t="shared" si="159"/>
        <v>11193.097847295698</v>
      </c>
      <c r="I556" s="1">
        <v>0</v>
      </c>
      <c r="J556" s="1">
        <v>0</v>
      </c>
      <c r="K556" s="1">
        <f t="shared" si="164"/>
        <v>-1414.8676314339154</v>
      </c>
      <c r="L556" s="1">
        <f t="shared" si="160"/>
        <v>1413452.7638024813</v>
      </c>
      <c r="N556" s="1">
        <f t="shared" si="165"/>
        <v>533</v>
      </c>
      <c r="O556" s="2">
        <f t="shared" si="172"/>
        <v>44</v>
      </c>
      <c r="P556" s="2">
        <f t="shared" si="173"/>
        <v>5</v>
      </c>
      <c r="Q556" s="2">
        <f t="shared" si="174"/>
        <v>44</v>
      </c>
      <c r="R556" s="1">
        <f t="shared" si="166"/>
        <v>49154727.357054636</v>
      </c>
      <c r="S556" s="4">
        <f>IF($G$4="mensual",S555,0)</f>
        <v>10000</v>
      </c>
      <c r="U556" s="1">
        <f t="shared" si="175"/>
        <v>392046.44009392028</v>
      </c>
      <c r="V556" s="35">
        <f t="shared" si="158"/>
        <v>-427.97844896861471</v>
      </c>
      <c r="X556" s="35">
        <f t="shared" si="176"/>
        <v>-49556.773797148555</v>
      </c>
      <c r="Y556" s="1">
        <f t="shared" si="161"/>
        <v>49506789.044902436</v>
      </c>
      <c r="AA556" s="2">
        <f>+Bono!J556</f>
        <v>638919.60876497428</v>
      </c>
      <c r="AC556" s="10">
        <f t="shared" si="167"/>
        <v>44.416666666666664</v>
      </c>
      <c r="AD556" s="1">
        <f t="shared" si="168"/>
        <v>51559161.417469896</v>
      </c>
    </row>
    <row r="557" spans="2:30">
      <c r="B557" s="1">
        <f t="shared" si="162"/>
        <v>534</v>
      </c>
      <c r="C557" s="2">
        <f t="shared" si="169"/>
        <v>44</v>
      </c>
      <c r="D557" s="2">
        <f t="shared" si="170"/>
        <v>6</v>
      </c>
      <c r="E557" s="2">
        <f t="shared" si="171"/>
        <v>73</v>
      </c>
      <c r="F557" s="1">
        <f t="shared" si="163"/>
        <v>1413452.7638024813</v>
      </c>
      <c r="H557" s="1">
        <f t="shared" si="159"/>
        <v>11271.07082818313</v>
      </c>
      <c r="I557" s="1">
        <v>0</v>
      </c>
      <c r="J557" s="69">
        <f>-SUM(F557:H557)*$J$21</f>
        <v>-12822.514511675981</v>
      </c>
      <c r="K557" s="1">
        <f t="shared" si="164"/>
        <v>-1411.9013201189885</v>
      </c>
      <c r="L557" s="1">
        <f t="shared" si="160"/>
        <v>1410489.4187988695</v>
      </c>
      <c r="N557" s="1">
        <f t="shared" si="165"/>
        <v>534</v>
      </c>
      <c r="O557" s="2">
        <f t="shared" si="172"/>
        <v>44</v>
      </c>
      <c r="P557" s="2">
        <f t="shared" si="173"/>
        <v>6</v>
      </c>
      <c r="Q557" s="2">
        <f t="shared" si="174"/>
        <v>44</v>
      </c>
      <c r="R557" s="1">
        <f t="shared" si="166"/>
        <v>49506789.044902436</v>
      </c>
      <c r="S557" s="4">
        <f>IF($G$4="mensual",S556,0)</f>
        <v>10000</v>
      </c>
      <c r="U557" s="1">
        <f t="shared" si="175"/>
        <v>394853.82943245553</v>
      </c>
      <c r="V557" s="35">
        <f t="shared" si="158"/>
        <v>-427.97844896861471</v>
      </c>
      <c r="X557" s="35">
        <f t="shared" si="176"/>
        <v>-49911.642874334895</v>
      </c>
      <c r="Y557" s="1">
        <f t="shared" si="161"/>
        <v>49861303.253011584</v>
      </c>
      <c r="AA557" s="2">
        <f>+Bono!J557</f>
        <v>637089.26386877941</v>
      </c>
      <c r="AC557" s="10">
        <f t="shared" si="167"/>
        <v>44.5</v>
      </c>
      <c r="AD557" s="1">
        <f t="shared" si="168"/>
        <v>51908881.935679235</v>
      </c>
    </row>
    <row r="558" spans="2:30">
      <c r="B558" s="1">
        <f t="shared" si="162"/>
        <v>535</v>
      </c>
      <c r="C558" s="2">
        <f t="shared" si="169"/>
        <v>44</v>
      </c>
      <c r="D558" s="2">
        <f t="shared" si="170"/>
        <v>7</v>
      </c>
      <c r="E558" s="2">
        <f t="shared" si="171"/>
        <v>73</v>
      </c>
      <c r="F558" s="1">
        <f t="shared" si="163"/>
        <v>1410489.4187988695</v>
      </c>
      <c r="H558" s="1">
        <f t="shared" si="159"/>
        <v>11247.440698985038</v>
      </c>
      <c r="I558" s="1">
        <v>0</v>
      </c>
      <c r="J558" s="1">
        <v>0</v>
      </c>
      <c r="K558" s="1">
        <f t="shared" si="164"/>
        <v>-1421.7368594978545</v>
      </c>
      <c r="L558" s="1">
        <f t="shared" si="160"/>
        <v>1420315.1226383566</v>
      </c>
      <c r="N558" s="1">
        <f t="shared" si="165"/>
        <v>535</v>
      </c>
      <c r="O558" s="2">
        <f t="shared" si="172"/>
        <v>44</v>
      </c>
      <c r="P558" s="2">
        <f t="shared" si="173"/>
        <v>7</v>
      </c>
      <c r="Q558" s="2">
        <f t="shared" si="174"/>
        <v>44</v>
      </c>
      <c r="R558" s="1">
        <f t="shared" si="166"/>
        <v>49861303.253011584</v>
      </c>
      <c r="S558" s="1">
        <f>+IF($G$4="mensual",S552,IF($G$4="trimestral",S552,IF($G$4="semestral",S552,0)))</f>
        <v>10000</v>
      </c>
      <c r="U558" s="1">
        <f t="shared" si="175"/>
        <v>397680.77551195951</v>
      </c>
      <c r="V558" s="35">
        <f t="shared" si="158"/>
        <v>-427.97844896861471</v>
      </c>
      <c r="X558" s="35">
        <f t="shared" si="176"/>
        <v>-50268.98402852354</v>
      </c>
      <c r="Y558" s="1">
        <f t="shared" si="161"/>
        <v>50218287.066046044</v>
      </c>
      <c r="AA558" s="2">
        <f>+Bono!J558</f>
        <v>641039.29120254645</v>
      </c>
      <c r="AC558" s="10">
        <f t="shared" si="167"/>
        <v>44.583333333333336</v>
      </c>
      <c r="AD558" s="1">
        <f t="shared" si="168"/>
        <v>52279641.479886949</v>
      </c>
    </row>
    <row r="559" spans="2:30">
      <c r="B559" s="1">
        <f t="shared" si="162"/>
        <v>536</v>
      </c>
      <c r="C559" s="2">
        <f t="shared" si="169"/>
        <v>44</v>
      </c>
      <c r="D559" s="2">
        <f t="shared" si="170"/>
        <v>8</v>
      </c>
      <c r="E559" s="2">
        <f t="shared" si="171"/>
        <v>73</v>
      </c>
      <c r="F559" s="1">
        <f t="shared" si="163"/>
        <v>1420315.1226383566</v>
      </c>
      <c r="H559" s="1">
        <f t="shared" si="159"/>
        <v>11325.792241213927</v>
      </c>
      <c r="I559" s="1">
        <v>0</v>
      </c>
      <c r="J559" s="1">
        <v>0</v>
      </c>
      <c r="K559" s="1">
        <f t="shared" si="164"/>
        <v>-1431.6409148795706</v>
      </c>
      <c r="L559" s="1">
        <f t="shared" si="160"/>
        <v>1430209.273964691</v>
      </c>
      <c r="N559" s="1">
        <f t="shared" si="165"/>
        <v>536</v>
      </c>
      <c r="O559" s="2">
        <f t="shared" si="172"/>
        <v>44</v>
      </c>
      <c r="P559" s="2">
        <f t="shared" si="173"/>
        <v>8</v>
      </c>
      <c r="Q559" s="2">
        <f t="shared" si="174"/>
        <v>44</v>
      </c>
      <c r="R559" s="1">
        <f t="shared" si="166"/>
        <v>50218287.066046044</v>
      </c>
      <c r="S559" s="4">
        <f>IF($G$4="mensual",S558,0)</f>
        <v>10000</v>
      </c>
      <c r="U559" s="1">
        <f t="shared" si="175"/>
        <v>400527.4145679418</v>
      </c>
      <c r="V559" s="35">
        <f t="shared" si="158"/>
        <v>-427.97844896861471</v>
      </c>
      <c r="X559" s="35">
        <f t="shared" si="176"/>
        <v>-50628.814480613983</v>
      </c>
      <c r="Y559" s="1">
        <f t="shared" si="161"/>
        <v>50577757.687684394</v>
      </c>
      <c r="AA559" s="2">
        <f>+Bono!J559</f>
        <v>645013.80916395772</v>
      </c>
      <c r="AC559" s="10">
        <f t="shared" si="167"/>
        <v>44.666666666666664</v>
      </c>
      <c r="AD559" s="1">
        <f t="shared" si="168"/>
        <v>52652980.77081304</v>
      </c>
    </row>
    <row r="560" spans="2:30">
      <c r="B560" s="1">
        <f t="shared" si="162"/>
        <v>537</v>
      </c>
      <c r="C560" s="2">
        <f t="shared" si="169"/>
        <v>44</v>
      </c>
      <c r="D560" s="2">
        <f t="shared" si="170"/>
        <v>9</v>
      </c>
      <c r="E560" s="2">
        <f t="shared" si="171"/>
        <v>73</v>
      </c>
      <c r="F560" s="1">
        <f t="shared" si="163"/>
        <v>1430209.273964691</v>
      </c>
      <c r="H560" s="1">
        <f t="shared" si="159"/>
        <v>11404.689593314943</v>
      </c>
      <c r="I560" s="1">
        <v>0</v>
      </c>
      <c r="J560" s="69">
        <f>-SUM(F560:H560)*$J$21</f>
        <v>-12974.525672022055</v>
      </c>
      <c r="K560" s="1">
        <f t="shared" si="164"/>
        <v>-1428.6394378859839</v>
      </c>
      <c r="L560" s="1">
        <f t="shared" si="160"/>
        <v>1427210.7984480979</v>
      </c>
      <c r="N560" s="1">
        <f t="shared" si="165"/>
        <v>537</v>
      </c>
      <c r="O560" s="2">
        <f t="shared" si="172"/>
        <v>44</v>
      </c>
      <c r="P560" s="2">
        <f t="shared" si="173"/>
        <v>9</v>
      </c>
      <c r="Q560" s="2">
        <f t="shared" si="174"/>
        <v>44</v>
      </c>
      <c r="R560" s="1">
        <f t="shared" si="166"/>
        <v>50577757.687684394</v>
      </c>
      <c r="S560" s="4">
        <f>IF($G$4="mensual",S559,0)</f>
        <v>10000</v>
      </c>
      <c r="U560" s="1">
        <f t="shared" si="175"/>
        <v>403393.88378495135</v>
      </c>
      <c r="V560" s="35">
        <f t="shared" si="158"/>
        <v>-427.97844896861471</v>
      </c>
      <c r="X560" s="35">
        <f t="shared" si="176"/>
        <v>-50991.151571469345</v>
      </c>
      <c r="Y560" s="1">
        <f t="shared" si="161"/>
        <v>50939732.441448905</v>
      </c>
      <c r="AA560" s="2">
        <f>+Bono!J560</f>
        <v>643166.0059076756</v>
      </c>
      <c r="AC560" s="10">
        <f t="shared" si="167"/>
        <v>44.75</v>
      </c>
      <c r="AD560" s="1">
        <f t="shared" si="168"/>
        <v>53010109.245804682</v>
      </c>
    </row>
    <row r="561" spans="2:30">
      <c r="B561" s="1">
        <f t="shared" si="162"/>
        <v>538</v>
      </c>
      <c r="C561" s="2">
        <f t="shared" si="169"/>
        <v>44</v>
      </c>
      <c r="D561" s="2">
        <f t="shared" si="170"/>
        <v>10</v>
      </c>
      <c r="E561" s="2">
        <f t="shared" si="171"/>
        <v>73</v>
      </c>
      <c r="F561" s="1">
        <f t="shared" si="163"/>
        <v>1427210.7984480979</v>
      </c>
      <c r="H561" s="1">
        <f t="shared" si="159"/>
        <v>11380.779328473</v>
      </c>
      <c r="I561" s="1">
        <v>0</v>
      </c>
      <c r="J561" s="1">
        <v>0</v>
      </c>
      <c r="K561" s="1">
        <f t="shared" si="164"/>
        <v>-1438.5915777765708</v>
      </c>
      <c r="L561" s="1">
        <f t="shared" si="160"/>
        <v>1437152.9861987943</v>
      </c>
      <c r="N561" s="1">
        <f t="shared" si="165"/>
        <v>538</v>
      </c>
      <c r="O561" s="2">
        <f t="shared" si="172"/>
        <v>44</v>
      </c>
      <c r="P561" s="2">
        <f t="shared" si="173"/>
        <v>10</v>
      </c>
      <c r="Q561" s="2">
        <f t="shared" si="174"/>
        <v>44</v>
      </c>
      <c r="R561" s="1">
        <f t="shared" si="166"/>
        <v>50939732.441448905</v>
      </c>
      <c r="S561" s="4">
        <f>IF($G$4="mensual",S552,IF($G$4="trimestral",S552,0))</f>
        <v>10000</v>
      </c>
      <c r="U561" s="1">
        <f t="shared" si="175"/>
        <v>406280.3213031874</v>
      </c>
      <c r="V561" s="35">
        <f t="shared" ref="V561:V623" si="177">V560</f>
        <v>-427.97844896861471</v>
      </c>
      <c r="X561" s="35">
        <f t="shared" si="176"/>
        <v>-51356.012762752092</v>
      </c>
      <c r="Y561" s="1">
        <f t="shared" si="161"/>
        <v>51304228.771540366</v>
      </c>
      <c r="AA561" s="2">
        <f>+Bono!J561</f>
        <v>647153.70974694227</v>
      </c>
      <c r="AC561" s="10">
        <f t="shared" si="167"/>
        <v>44.833333333333336</v>
      </c>
      <c r="AD561" s="1">
        <f t="shared" si="168"/>
        <v>53388535.467486106</v>
      </c>
    </row>
    <row r="562" spans="2:30">
      <c r="B562" s="1">
        <f t="shared" si="162"/>
        <v>539</v>
      </c>
      <c r="C562" s="2">
        <f t="shared" si="169"/>
        <v>44</v>
      </c>
      <c r="D562" s="2">
        <f t="shared" si="170"/>
        <v>11</v>
      </c>
      <c r="E562" s="2">
        <f t="shared" si="171"/>
        <v>73</v>
      </c>
      <c r="F562" s="1">
        <f t="shared" si="163"/>
        <v>1437152.9861987943</v>
      </c>
      <c r="H562" s="1">
        <f t="shared" si="159"/>
        <v>11460.059729767579</v>
      </c>
      <c r="I562" s="1">
        <v>0</v>
      </c>
      <c r="J562" s="1">
        <v>0</v>
      </c>
      <c r="K562" s="1">
        <f t="shared" si="164"/>
        <v>-1448.6130459285619</v>
      </c>
      <c r="L562" s="1">
        <f t="shared" si="160"/>
        <v>1447164.4328826333</v>
      </c>
      <c r="N562" s="1">
        <f t="shared" si="165"/>
        <v>539</v>
      </c>
      <c r="O562" s="2">
        <f t="shared" si="172"/>
        <v>44</v>
      </c>
      <c r="P562" s="2">
        <f t="shared" si="173"/>
        <v>11</v>
      </c>
      <c r="Q562" s="2">
        <f t="shared" si="174"/>
        <v>44</v>
      </c>
      <c r="R562" s="1">
        <f t="shared" si="166"/>
        <v>51304228.771540366</v>
      </c>
      <c r="S562" s="1">
        <f>IF($G$17="si",S550*(1+$G$20),S550)</f>
        <v>10000</v>
      </c>
      <c r="U562" s="1">
        <f t="shared" si="175"/>
        <v>409186.86622515676</v>
      </c>
      <c r="V562" s="35">
        <f t="shared" si="177"/>
        <v>-427.97844896861471</v>
      </c>
      <c r="X562" s="35">
        <f t="shared" si="176"/>
        <v>-51723.415637765524</v>
      </c>
      <c r="Y562" s="1">
        <f t="shared" si="161"/>
        <v>51671264.243678778</v>
      </c>
      <c r="AA562" s="2">
        <f>+Bono!J562</f>
        <v>651166.13781255751</v>
      </c>
      <c r="AC562" s="10">
        <f t="shared" si="167"/>
        <v>44.916666666666664</v>
      </c>
      <c r="AD562" s="1">
        <f t="shared" si="168"/>
        <v>53769594.81437397</v>
      </c>
    </row>
    <row r="563" spans="2:30">
      <c r="B563" s="1">
        <f t="shared" si="162"/>
        <v>540</v>
      </c>
      <c r="C563" s="2">
        <f t="shared" si="169"/>
        <v>44</v>
      </c>
      <c r="D563" s="2">
        <f t="shared" si="170"/>
        <v>12</v>
      </c>
      <c r="E563" s="2">
        <f t="shared" si="171"/>
        <v>73</v>
      </c>
      <c r="F563" s="1">
        <f t="shared" si="163"/>
        <v>1447164.4328826333</v>
      </c>
      <c r="H563" s="1">
        <f t="shared" si="159"/>
        <v>11539.892411520994</v>
      </c>
      <c r="I563" s="1">
        <v>0</v>
      </c>
      <c r="J563" s="69">
        <f>-SUM(F563:H563)*$J$21</f>
        <v>-13128.33892764739</v>
      </c>
      <c r="K563" s="1">
        <f t="shared" si="164"/>
        <v>-1445.5759863665069</v>
      </c>
      <c r="L563" s="1">
        <f t="shared" si="160"/>
        <v>1444130.4103801404</v>
      </c>
      <c r="N563" s="1">
        <f t="shared" si="165"/>
        <v>540</v>
      </c>
      <c r="O563" s="2">
        <f t="shared" si="172"/>
        <v>44</v>
      </c>
      <c r="P563" s="2">
        <f t="shared" si="173"/>
        <v>12</v>
      </c>
      <c r="Q563" s="2">
        <f t="shared" si="174"/>
        <v>44</v>
      </c>
      <c r="R563" s="1">
        <f t="shared" si="166"/>
        <v>51671264.243678778</v>
      </c>
      <c r="S563" s="4">
        <f>IF($G$4="mensual",S562,0)</f>
        <v>10000</v>
      </c>
      <c r="U563" s="1">
        <f t="shared" si="175"/>
        <v>412113.65862237749</v>
      </c>
      <c r="V563" s="35">
        <f t="shared" si="177"/>
        <v>-427.97844896861471</v>
      </c>
      <c r="X563" s="35">
        <f t="shared" si="176"/>
        <v>-52093.377902301159</v>
      </c>
      <c r="Y563" s="1">
        <f t="shared" si="161"/>
        <v>52040856.545949884</v>
      </c>
      <c r="AA563" s="2">
        <f>+Bono!J563</f>
        <v>649300.70967328979</v>
      </c>
      <c r="AC563" s="10">
        <f t="shared" si="167"/>
        <v>45</v>
      </c>
      <c r="AD563" s="1">
        <f t="shared" si="168"/>
        <v>54134287.666003317</v>
      </c>
    </row>
    <row r="564" spans="2:30">
      <c r="B564" s="1">
        <f t="shared" si="162"/>
        <v>541</v>
      </c>
      <c r="C564" s="2">
        <f t="shared" si="169"/>
        <v>45</v>
      </c>
      <c r="D564" s="2">
        <f t="shared" si="170"/>
        <v>1</v>
      </c>
      <c r="E564" s="2">
        <f t="shared" si="171"/>
        <v>74</v>
      </c>
      <c r="F564" s="1">
        <f t="shared" si="163"/>
        <v>1444130.4103801404</v>
      </c>
      <c r="H564" s="1">
        <f t="shared" si="159"/>
        <v>11515.698690021662</v>
      </c>
      <c r="I564" s="1">
        <v>0</v>
      </c>
      <c r="J564" s="1">
        <v>0</v>
      </c>
      <c r="K564" s="1">
        <f t="shared" si="164"/>
        <v>-1455.6461090701621</v>
      </c>
      <c r="L564" s="1">
        <f t="shared" si="160"/>
        <v>1454190.4629610919</v>
      </c>
      <c r="N564" s="1">
        <f t="shared" si="165"/>
        <v>541</v>
      </c>
      <c r="O564" s="2">
        <f t="shared" si="172"/>
        <v>45</v>
      </c>
      <c r="P564" s="2">
        <f t="shared" si="173"/>
        <v>1</v>
      </c>
      <c r="Q564" s="2">
        <f t="shared" si="174"/>
        <v>45</v>
      </c>
      <c r="R564" s="1">
        <f t="shared" si="166"/>
        <v>52040856.545949884</v>
      </c>
      <c r="S564" s="1">
        <f>IF($G$17="si",S552*(1+$G$20),S552)</f>
        <v>10000</v>
      </c>
      <c r="U564" s="1">
        <f t="shared" si="175"/>
        <v>415060.83954212914</v>
      </c>
      <c r="V564" s="35">
        <f>(V563*(1+$G$18))</f>
        <v>-445.09758692735932</v>
      </c>
      <c r="X564" s="35">
        <f t="shared" si="176"/>
        <v>-52465.917385492015</v>
      </c>
      <c r="Y564" s="1">
        <f t="shared" si="161"/>
        <v>52413006.370519593</v>
      </c>
      <c r="AA564" s="2">
        <f>+Bono!J564</f>
        <v>653326.44938748481</v>
      </c>
      <c r="AC564" s="10">
        <f t="shared" si="167"/>
        <v>45.083333333333336</v>
      </c>
      <c r="AD564" s="1">
        <f t="shared" si="168"/>
        <v>54520523.282868169</v>
      </c>
    </row>
    <row r="565" spans="2:30">
      <c r="B565" s="1">
        <f t="shared" si="162"/>
        <v>542</v>
      </c>
      <c r="C565" s="2">
        <f t="shared" si="169"/>
        <v>45</v>
      </c>
      <c r="D565" s="2">
        <f t="shared" si="170"/>
        <v>2</v>
      </c>
      <c r="E565" s="2">
        <f t="shared" si="171"/>
        <v>74</v>
      </c>
      <c r="F565" s="1">
        <f t="shared" si="163"/>
        <v>1454190.4629610919</v>
      </c>
      <c r="H565" s="1">
        <f t="shared" si="159"/>
        <v>11595.918962024325</v>
      </c>
      <c r="I565" s="1">
        <v>0</v>
      </c>
      <c r="J565" s="1">
        <v>0</v>
      </c>
      <c r="K565" s="1">
        <f t="shared" si="164"/>
        <v>-1465.7863819231163</v>
      </c>
      <c r="L565" s="1">
        <f t="shared" si="160"/>
        <v>1464320.5955411931</v>
      </c>
      <c r="N565" s="1">
        <f t="shared" si="165"/>
        <v>542</v>
      </c>
      <c r="O565" s="2">
        <f t="shared" si="172"/>
        <v>45</v>
      </c>
      <c r="P565" s="2">
        <f t="shared" si="173"/>
        <v>2</v>
      </c>
      <c r="Q565" s="2">
        <f t="shared" si="174"/>
        <v>45</v>
      </c>
      <c r="R565" s="1">
        <f t="shared" si="166"/>
        <v>52413006.370519593</v>
      </c>
      <c r="S565" s="4">
        <f>IF($G$4="mensual",S564,0)</f>
        <v>10000</v>
      </c>
      <c r="U565" s="1">
        <f t="shared" si="175"/>
        <v>418028.41450383986</v>
      </c>
      <c r="V565" s="35">
        <f t="shared" si="177"/>
        <v>-445.09758692735932</v>
      </c>
      <c r="X565" s="35">
        <f t="shared" si="176"/>
        <v>-52841.034785023439</v>
      </c>
      <c r="Y565" s="1">
        <f t="shared" si="161"/>
        <v>52787748.652651481</v>
      </c>
      <c r="AA565" s="2">
        <f>+Bono!J565</f>
        <v>657377.14915486483</v>
      </c>
      <c r="AC565" s="10">
        <f t="shared" si="167"/>
        <v>45.166666666666664</v>
      </c>
      <c r="AD565" s="1">
        <f t="shared" si="168"/>
        <v>54909446.39734754</v>
      </c>
    </row>
    <row r="566" spans="2:30">
      <c r="B566" s="1">
        <f t="shared" si="162"/>
        <v>543</v>
      </c>
      <c r="C566" s="2">
        <f t="shared" si="169"/>
        <v>45</v>
      </c>
      <c r="D566" s="2">
        <f t="shared" si="170"/>
        <v>3</v>
      </c>
      <c r="E566" s="2">
        <f t="shared" si="171"/>
        <v>74</v>
      </c>
      <c r="F566" s="1">
        <f t="shared" si="163"/>
        <v>1464320.5955411931</v>
      </c>
      <c r="H566" s="1">
        <f t="shared" si="159"/>
        <v>11676.698061781466</v>
      </c>
      <c r="I566" s="1">
        <v>0</v>
      </c>
      <c r="J566" s="69">
        <f>-SUM(F566:H566)*$J$21</f>
        <v>-13283.975642426773</v>
      </c>
      <c r="K566" s="1">
        <f t="shared" si="164"/>
        <v>-1462.7133179605478</v>
      </c>
      <c r="L566" s="1">
        <f t="shared" si="160"/>
        <v>1461250.6046425872</v>
      </c>
      <c r="N566" s="1">
        <f t="shared" si="165"/>
        <v>543</v>
      </c>
      <c r="O566" s="2">
        <f t="shared" si="172"/>
        <v>45</v>
      </c>
      <c r="P566" s="2">
        <f t="shared" si="173"/>
        <v>3</v>
      </c>
      <c r="Q566" s="2">
        <f t="shared" si="174"/>
        <v>45</v>
      </c>
      <c r="R566" s="1">
        <f t="shared" si="166"/>
        <v>52787748.652651481</v>
      </c>
      <c r="S566" s="4">
        <f>IF($G$4="mensual",S565,0)</f>
        <v>10000</v>
      </c>
      <c r="U566" s="1">
        <f t="shared" si="175"/>
        <v>421016.66208620742</v>
      </c>
      <c r="V566" s="35">
        <f t="shared" si="177"/>
        <v>-445.09758692735932</v>
      </c>
      <c r="X566" s="35">
        <f t="shared" si="176"/>
        <v>-53218.765314737691</v>
      </c>
      <c r="Y566" s="1">
        <f t="shared" si="161"/>
        <v>53165101.451836027</v>
      </c>
      <c r="AA566" s="2">
        <f>+Bono!J566</f>
        <v>655493.9280213695</v>
      </c>
      <c r="AC566" s="10">
        <f t="shared" si="167"/>
        <v>45.25</v>
      </c>
      <c r="AD566" s="1">
        <f t="shared" si="168"/>
        <v>55281845.984499983</v>
      </c>
    </row>
    <row r="567" spans="2:30">
      <c r="B567" s="1">
        <f t="shared" si="162"/>
        <v>544</v>
      </c>
      <c r="C567" s="2">
        <f t="shared" si="169"/>
        <v>45</v>
      </c>
      <c r="D567" s="2">
        <f t="shared" si="170"/>
        <v>4</v>
      </c>
      <c r="E567" s="2">
        <f t="shared" si="171"/>
        <v>74</v>
      </c>
      <c r="F567" s="1">
        <f t="shared" si="163"/>
        <v>1461250.6046425872</v>
      </c>
      <c r="H567" s="1">
        <f t="shared" si="159"/>
        <v>11652.217523240526</v>
      </c>
      <c r="I567" s="1">
        <v>0</v>
      </c>
      <c r="J567" s="1">
        <v>0</v>
      </c>
      <c r="K567" s="1">
        <f t="shared" si="164"/>
        <v>-1472.9028221658277</v>
      </c>
      <c r="L567" s="1">
        <f t="shared" si="160"/>
        <v>1471429.919343662</v>
      </c>
      <c r="N567" s="1">
        <f t="shared" si="165"/>
        <v>544</v>
      </c>
      <c r="O567" s="2">
        <f t="shared" si="172"/>
        <v>45</v>
      </c>
      <c r="P567" s="2">
        <f t="shared" si="173"/>
        <v>4</v>
      </c>
      <c r="Q567" s="2">
        <f t="shared" si="174"/>
        <v>45</v>
      </c>
      <c r="R567" s="1">
        <f t="shared" si="166"/>
        <v>53165101.451836027</v>
      </c>
      <c r="S567" s="4">
        <f>IF($G$4="mensual",S564,IF($G$4="trimestral",S564,0))</f>
        <v>10000</v>
      </c>
      <c r="U567" s="1">
        <f t="shared" si="175"/>
        <v>424025.7262981449</v>
      </c>
      <c r="V567" s="35">
        <f t="shared" si="177"/>
        <v>-445.09758692735932</v>
      </c>
      <c r="X567" s="35">
        <f t="shared" si="176"/>
        <v>-53599.127178134171</v>
      </c>
      <c r="Y567" s="1">
        <f t="shared" si="161"/>
        <v>53545082.953369111</v>
      </c>
      <c r="AA567" s="2">
        <f>+Bono!J567</f>
        <v>659558.06640769157</v>
      </c>
      <c r="AC567" s="10">
        <f t="shared" si="167"/>
        <v>45.333333333333336</v>
      </c>
      <c r="AD567" s="1">
        <f t="shared" si="168"/>
        <v>55676070.939120464</v>
      </c>
    </row>
    <row r="568" spans="2:30">
      <c r="B568" s="1">
        <f t="shared" si="162"/>
        <v>545</v>
      </c>
      <c r="C568" s="2">
        <f t="shared" si="169"/>
        <v>45</v>
      </c>
      <c r="D568" s="2">
        <f t="shared" si="170"/>
        <v>5</v>
      </c>
      <c r="E568" s="2">
        <f t="shared" si="171"/>
        <v>74</v>
      </c>
      <c r="F568" s="1">
        <f t="shared" si="163"/>
        <v>1471429.919343662</v>
      </c>
      <c r="H568" s="1">
        <f t="shared" si="159"/>
        <v>11733.3888081369</v>
      </c>
      <c r="I568" s="1">
        <v>0</v>
      </c>
      <c r="J568" s="1">
        <v>0</v>
      </c>
      <c r="K568" s="1">
        <f t="shared" si="164"/>
        <v>-1483.1633081517989</v>
      </c>
      <c r="L568" s="1">
        <f t="shared" si="160"/>
        <v>1481680.144843647</v>
      </c>
      <c r="N568" s="1">
        <f t="shared" si="165"/>
        <v>545</v>
      </c>
      <c r="O568" s="2">
        <f t="shared" si="172"/>
        <v>45</v>
      </c>
      <c r="P568" s="2">
        <f t="shared" si="173"/>
        <v>5</v>
      </c>
      <c r="Q568" s="2">
        <f t="shared" si="174"/>
        <v>45</v>
      </c>
      <c r="R568" s="1">
        <f t="shared" si="166"/>
        <v>53545082.953369111</v>
      </c>
      <c r="S568" s="4">
        <f>IF($G$4="mensual",S567,0)</f>
        <v>10000</v>
      </c>
      <c r="U568" s="1">
        <f t="shared" si="175"/>
        <v>427055.75215175544</v>
      </c>
      <c r="V568" s="35">
        <f t="shared" si="177"/>
        <v>-445.09758692735932</v>
      </c>
      <c r="X568" s="35">
        <f t="shared" si="176"/>
        <v>-53982.138705520869</v>
      </c>
      <c r="Y568" s="1">
        <f t="shared" si="161"/>
        <v>53927711.469228417</v>
      </c>
      <c r="AA568" s="2">
        <f>+Bono!J568</f>
        <v>663647.40292341972</v>
      </c>
      <c r="AC568" s="10">
        <f t="shared" si="167"/>
        <v>45.416666666666664</v>
      </c>
      <c r="AD568" s="1">
        <f t="shared" si="168"/>
        <v>56073039.016995482</v>
      </c>
    </row>
    <row r="569" spans="2:30">
      <c r="B569" s="1">
        <f t="shared" si="162"/>
        <v>546</v>
      </c>
      <c r="C569" s="2">
        <f t="shared" si="169"/>
        <v>45</v>
      </c>
      <c r="D569" s="2">
        <f t="shared" si="170"/>
        <v>6</v>
      </c>
      <c r="E569" s="2">
        <f t="shared" si="171"/>
        <v>74</v>
      </c>
      <c r="F569" s="1">
        <f t="shared" si="163"/>
        <v>1481680.144843647</v>
      </c>
      <c r="H569" s="1">
        <f t="shared" si="159"/>
        <v>11815.125545701711</v>
      </c>
      <c r="I569" s="1">
        <v>0</v>
      </c>
      <c r="J569" s="69">
        <f>-SUM(F569:H569)*$J$21</f>
        <v>-13441.45743350414</v>
      </c>
      <c r="K569" s="1">
        <f t="shared" si="164"/>
        <v>-1480.0538129558447</v>
      </c>
      <c r="L569" s="1">
        <f t="shared" si="160"/>
        <v>1478573.7591428889</v>
      </c>
      <c r="N569" s="1">
        <f t="shared" si="165"/>
        <v>546</v>
      </c>
      <c r="O569" s="2">
        <f t="shared" si="172"/>
        <v>45</v>
      </c>
      <c r="P569" s="2">
        <f t="shared" si="173"/>
        <v>6</v>
      </c>
      <c r="Q569" s="2">
        <f t="shared" si="174"/>
        <v>45</v>
      </c>
      <c r="R569" s="1">
        <f t="shared" si="166"/>
        <v>53927711.469228417</v>
      </c>
      <c r="S569" s="4">
        <f>IF($G$4="mensual",S568,0)</f>
        <v>10000</v>
      </c>
      <c r="U569" s="1">
        <f t="shared" si="175"/>
        <v>430106.88566932059</v>
      </c>
      <c r="V569" s="35">
        <f t="shared" si="177"/>
        <v>-445.09758692735932</v>
      </c>
      <c r="X569" s="35">
        <f t="shared" si="176"/>
        <v>-54367.818354897739</v>
      </c>
      <c r="Y569" s="1">
        <f t="shared" si="161"/>
        <v>54313005.438955911</v>
      </c>
      <c r="AA569" s="2">
        <f>+Bono!J569</f>
        <v>661746.21908096119</v>
      </c>
      <c r="AC569" s="10">
        <f t="shared" si="167"/>
        <v>45.5</v>
      </c>
      <c r="AD569" s="1">
        <f t="shared" si="168"/>
        <v>56453325.417179763</v>
      </c>
    </row>
    <row r="570" spans="2:30">
      <c r="B570" s="1">
        <f t="shared" si="162"/>
        <v>547</v>
      </c>
      <c r="C570" s="2">
        <f t="shared" si="169"/>
        <v>45</v>
      </c>
      <c r="D570" s="2">
        <f t="shared" si="170"/>
        <v>7</v>
      </c>
      <c r="E570" s="2">
        <f t="shared" si="171"/>
        <v>74</v>
      </c>
      <c r="F570" s="1">
        <f t="shared" si="163"/>
        <v>1478573.7591428889</v>
      </c>
      <c r="H570" s="1">
        <f t="shared" si="159"/>
        <v>11790.354789897527</v>
      </c>
      <c r="I570" s="1">
        <v>0</v>
      </c>
      <c r="J570" s="1">
        <v>0</v>
      </c>
      <c r="K570" s="1">
        <f t="shared" si="164"/>
        <v>-1490.3641139327865</v>
      </c>
      <c r="L570" s="1">
        <f t="shared" si="160"/>
        <v>1488873.7498188538</v>
      </c>
      <c r="N570" s="1">
        <f t="shared" si="165"/>
        <v>547</v>
      </c>
      <c r="O570" s="2">
        <f t="shared" si="172"/>
        <v>45</v>
      </c>
      <c r="P570" s="2">
        <f t="shared" si="173"/>
        <v>7</v>
      </c>
      <c r="Q570" s="2">
        <f t="shared" si="174"/>
        <v>45</v>
      </c>
      <c r="R570" s="1">
        <f t="shared" si="166"/>
        <v>54313005.438955911</v>
      </c>
      <c r="S570" s="1">
        <f>+IF($G$4="mensual",S564,IF($G$4="trimestral",S564,IF($G$4="semestral",S564,0)))</f>
        <v>10000</v>
      </c>
      <c r="U570" s="1">
        <f t="shared" si="175"/>
        <v>433179.27389033738</v>
      </c>
      <c r="V570" s="35">
        <f t="shared" si="177"/>
        <v>-445.09758692735932</v>
      </c>
      <c r="X570" s="35">
        <f t="shared" si="176"/>
        <v>-54756.184712846254</v>
      </c>
      <c r="Y570" s="1">
        <f t="shared" si="161"/>
        <v>54700983.43054647</v>
      </c>
      <c r="AA570" s="2">
        <f>+Bono!J570</f>
        <v>665849.12239707354</v>
      </c>
      <c r="AC570" s="10">
        <f t="shared" si="167"/>
        <v>45.583333333333336</v>
      </c>
      <c r="AD570" s="1">
        <f t="shared" si="168"/>
        <v>56855706.302762397</v>
      </c>
    </row>
    <row r="571" spans="2:30">
      <c r="B571" s="1">
        <f t="shared" si="162"/>
        <v>548</v>
      </c>
      <c r="C571" s="2">
        <f t="shared" si="169"/>
        <v>45</v>
      </c>
      <c r="D571" s="2">
        <f t="shared" si="170"/>
        <v>8</v>
      </c>
      <c r="E571" s="2">
        <f t="shared" si="171"/>
        <v>74</v>
      </c>
      <c r="F571" s="1">
        <f t="shared" si="163"/>
        <v>1488873.7498188538</v>
      </c>
      <c r="H571" s="1">
        <f t="shared" si="159"/>
        <v>11872.488361964071</v>
      </c>
      <c r="I571" s="1">
        <v>0</v>
      </c>
      <c r="J571" s="1">
        <v>0</v>
      </c>
      <c r="K571" s="1">
        <f t="shared" si="164"/>
        <v>-1500.7462381808177</v>
      </c>
      <c r="L571" s="1">
        <f t="shared" si="160"/>
        <v>1499245.4919426369</v>
      </c>
      <c r="N571" s="1">
        <f t="shared" si="165"/>
        <v>548</v>
      </c>
      <c r="O571" s="2">
        <f t="shared" si="172"/>
        <v>45</v>
      </c>
      <c r="P571" s="2">
        <f t="shared" si="173"/>
        <v>8</v>
      </c>
      <c r="Q571" s="2">
        <f t="shared" si="174"/>
        <v>45</v>
      </c>
      <c r="R571" s="1">
        <f t="shared" si="166"/>
        <v>54700983.43054647</v>
      </c>
      <c r="S571" s="4">
        <f>IF($G$4="mensual",S570,0)</f>
        <v>10000</v>
      </c>
      <c r="U571" s="1">
        <f t="shared" si="175"/>
        <v>436273.06487860455</v>
      </c>
      <c r="V571" s="35">
        <f t="shared" si="177"/>
        <v>-445.09758692735932</v>
      </c>
      <c r="X571" s="35">
        <f t="shared" si="176"/>
        <v>-55147.256495425077</v>
      </c>
      <c r="Y571" s="1">
        <f t="shared" si="161"/>
        <v>55091664.141342722</v>
      </c>
      <c r="AA571" s="2">
        <f>+Bono!J571</f>
        <v>669977.46418965317</v>
      </c>
      <c r="AC571" s="10">
        <f t="shared" si="167"/>
        <v>45.666666666666664</v>
      </c>
      <c r="AD571" s="1">
        <f t="shared" si="168"/>
        <v>57260887.097475015</v>
      </c>
    </row>
    <row r="572" spans="2:30">
      <c r="B572" s="1">
        <f t="shared" si="162"/>
        <v>549</v>
      </c>
      <c r="C572" s="2">
        <f t="shared" si="169"/>
        <v>45</v>
      </c>
      <c r="D572" s="2">
        <f t="shared" si="170"/>
        <v>9</v>
      </c>
      <c r="E572" s="2">
        <f t="shared" si="171"/>
        <v>74</v>
      </c>
      <c r="F572" s="1">
        <f t="shared" si="163"/>
        <v>1499245.4919426369</v>
      </c>
      <c r="H572" s="1">
        <f t="shared" si="159"/>
        <v>11955.194090151494</v>
      </c>
      <c r="I572" s="1">
        <v>0</v>
      </c>
      <c r="J572" s="69">
        <f>-SUM(F572:H572)*$J$21</f>
        <v>-13600.806174295098</v>
      </c>
      <c r="K572" s="1">
        <f t="shared" si="164"/>
        <v>-1497.5998798584933</v>
      </c>
      <c r="L572" s="1">
        <f t="shared" si="160"/>
        <v>1496102.2799786348</v>
      </c>
      <c r="N572" s="1">
        <f t="shared" si="165"/>
        <v>549</v>
      </c>
      <c r="O572" s="2">
        <f t="shared" si="172"/>
        <v>45</v>
      </c>
      <c r="P572" s="2">
        <f t="shared" si="173"/>
        <v>9</v>
      </c>
      <c r="Q572" s="2">
        <f t="shared" si="174"/>
        <v>45</v>
      </c>
      <c r="R572" s="1">
        <f t="shared" si="166"/>
        <v>55091664.141342722</v>
      </c>
      <c r="S572" s="4">
        <f>IF($G$4="mensual",S571,0)</f>
        <v>10000</v>
      </c>
      <c r="U572" s="1">
        <f t="shared" si="175"/>
        <v>439388.40772935783</v>
      </c>
      <c r="V572" s="35">
        <f t="shared" si="177"/>
        <v>-445.09758692735932</v>
      </c>
      <c r="X572" s="35">
        <f t="shared" si="176"/>
        <v>-55541.052549072083</v>
      </c>
      <c r="Y572" s="1">
        <f t="shared" si="161"/>
        <v>55485066.398936078</v>
      </c>
      <c r="AA572" s="2">
        <f>+Bono!J572</f>
        <v>668058.14630470739</v>
      </c>
      <c r="AC572" s="10">
        <f t="shared" si="167"/>
        <v>45.75</v>
      </c>
      <c r="AD572" s="1">
        <f t="shared" si="168"/>
        <v>57649226.825219415</v>
      </c>
    </row>
    <row r="573" spans="2:30">
      <c r="B573" s="1">
        <f t="shared" si="162"/>
        <v>550</v>
      </c>
      <c r="C573" s="2">
        <f t="shared" si="169"/>
        <v>45</v>
      </c>
      <c r="D573" s="2">
        <f t="shared" si="170"/>
        <v>10</v>
      </c>
      <c r="E573" s="2">
        <f t="shared" si="171"/>
        <v>74</v>
      </c>
      <c r="F573" s="1">
        <f t="shared" si="163"/>
        <v>1496102.2799786348</v>
      </c>
      <c r="H573" s="1">
        <f t="shared" si="159"/>
        <v>11930.129676552731</v>
      </c>
      <c r="I573" s="1">
        <v>0</v>
      </c>
      <c r="J573" s="1">
        <v>0</v>
      </c>
      <c r="K573" s="1">
        <f t="shared" si="164"/>
        <v>-1508.0324096551876</v>
      </c>
      <c r="L573" s="1">
        <f t="shared" si="160"/>
        <v>1506524.3772455323</v>
      </c>
      <c r="N573" s="1">
        <f t="shared" si="165"/>
        <v>550</v>
      </c>
      <c r="O573" s="2">
        <f t="shared" si="172"/>
        <v>45</v>
      </c>
      <c r="P573" s="2">
        <f t="shared" si="173"/>
        <v>10</v>
      </c>
      <c r="Q573" s="2">
        <f t="shared" si="174"/>
        <v>45</v>
      </c>
      <c r="R573" s="1">
        <f t="shared" si="166"/>
        <v>55485066.398936078</v>
      </c>
      <c r="S573" s="4">
        <f>IF($G$4="mensual",S564,IF($G$4="trimestral",S564,0))</f>
        <v>10000</v>
      </c>
      <c r="U573" s="1">
        <f t="shared" si="175"/>
        <v>442525.45257645502</v>
      </c>
      <c r="V573" s="35">
        <f t="shared" si="177"/>
        <v>-445.09758692735932</v>
      </c>
      <c r="X573" s="35">
        <f t="shared" si="176"/>
        <v>-55937.591851512538</v>
      </c>
      <c r="Y573" s="1">
        <f t="shared" si="161"/>
        <v>55881209.162074097</v>
      </c>
      <c r="AA573" s="2">
        <f>+Bono!J573</f>
        <v>672200.18430174526</v>
      </c>
      <c r="AC573" s="10">
        <f t="shared" si="167"/>
        <v>45.833333333333336</v>
      </c>
      <c r="AD573" s="1">
        <f t="shared" si="168"/>
        <v>58059933.723621376</v>
      </c>
    </row>
    <row r="574" spans="2:30">
      <c r="B574" s="1">
        <f t="shared" si="162"/>
        <v>551</v>
      </c>
      <c r="C574" s="2">
        <f t="shared" si="169"/>
        <v>45</v>
      </c>
      <c r="D574" s="2">
        <f t="shared" si="170"/>
        <v>11</v>
      </c>
      <c r="E574" s="2">
        <f t="shared" si="171"/>
        <v>74</v>
      </c>
      <c r="F574" s="1">
        <f t="shared" si="163"/>
        <v>1506524.3772455323</v>
      </c>
      <c r="H574" s="1">
        <f t="shared" si="159"/>
        <v>12013.236943722666</v>
      </c>
      <c r="I574" s="1">
        <v>0</v>
      </c>
      <c r="J574" s="1">
        <v>0</v>
      </c>
      <c r="K574" s="1">
        <f t="shared" si="164"/>
        <v>-1518.537614189255</v>
      </c>
      <c r="L574" s="1">
        <f t="shared" si="160"/>
        <v>1517019.0765750657</v>
      </c>
      <c r="N574" s="1">
        <f t="shared" si="165"/>
        <v>551</v>
      </c>
      <c r="O574" s="2">
        <f t="shared" si="172"/>
        <v>45</v>
      </c>
      <c r="P574" s="2">
        <f t="shared" si="173"/>
        <v>11</v>
      </c>
      <c r="Q574" s="2">
        <f t="shared" si="174"/>
        <v>45</v>
      </c>
      <c r="R574" s="1">
        <f t="shared" si="166"/>
        <v>55881209.162074097</v>
      </c>
      <c r="S574" s="1">
        <f>IF($G$17="si",S562*(1+$G$20),S562)</f>
        <v>10000</v>
      </c>
      <c r="U574" s="1">
        <f t="shared" si="175"/>
        <v>445684.35059961153</v>
      </c>
      <c r="V574" s="35">
        <f t="shared" si="177"/>
        <v>-445.09758692735932</v>
      </c>
      <c r="X574" s="35">
        <f t="shared" si="176"/>
        <v>-56336.893512673705</v>
      </c>
      <c r="Y574" s="1">
        <f t="shared" si="161"/>
        <v>56280111.521574102</v>
      </c>
      <c r="AA574" s="2">
        <f>+Bono!J574</f>
        <v>676367.90341481147</v>
      </c>
      <c r="AC574" s="10">
        <f t="shared" si="167"/>
        <v>45.916666666666664</v>
      </c>
      <c r="AD574" s="1">
        <f t="shared" si="168"/>
        <v>58473498.501563974</v>
      </c>
    </row>
    <row r="575" spans="2:30">
      <c r="B575" s="1">
        <f t="shared" si="162"/>
        <v>552</v>
      </c>
      <c r="C575" s="2">
        <f t="shared" si="169"/>
        <v>45</v>
      </c>
      <c r="D575" s="2">
        <f t="shared" si="170"/>
        <v>12</v>
      </c>
      <c r="E575" s="2">
        <f t="shared" si="171"/>
        <v>74</v>
      </c>
      <c r="F575" s="1">
        <f t="shared" si="163"/>
        <v>1517019.0765750657</v>
      </c>
      <c r="H575" s="1">
        <f t="shared" si="159"/>
        <v>12096.923149935486</v>
      </c>
      <c r="I575" s="1">
        <v>0</v>
      </c>
      <c r="J575" s="69">
        <f>-SUM(F575:H575)*$J$21</f>
        <v>-13762.043997525012</v>
      </c>
      <c r="K575" s="1">
        <f t="shared" si="164"/>
        <v>-1515.3539557274762</v>
      </c>
      <c r="L575" s="1">
        <f t="shared" si="160"/>
        <v>1513838.6017717486</v>
      </c>
      <c r="N575" s="1">
        <f t="shared" si="165"/>
        <v>552</v>
      </c>
      <c r="O575" s="2">
        <f t="shared" si="172"/>
        <v>45</v>
      </c>
      <c r="P575" s="2">
        <f t="shared" si="173"/>
        <v>12</v>
      </c>
      <c r="Q575" s="2">
        <f t="shared" si="174"/>
        <v>45</v>
      </c>
      <c r="R575" s="1">
        <f t="shared" si="166"/>
        <v>56280111.521574102</v>
      </c>
      <c r="S575" s="4">
        <f>IF($G$4="mensual",S574,0)</f>
        <v>10000</v>
      </c>
      <c r="U575" s="1">
        <f t="shared" si="175"/>
        <v>448865.25403168565</v>
      </c>
      <c r="V575" s="35">
        <f t="shared" si="177"/>
        <v>-445.09758692735932</v>
      </c>
      <c r="X575" s="35">
        <f t="shared" si="176"/>
        <v>-56738.976775605792</v>
      </c>
      <c r="Y575" s="1">
        <f t="shared" si="161"/>
        <v>56681792.701243252</v>
      </c>
      <c r="AA575" s="2">
        <f>+Bono!J575</f>
        <v>674430.27851962566</v>
      </c>
      <c r="AC575" s="10">
        <f t="shared" si="167"/>
        <v>46</v>
      </c>
      <c r="AD575" s="1">
        <f t="shared" si="168"/>
        <v>58870061.581534624</v>
      </c>
    </row>
    <row r="576" spans="2:30">
      <c r="B576" s="1">
        <f t="shared" si="162"/>
        <v>553</v>
      </c>
      <c r="C576" s="2">
        <f t="shared" si="169"/>
        <v>46</v>
      </c>
      <c r="D576" s="2">
        <f t="shared" si="170"/>
        <v>1</v>
      </c>
      <c r="E576" s="2">
        <f t="shared" si="171"/>
        <v>75</v>
      </c>
      <c r="F576" s="1">
        <f t="shared" si="163"/>
        <v>1513838.6017717486</v>
      </c>
      <c r="H576" s="1">
        <f t="shared" si="159"/>
        <v>12071.561597223246</v>
      </c>
      <c r="I576" s="1">
        <v>0</v>
      </c>
      <c r="J576" s="1">
        <v>0</v>
      </c>
      <c r="K576" s="1">
        <f t="shared" si="164"/>
        <v>-1525.9101633689718</v>
      </c>
      <c r="L576" s="1">
        <f t="shared" si="160"/>
        <v>1524384.2532056028</v>
      </c>
      <c r="N576" s="1">
        <f t="shared" si="165"/>
        <v>553</v>
      </c>
      <c r="O576" s="2">
        <f t="shared" si="172"/>
        <v>46</v>
      </c>
      <c r="P576" s="2">
        <f t="shared" si="173"/>
        <v>1</v>
      </c>
      <c r="Q576" s="2">
        <f t="shared" si="174"/>
        <v>46</v>
      </c>
      <c r="R576" s="1">
        <f t="shared" si="166"/>
        <v>56681792.701243252</v>
      </c>
      <c r="S576" s="1">
        <f>IF($G$17="si",S564*(1+$G$20),S564)</f>
        <v>10000</v>
      </c>
      <c r="U576" s="1">
        <f t="shared" si="175"/>
        <v>452068.31616601517</v>
      </c>
      <c r="V576" s="35">
        <f>(V575*(1+$G$18))</f>
        <v>-462.90149040445368</v>
      </c>
      <c r="X576" s="35">
        <f t="shared" si="176"/>
        <v>-57143.861017409268</v>
      </c>
      <c r="Y576" s="1">
        <f t="shared" si="161"/>
        <v>57086254.254901454</v>
      </c>
      <c r="AA576" s="2">
        <f>+Bono!J576</f>
        <v>678611.82447551761</v>
      </c>
      <c r="AC576" s="10">
        <f t="shared" si="167"/>
        <v>46.083333333333336</v>
      </c>
      <c r="AD576" s="1">
        <f t="shared" si="168"/>
        <v>59289250.332582578</v>
      </c>
    </row>
    <row r="577" spans="2:30">
      <c r="B577" s="1">
        <f t="shared" si="162"/>
        <v>554</v>
      </c>
      <c r="C577" s="2">
        <f t="shared" si="169"/>
        <v>46</v>
      </c>
      <c r="D577" s="2">
        <f t="shared" si="170"/>
        <v>2</v>
      </c>
      <c r="E577" s="2">
        <f t="shared" si="171"/>
        <v>75</v>
      </c>
      <c r="F577" s="1">
        <f t="shared" si="163"/>
        <v>1524384.2532056028</v>
      </c>
      <c r="H577" s="1">
        <f t="shared" si="159"/>
        <v>12155.654102671069</v>
      </c>
      <c r="I577" s="1">
        <v>0</v>
      </c>
      <c r="J577" s="1">
        <v>0</v>
      </c>
      <c r="K577" s="1">
        <f t="shared" si="164"/>
        <v>-1536.5399073082738</v>
      </c>
      <c r="L577" s="1">
        <f t="shared" si="160"/>
        <v>1535003.3674009654</v>
      </c>
      <c r="N577" s="1">
        <f t="shared" si="165"/>
        <v>554</v>
      </c>
      <c r="O577" s="2">
        <f t="shared" si="172"/>
        <v>46</v>
      </c>
      <c r="P577" s="2">
        <f t="shared" si="173"/>
        <v>2</v>
      </c>
      <c r="Q577" s="2">
        <f t="shared" si="174"/>
        <v>46</v>
      </c>
      <c r="R577" s="1">
        <f t="shared" si="166"/>
        <v>57086254.254901454</v>
      </c>
      <c r="S577" s="4">
        <f>IF($G$4="mensual",S576,0)</f>
        <v>10000</v>
      </c>
      <c r="U577" s="1">
        <f t="shared" si="175"/>
        <v>455293.54939297825</v>
      </c>
      <c r="V577" s="35">
        <f t="shared" si="177"/>
        <v>-462.90149040445368</v>
      </c>
      <c r="X577" s="35">
        <f t="shared" si="176"/>
        <v>-57551.547804294431</v>
      </c>
      <c r="Y577" s="1">
        <f t="shared" si="161"/>
        <v>57493533.354999729</v>
      </c>
      <c r="AA577" s="2">
        <f>+Bono!J577</f>
        <v>682819.29650136537</v>
      </c>
      <c r="AC577" s="10">
        <f t="shared" si="167"/>
        <v>46.166666666666664</v>
      </c>
      <c r="AD577" s="1">
        <f t="shared" si="168"/>
        <v>59711356.018902063</v>
      </c>
    </row>
    <row r="578" spans="2:30">
      <c r="B578" s="1">
        <f t="shared" si="162"/>
        <v>555</v>
      </c>
      <c r="C578" s="2">
        <f t="shared" si="169"/>
        <v>46</v>
      </c>
      <c r="D578" s="2">
        <f t="shared" si="170"/>
        <v>3</v>
      </c>
      <c r="E578" s="2">
        <f t="shared" si="171"/>
        <v>75</v>
      </c>
      <c r="F578" s="1">
        <f t="shared" si="163"/>
        <v>1535003.3674009654</v>
      </c>
      <c r="H578" s="1">
        <f t="shared" si="159"/>
        <v>12240.332410495457</v>
      </c>
      <c r="I578" s="1">
        <v>0</v>
      </c>
      <c r="J578" s="69">
        <f>-SUM(F578:H578)*$J$21</f>
        <v>-13925.193298303149</v>
      </c>
      <c r="K578" s="1">
        <f t="shared" si="164"/>
        <v>-1533.3185065131579</v>
      </c>
      <c r="L578" s="1">
        <f t="shared" si="160"/>
        <v>1531785.1880066446</v>
      </c>
      <c r="N578" s="1">
        <f t="shared" si="165"/>
        <v>555</v>
      </c>
      <c r="O578" s="2">
        <f t="shared" si="172"/>
        <v>46</v>
      </c>
      <c r="P578" s="2">
        <f t="shared" si="173"/>
        <v>3</v>
      </c>
      <c r="Q578" s="2">
        <f t="shared" si="174"/>
        <v>46</v>
      </c>
      <c r="R578" s="1">
        <f t="shared" si="166"/>
        <v>57493533.354999729</v>
      </c>
      <c r="S578" s="4">
        <f>IF($G$4="mensual",S577,0)</f>
        <v>10000</v>
      </c>
      <c r="U578" s="1">
        <f t="shared" si="175"/>
        <v>458541.25013091945</v>
      </c>
      <c r="V578" s="35">
        <f t="shared" si="177"/>
        <v>-462.90149040445368</v>
      </c>
      <c r="X578" s="35">
        <f t="shared" si="176"/>
        <v>-57962.074605130649</v>
      </c>
      <c r="Y578" s="1">
        <f t="shared" si="161"/>
        <v>57903649.629035115</v>
      </c>
      <c r="AA578" s="2">
        <f>+Bono!J578</f>
        <v>680863.18997837033</v>
      </c>
      <c r="AC578" s="10">
        <f t="shared" si="167"/>
        <v>46.25</v>
      </c>
      <c r="AD578" s="1">
        <f t="shared" si="168"/>
        <v>60116298.007020131</v>
      </c>
    </row>
    <row r="579" spans="2:30">
      <c r="B579" s="1">
        <f t="shared" si="162"/>
        <v>556</v>
      </c>
      <c r="C579" s="2">
        <f t="shared" si="169"/>
        <v>46</v>
      </c>
      <c r="D579" s="2">
        <f t="shared" si="170"/>
        <v>4</v>
      </c>
      <c r="E579" s="2">
        <f t="shared" si="171"/>
        <v>75</v>
      </c>
      <c r="F579" s="1">
        <f t="shared" si="163"/>
        <v>1531785.1880066446</v>
      </c>
      <c r="H579" s="1">
        <f t="shared" si="159"/>
        <v>12214.670196079738</v>
      </c>
      <c r="I579" s="1">
        <v>0</v>
      </c>
      <c r="J579" s="1">
        <v>0</v>
      </c>
      <c r="K579" s="1">
        <f t="shared" si="164"/>
        <v>-1543.9998582027242</v>
      </c>
      <c r="L579" s="1">
        <f t="shared" si="160"/>
        <v>1542455.8583445216</v>
      </c>
      <c r="N579" s="1">
        <f t="shared" si="165"/>
        <v>556</v>
      </c>
      <c r="O579" s="2">
        <f t="shared" si="172"/>
        <v>46</v>
      </c>
      <c r="P579" s="2">
        <f t="shared" si="173"/>
        <v>4</v>
      </c>
      <c r="Q579" s="2">
        <f t="shared" si="174"/>
        <v>46</v>
      </c>
      <c r="R579" s="1">
        <f t="shared" si="166"/>
        <v>57903649.629035115</v>
      </c>
      <c r="S579" s="4">
        <f>IF($G$4="mensual",S576,IF($G$4="trimestral",S576,0))</f>
        <v>10000</v>
      </c>
      <c r="U579" s="1">
        <f t="shared" si="175"/>
        <v>461811.57489225641</v>
      </c>
      <c r="V579" s="35">
        <f t="shared" si="177"/>
        <v>-462.90149040445368</v>
      </c>
      <c r="X579" s="35">
        <f t="shared" si="176"/>
        <v>-58375.461203927371</v>
      </c>
      <c r="Y579" s="1">
        <f t="shared" si="161"/>
        <v>58316622.841233037</v>
      </c>
      <c r="AA579" s="2">
        <f>+Bono!J579</f>
        <v>685084.62073147809</v>
      </c>
      <c r="AC579" s="10">
        <f t="shared" si="167"/>
        <v>46.333333333333336</v>
      </c>
      <c r="AD579" s="1">
        <f t="shared" si="168"/>
        <v>60544163.320309043</v>
      </c>
    </row>
    <row r="580" spans="2:30">
      <c r="B580" s="1">
        <f t="shared" si="162"/>
        <v>557</v>
      </c>
      <c r="C580" s="2">
        <f t="shared" si="169"/>
        <v>46</v>
      </c>
      <c r="D580" s="2">
        <f t="shared" si="170"/>
        <v>5</v>
      </c>
      <c r="E580" s="2">
        <f t="shared" si="171"/>
        <v>75</v>
      </c>
      <c r="F580" s="1">
        <f t="shared" si="163"/>
        <v>1542455.8583445216</v>
      </c>
      <c r="H580" s="1">
        <f t="shared" si="159"/>
        <v>12299.759619824508</v>
      </c>
      <c r="I580" s="1">
        <v>0</v>
      </c>
      <c r="J580" s="1">
        <v>0</v>
      </c>
      <c r="K580" s="1">
        <f t="shared" si="164"/>
        <v>-1554.7556179643461</v>
      </c>
      <c r="L580" s="1">
        <f t="shared" si="160"/>
        <v>1553200.8623463819</v>
      </c>
      <c r="N580" s="1">
        <f t="shared" si="165"/>
        <v>557</v>
      </c>
      <c r="O580" s="2">
        <f t="shared" si="172"/>
        <v>46</v>
      </c>
      <c r="P580" s="2">
        <f t="shared" si="173"/>
        <v>5</v>
      </c>
      <c r="Q580" s="2">
        <f t="shared" si="174"/>
        <v>46</v>
      </c>
      <c r="R580" s="1">
        <f t="shared" si="166"/>
        <v>58316622.841233037</v>
      </c>
      <c r="S580" s="4">
        <f>IF($G$4="mensual",S579,0)</f>
        <v>10000</v>
      </c>
      <c r="U580" s="1">
        <f t="shared" si="175"/>
        <v>465104.6812796981</v>
      </c>
      <c r="V580" s="35">
        <f t="shared" si="177"/>
        <v>-462.90149040445368</v>
      </c>
      <c r="X580" s="35">
        <f t="shared" si="176"/>
        <v>-58791.727522512738</v>
      </c>
      <c r="Y580" s="1">
        <f t="shared" si="161"/>
        <v>58732472.893499814</v>
      </c>
      <c r="AA580" s="2">
        <f>+Bono!J580</f>
        <v>689332.22484491079</v>
      </c>
      <c r="AC580" s="10">
        <f t="shared" si="167"/>
        <v>46.416666666666664</v>
      </c>
      <c r="AD580" s="1">
        <f t="shared" si="168"/>
        <v>60975005.980691105</v>
      </c>
    </row>
    <row r="581" spans="2:30">
      <c r="B581" s="1">
        <f t="shared" si="162"/>
        <v>558</v>
      </c>
      <c r="C581" s="2">
        <f t="shared" si="169"/>
        <v>46</v>
      </c>
      <c r="D581" s="2">
        <f t="shared" si="170"/>
        <v>6</v>
      </c>
      <c r="E581" s="2">
        <f t="shared" si="171"/>
        <v>75</v>
      </c>
      <c r="F581" s="1">
        <f t="shared" si="163"/>
        <v>1553200.8623463819</v>
      </c>
      <c r="H581" s="1">
        <f t="shared" si="159"/>
        <v>12385.441790644474</v>
      </c>
      <c r="I581" s="1">
        <v>0</v>
      </c>
      <c r="J581" s="69">
        <f>-SUM(F581:H581)*$J$21</f>
        <v>-14090.27673723324</v>
      </c>
      <c r="K581" s="1">
        <f t="shared" si="164"/>
        <v>-1551.4960273997933</v>
      </c>
      <c r="L581" s="1">
        <f t="shared" si="160"/>
        <v>1549944.5313723935</v>
      </c>
      <c r="N581" s="1">
        <f t="shared" si="165"/>
        <v>558</v>
      </c>
      <c r="O581" s="2">
        <f t="shared" si="172"/>
        <v>46</v>
      </c>
      <c r="P581" s="2">
        <f t="shared" si="173"/>
        <v>6</v>
      </c>
      <c r="Q581" s="2">
        <f t="shared" si="174"/>
        <v>46</v>
      </c>
      <c r="R581" s="1">
        <f t="shared" si="166"/>
        <v>58732472.893499814</v>
      </c>
      <c r="S581" s="4">
        <f>IF($G$4="mensual",S580,0)</f>
        <v>10000</v>
      </c>
      <c r="U581" s="1">
        <f t="shared" si="175"/>
        <v>468420.72799384035</v>
      </c>
      <c r="V581" s="35">
        <f t="shared" si="177"/>
        <v>-462.90149040445368</v>
      </c>
      <c r="X581" s="35">
        <f t="shared" si="176"/>
        <v>-59210.893621493655</v>
      </c>
      <c r="Y581" s="1">
        <f t="shared" si="161"/>
        <v>59151219.82638175</v>
      </c>
      <c r="AA581" s="2">
        <f>+Bono!J581</f>
        <v>687357.46041098388</v>
      </c>
      <c r="AC581" s="10">
        <f t="shared" si="167"/>
        <v>46.5</v>
      </c>
      <c r="AD581" s="1">
        <f t="shared" si="168"/>
        <v>61388521.818165123</v>
      </c>
    </row>
    <row r="582" spans="2:30">
      <c r="B582" s="1">
        <f t="shared" si="162"/>
        <v>559</v>
      </c>
      <c r="C582" s="2">
        <f t="shared" si="169"/>
        <v>46</v>
      </c>
      <c r="D582" s="2">
        <f t="shared" si="170"/>
        <v>7</v>
      </c>
      <c r="E582" s="2">
        <f t="shared" si="171"/>
        <v>75</v>
      </c>
      <c r="F582" s="1">
        <f t="shared" si="163"/>
        <v>1549944.5313723935</v>
      </c>
      <c r="H582" s="1">
        <f t="shared" si="159"/>
        <v>12359.475350174902</v>
      </c>
      <c r="I582" s="1">
        <v>0</v>
      </c>
      <c r="J582" s="1">
        <v>0</v>
      </c>
      <c r="K582" s="1">
        <f t="shared" si="164"/>
        <v>-1562.3040067225684</v>
      </c>
      <c r="L582" s="1">
        <f t="shared" si="160"/>
        <v>1560741.7027158458</v>
      </c>
      <c r="N582" s="1">
        <f t="shared" si="165"/>
        <v>559</v>
      </c>
      <c r="O582" s="2">
        <f t="shared" si="172"/>
        <v>46</v>
      </c>
      <c r="P582" s="2">
        <f t="shared" si="173"/>
        <v>7</v>
      </c>
      <c r="Q582" s="2">
        <f t="shared" si="174"/>
        <v>46</v>
      </c>
      <c r="R582" s="1">
        <f t="shared" si="166"/>
        <v>59151219.82638175</v>
      </c>
      <c r="S582" s="1">
        <f>+IF($G$4="mensual",S576,IF($G$4="trimestral",S576,IF($G$4="semestral",S576,0)))</f>
        <v>10000</v>
      </c>
      <c r="U582" s="1">
        <f t="shared" si="175"/>
        <v>471759.87484081363</v>
      </c>
      <c r="V582" s="35">
        <f t="shared" si="177"/>
        <v>-462.90149040445368</v>
      </c>
      <c r="X582" s="35">
        <f t="shared" si="176"/>
        <v>-59632.979701222561</v>
      </c>
      <c r="Y582" s="1">
        <f t="shared" si="161"/>
        <v>59572883.820030935</v>
      </c>
      <c r="AA582" s="2">
        <f>+Bono!J582</f>
        <v>691619.15639406256</v>
      </c>
      <c r="AC582" s="10">
        <f t="shared" si="167"/>
        <v>46.583333333333336</v>
      </c>
      <c r="AD582" s="1">
        <f t="shared" si="168"/>
        <v>61825244.679140843</v>
      </c>
    </row>
    <row r="583" spans="2:30">
      <c r="B583" s="1">
        <f t="shared" si="162"/>
        <v>560</v>
      </c>
      <c r="C583" s="2">
        <f t="shared" si="169"/>
        <v>46</v>
      </c>
      <c r="D583" s="2">
        <f t="shared" si="170"/>
        <v>8</v>
      </c>
      <c r="E583" s="2">
        <f t="shared" si="171"/>
        <v>75</v>
      </c>
      <c r="F583" s="1">
        <f t="shared" si="163"/>
        <v>1560741.7027158458</v>
      </c>
      <c r="H583" s="1">
        <f t="shared" si="159"/>
        <v>12445.573510702527</v>
      </c>
      <c r="I583" s="1">
        <v>0</v>
      </c>
      <c r="J583" s="1">
        <v>0</v>
      </c>
      <c r="K583" s="1">
        <f t="shared" si="164"/>
        <v>-1573.1872762265482</v>
      </c>
      <c r="L583" s="1">
        <f t="shared" si="160"/>
        <v>1571614.0889503218</v>
      </c>
      <c r="N583" s="1">
        <f t="shared" si="165"/>
        <v>560</v>
      </c>
      <c r="O583" s="2">
        <f t="shared" si="172"/>
        <v>46</v>
      </c>
      <c r="P583" s="2">
        <f t="shared" si="173"/>
        <v>8</v>
      </c>
      <c r="Q583" s="2">
        <f t="shared" si="174"/>
        <v>46</v>
      </c>
      <c r="R583" s="1">
        <f t="shared" si="166"/>
        <v>59572883.820030935</v>
      </c>
      <c r="S583" s="4">
        <f>IF($G$4="mensual",S582,0)</f>
        <v>10000</v>
      </c>
      <c r="U583" s="1">
        <f t="shared" si="175"/>
        <v>475122.28273998463</v>
      </c>
      <c r="V583" s="35">
        <f t="shared" si="177"/>
        <v>-462.90149040445368</v>
      </c>
      <c r="X583" s="35">
        <f t="shared" si="176"/>
        <v>-60058.006102770916</v>
      </c>
      <c r="Y583" s="1">
        <f t="shared" si="161"/>
        <v>59997485.195177741</v>
      </c>
      <c r="AA583" s="2">
        <f>+Bono!J583</f>
        <v>695907.27538656245</v>
      </c>
      <c r="AC583" s="10">
        <f t="shared" si="167"/>
        <v>46.666666666666664</v>
      </c>
      <c r="AD583" s="1">
        <f t="shared" si="168"/>
        <v>62265006.559514627</v>
      </c>
    </row>
    <row r="584" spans="2:30">
      <c r="B584" s="1">
        <f t="shared" si="162"/>
        <v>561</v>
      </c>
      <c r="C584" s="2">
        <f t="shared" si="169"/>
        <v>46</v>
      </c>
      <c r="D584" s="2">
        <f t="shared" si="170"/>
        <v>9</v>
      </c>
      <c r="E584" s="2">
        <f t="shared" si="171"/>
        <v>75</v>
      </c>
      <c r="F584" s="1">
        <f t="shared" si="163"/>
        <v>1571614.0889503218</v>
      </c>
      <c r="H584" s="1">
        <f t="shared" si="159"/>
        <v>12532.271445333517</v>
      </c>
      <c r="I584" s="1">
        <v>0</v>
      </c>
      <c r="J584" s="69">
        <f>-SUM(F584:H584)*$J$21</f>
        <v>-14257.317243560899</v>
      </c>
      <c r="K584" s="1">
        <f t="shared" si="164"/>
        <v>-1569.8890431520945</v>
      </c>
      <c r="L584" s="1">
        <f t="shared" si="160"/>
        <v>1568319.1541089423</v>
      </c>
      <c r="N584" s="1">
        <f t="shared" si="165"/>
        <v>561</v>
      </c>
      <c r="O584" s="2">
        <f t="shared" si="172"/>
        <v>46</v>
      </c>
      <c r="P584" s="2">
        <f t="shared" si="173"/>
        <v>9</v>
      </c>
      <c r="Q584" s="2">
        <f t="shared" si="174"/>
        <v>46</v>
      </c>
      <c r="R584" s="1">
        <f t="shared" si="166"/>
        <v>59997485.195177741</v>
      </c>
      <c r="S584" s="4">
        <f>IF($G$4="mensual",S583,0)</f>
        <v>10000</v>
      </c>
      <c r="U584" s="1">
        <f t="shared" si="175"/>
        <v>478508.11373171094</v>
      </c>
      <c r="V584" s="35">
        <f t="shared" si="177"/>
        <v>-462.90149040445368</v>
      </c>
      <c r="X584" s="35">
        <f t="shared" si="176"/>
        <v>-60485.993308909456</v>
      </c>
      <c r="Y584" s="1">
        <f t="shared" si="161"/>
        <v>60425044.414110139</v>
      </c>
      <c r="AA584" s="2">
        <f>+Bono!J584</f>
        <v>693913.67507714196</v>
      </c>
      <c r="AC584" s="10">
        <f t="shared" si="167"/>
        <v>46.75</v>
      </c>
      <c r="AD584" s="1">
        <f t="shared" si="168"/>
        <v>62687277.243296221</v>
      </c>
    </row>
    <row r="585" spans="2:30">
      <c r="B585" s="1">
        <f t="shared" si="162"/>
        <v>562</v>
      </c>
      <c r="C585" s="2">
        <f t="shared" si="169"/>
        <v>46</v>
      </c>
      <c r="D585" s="2">
        <f t="shared" si="170"/>
        <v>10</v>
      </c>
      <c r="E585" s="2">
        <f t="shared" si="171"/>
        <v>75</v>
      </c>
      <c r="F585" s="1">
        <f t="shared" si="163"/>
        <v>1568319.1541089423</v>
      </c>
      <c r="H585" s="1">
        <f t="shared" si="159"/>
        <v>12505.99717220427</v>
      </c>
      <c r="I585" s="1">
        <v>0</v>
      </c>
      <c r="J585" s="1">
        <v>0</v>
      </c>
      <c r="K585" s="1">
        <f t="shared" si="164"/>
        <v>-1580.8251512811466</v>
      </c>
      <c r="L585" s="1">
        <f t="shared" si="160"/>
        <v>1579244.3261298654</v>
      </c>
      <c r="N585" s="1">
        <f t="shared" si="165"/>
        <v>562</v>
      </c>
      <c r="O585" s="2">
        <f t="shared" si="172"/>
        <v>46</v>
      </c>
      <c r="P585" s="2">
        <f t="shared" si="173"/>
        <v>10</v>
      </c>
      <c r="Q585" s="2">
        <f t="shared" si="174"/>
        <v>46</v>
      </c>
      <c r="R585" s="1">
        <f t="shared" si="166"/>
        <v>60425044.414110139</v>
      </c>
      <c r="S585" s="4">
        <f>IF($G$4="mensual",S576,IF($G$4="trimestral",S576,0))</f>
        <v>10000</v>
      </c>
      <c r="U585" s="1">
        <f t="shared" si="175"/>
        <v>481917.53098515025</v>
      </c>
      <c r="V585" s="35">
        <f t="shared" si="177"/>
        <v>-462.90149040445368</v>
      </c>
      <c r="X585" s="35">
        <f t="shared" si="176"/>
        <v>-60916.961945095289</v>
      </c>
      <c r="Y585" s="1">
        <f t="shared" si="161"/>
        <v>60855582.081659786</v>
      </c>
      <c r="AA585" s="2">
        <f>+Bono!J585</f>
        <v>698216.0203516247</v>
      </c>
      <c r="AC585" s="10">
        <f t="shared" si="167"/>
        <v>46.833333333333336</v>
      </c>
      <c r="AD585" s="1">
        <f t="shared" si="168"/>
        <v>63133042.428141281</v>
      </c>
    </row>
    <row r="586" spans="2:30">
      <c r="B586" s="1">
        <f t="shared" si="162"/>
        <v>563</v>
      </c>
      <c r="C586" s="2">
        <f t="shared" si="169"/>
        <v>46</v>
      </c>
      <c r="D586" s="2">
        <f t="shared" si="170"/>
        <v>11</v>
      </c>
      <c r="E586" s="2">
        <f t="shared" si="171"/>
        <v>75</v>
      </c>
      <c r="F586" s="1">
        <f t="shared" si="163"/>
        <v>1579244.3261298654</v>
      </c>
      <c r="H586" s="1">
        <f t="shared" si="159"/>
        <v>12593.116028109042</v>
      </c>
      <c r="I586" s="1">
        <v>0</v>
      </c>
      <c r="J586" s="1">
        <v>0</v>
      </c>
      <c r="K586" s="1">
        <f t="shared" si="164"/>
        <v>-1591.8374421579745</v>
      </c>
      <c r="L586" s="1">
        <f t="shared" si="160"/>
        <v>1590245.6047158164</v>
      </c>
      <c r="N586" s="1">
        <f t="shared" si="165"/>
        <v>563</v>
      </c>
      <c r="O586" s="2">
        <f t="shared" si="172"/>
        <v>46</v>
      </c>
      <c r="P586" s="2">
        <f t="shared" si="173"/>
        <v>11</v>
      </c>
      <c r="Q586" s="2">
        <f t="shared" si="174"/>
        <v>46</v>
      </c>
      <c r="R586" s="1">
        <f t="shared" si="166"/>
        <v>60855582.081659786</v>
      </c>
      <c r="S586" s="1">
        <f>IF($G$17="si",S574*(1+$G$20),S574)</f>
        <v>10000</v>
      </c>
      <c r="U586" s="1">
        <f t="shared" si="175"/>
        <v>485350.69880612387</v>
      </c>
      <c r="V586" s="35">
        <f t="shared" si="177"/>
        <v>-462.90149040445368</v>
      </c>
      <c r="X586" s="35">
        <f t="shared" si="176"/>
        <v>-61350.932780465911</v>
      </c>
      <c r="Y586" s="1">
        <f t="shared" si="161"/>
        <v>61289118.946195036</v>
      </c>
      <c r="AA586" s="2">
        <f>+Bono!J586</f>
        <v>702545.04066585028</v>
      </c>
      <c r="AC586" s="10">
        <f t="shared" si="167"/>
        <v>46.916666666666664</v>
      </c>
      <c r="AD586" s="1">
        <f t="shared" si="168"/>
        <v>63581909.591576703</v>
      </c>
    </row>
    <row r="587" spans="2:30">
      <c r="B587" s="1">
        <f t="shared" si="162"/>
        <v>564</v>
      </c>
      <c r="C587" s="2">
        <f t="shared" si="169"/>
        <v>46</v>
      </c>
      <c r="D587" s="2">
        <f t="shared" si="170"/>
        <v>12</v>
      </c>
      <c r="E587" s="2">
        <f t="shared" si="171"/>
        <v>75</v>
      </c>
      <c r="F587" s="1">
        <f t="shared" si="163"/>
        <v>1590245.6047158164</v>
      </c>
      <c r="H587" s="1">
        <f t="shared" si="159"/>
        <v>12680.841768450906</v>
      </c>
      <c r="I587" s="1">
        <v>0</v>
      </c>
      <c r="J587" s="69">
        <f>-SUM(F587:H587)*$J$21</f>
        <v>-14426.338018358407</v>
      </c>
      <c r="K587" s="1">
        <f t="shared" si="164"/>
        <v>-1588.5001084659089</v>
      </c>
      <c r="L587" s="1">
        <f t="shared" si="160"/>
        <v>1586911.6083574428</v>
      </c>
      <c r="N587" s="1">
        <f t="shared" si="165"/>
        <v>564</v>
      </c>
      <c r="O587" s="2">
        <f t="shared" si="172"/>
        <v>46</v>
      </c>
      <c r="P587" s="2">
        <f t="shared" si="173"/>
        <v>12</v>
      </c>
      <c r="Q587" s="2">
        <f t="shared" si="174"/>
        <v>46</v>
      </c>
      <c r="R587" s="1">
        <f t="shared" si="166"/>
        <v>61289118.946195036</v>
      </c>
      <c r="S587" s="4">
        <f>IF($G$4="mensual",S586,0)</f>
        <v>10000</v>
      </c>
      <c r="U587" s="1">
        <f t="shared" si="175"/>
        <v>488807.78264503455</v>
      </c>
      <c r="V587" s="35">
        <f t="shared" si="177"/>
        <v>-462.90149040445368</v>
      </c>
      <c r="X587" s="35">
        <f t="shared" si="176"/>
        <v>-61787.926728840066</v>
      </c>
      <c r="Y587" s="1">
        <f t="shared" si="161"/>
        <v>61725675.900620826</v>
      </c>
      <c r="AA587" s="2">
        <f>+Bono!J587</f>
        <v>700532.42481889669</v>
      </c>
      <c r="AC587" s="10">
        <f t="shared" si="167"/>
        <v>47</v>
      </c>
      <c r="AD587" s="1">
        <f t="shared" si="168"/>
        <v>64013119.933797166</v>
      </c>
    </row>
    <row r="588" spans="2:30">
      <c r="B588" s="1">
        <f t="shared" si="162"/>
        <v>565</v>
      </c>
      <c r="C588" s="2">
        <f t="shared" si="169"/>
        <v>47</v>
      </c>
      <c r="D588" s="2">
        <f t="shared" si="170"/>
        <v>1</v>
      </c>
      <c r="E588" s="2">
        <f t="shared" si="171"/>
        <v>76</v>
      </c>
      <c r="F588" s="1">
        <f t="shared" si="163"/>
        <v>1586911.6083574428</v>
      </c>
      <c r="H588" s="1">
        <f t="shared" si="159"/>
        <v>12654.256013299781</v>
      </c>
      <c r="I588" s="1">
        <v>0</v>
      </c>
      <c r="J588" s="1">
        <v>0</v>
      </c>
      <c r="K588" s="1">
        <f t="shared" si="164"/>
        <v>-1599.5658643707427</v>
      </c>
      <c r="L588" s="1">
        <f t="shared" si="160"/>
        <v>1597966.2985063719</v>
      </c>
      <c r="N588" s="1">
        <f t="shared" si="165"/>
        <v>565</v>
      </c>
      <c r="O588" s="2">
        <f t="shared" si="172"/>
        <v>47</v>
      </c>
      <c r="P588" s="2">
        <f t="shared" si="173"/>
        <v>1</v>
      </c>
      <c r="Q588" s="2">
        <f t="shared" si="174"/>
        <v>47</v>
      </c>
      <c r="R588" s="1">
        <f t="shared" si="166"/>
        <v>61725675.900620826</v>
      </c>
      <c r="S588" s="1">
        <f>IF($G$17="si",S576*(1+$G$20),S576)</f>
        <v>10000</v>
      </c>
      <c r="U588" s="1">
        <f t="shared" si="175"/>
        <v>492288.94910484034</v>
      </c>
      <c r="V588" s="35">
        <f>(V587*(1+$G$18))</f>
        <v>-481.41755002063184</v>
      </c>
      <c r="X588" s="35">
        <f t="shared" si="176"/>
        <v>-62227.964849725664</v>
      </c>
      <c r="Y588" s="1">
        <f t="shared" si="161"/>
        <v>62165255.467325918</v>
      </c>
      <c r="AA588" s="2">
        <f>+Bono!J588</f>
        <v>704875.80710950575</v>
      </c>
      <c r="AC588" s="10">
        <f t="shared" si="167"/>
        <v>47.083333333333336</v>
      </c>
      <c r="AD588" s="1">
        <f t="shared" si="168"/>
        <v>64468097.572941795</v>
      </c>
    </row>
    <row r="589" spans="2:30">
      <c r="B589" s="1">
        <f t="shared" si="162"/>
        <v>566</v>
      </c>
      <c r="C589" s="2">
        <f t="shared" si="169"/>
        <v>47</v>
      </c>
      <c r="D589" s="2">
        <f t="shared" si="170"/>
        <v>2</v>
      </c>
      <c r="E589" s="2">
        <f t="shared" si="171"/>
        <v>76</v>
      </c>
      <c r="F589" s="1">
        <f t="shared" si="163"/>
        <v>1597966.2985063719</v>
      </c>
      <c r="H589" s="1">
        <f t="shared" si="159"/>
        <v>12742.407664945362</v>
      </c>
      <c r="I589" s="1">
        <v>0</v>
      </c>
      <c r="J589" s="1">
        <v>0</v>
      </c>
      <c r="K589" s="1">
        <f t="shared" si="164"/>
        <v>-1610.7087061713173</v>
      </c>
      <c r="L589" s="1">
        <f t="shared" si="160"/>
        <v>1609097.997465146</v>
      </c>
      <c r="N589" s="1">
        <f t="shared" si="165"/>
        <v>566</v>
      </c>
      <c r="O589" s="2">
        <f t="shared" si="172"/>
        <v>47</v>
      </c>
      <c r="P589" s="2">
        <f t="shared" si="173"/>
        <v>2</v>
      </c>
      <c r="Q589" s="2">
        <f t="shared" si="174"/>
        <v>47</v>
      </c>
      <c r="R589" s="1">
        <f t="shared" si="166"/>
        <v>62165255.467325918</v>
      </c>
      <c r="S589" s="4">
        <f>IF($G$4="mensual",S588,0)</f>
        <v>10000</v>
      </c>
      <c r="U589" s="1">
        <f t="shared" si="175"/>
        <v>495794.2182994234</v>
      </c>
      <c r="V589" s="35">
        <f t="shared" si="177"/>
        <v>-481.41755002063184</v>
      </c>
      <c r="X589" s="35">
        <f t="shared" si="176"/>
        <v>-62671.049685625345</v>
      </c>
      <c r="Y589" s="1">
        <f t="shared" si="161"/>
        <v>62607897.218389697</v>
      </c>
      <c r="AA589" s="2">
        <f>+Bono!J589</f>
        <v>709246.11887411762</v>
      </c>
      <c r="AC589" s="10">
        <f t="shared" si="167"/>
        <v>47.166666666666664</v>
      </c>
      <c r="AD589" s="1">
        <f t="shared" si="168"/>
        <v>64926241.334728964</v>
      </c>
    </row>
    <row r="590" spans="2:30">
      <c r="B590" s="1">
        <f t="shared" si="162"/>
        <v>567</v>
      </c>
      <c r="C590" s="2">
        <f t="shared" si="169"/>
        <v>47</v>
      </c>
      <c r="D590" s="2">
        <f t="shared" si="170"/>
        <v>3</v>
      </c>
      <c r="E590" s="2">
        <f t="shared" si="171"/>
        <v>76</v>
      </c>
      <c r="F590" s="1">
        <f t="shared" si="163"/>
        <v>1609097.997465146</v>
      </c>
      <c r="H590" s="1">
        <f t="shared" si="159"/>
        <v>12831.173395654907</v>
      </c>
      <c r="I590" s="1">
        <v>0</v>
      </c>
      <c r="J590" s="69">
        <f>-SUM(F590:H590)*$J$21</f>
        <v>-14597.362537747209</v>
      </c>
      <c r="K590" s="1">
        <f t="shared" si="164"/>
        <v>-1607.3318083230536</v>
      </c>
      <c r="L590" s="1">
        <f t="shared" si="160"/>
        <v>1605724.4765147306</v>
      </c>
      <c r="N590" s="1">
        <f t="shared" si="165"/>
        <v>567</v>
      </c>
      <c r="O590" s="2">
        <f t="shared" si="172"/>
        <v>47</v>
      </c>
      <c r="P590" s="2">
        <f t="shared" si="173"/>
        <v>3</v>
      </c>
      <c r="Q590" s="2">
        <f t="shared" si="174"/>
        <v>47</v>
      </c>
      <c r="R590" s="1">
        <f t="shared" si="166"/>
        <v>62607897.218389697</v>
      </c>
      <c r="S590" s="4">
        <f>IF($G$4="mensual",S589,0)</f>
        <v>10000</v>
      </c>
      <c r="U590" s="1">
        <f t="shared" si="175"/>
        <v>499323.90578210185</v>
      </c>
      <c r="V590" s="35">
        <f t="shared" si="177"/>
        <v>-481.41755002063184</v>
      </c>
      <c r="X590" s="35">
        <f t="shared" si="176"/>
        <v>-63117.221124171803</v>
      </c>
      <c r="Y590" s="1">
        <f t="shared" si="161"/>
        <v>63053622.485497609</v>
      </c>
      <c r="AA590" s="2">
        <f>+Bono!J590</f>
        <v>707214.30611392297</v>
      </c>
      <c r="AC590" s="10">
        <f t="shared" si="167"/>
        <v>47.25</v>
      </c>
      <c r="AD590" s="1">
        <f t="shared" si="168"/>
        <v>65366561.268126264</v>
      </c>
    </row>
    <row r="591" spans="2:30">
      <c r="B591" s="1">
        <f t="shared" si="162"/>
        <v>568</v>
      </c>
      <c r="C591" s="2">
        <f t="shared" si="169"/>
        <v>47</v>
      </c>
      <c r="D591" s="2">
        <f t="shared" si="170"/>
        <v>4</v>
      </c>
      <c r="E591" s="2">
        <f t="shared" si="171"/>
        <v>76</v>
      </c>
      <c r="F591" s="1">
        <f t="shared" si="163"/>
        <v>1605724.4765147306</v>
      </c>
      <c r="H591" s="1">
        <f t="shared" si="159"/>
        <v>12804.272465856446</v>
      </c>
      <c r="I591" s="1">
        <v>0</v>
      </c>
      <c r="J591" s="1">
        <v>0</v>
      </c>
      <c r="K591" s="1">
        <f t="shared" si="164"/>
        <v>-1618.5287489805871</v>
      </c>
      <c r="L591" s="1">
        <f t="shared" si="160"/>
        <v>1616910.2202316066</v>
      </c>
      <c r="N591" s="1">
        <f t="shared" si="165"/>
        <v>568</v>
      </c>
      <c r="O591" s="2">
        <f t="shared" si="172"/>
        <v>47</v>
      </c>
      <c r="P591" s="2">
        <f t="shared" si="173"/>
        <v>4</v>
      </c>
      <c r="Q591" s="2">
        <f t="shared" si="174"/>
        <v>47</v>
      </c>
      <c r="R591" s="1">
        <f t="shared" si="166"/>
        <v>63053622.485497609</v>
      </c>
      <c r="S591" s="4">
        <f>IF($G$4="mensual",S588,IF($G$4="trimestral",S588,0))</f>
        <v>10000</v>
      </c>
      <c r="U591" s="1">
        <f t="shared" si="175"/>
        <v>502878.18165473099</v>
      </c>
      <c r="V591" s="35">
        <f t="shared" si="177"/>
        <v>-481.41755002063184</v>
      </c>
      <c r="X591" s="35">
        <f t="shared" si="176"/>
        <v>-63566.500667152337</v>
      </c>
      <c r="Y591" s="1">
        <f t="shared" si="161"/>
        <v>63502452.748935163</v>
      </c>
      <c r="AA591" s="2">
        <f>+Bono!J591</f>
        <v>711599.11684361135</v>
      </c>
      <c r="AC591" s="10">
        <f t="shared" si="167"/>
        <v>47.333333333333336</v>
      </c>
      <c r="AD591" s="1">
        <f t="shared" si="168"/>
        <v>65830962.086010382</v>
      </c>
    </row>
    <row r="592" spans="2:30">
      <c r="B592" s="1">
        <f t="shared" si="162"/>
        <v>569</v>
      </c>
      <c r="C592" s="2">
        <f t="shared" si="169"/>
        <v>47</v>
      </c>
      <c r="D592" s="2">
        <f t="shared" si="170"/>
        <v>5</v>
      </c>
      <c r="E592" s="2">
        <f t="shared" si="171"/>
        <v>76</v>
      </c>
      <c r="F592" s="1">
        <f t="shared" si="163"/>
        <v>1616910.2202316066</v>
      </c>
      <c r="H592" s="1">
        <f t="shared" si="159"/>
        <v>12893.469157056543</v>
      </c>
      <c r="I592" s="1">
        <v>0</v>
      </c>
      <c r="J592" s="1">
        <v>0</v>
      </c>
      <c r="K592" s="1">
        <f t="shared" si="164"/>
        <v>-1629.8036893886633</v>
      </c>
      <c r="L592" s="1">
        <f t="shared" si="160"/>
        <v>1628173.8856992747</v>
      </c>
      <c r="N592" s="1">
        <f t="shared" si="165"/>
        <v>569</v>
      </c>
      <c r="O592" s="2">
        <f t="shared" si="172"/>
        <v>47</v>
      </c>
      <c r="P592" s="2">
        <f t="shared" si="173"/>
        <v>5</v>
      </c>
      <c r="Q592" s="2">
        <f t="shared" si="174"/>
        <v>47</v>
      </c>
      <c r="R592" s="1">
        <f t="shared" si="166"/>
        <v>63502452.748935163</v>
      </c>
      <c r="S592" s="4">
        <f>IF($G$4="mensual",S591,0)</f>
        <v>10000</v>
      </c>
      <c r="U592" s="1">
        <f t="shared" si="175"/>
        <v>506457.21720412391</v>
      </c>
      <c r="V592" s="35">
        <f t="shared" si="177"/>
        <v>-481.41755002063184</v>
      </c>
      <c r="X592" s="35">
        <f t="shared" si="176"/>
        <v>-64018.90996613929</v>
      </c>
      <c r="Y592" s="1">
        <f t="shared" si="161"/>
        <v>63954409.638623126</v>
      </c>
      <c r="AA592" s="2">
        <f>+Bono!J592</f>
        <v>716011.11390843045</v>
      </c>
      <c r="AC592" s="10">
        <f t="shared" si="167"/>
        <v>47.416666666666664</v>
      </c>
      <c r="AD592" s="1">
        <f t="shared" si="168"/>
        <v>66298594.63823083</v>
      </c>
    </row>
    <row r="593" spans="2:30">
      <c r="B593" s="1">
        <f t="shared" si="162"/>
        <v>570</v>
      </c>
      <c r="C593" s="2">
        <f t="shared" si="169"/>
        <v>47</v>
      </c>
      <c r="D593" s="2">
        <f t="shared" si="170"/>
        <v>6</v>
      </c>
      <c r="E593" s="2">
        <f t="shared" si="171"/>
        <v>76</v>
      </c>
      <c r="F593" s="1">
        <f t="shared" si="163"/>
        <v>1628173.8856992747</v>
      </c>
      <c r="H593" s="1">
        <f t="shared" si="159"/>
        <v>12983.287207239922</v>
      </c>
      <c r="I593" s="1">
        <v>0</v>
      </c>
      <c r="J593" s="69">
        <f>-SUM(F593:H593)*$J$21</f>
        <v>-14770.414556158634</v>
      </c>
      <c r="K593" s="1">
        <f t="shared" si="164"/>
        <v>-1626.3867583503561</v>
      </c>
      <c r="L593" s="1">
        <f t="shared" si="160"/>
        <v>1624760.3715920057</v>
      </c>
      <c r="N593" s="1">
        <f t="shared" si="165"/>
        <v>570</v>
      </c>
      <c r="O593" s="2">
        <f t="shared" si="172"/>
        <v>47</v>
      </c>
      <c r="P593" s="2">
        <f t="shared" si="173"/>
        <v>6</v>
      </c>
      <c r="Q593" s="2">
        <f t="shared" si="174"/>
        <v>47</v>
      </c>
      <c r="R593" s="1">
        <f t="shared" si="166"/>
        <v>63954409.638623126</v>
      </c>
      <c r="S593" s="4">
        <f>IF($G$4="mensual",S592,0)</f>
        <v>10000</v>
      </c>
      <c r="U593" s="1">
        <f t="shared" si="175"/>
        <v>510061.1849103063</v>
      </c>
      <c r="V593" s="35">
        <f t="shared" si="177"/>
        <v>-481.41755002063184</v>
      </c>
      <c r="X593" s="35">
        <f t="shared" si="176"/>
        <v>-64474.470823533433</v>
      </c>
      <c r="Y593" s="1">
        <f t="shared" si="161"/>
        <v>64409514.935159877</v>
      </c>
      <c r="AA593" s="2">
        <f>+Bono!J593</f>
        <v>713959.92112927255</v>
      </c>
      <c r="AC593" s="10">
        <f t="shared" si="167"/>
        <v>47.5</v>
      </c>
      <c r="AD593" s="1">
        <f t="shared" si="168"/>
        <v>66748235.227881156</v>
      </c>
    </row>
    <row r="594" spans="2:30">
      <c r="B594" s="1">
        <f t="shared" si="162"/>
        <v>571</v>
      </c>
      <c r="C594" s="2">
        <f t="shared" si="169"/>
        <v>47</v>
      </c>
      <c r="D594" s="2">
        <f t="shared" si="170"/>
        <v>7</v>
      </c>
      <c r="E594" s="2">
        <f t="shared" si="171"/>
        <v>76</v>
      </c>
      <c r="F594" s="1">
        <f t="shared" si="163"/>
        <v>1624760.3715920057</v>
      </c>
      <c r="H594" s="1">
        <f t="shared" si="159"/>
        <v>12956.067366392515</v>
      </c>
      <c r="I594" s="1">
        <v>0</v>
      </c>
      <c r="J594" s="1">
        <v>0</v>
      </c>
      <c r="K594" s="1">
        <f t="shared" si="164"/>
        <v>-1637.7164389583984</v>
      </c>
      <c r="L594" s="1">
        <f t="shared" si="160"/>
        <v>1636078.7225194399</v>
      </c>
      <c r="N594" s="1">
        <f t="shared" si="165"/>
        <v>571</v>
      </c>
      <c r="O594" s="2">
        <f t="shared" si="172"/>
        <v>47</v>
      </c>
      <c r="P594" s="2">
        <f t="shared" si="173"/>
        <v>7</v>
      </c>
      <c r="Q594" s="2">
        <f t="shared" si="174"/>
        <v>47</v>
      </c>
      <c r="R594" s="1">
        <f t="shared" si="166"/>
        <v>64409514.935159877</v>
      </c>
      <c r="S594" s="1">
        <f>+IF($G$4="mensual",S588,IF($G$4="trimestral",S588,IF($G$4="semestral",S588,0)))</f>
        <v>10000</v>
      </c>
      <c r="U594" s="1">
        <f t="shared" si="175"/>
        <v>513690.25845482823</v>
      </c>
      <c r="V594" s="35">
        <f t="shared" si="177"/>
        <v>-481.41755002063184</v>
      </c>
      <c r="X594" s="35">
        <f t="shared" si="176"/>
        <v>-64933.205193614711</v>
      </c>
      <c r="Y594" s="1">
        <f t="shared" si="161"/>
        <v>64867790.57087107</v>
      </c>
      <c r="AA594" s="2">
        <f>+Bono!J594</f>
        <v>718386.55545449909</v>
      </c>
      <c r="AC594" s="10">
        <f t="shared" si="167"/>
        <v>47.583333333333336</v>
      </c>
      <c r="AD594" s="1">
        <f t="shared" si="168"/>
        <v>67222255.848845005</v>
      </c>
    </row>
    <row r="595" spans="2:30">
      <c r="B595" s="1">
        <f t="shared" si="162"/>
        <v>572</v>
      </c>
      <c r="C595" s="2">
        <f t="shared" si="169"/>
        <v>47</v>
      </c>
      <c r="D595" s="2">
        <f t="shared" si="170"/>
        <v>8</v>
      </c>
      <c r="E595" s="2">
        <f t="shared" si="171"/>
        <v>76</v>
      </c>
      <c r="F595" s="1">
        <f t="shared" si="163"/>
        <v>1636078.7225194399</v>
      </c>
      <c r="H595" s="1">
        <f t="shared" si="159"/>
        <v>13046.321486111488</v>
      </c>
      <c r="I595" s="1">
        <v>0</v>
      </c>
      <c r="J595" s="1">
        <v>0</v>
      </c>
      <c r="K595" s="1">
        <f t="shared" si="164"/>
        <v>-1649.1250440055514</v>
      </c>
      <c r="L595" s="1">
        <f t="shared" si="160"/>
        <v>1647475.9189615459</v>
      </c>
      <c r="N595" s="1">
        <f t="shared" si="165"/>
        <v>572</v>
      </c>
      <c r="O595" s="2">
        <f t="shared" si="172"/>
        <v>47</v>
      </c>
      <c r="P595" s="2">
        <f t="shared" si="173"/>
        <v>8</v>
      </c>
      <c r="Q595" s="2">
        <f t="shared" si="174"/>
        <v>47</v>
      </c>
      <c r="R595" s="1">
        <f t="shared" si="166"/>
        <v>64867790.57087107</v>
      </c>
      <c r="S595" s="4">
        <f>IF($G$4="mensual",S594,0)</f>
        <v>10000</v>
      </c>
      <c r="U595" s="1">
        <f t="shared" si="175"/>
        <v>517344.61272913445</v>
      </c>
      <c r="V595" s="35">
        <f t="shared" si="177"/>
        <v>-481.41755002063184</v>
      </c>
      <c r="X595" s="35">
        <f t="shared" si="176"/>
        <v>-65395.135183600207</v>
      </c>
      <c r="Y595" s="1">
        <f t="shared" si="161"/>
        <v>65329258.63086658</v>
      </c>
      <c r="AA595" s="2">
        <f>+Bono!J595</f>
        <v>722840.63542599976</v>
      </c>
      <c r="AC595" s="10">
        <f t="shared" si="167"/>
        <v>47.666666666666664</v>
      </c>
      <c r="AD595" s="1">
        <f t="shared" si="168"/>
        <v>67699575.185254127</v>
      </c>
    </row>
    <row r="596" spans="2:30">
      <c r="B596" s="1">
        <f t="shared" si="162"/>
        <v>573</v>
      </c>
      <c r="C596" s="2">
        <f t="shared" si="169"/>
        <v>47</v>
      </c>
      <c r="D596" s="2">
        <f t="shared" si="170"/>
        <v>9</v>
      </c>
      <c r="E596" s="2">
        <f t="shared" si="171"/>
        <v>76</v>
      </c>
      <c r="F596" s="1">
        <f t="shared" si="163"/>
        <v>1647475.9189615459</v>
      </c>
      <c r="H596" s="1">
        <f t="shared" si="159"/>
        <v>13137.204331036644</v>
      </c>
      <c r="I596" s="1">
        <v>0</v>
      </c>
      <c r="J596" s="69">
        <f>-SUM(F596:H596)*$J$21</f>
        <v>-14945.518109633245</v>
      </c>
      <c r="K596" s="1">
        <f t="shared" si="164"/>
        <v>-1645.6676051829493</v>
      </c>
      <c r="L596" s="1">
        <f t="shared" si="160"/>
        <v>1644021.9375777664</v>
      </c>
      <c r="N596" s="1">
        <f t="shared" si="165"/>
        <v>573</v>
      </c>
      <c r="O596" s="2">
        <f t="shared" si="172"/>
        <v>47</v>
      </c>
      <c r="P596" s="2">
        <f t="shared" si="173"/>
        <v>9</v>
      </c>
      <c r="Q596" s="2">
        <f t="shared" si="174"/>
        <v>47</v>
      </c>
      <c r="R596" s="1">
        <f t="shared" si="166"/>
        <v>65329258.63086658</v>
      </c>
      <c r="S596" s="4">
        <f>IF($G$4="mensual",S595,0)</f>
        <v>10000</v>
      </c>
      <c r="U596" s="1">
        <f t="shared" si="175"/>
        <v>521024.4238429924</v>
      </c>
      <c r="V596" s="35">
        <f t="shared" si="177"/>
        <v>-481.41755002063184</v>
      </c>
      <c r="X596" s="35">
        <f t="shared" si="176"/>
        <v>-65860.283054709565</v>
      </c>
      <c r="Y596" s="1">
        <f t="shared" si="161"/>
        <v>65793941.354104839</v>
      </c>
      <c r="AA596" s="2">
        <f>+Bono!J596</f>
        <v>720769.87777564104</v>
      </c>
      <c r="AC596" s="10">
        <f t="shared" si="167"/>
        <v>47.75</v>
      </c>
      <c r="AD596" s="1">
        <f t="shared" si="168"/>
        <v>68158733.16945824</v>
      </c>
    </row>
    <row r="597" spans="2:30">
      <c r="B597" s="1">
        <f t="shared" si="162"/>
        <v>574</v>
      </c>
      <c r="C597" s="2">
        <f t="shared" si="169"/>
        <v>47</v>
      </c>
      <c r="D597" s="2">
        <f t="shared" si="170"/>
        <v>10</v>
      </c>
      <c r="E597" s="2">
        <f t="shared" si="171"/>
        <v>76</v>
      </c>
      <c r="F597" s="1">
        <f t="shared" si="163"/>
        <v>1644021.9375777664</v>
      </c>
      <c r="H597" s="1">
        <f t="shared" si="159"/>
        <v>13109.661798443567</v>
      </c>
      <c r="I597" s="1">
        <v>0</v>
      </c>
      <c r="J597" s="1">
        <v>0</v>
      </c>
      <c r="K597" s="1">
        <f t="shared" si="164"/>
        <v>-1657.13159937621</v>
      </c>
      <c r="L597" s="1">
        <f t="shared" si="160"/>
        <v>1655474.4677768338</v>
      </c>
      <c r="N597" s="1">
        <f t="shared" si="165"/>
        <v>574</v>
      </c>
      <c r="O597" s="2">
        <f t="shared" si="172"/>
        <v>47</v>
      </c>
      <c r="P597" s="2">
        <f t="shared" si="173"/>
        <v>10</v>
      </c>
      <c r="Q597" s="2">
        <f t="shared" si="174"/>
        <v>47</v>
      </c>
      <c r="R597" s="1">
        <f t="shared" si="166"/>
        <v>65793941.354104839</v>
      </c>
      <c r="S597" s="4">
        <f>IF($G$4="mensual",S588,IF($G$4="trimestral",S588,0))</f>
        <v>10000</v>
      </c>
      <c r="U597" s="1">
        <f t="shared" si="175"/>
        <v>524729.86913297977</v>
      </c>
      <c r="V597" s="35">
        <f t="shared" si="177"/>
        <v>-481.41755002063184</v>
      </c>
      <c r="X597" s="35">
        <f t="shared" si="176"/>
        <v>-66328.67122323782</v>
      </c>
      <c r="Y597" s="1">
        <f t="shared" si="161"/>
        <v>66261861.134464562</v>
      </c>
      <c r="AA597" s="2">
        <f>+Bono!J597</f>
        <v>725238.73462198116</v>
      </c>
      <c r="AC597" s="10">
        <f t="shared" si="167"/>
        <v>47.833333333333336</v>
      </c>
      <c r="AD597" s="1">
        <f t="shared" si="168"/>
        <v>68642574.336863369</v>
      </c>
    </row>
    <row r="598" spans="2:30">
      <c r="B598" s="1">
        <f t="shared" si="162"/>
        <v>575</v>
      </c>
      <c r="C598" s="2">
        <f t="shared" si="169"/>
        <v>47</v>
      </c>
      <c r="D598" s="2">
        <f t="shared" si="170"/>
        <v>11</v>
      </c>
      <c r="E598" s="2">
        <f t="shared" si="171"/>
        <v>76</v>
      </c>
      <c r="F598" s="1">
        <f t="shared" si="163"/>
        <v>1655474.4677768338</v>
      </c>
      <c r="H598" s="1">
        <f t="shared" si="159"/>
        <v>13200.985882517192</v>
      </c>
      <c r="I598" s="1">
        <v>0</v>
      </c>
      <c r="J598" s="1">
        <v>0</v>
      </c>
      <c r="K598" s="1">
        <f t="shared" si="164"/>
        <v>-1668.675453659351</v>
      </c>
      <c r="L598" s="1">
        <f t="shared" si="160"/>
        <v>1667006.7782056916</v>
      </c>
      <c r="N598" s="1">
        <f t="shared" si="165"/>
        <v>575</v>
      </c>
      <c r="O598" s="2">
        <f t="shared" si="172"/>
        <v>47</v>
      </c>
      <c r="P598" s="2">
        <f t="shared" si="173"/>
        <v>11</v>
      </c>
      <c r="Q598" s="2">
        <f t="shared" si="174"/>
        <v>47</v>
      </c>
      <c r="R598" s="1">
        <f t="shared" si="166"/>
        <v>66261861.134464562</v>
      </c>
      <c r="S598" s="1">
        <f>IF($G$17="si",S586*(1+$G$20),S586)</f>
        <v>10000</v>
      </c>
      <c r="U598" s="1">
        <f t="shared" si="175"/>
        <v>528461.12717102992</v>
      </c>
      <c r="V598" s="35">
        <f t="shared" si="177"/>
        <v>-481.41755002063184</v>
      </c>
      <c r="X598" s="35">
        <f t="shared" si="176"/>
        <v>-66800.322261635592</v>
      </c>
      <c r="Y598" s="1">
        <f t="shared" si="161"/>
        <v>66733040.521823935</v>
      </c>
      <c r="AA598" s="2">
        <f>+Bono!J598</f>
        <v>729735.29889912391</v>
      </c>
      <c r="AC598" s="10">
        <f t="shared" si="167"/>
        <v>47.916666666666664</v>
      </c>
      <c r="AD598" s="1">
        <f t="shared" si="168"/>
        <v>69129782.59892875</v>
      </c>
    </row>
    <row r="599" spans="2:30">
      <c r="B599" s="1">
        <f t="shared" si="162"/>
        <v>576</v>
      </c>
      <c r="C599" s="2">
        <f t="shared" si="169"/>
        <v>47</v>
      </c>
      <c r="D599" s="2">
        <f t="shared" si="170"/>
        <v>12</v>
      </c>
      <c r="E599" s="2">
        <f t="shared" si="171"/>
        <v>76</v>
      </c>
      <c r="F599" s="1">
        <f t="shared" si="163"/>
        <v>1667006.7782056916</v>
      </c>
      <c r="H599" s="1">
        <f t="shared" si="159"/>
        <v>13292.946145346616</v>
      </c>
      <c r="I599" s="1">
        <v>0</v>
      </c>
      <c r="J599" s="69">
        <f>-SUM(F599:H599)*$J$21</f>
        <v>-15122.697519159346</v>
      </c>
      <c r="K599" s="1">
        <f t="shared" si="164"/>
        <v>-1665.1770268318789</v>
      </c>
      <c r="L599" s="1">
        <f t="shared" si="160"/>
        <v>1663511.849805047</v>
      </c>
      <c r="N599" s="1">
        <f t="shared" si="165"/>
        <v>576</v>
      </c>
      <c r="O599" s="2">
        <f t="shared" si="172"/>
        <v>47</v>
      </c>
      <c r="P599" s="2">
        <f t="shared" si="173"/>
        <v>12</v>
      </c>
      <c r="Q599" s="2">
        <f t="shared" si="174"/>
        <v>47</v>
      </c>
      <c r="R599" s="1">
        <f t="shared" si="166"/>
        <v>66733040.521823935</v>
      </c>
      <c r="S599" s="4">
        <f>IF($G$4="mensual",S598,0)</f>
        <v>10000</v>
      </c>
      <c r="U599" s="1">
        <f t="shared" si="175"/>
        <v>532218.37777303846</v>
      </c>
      <c r="V599" s="35">
        <f t="shared" si="177"/>
        <v>-481.41755002063184</v>
      </c>
      <c r="X599" s="35">
        <f t="shared" si="176"/>
        <v>-67275.258899596971</v>
      </c>
      <c r="Y599" s="1">
        <f t="shared" si="161"/>
        <v>67207502.223147348</v>
      </c>
      <c r="AA599" s="2">
        <f>+Bono!J599</f>
        <v>727644.78976215271</v>
      </c>
      <c r="AC599" s="10">
        <f t="shared" si="167"/>
        <v>48</v>
      </c>
      <c r="AD599" s="1">
        <f t="shared" si="168"/>
        <v>69598658.862714544</v>
      </c>
    </row>
    <row r="600" spans="2:30">
      <c r="B600" s="1">
        <f t="shared" si="162"/>
        <v>577</v>
      </c>
      <c r="C600" s="2">
        <f t="shared" si="169"/>
        <v>48</v>
      </c>
      <c r="D600" s="2">
        <f t="shared" si="170"/>
        <v>1</v>
      </c>
      <c r="E600" s="2">
        <f t="shared" si="171"/>
        <v>77</v>
      </c>
      <c r="F600" s="1">
        <f t="shared" si="163"/>
        <v>1663511.849805047</v>
      </c>
      <c r="H600" s="1">
        <f t="shared" ref="H600:H663" si="178">SUM(F600:G600)*$G$8</f>
        <v>13265.077095490911</v>
      </c>
      <c r="I600" s="1">
        <v>0</v>
      </c>
      <c r="J600" s="1">
        <v>0</v>
      </c>
      <c r="K600" s="1">
        <f t="shared" si="164"/>
        <v>-1676.776926900538</v>
      </c>
      <c r="L600" s="1">
        <f t="shared" ref="L600:L663" si="179">SUM(F600:K600)</f>
        <v>1675100.1499736374</v>
      </c>
      <c r="N600" s="1">
        <f t="shared" si="165"/>
        <v>577</v>
      </c>
      <c r="O600" s="2">
        <f t="shared" si="172"/>
        <v>48</v>
      </c>
      <c r="P600" s="2">
        <f t="shared" si="173"/>
        <v>1</v>
      </c>
      <c r="Q600" s="2">
        <f t="shared" si="174"/>
        <v>48</v>
      </c>
      <c r="R600" s="1">
        <f t="shared" si="166"/>
        <v>67207502.223147348</v>
      </c>
      <c r="S600" s="1">
        <f>IF($G$17="si",S588*(1+$G$20),S588)</f>
        <v>10000</v>
      </c>
      <c r="U600" s="1">
        <f t="shared" si="175"/>
        <v>536001.80200752791</v>
      </c>
      <c r="V600" s="35">
        <f>(V599*(1+$G$18))</f>
        <v>-500.67425202145711</v>
      </c>
      <c r="X600" s="35">
        <f t="shared" si="176"/>
        <v>-67753.504025154878</v>
      </c>
      <c r="Y600" s="1">
        <f t="shared" ref="Y600:Y663" si="180">SUM(R600:X600)</f>
        <v>67685249.846877694</v>
      </c>
      <c r="AA600" s="2">
        <f>+Bono!J600</f>
        <v>732156.27186024969</v>
      </c>
      <c r="AC600" s="10">
        <f t="shared" si="167"/>
        <v>48.083333333333336</v>
      </c>
      <c r="AD600" s="1">
        <f t="shared" si="168"/>
        <v>70092506.268711582</v>
      </c>
    </row>
    <row r="601" spans="2:30">
      <c r="B601" s="1">
        <f t="shared" ref="B601:B664" si="181">+B600+1</f>
        <v>578</v>
      </c>
      <c r="C601" s="2">
        <f t="shared" si="169"/>
        <v>48</v>
      </c>
      <c r="D601" s="2">
        <f t="shared" si="170"/>
        <v>2</v>
      </c>
      <c r="E601" s="2">
        <f t="shared" si="171"/>
        <v>77</v>
      </c>
      <c r="F601" s="1">
        <f t="shared" ref="F601:F664" si="182">L600</f>
        <v>1675100.1499736374</v>
      </c>
      <c r="H601" s="1">
        <f t="shared" si="178"/>
        <v>13357.483828367542</v>
      </c>
      <c r="I601" s="1">
        <v>0</v>
      </c>
      <c r="J601" s="1">
        <v>0</v>
      </c>
      <c r="K601" s="1">
        <f t="shared" ref="K601:K664" si="183">-SUM(F601:J601)*0.1%</f>
        <v>-1688.4576338020049</v>
      </c>
      <c r="L601" s="1">
        <f t="shared" si="179"/>
        <v>1686769.1761682029</v>
      </c>
      <c r="N601" s="1">
        <f t="shared" ref="N601:N664" si="184">+N600+1</f>
        <v>578</v>
      </c>
      <c r="O601" s="2">
        <f t="shared" si="172"/>
        <v>48</v>
      </c>
      <c r="P601" s="2">
        <f t="shared" si="173"/>
        <v>2</v>
      </c>
      <c r="Q601" s="2">
        <f t="shared" si="174"/>
        <v>48</v>
      </c>
      <c r="R601" s="1">
        <f t="shared" ref="R601:R664" si="185">Y600</f>
        <v>67685249.846877694</v>
      </c>
      <c r="S601" s="4">
        <f>IF($G$4="mensual",S600,0)</f>
        <v>10000</v>
      </c>
      <c r="U601" s="1">
        <f t="shared" si="175"/>
        <v>539811.42864872876</v>
      </c>
      <c r="V601" s="35">
        <f t="shared" si="177"/>
        <v>-500.67425202145711</v>
      </c>
      <c r="X601" s="35">
        <f t="shared" si="176"/>
        <v>-68235.061275526416</v>
      </c>
      <c r="Y601" s="1">
        <f t="shared" si="180"/>
        <v>68166325.539998874</v>
      </c>
      <c r="AA601" s="2">
        <f>+Bono!J601</f>
        <v>736695.72567065433</v>
      </c>
      <c r="AC601" s="10">
        <f t="shared" ref="AC601:AC664" si="186">+B601/12</f>
        <v>48.166666666666664</v>
      </c>
      <c r="AD601" s="1">
        <f t="shared" ref="AD601:AD664" si="187">+AA601+Y601+L601</f>
        <v>70589790.441837728</v>
      </c>
    </row>
    <row r="602" spans="2:30">
      <c r="B602" s="1">
        <f t="shared" si="181"/>
        <v>579</v>
      </c>
      <c r="C602" s="2">
        <f t="shared" si="169"/>
        <v>48</v>
      </c>
      <c r="D602" s="2">
        <f t="shared" si="170"/>
        <v>3</v>
      </c>
      <c r="E602" s="2">
        <f t="shared" si="171"/>
        <v>77</v>
      </c>
      <c r="F602" s="1">
        <f t="shared" si="182"/>
        <v>1686769.1761682029</v>
      </c>
      <c r="H602" s="1">
        <f t="shared" si="178"/>
        <v>13450.534281911563</v>
      </c>
      <c r="I602" s="1">
        <v>0</v>
      </c>
      <c r="J602" s="69">
        <f>-SUM(F602:H602)*$J$21</f>
        <v>-15301.977394051031</v>
      </c>
      <c r="K602" s="1">
        <f t="shared" si="183"/>
        <v>-1684.9177330560635</v>
      </c>
      <c r="L602" s="1">
        <f t="shared" si="179"/>
        <v>1683232.8153230075</v>
      </c>
      <c r="N602" s="1">
        <f t="shared" si="184"/>
        <v>579</v>
      </c>
      <c r="O602" s="2">
        <f t="shared" si="172"/>
        <v>48</v>
      </c>
      <c r="P602" s="2">
        <f t="shared" si="173"/>
        <v>3</v>
      </c>
      <c r="Q602" s="2">
        <f t="shared" si="174"/>
        <v>48</v>
      </c>
      <c r="R602" s="1">
        <f t="shared" si="185"/>
        <v>68166325.539998874</v>
      </c>
      <c r="S602" s="4">
        <f>IF($G$4="mensual",S601,0)</f>
        <v>10000</v>
      </c>
      <c r="U602" s="1">
        <f t="shared" si="175"/>
        <v>543647.59378260933</v>
      </c>
      <c r="V602" s="35">
        <f t="shared" si="177"/>
        <v>-500.67425202145711</v>
      </c>
      <c r="X602" s="35">
        <f t="shared" si="176"/>
        <v>-68719.973133781474</v>
      </c>
      <c r="Y602" s="1">
        <f t="shared" si="180"/>
        <v>68650752.486395672</v>
      </c>
      <c r="AA602" s="2">
        <f>+Bono!J602</f>
        <v>734585.27665166697</v>
      </c>
      <c r="AC602" s="10">
        <f t="shared" si="186"/>
        <v>48.25</v>
      </c>
      <c r="AD602" s="1">
        <f t="shared" si="187"/>
        <v>71068570.578370348</v>
      </c>
    </row>
    <row r="603" spans="2:30">
      <c r="B603" s="1">
        <f t="shared" si="181"/>
        <v>580</v>
      </c>
      <c r="C603" s="2">
        <f t="shared" si="169"/>
        <v>48</v>
      </c>
      <c r="D603" s="2">
        <f t="shared" si="170"/>
        <v>4</v>
      </c>
      <c r="E603" s="2">
        <f t="shared" si="171"/>
        <v>77</v>
      </c>
      <c r="F603" s="1">
        <f t="shared" si="182"/>
        <v>1683232.8153230075</v>
      </c>
      <c r="H603" s="1">
        <f t="shared" si="178"/>
        <v>13422.334843924698</v>
      </c>
      <c r="I603" s="1">
        <v>0</v>
      </c>
      <c r="J603" s="1">
        <v>0</v>
      </c>
      <c r="K603" s="1">
        <f t="shared" si="183"/>
        <v>-1696.6551501669323</v>
      </c>
      <c r="L603" s="1">
        <f t="shared" si="179"/>
        <v>1694958.4950167653</v>
      </c>
      <c r="N603" s="1">
        <f t="shared" si="184"/>
        <v>580</v>
      </c>
      <c r="O603" s="2">
        <f t="shared" si="172"/>
        <v>48</v>
      </c>
      <c r="P603" s="2">
        <f t="shared" si="173"/>
        <v>4</v>
      </c>
      <c r="Q603" s="2">
        <f t="shared" si="174"/>
        <v>48</v>
      </c>
      <c r="R603" s="1">
        <f t="shared" si="185"/>
        <v>68650752.486395672</v>
      </c>
      <c r="S603" s="4">
        <f>IF($G$4="mensual",S600,IF($G$4="trimestral",S600,0))</f>
        <v>10000</v>
      </c>
      <c r="U603" s="1">
        <f t="shared" si="175"/>
        <v>547510.48228072235</v>
      </c>
      <c r="V603" s="35">
        <f t="shared" si="177"/>
        <v>-500.67425202145711</v>
      </c>
      <c r="X603" s="35">
        <f t="shared" si="176"/>
        <v>-69208.262968676383</v>
      </c>
      <c r="Y603" s="1">
        <f t="shared" si="180"/>
        <v>69138554.031455696</v>
      </c>
      <c r="AA603" s="2">
        <f>+Bono!J603</f>
        <v>739139.79057352548</v>
      </c>
      <c r="AC603" s="10">
        <f t="shared" si="186"/>
        <v>48.333333333333336</v>
      </c>
      <c r="AD603" s="1">
        <f t="shared" si="187"/>
        <v>71572652.317045987</v>
      </c>
    </row>
    <row r="604" spans="2:30">
      <c r="B604" s="1">
        <f t="shared" si="181"/>
        <v>581</v>
      </c>
      <c r="C604" s="2">
        <f t="shared" si="169"/>
        <v>48</v>
      </c>
      <c r="D604" s="2">
        <f t="shared" si="170"/>
        <v>5</v>
      </c>
      <c r="E604" s="2">
        <f t="shared" si="171"/>
        <v>77</v>
      </c>
      <c r="F604" s="1">
        <f t="shared" si="182"/>
        <v>1694958.4950167653</v>
      </c>
      <c r="H604" s="1">
        <f t="shared" si="178"/>
        <v>13515.837060427068</v>
      </c>
      <c r="I604" s="1">
        <v>0</v>
      </c>
      <c r="J604" s="1">
        <v>0</v>
      </c>
      <c r="K604" s="1">
        <f t="shared" si="183"/>
        <v>-1708.4743320771925</v>
      </c>
      <c r="L604" s="1">
        <f t="shared" si="179"/>
        <v>1706765.8577451152</v>
      </c>
      <c r="N604" s="1">
        <f t="shared" si="184"/>
        <v>581</v>
      </c>
      <c r="O604" s="2">
        <f t="shared" si="172"/>
        <v>48</v>
      </c>
      <c r="P604" s="2">
        <f t="shared" si="173"/>
        <v>5</v>
      </c>
      <c r="Q604" s="2">
        <f t="shared" si="174"/>
        <v>48</v>
      </c>
      <c r="R604" s="1">
        <f t="shared" si="185"/>
        <v>69138554.031455696</v>
      </c>
      <c r="S604" s="4">
        <f>IF($G$4="mensual",S603,0)</f>
        <v>10000</v>
      </c>
      <c r="U604" s="1">
        <f t="shared" si="175"/>
        <v>551400.28030246729</v>
      </c>
      <c r="V604" s="35">
        <f t="shared" si="177"/>
        <v>-500.67425202145711</v>
      </c>
      <c r="X604" s="35">
        <f t="shared" si="176"/>
        <v>-69699.954311758163</v>
      </c>
      <c r="Y604" s="1">
        <f t="shared" si="180"/>
        <v>69629753.683194384</v>
      </c>
      <c r="AA604" s="2">
        <f>+Bono!J604</f>
        <v>743722.54300999036</v>
      </c>
      <c r="AC604" s="10">
        <f t="shared" si="186"/>
        <v>48.416666666666664</v>
      </c>
      <c r="AD604" s="1">
        <f t="shared" si="187"/>
        <v>72080242.083949491</v>
      </c>
    </row>
    <row r="605" spans="2:30">
      <c r="B605" s="1">
        <f t="shared" si="181"/>
        <v>582</v>
      </c>
      <c r="C605" s="2">
        <f t="shared" si="169"/>
        <v>48</v>
      </c>
      <c r="D605" s="2">
        <f t="shared" si="170"/>
        <v>6</v>
      </c>
      <c r="E605" s="2">
        <f t="shared" si="171"/>
        <v>77</v>
      </c>
      <c r="F605" s="1">
        <f t="shared" si="182"/>
        <v>1706765.8577451152</v>
      </c>
      <c r="H605" s="1">
        <f t="shared" si="178"/>
        <v>13609.990628917934</v>
      </c>
      <c r="I605" s="1">
        <v>0</v>
      </c>
      <c r="J605" s="69">
        <f>-SUM(F605:H605)*$J$21</f>
        <v>-15483.382635366301</v>
      </c>
      <c r="K605" s="1">
        <f t="shared" si="183"/>
        <v>-1704.8924657386667</v>
      </c>
      <c r="L605" s="1">
        <f t="shared" si="179"/>
        <v>1703187.5732729281</v>
      </c>
      <c r="N605" s="1">
        <f t="shared" si="184"/>
        <v>582</v>
      </c>
      <c r="O605" s="2">
        <f t="shared" si="172"/>
        <v>48</v>
      </c>
      <c r="P605" s="2">
        <f t="shared" si="173"/>
        <v>6</v>
      </c>
      <c r="Q605" s="2">
        <f t="shared" si="174"/>
        <v>48</v>
      </c>
      <c r="R605" s="1">
        <f t="shared" si="185"/>
        <v>69629753.683194384</v>
      </c>
      <c r="S605" s="4">
        <f>IF($G$4="mensual",S604,0)</f>
        <v>10000</v>
      </c>
      <c r="U605" s="1">
        <f t="shared" si="175"/>
        <v>555317.17530406022</v>
      </c>
      <c r="V605" s="35">
        <f t="shared" si="177"/>
        <v>-500.67425202145711</v>
      </c>
      <c r="X605" s="35">
        <f t="shared" si="176"/>
        <v>-70195.070858498439</v>
      </c>
      <c r="Y605" s="1">
        <f t="shared" si="180"/>
        <v>70124375.113387927</v>
      </c>
      <c r="AA605" s="2">
        <f>+Bono!J605</f>
        <v>741591.96391661314</v>
      </c>
      <c r="AC605" s="10">
        <f t="shared" si="186"/>
        <v>48.5</v>
      </c>
      <c r="AD605" s="1">
        <f t="shared" si="187"/>
        <v>72569154.650577471</v>
      </c>
    </row>
    <row r="606" spans="2:30">
      <c r="B606" s="1">
        <f t="shared" si="181"/>
        <v>583</v>
      </c>
      <c r="C606" s="2">
        <f t="shared" si="169"/>
        <v>48</v>
      </c>
      <c r="D606" s="2">
        <f t="shared" si="170"/>
        <v>7</v>
      </c>
      <c r="E606" s="2">
        <f t="shared" si="171"/>
        <v>77</v>
      </c>
      <c r="F606" s="1">
        <f t="shared" si="182"/>
        <v>1703187.5732729281</v>
      </c>
      <c r="H606" s="1">
        <f t="shared" si="178"/>
        <v>13581.456886042148</v>
      </c>
      <c r="I606" s="1">
        <v>0</v>
      </c>
      <c r="J606" s="1">
        <v>0</v>
      </c>
      <c r="K606" s="1">
        <f t="shared" si="183"/>
        <v>-1716.7690301589703</v>
      </c>
      <c r="L606" s="1">
        <f t="shared" si="179"/>
        <v>1715052.2611288114</v>
      </c>
      <c r="N606" s="1">
        <f t="shared" si="184"/>
        <v>583</v>
      </c>
      <c r="O606" s="2">
        <f t="shared" si="172"/>
        <v>48</v>
      </c>
      <c r="P606" s="2">
        <f t="shared" si="173"/>
        <v>7</v>
      </c>
      <c r="Q606" s="2">
        <f t="shared" si="174"/>
        <v>48</v>
      </c>
      <c r="R606" s="1">
        <f t="shared" si="185"/>
        <v>70124375.113387927</v>
      </c>
      <c r="S606" s="1">
        <f>+IF($G$4="mensual",S600,IF($G$4="trimestral",S600,IF($G$4="semestral",S600,0)))</f>
        <v>10000</v>
      </c>
      <c r="U606" s="1">
        <f t="shared" si="175"/>
        <v>559261.35604756873</v>
      </c>
      <c r="V606" s="35">
        <f t="shared" si="177"/>
        <v>-500.67425202145711</v>
      </c>
      <c r="X606" s="35">
        <f t="shared" si="176"/>
        <v>-70693.6364694355</v>
      </c>
      <c r="Y606" s="1">
        <f t="shared" si="180"/>
        <v>70622442.158714041</v>
      </c>
      <c r="AA606" s="2">
        <f>+Bono!J606</f>
        <v>746189.92011223966</v>
      </c>
      <c r="AC606" s="10">
        <f t="shared" si="186"/>
        <v>48.583333333333336</v>
      </c>
      <c r="AD606" s="1">
        <f t="shared" si="187"/>
        <v>73083684.339955091</v>
      </c>
    </row>
    <row r="607" spans="2:30">
      <c r="B607" s="1">
        <f t="shared" si="181"/>
        <v>584</v>
      </c>
      <c r="C607" s="2">
        <f t="shared" si="169"/>
        <v>48</v>
      </c>
      <c r="D607" s="2">
        <f t="shared" si="170"/>
        <v>8</v>
      </c>
      <c r="E607" s="2">
        <f t="shared" si="171"/>
        <v>77</v>
      </c>
      <c r="F607" s="1">
        <f t="shared" si="182"/>
        <v>1715052.2611288114</v>
      </c>
      <c r="H607" s="1">
        <f t="shared" si="178"/>
        <v>13676.067573150071</v>
      </c>
      <c r="I607" s="1">
        <v>0</v>
      </c>
      <c r="J607" s="1">
        <v>0</v>
      </c>
      <c r="K607" s="1">
        <f t="shared" si="183"/>
        <v>-1728.7283287019616</v>
      </c>
      <c r="L607" s="1">
        <f t="shared" si="179"/>
        <v>1726999.6003732595</v>
      </c>
      <c r="N607" s="1">
        <f t="shared" si="184"/>
        <v>584</v>
      </c>
      <c r="O607" s="2">
        <f t="shared" si="172"/>
        <v>48</v>
      </c>
      <c r="P607" s="2">
        <f t="shared" si="173"/>
        <v>8</v>
      </c>
      <c r="Q607" s="2">
        <f t="shared" si="174"/>
        <v>48</v>
      </c>
      <c r="R607" s="1">
        <f t="shared" si="185"/>
        <v>70622442.158714041</v>
      </c>
      <c r="S607" s="4">
        <f>IF($G$4="mensual",S606,0)</f>
        <v>10000</v>
      </c>
      <c r="U607" s="1">
        <f t="shared" si="175"/>
        <v>563233.01261000836</v>
      </c>
      <c r="V607" s="35">
        <f t="shared" si="177"/>
        <v>-500.67425202145711</v>
      </c>
      <c r="X607" s="35">
        <f t="shared" si="176"/>
        <v>-71195.675171324052</v>
      </c>
      <c r="Y607" s="1">
        <f t="shared" si="180"/>
        <v>71123978.821900696</v>
      </c>
      <c r="AA607" s="2">
        <f>+Bono!J607</f>
        <v>750816.38416960905</v>
      </c>
      <c r="AC607" s="10">
        <f t="shared" si="186"/>
        <v>48.666666666666664</v>
      </c>
      <c r="AD607" s="1">
        <f t="shared" si="187"/>
        <v>73601794.806443557</v>
      </c>
    </row>
    <row r="608" spans="2:30">
      <c r="B608" s="1">
        <f t="shared" si="181"/>
        <v>585</v>
      </c>
      <c r="C608" s="2">
        <f t="shared" si="169"/>
        <v>48</v>
      </c>
      <c r="D608" s="2">
        <f t="shared" si="170"/>
        <v>9</v>
      </c>
      <c r="E608" s="2">
        <f t="shared" si="171"/>
        <v>77</v>
      </c>
      <c r="F608" s="1">
        <f t="shared" si="182"/>
        <v>1726999.6003732595</v>
      </c>
      <c r="H608" s="1">
        <f t="shared" si="178"/>
        <v>13771.337334037053</v>
      </c>
      <c r="I608" s="1">
        <v>0</v>
      </c>
      <c r="J608" s="69">
        <f>-SUM(F608:H608)*$J$21</f>
        <v>-15666.938439365671</v>
      </c>
      <c r="K608" s="1">
        <f t="shared" si="183"/>
        <v>-1725.1039992679309</v>
      </c>
      <c r="L608" s="1">
        <f t="shared" si="179"/>
        <v>1723378.8952686628</v>
      </c>
      <c r="N608" s="1">
        <f t="shared" si="184"/>
        <v>585</v>
      </c>
      <c r="O608" s="2">
        <f t="shared" si="172"/>
        <v>48</v>
      </c>
      <c r="P608" s="2">
        <f t="shared" si="173"/>
        <v>9</v>
      </c>
      <c r="Q608" s="2">
        <f t="shared" si="174"/>
        <v>48</v>
      </c>
      <c r="R608" s="1">
        <f t="shared" si="185"/>
        <v>71123978.821900696</v>
      </c>
      <c r="S608" s="4">
        <f>IF($G$4="mensual",S607,0)</f>
        <v>10000</v>
      </c>
      <c r="U608" s="1">
        <f t="shared" si="175"/>
        <v>567232.33639250253</v>
      </c>
      <c r="V608" s="35">
        <f t="shared" si="177"/>
        <v>-500.67425202145711</v>
      </c>
      <c r="X608" s="35">
        <f t="shared" si="176"/>
        <v>-71701.211158293198</v>
      </c>
      <c r="Y608" s="1">
        <f t="shared" si="180"/>
        <v>71629009.272882894</v>
      </c>
      <c r="AA608" s="2">
        <f>+Bono!J608</f>
        <v>748665.48299535841</v>
      </c>
      <c r="AC608" s="10">
        <f t="shared" si="186"/>
        <v>48.75</v>
      </c>
      <c r="AD608" s="1">
        <f t="shared" si="187"/>
        <v>74101053.651146919</v>
      </c>
    </row>
    <row r="609" spans="2:30">
      <c r="B609" s="1">
        <f t="shared" si="181"/>
        <v>586</v>
      </c>
      <c r="C609" s="2">
        <f t="shared" si="169"/>
        <v>48</v>
      </c>
      <c r="D609" s="2">
        <f t="shared" si="170"/>
        <v>10</v>
      </c>
      <c r="E609" s="2">
        <f t="shared" si="171"/>
        <v>77</v>
      </c>
      <c r="F609" s="1">
        <f t="shared" si="182"/>
        <v>1723378.8952686628</v>
      </c>
      <c r="H609" s="1">
        <f t="shared" si="178"/>
        <v>13742.465323081351</v>
      </c>
      <c r="I609" s="1">
        <v>0</v>
      </c>
      <c r="J609" s="1">
        <v>0</v>
      </c>
      <c r="K609" s="1">
        <f t="shared" si="183"/>
        <v>-1737.1213605917442</v>
      </c>
      <c r="L609" s="1">
        <f t="shared" si="179"/>
        <v>1735384.2392311522</v>
      </c>
      <c r="N609" s="1">
        <f t="shared" si="184"/>
        <v>586</v>
      </c>
      <c r="O609" s="2">
        <f t="shared" si="172"/>
        <v>48</v>
      </c>
      <c r="P609" s="2">
        <f t="shared" si="173"/>
        <v>10</v>
      </c>
      <c r="Q609" s="2">
        <f t="shared" si="174"/>
        <v>48</v>
      </c>
      <c r="R609" s="1">
        <f t="shared" si="185"/>
        <v>71629009.272882894</v>
      </c>
      <c r="S609" s="4">
        <f>IF($G$4="mensual",S600,IF($G$4="trimestral",S600,0))</f>
        <v>10000</v>
      </c>
      <c r="U609" s="1">
        <f t="shared" si="175"/>
        <v>571259.52012950717</v>
      </c>
      <c r="V609" s="35">
        <f t="shared" si="177"/>
        <v>-500.67425202145711</v>
      </c>
      <c r="X609" s="35">
        <f t="shared" si="176"/>
        <v>-72210.268793012394</v>
      </c>
      <c r="Y609" s="1">
        <f t="shared" si="180"/>
        <v>72137557.84996736</v>
      </c>
      <c r="AA609" s="2">
        <f>+Bono!J609</f>
        <v>753307.2958297506</v>
      </c>
      <c r="AC609" s="10">
        <f t="shared" si="186"/>
        <v>48.833333333333336</v>
      </c>
      <c r="AD609" s="1">
        <f t="shared" si="187"/>
        <v>74626249.385028258</v>
      </c>
    </row>
    <row r="610" spans="2:30">
      <c r="B610" s="1">
        <f t="shared" si="181"/>
        <v>587</v>
      </c>
      <c r="C610" s="2">
        <f t="shared" si="169"/>
        <v>48</v>
      </c>
      <c r="D610" s="2">
        <f t="shared" si="170"/>
        <v>11</v>
      </c>
      <c r="E610" s="2">
        <f t="shared" si="171"/>
        <v>77</v>
      </c>
      <c r="F610" s="1">
        <f t="shared" si="182"/>
        <v>1735384.2392311522</v>
      </c>
      <c r="H610" s="1">
        <f t="shared" si="178"/>
        <v>13838.197621735533</v>
      </c>
      <c r="I610" s="1">
        <v>0</v>
      </c>
      <c r="J610" s="1">
        <v>0</v>
      </c>
      <c r="K610" s="1">
        <f t="shared" si="183"/>
        <v>-1749.2224368528878</v>
      </c>
      <c r="L610" s="1">
        <f t="shared" si="179"/>
        <v>1747473.2144160348</v>
      </c>
      <c r="N610" s="1">
        <f t="shared" si="184"/>
        <v>587</v>
      </c>
      <c r="O610" s="2">
        <f t="shared" si="172"/>
        <v>48</v>
      </c>
      <c r="P610" s="2">
        <f t="shared" si="173"/>
        <v>11</v>
      </c>
      <c r="Q610" s="2">
        <f t="shared" si="174"/>
        <v>48</v>
      </c>
      <c r="R610" s="1">
        <f t="shared" si="185"/>
        <v>72137557.84996736</v>
      </c>
      <c r="S610" s="1">
        <f>IF($G$17="si",S598*(1+$G$20),S598)</f>
        <v>10000</v>
      </c>
      <c r="U610" s="1">
        <f t="shared" si="175"/>
        <v>575314.75789809786</v>
      </c>
      <c r="V610" s="35">
        <f t="shared" si="177"/>
        <v>-500.67425202145711</v>
      </c>
      <c r="X610" s="35">
        <f t="shared" si="176"/>
        <v>-72722.872607865458</v>
      </c>
      <c r="Y610" s="1">
        <f t="shared" si="180"/>
        <v>72649649.061005563</v>
      </c>
      <c r="AA610" s="2">
        <f>+Bono!J610</f>
        <v>757977.88844213309</v>
      </c>
      <c r="AC610" s="10">
        <f t="shared" si="186"/>
        <v>48.916666666666664</v>
      </c>
      <c r="AD610" s="1">
        <f t="shared" si="187"/>
        <v>75155100.163863733</v>
      </c>
    </row>
    <row r="611" spans="2:30">
      <c r="B611" s="1">
        <f t="shared" si="181"/>
        <v>588</v>
      </c>
      <c r="C611" s="2">
        <f t="shared" si="169"/>
        <v>48</v>
      </c>
      <c r="D611" s="2">
        <f t="shared" si="170"/>
        <v>12</v>
      </c>
      <c r="E611" s="2">
        <f t="shared" si="171"/>
        <v>77</v>
      </c>
      <c r="F611" s="1">
        <f t="shared" si="182"/>
        <v>1747473.2144160348</v>
      </c>
      <c r="H611" s="1">
        <f t="shared" si="178"/>
        <v>13934.596807501319</v>
      </c>
      <c r="I611" s="1">
        <v>0</v>
      </c>
      <c r="J611" s="69">
        <f>-SUM(F611:H611)*$J$21</f>
        <v>-15852.670301011825</v>
      </c>
      <c r="K611" s="1">
        <f t="shared" si="183"/>
        <v>-1745.5551409225243</v>
      </c>
      <c r="L611" s="1">
        <f t="shared" si="179"/>
        <v>1743809.5857816017</v>
      </c>
      <c r="N611" s="1">
        <f t="shared" si="184"/>
        <v>588</v>
      </c>
      <c r="O611" s="2">
        <f t="shared" si="172"/>
        <v>48</v>
      </c>
      <c r="P611" s="2">
        <f t="shared" si="173"/>
        <v>12</v>
      </c>
      <c r="Q611" s="2">
        <f t="shared" si="174"/>
        <v>48</v>
      </c>
      <c r="R611" s="1">
        <f t="shared" si="185"/>
        <v>72649649.061005563</v>
      </c>
      <c r="S611" s="4">
        <f>IF($G$4="mensual",S610,0)</f>
        <v>10000</v>
      </c>
      <c r="U611" s="1">
        <f t="shared" si="175"/>
        <v>579398.2451273239</v>
      </c>
      <c r="V611" s="35">
        <f t="shared" si="177"/>
        <v>-500.67425202145711</v>
      </c>
      <c r="X611" s="35">
        <f t="shared" si="176"/>
        <v>-73239.047306132881</v>
      </c>
      <c r="Y611" s="1">
        <f t="shared" si="180"/>
        <v>73165307.584574729</v>
      </c>
      <c r="AA611" s="2">
        <f>+Bono!J611</f>
        <v>755806.47134911199</v>
      </c>
      <c r="AC611" s="10">
        <f t="shared" si="186"/>
        <v>49</v>
      </c>
      <c r="AD611" s="1">
        <f t="shared" si="187"/>
        <v>75664923.641705438</v>
      </c>
    </row>
    <row r="612" spans="2:30">
      <c r="B612" s="1">
        <f t="shared" si="181"/>
        <v>589</v>
      </c>
      <c r="C612" s="2">
        <f t="shared" ref="C612:C675" si="188">C600+1</f>
        <v>49</v>
      </c>
      <c r="D612" s="2">
        <f t="shared" ref="D612:D675" si="189">D600</f>
        <v>1</v>
      </c>
      <c r="E612" s="2">
        <f t="shared" ref="E612:E675" si="190">E600+1</f>
        <v>78</v>
      </c>
      <c r="F612" s="1">
        <f t="shared" si="182"/>
        <v>1743809.5857816017</v>
      </c>
      <c r="H612" s="1">
        <f t="shared" si="178"/>
        <v>13905.382518290997</v>
      </c>
      <c r="I612" s="1">
        <v>0</v>
      </c>
      <c r="J612" s="1">
        <v>0</v>
      </c>
      <c r="K612" s="1">
        <f t="shared" si="183"/>
        <v>-1757.7149682998927</v>
      </c>
      <c r="L612" s="1">
        <f t="shared" si="179"/>
        <v>1755957.2533315928</v>
      </c>
      <c r="N612" s="1">
        <f t="shared" si="184"/>
        <v>589</v>
      </c>
      <c r="O612" s="2">
        <f t="shared" ref="O612:O675" si="191">O600+1</f>
        <v>49</v>
      </c>
      <c r="P612" s="2">
        <f t="shared" ref="P612:P675" si="192">P600</f>
        <v>1</v>
      </c>
      <c r="Q612" s="2">
        <f t="shared" ref="Q612:Q675" si="193">Q600+1</f>
        <v>49</v>
      </c>
      <c r="R612" s="1">
        <f t="shared" si="185"/>
        <v>73165307.584574729</v>
      </c>
      <c r="S612" s="1">
        <f>IF($G$17="si",S600*(1+$G$20),S600)</f>
        <v>10000</v>
      </c>
      <c r="U612" s="1">
        <f t="shared" ref="U612:U675" si="194">SUM(R612:T612)*$G$8</f>
        <v>583510.17860762565</v>
      </c>
      <c r="V612" s="35">
        <f>(V611*(1+$G$18))</f>
        <v>-520.70122210231546</v>
      </c>
      <c r="X612" s="35">
        <f t="shared" si="176"/>
        <v>-73758.817763182364</v>
      </c>
      <c r="Y612" s="1">
        <f t="shared" si="180"/>
        <v>73684538.244197071</v>
      </c>
      <c r="AA612" s="2">
        <f>+Bono!J612</f>
        <v>760492.55913960095</v>
      </c>
      <c r="AC612" s="10">
        <f t="shared" si="186"/>
        <v>49.083333333333336</v>
      </c>
      <c r="AD612" s="1">
        <f t="shared" si="187"/>
        <v>76200988.056668252</v>
      </c>
    </row>
    <row r="613" spans="2:30">
      <c r="B613" s="1">
        <f t="shared" si="181"/>
        <v>590</v>
      </c>
      <c r="C613" s="2">
        <f t="shared" si="188"/>
        <v>49</v>
      </c>
      <c r="D613" s="2">
        <f t="shared" si="189"/>
        <v>2</v>
      </c>
      <c r="E613" s="2">
        <f t="shared" si="190"/>
        <v>78</v>
      </c>
      <c r="F613" s="1">
        <f t="shared" si="182"/>
        <v>1755957.2533315928</v>
      </c>
      <c r="H613" s="1">
        <f t="shared" si="178"/>
        <v>14002.249725218264</v>
      </c>
      <c r="I613" s="1">
        <v>0</v>
      </c>
      <c r="J613" s="1">
        <v>0</v>
      </c>
      <c r="K613" s="1">
        <f t="shared" si="183"/>
        <v>-1769.9595030568109</v>
      </c>
      <c r="L613" s="1">
        <f t="shared" si="179"/>
        <v>1768189.5435537542</v>
      </c>
      <c r="N613" s="1">
        <f t="shared" si="184"/>
        <v>590</v>
      </c>
      <c r="O613" s="2">
        <f t="shared" si="191"/>
        <v>49</v>
      </c>
      <c r="P613" s="2">
        <f t="shared" si="192"/>
        <v>2</v>
      </c>
      <c r="Q613" s="2">
        <f t="shared" si="193"/>
        <v>49</v>
      </c>
      <c r="R613" s="1">
        <f t="shared" si="185"/>
        <v>73684538.244197071</v>
      </c>
      <c r="S613" s="4">
        <f>IF($G$4="mensual",S612,0)</f>
        <v>10000</v>
      </c>
      <c r="U613" s="1">
        <f t="shared" si="194"/>
        <v>587650.59680244653</v>
      </c>
      <c r="V613" s="35">
        <f t="shared" si="177"/>
        <v>-520.70122210231546</v>
      </c>
      <c r="X613" s="35">
        <f t="shared" si="176"/>
        <v>-74282.188840999515</v>
      </c>
      <c r="Y613" s="1">
        <f t="shared" si="180"/>
        <v>74207385.950936407</v>
      </c>
      <c r="AA613" s="2">
        <f>+Bono!J613</f>
        <v>765207.70121794345</v>
      </c>
      <c r="AC613" s="10">
        <f t="shared" si="186"/>
        <v>49.166666666666664</v>
      </c>
      <c r="AD613" s="1">
        <f t="shared" si="187"/>
        <v>76740783.195708111</v>
      </c>
    </row>
    <row r="614" spans="2:30">
      <c r="B614" s="1">
        <f t="shared" si="181"/>
        <v>591</v>
      </c>
      <c r="C614" s="2">
        <f t="shared" si="188"/>
        <v>49</v>
      </c>
      <c r="D614" s="2">
        <f t="shared" si="189"/>
        <v>3</v>
      </c>
      <c r="E614" s="2">
        <f t="shared" si="190"/>
        <v>78</v>
      </c>
      <c r="F614" s="1">
        <f t="shared" si="182"/>
        <v>1768189.5435537542</v>
      </c>
      <c r="H614" s="1">
        <f t="shared" si="178"/>
        <v>14099.791725216885</v>
      </c>
      <c r="I614" s="1">
        <v>0</v>
      </c>
      <c r="J614" s="69">
        <f>-SUM(F614:H614)*$J$21</f>
        <v>-16040.604017510743</v>
      </c>
      <c r="K614" s="1">
        <f t="shared" si="183"/>
        <v>-1766.2487312614603</v>
      </c>
      <c r="L614" s="1">
        <f t="shared" si="179"/>
        <v>1764482.482530199</v>
      </c>
      <c r="N614" s="1">
        <f t="shared" si="184"/>
        <v>591</v>
      </c>
      <c r="O614" s="2">
        <f t="shared" si="191"/>
        <v>49</v>
      </c>
      <c r="P614" s="2">
        <f t="shared" si="192"/>
        <v>3</v>
      </c>
      <c r="Q614" s="2">
        <f t="shared" si="193"/>
        <v>49</v>
      </c>
      <c r="R614" s="1">
        <f t="shared" si="185"/>
        <v>74207385.950936407</v>
      </c>
      <c r="S614" s="4">
        <f>IF($G$4="mensual",S613,0)</f>
        <v>10000</v>
      </c>
      <c r="U614" s="1">
        <f t="shared" si="194"/>
        <v>591819.85783891624</v>
      </c>
      <c r="V614" s="35">
        <f t="shared" si="177"/>
        <v>-520.70122210231546</v>
      </c>
      <c r="X614" s="35">
        <f t="shared" si="176"/>
        <v>-74809.205808775325</v>
      </c>
      <c r="Y614" s="1">
        <f t="shared" si="180"/>
        <v>74733875.90174444</v>
      </c>
      <c r="AA614" s="2">
        <f>+Bono!J614</f>
        <v>763015.57251937268</v>
      </c>
      <c r="AC614" s="10">
        <f t="shared" si="186"/>
        <v>49.25</v>
      </c>
      <c r="AD614" s="1">
        <f t="shared" si="187"/>
        <v>77261373.956794024</v>
      </c>
    </row>
    <row r="615" spans="2:30">
      <c r="B615" s="1">
        <f t="shared" si="181"/>
        <v>592</v>
      </c>
      <c r="C615" s="2">
        <f t="shared" si="188"/>
        <v>49</v>
      </c>
      <c r="D615" s="2">
        <f t="shared" si="189"/>
        <v>4</v>
      </c>
      <c r="E615" s="2">
        <f t="shared" si="190"/>
        <v>78</v>
      </c>
      <c r="F615" s="1">
        <f t="shared" si="182"/>
        <v>1764482.482530199</v>
      </c>
      <c r="H615" s="1">
        <f t="shared" si="178"/>
        <v>14070.231100036539</v>
      </c>
      <c r="I615" s="1">
        <v>0</v>
      </c>
      <c r="J615" s="1">
        <v>0</v>
      </c>
      <c r="K615" s="1">
        <f t="shared" si="183"/>
        <v>-1778.5527136302355</v>
      </c>
      <c r="L615" s="1">
        <f t="shared" si="179"/>
        <v>1776774.1609166053</v>
      </c>
      <c r="N615" s="1">
        <f t="shared" si="184"/>
        <v>592</v>
      </c>
      <c r="O615" s="2">
        <f t="shared" si="191"/>
        <v>49</v>
      </c>
      <c r="P615" s="2">
        <f t="shared" si="192"/>
        <v>4</v>
      </c>
      <c r="Q615" s="2">
        <f t="shared" si="193"/>
        <v>49</v>
      </c>
      <c r="R615" s="1">
        <f t="shared" si="185"/>
        <v>74733875.90174444</v>
      </c>
      <c r="S615" s="4">
        <f>IF($G$4="mensual",S612,IF($G$4="trimestral",S612,0))</f>
        <v>10000</v>
      </c>
      <c r="U615" s="1">
        <f t="shared" si="194"/>
        <v>596018.16264106613</v>
      </c>
      <c r="V615" s="35">
        <f t="shared" si="177"/>
        <v>-520.70122210231546</v>
      </c>
      <c r="X615" s="35">
        <f t="shared" si="176"/>
        <v>-75339.894064385502</v>
      </c>
      <c r="Y615" s="1">
        <f t="shared" si="180"/>
        <v>75264033.469099015</v>
      </c>
      <c r="AA615" s="2">
        <f>+Bono!J615</f>
        <v>767746.35757332121</v>
      </c>
      <c r="AC615" s="10">
        <f t="shared" si="186"/>
        <v>49.333333333333336</v>
      </c>
      <c r="AD615" s="1">
        <f t="shared" si="187"/>
        <v>77808553.987588942</v>
      </c>
    </row>
    <row r="616" spans="2:30">
      <c r="B616" s="1">
        <f t="shared" si="181"/>
        <v>593</v>
      </c>
      <c r="C616" s="2">
        <f t="shared" si="188"/>
        <v>49</v>
      </c>
      <c r="D616" s="2">
        <f t="shared" si="189"/>
        <v>5</v>
      </c>
      <c r="E616" s="2">
        <f t="shared" si="190"/>
        <v>78</v>
      </c>
      <c r="F616" s="1">
        <f t="shared" si="182"/>
        <v>1776774.1609166053</v>
      </c>
      <c r="H616" s="1">
        <f t="shared" si="178"/>
        <v>14168.246669596665</v>
      </c>
      <c r="I616" s="1">
        <v>0</v>
      </c>
      <c r="J616" s="1">
        <v>0</v>
      </c>
      <c r="K616" s="1">
        <f t="shared" si="183"/>
        <v>-1790.9424075862021</v>
      </c>
      <c r="L616" s="1">
        <f t="shared" si="179"/>
        <v>1789151.4651786159</v>
      </c>
      <c r="N616" s="1">
        <f t="shared" si="184"/>
        <v>593</v>
      </c>
      <c r="O616" s="2">
        <f t="shared" si="191"/>
        <v>49</v>
      </c>
      <c r="P616" s="2">
        <f t="shared" si="192"/>
        <v>5</v>
      </c>
      <c r="Q616" s="2">
        <f t="shared" si="193"/>
        <v>49</v>
      </c>
      <c r="R616" s="1">
        <f t="shared" si="185"/>
        <v>75264033.469099015</v>
      </c>
      <c r="S616" s="4">
        <f>IF($G$4="mensual",S615,0)</f>
        <v>10000</v>
      </c>
      <c r="U616" s="1">
        <f t="shared" si="194"/>
        <v>600245.71353259753</v>
      </c>
      <c r="V616" s="35">
        <f t="shared" si="177"/>
        <v>-520.70122210231546</v>
      </c>
      <c r="X616" s="35">
        <f t="shared" si="176"/>
        <v>-75874.27918263161</v>
      </c>
      <c r="Y616" s="1">
        <f t="shared" si="180"/>
        <v>75797884.202226877</v>
      </c>
      <c r="AA616" s="2">
        <f>+Bono!J616</f>
        <v>772506.47404334135</v>
      </c>
      <c r="AC616" s="10">
        <f t="shared" si="186"/>
        <v>49.416666666666664</v>
      </c>
      <c r="AD616" s="1">
        <f t="shared" si="187"/>
        <v>78359542.141448826</v>
      </c>
    </row>
    <row r="617" spans="2:30">
      <c r="B617" s="1">
        <f t="shared" si="181"/>
        <v>594</v>
      </c>
      <c r="C617" s="2">
        <f t="shared" si="188"/>
        <v>49</v>
      </c>
      <c r="D617" s="2">
        <f t="shared" si="189"/>
        <v>6</v>
      </c>
      <c r="E617" s="2">
        <f t="shared" si="190"/>
        <v>78</v>
      </c>
      <c r="F617" s="1">
        <f t="shared" si="182"/>
        <v>1789151.4651786159</v>
      </c>
      <c r="H617" s="1">
        <f t="shared" si="178"/>
        <v>14266.945031913207</v>
      </c>
      <c r="I617" s="1">
        <v>0</v>
      </c>
      <c r="J617" s="69">
        <f>-SUM(F617:H617)*$J$21</f>
        <v>-16230.765691894763</v>
      </c>
      <c r="K617" s="1">
        <f t="shared" si="183"/>
        <v>-1787.1876445186344</v>
      </c>
      <c r="L617" s="1">
        <f t="shared" si="179"/>
        <v>1785400.4568741156</v>
      </c>
      <c r="N617" s="1">
        <f t="shared" si="184"/>
        <v>594</v>
      </c>
      <c r="O617" s="2">
        <f t="shared" si="191"/>
        <v>49</v>
      </c>
      <c r="P617" s="2">
        <f t="shared" si="192"/>
        <v>6</v>
      </c>
      <c r="Q617" s="2">
        <f t="shared" si="193"/>
        <v>49</v>
      </c>
      <c r="R617" s="1">
        <f t="shared" si="185"/>
        <v>75797884.202226877</v>
      </c>
      <c r="S617" s="4">
        <f>IF($G$4="mensual",S616,0)</f>
        <v>10000</v>
      </c>
      <c r="U617" s="1">
        <f t="shared" si="194"/>
        <v>604502.7142466323</v>
      </c>
      <c r="V617" s="35">
        <f t="shared" si="177"/>
        <v>-520.70122210231546</v>
      </c>
      <c r="X617" s="35">
        <f t="shared" si="176"/>
        <v>-76412.386916473508</v>
      </c>
      <c r="Y617" s="1">
        <f t="shared" si="180"/>
        <v>76335453.828334928</v>
      </c>
      <c r="AA617" s="2">
        <f>+Bono!J617</f>
        <v>770293.43618592457</v>
      </c>
      <c r="AC617" s="10">
        <f t="shared" si="186"/>
        <v>49.5</v>
      </c>
      <c r="AD617" s="1">
        <f t="shared" si="187"/>
        <v>78891147.721394971</v>
      </c>
    </row>
    <row r="618" spans="2:30">
      <c r="B618" s="1">
        <f t="shared" si="181"/>
        <v>595</v>
      </c>
      <c r="C618" s="2">
        <f t="shared" si="188"/>
        <v>49</v>
      </c>
      <c r="D618" s="2">
        <f t="shared" si="189"/>
        <v>7</v>
      </c>
      <c r="E618" s="2">
        <f t="shared" si="190"/>
        <v>78</v>
      </c>
      <c r="F618" s="1">
        <f t="shared" si="182"/>
        <v>1785400.4568741156</v>
      </c>
      <c r="H618" s="1">
        <f t="shared" si="178"/>
        <v>14237.033964943137</v>
      </c>
      <c r="I618" s="1">
        <v>0</v>
      </c>
      <c r="J618" s="1">
        <v>0</v>
      </c>
      <c r="K618" s="1">
        <f t="shared" si="183"/>
        <v>-1799.6374908390587</v>
      </c>
      <c r="L618" s="1">
        <f t="shared" si="179"/>
        <v>1797837.8533482198</v>
      </c>
      <c r="N618" s="1">
        <f t="shared" si="184"/>
        <v>595</v>
      </c>
      <c r="O618" s="2">
        <f t="shared" si="191"/>
        <v>49</v>
      </c>
      <c r="P618" s="2">
        <f t="shared" si="192"/>
        <v>7</v>
      </c>
      <c r="Q618" s="2">
        <f t="shared" si="193"/>
        <v>49</v>
      </c>
      <c r="R618" s="1">
        <f t="shared" si="185"/>
        <v>76335453.828334928</v>
      </c>
      <c r="S618" s="1">
        <f>+IF($G$4="mensual",S612,IF($G$4="trimestral",S612,IF($G$4="semestral",S612,0)))</f>
        <v>10000</v>
      </c>
      <c r="U618" s="1">
        <f t="shared" si="194"/>
        <v>608789.36993553117</v>
      </c>
      <c r="V618" s="35">
        <f t="shared" si="177"/>
        <v>-520.70122210231546</v>
      </c>
      <c r="X618" s="35">
        <f t="shared" si="176"/>
        <v>-76954.243198270458</v>
      </c>
      <c r="Y618" s="1">
        <f t="shared" si="180"/>
        <v>76876768.253850073</v>
      </c>
      <c r="AA618" s="2">
        <f>+Bono!J618</f>
        <v>775069.34483878571</v>
      </c>
      <c r="AC618" s="10">
        <f t="shared" si="186"/>
        <v>49.583333333333336</v>
      </c>
      <c r="AD618" s="1">
        <f t="shared" si="187"/>
        <v>79449675.452037081</v>
      </c>
    </row>
    <row r="619" spans="2:30">
      <c r="B619" s="1">
        <f t="shared" si="181"/>
        <v>596</v>
      </c>
      <c r="C619" s="2">
        <f t="shared" si="188"/>
        <v>49</v>
      </c>
      <c r="D619" s="2">
        <f t="shared" si="189"/>
        <v>8</v>
      </c>
      <c r="E619" s="2">
        <f t="shared" si="190"/>
        <v>78</v>
      </c>
      <c r="F619" s="1">
        <f t="shared" si="182"/>
        <v>1797837.8533482198</v>
      </c>
      <c r="H619" s="1">
        <f t="shared" si="178"/>
        <v>14336.211510997597</v>
      </c>
      <c r="I619" s="1">
        <v>0</v>
      </c>
      <c r="J619" s="1">
        <v>0</v>
      </c>
      <c r="K619" s="1">
        <f t="shared" si="183"/>
        <v>-1812.1740648592172</v>
      </c>
      <c r="L619" s="1">
        <f t="shared" si="179"/>
        <v>1810361.890794358</v>
      </c>
      <c r="N619" s="1">
        <f t="shared" si="184"/>
        <v>596</v>
      </c>
      <c r="O619" s="2">
        <f t="shared" si="191"/>
        <v>49</v>
      </c>
      <c r="P619" s="2">
        <f t="shared" si="192"/>
        <v>8</v>
      </c>
      <c r="Q619" s="2">
        <f t="shared" si="193"/>
        <v>49</v>
      </c>
      <c r="R619" s="1">
        <f t="shared" si="185"/>
        <v>76876768.253850073</v>
      </c>
      <c r="S619" s="4">
        <f>IF($G$4="mensual",S618,0)</f>
        <v>10000</v>
      </c>
      <c r="U619" s="1">
        <f t="shared" si="194"/>
        <v>613105.88718078029</v>
      </c>
      <c r="V619" s="35">
        <f t="shared" si="177"/>
        <v>-520.70122210231546</v>
      </c>
      <c r="X619" s="35">
        <f t="shared" ref="X619:X682" si="195">-SUM(R619:U619)*0.1%</f>
        <v>-77499.874141030843</v>
      </c>
      <c r="Y619" s="1">
        <f t="shared" si="180"/>
        <v>77421853.565667704</v>
      </c>
      <c r="AA619" s="2">
        <f>+Bono!J619</f>
        <v>779874.86467926565</v>
      </c>
      <c r="AC619" s="10">
        <f t="shared" si="186"/>
        <v>49.666666666666664</v>
      </c>
      <c r="AD619" s="1">
        <f t="shared" si="187"/>
        <v>80012090.321141317</v>
      </c>
    </row>
    <row r="620" spans="2:30">
      <c r="B620" s="1">
        <f t="shared" si="181"/>
        <v>597</v>
      </c>
      <c r="C620" s="2">
        <f t="shared" si="188"/>
        <v>49</v>
      </c>
      <c r="D620" s="2">
        <f t="shared" si="189"/>
        <v>9</v>
      </c>
      <c r="E620" s="2">
        <f t="shared" si="190"/>
        <v>78</v>
      </c>
      <c r="F620" s="1">
        <f t="shared" si="182"/>
        <v>1810361.890794358</v>
      </c>
      <c r="H620" s="1">
        <f t="shared" si="178"/>
        <v>14436.079944329951</v>
      </c>
      <c r="I620" s="1">
        <v>0</v>
      </c>
      <c r="J620" s="69">
        <f>-SUM(F620:H620)*$J$21</f>
        <v>-16423.181736648196</v>
      </c>
      <c r="K620" s="1">
        <f t="shared" si="183"/>
        <v>-1808.37478900204</v>
      </c>
      <c r="L620" s="1">
        <f t="shared" si="179"/>
        <v>1806566.4142130378</v>
      </c>
      <c r="N620" s="1">
        <f t="shared" si="184"/>
        <v>597</v>
      </c>
      <c r="O620" s="2">
        <f t="shared" si="191"/>
        <v>49</v>
      </c>
      <c r="P620" s="2">
        <f t="shared" si="192"/>
        <v>9</v>
      </c>
      <c r="Q620" s="2">
        <f t="shared" si="193"/>
        <v>49</v>
      </c>
      <c r="R620" s="1">
        <f t="shared" si="185"/>
        <v>77421853.565667704</v>
      </c>
      <c r="S620" s="4">
        <f>IF($G$4="mensual",S619,0)</f>
        <v>10000</v>
      </c>
      <c r="U620" s="1">
        <f t="shared" si="194"/>
        <v>617452.47400294698</v>
      </c>
      <c r="V620" s="35">
        <f t="shared" si="177"/>
        <v>-520.70122210231546</v>
      </c>
      <c r="X620" s="35">
        <f t="shared" si="195"/>
        <v>-78049.306039670642</v>
      </c>
      <c r="Y620" s="1">
        <f t="shared" si="180"/>
        <v>77970736.032408863</v>
      </c>
      <c r="AA620" s="2">
        <f>+Bono!J620</f>
        <v>777640.71822538611</v>
      </c>
      <c r="AC620" s="10">
        <f t="shared" si="186"/>
        <v>49.75</v>
      </c>
      <c r="AD620" s="1">
        <f t="shared" si="187"/>
        <v>80554943.164847285</v>
      </c>
    </row>
    <row r="621" spans="2:30">
      <c r="B621" s="1">
        <f t="shared" si="181"/>
        <v>598</v>
      </c>
      <c r="C621" s="2">
        <f t="shared" si="188"/>
        <v>49</v>
      </c>
      <c r="D621" s="2">
        <f t="shared" si="189"/>
        <v>10</v>
      </c>
      <c r="E621" s="2">
        <f t="shared" si="190"/>
        <v>78</v>
      </c>
      <c r="F621" s="1">
        <f t="shared" si="182"/>
        <v>1806566.4142130378</v>
      </c>
      <c r="H621" s="1">
        <f t="shared" si="178"/>
        <v>14405.814281075889</v>
      </c>
      <c r="I621" s="1">
        <v>0</v>
      </c>
      <c r="J621" s="1">
        <v>0</v>
      </c>
      <c r="K621" s="1">
        <f t="shared" si="183"/>
        <v>-1820.9722284941138</v>
      </c>
      <c r="L621" s="1">
        <f t="shared" si="179"/>
        <v>1819151.2562656198</v>
      </c>
      <c r="N621" s="1">
        <f t="shared" si="184"/>
        <v>598</v>
      </c>
      <c r="O621" s="2">
        <f t="shared" si="191"/>
        <v>49</v>
      </c>
      <c r="P621" s="2">
        <f t="shared" si="192"/>
        <v>10</v>
      </c>
      <c r="Q621" s="2">
        <f t="shared" si="193"/>
        <v>49</v>
      </c>
      <c r="R621" s="1">
        <f t="shared" si="185"/>
        <v>77970736.032408863</v>
      </c>
      <c r="S621" s="4">
        <f>IF($G$4="mensual",S612,IF($G$4="trimestral",S612,0))</f>
        <v>10000</v>
      </c>
      <c r="U621" s="1">
        <f t="shared" si="194"/>
        <v>621829.339871704</v>
      </c>
      <c r="V621" s="35">
        <f t="shared" si="177"/>
        <v>-520.70122210231546</v>
      </c>
      <c r="X621" s="35">
        <f t="shared" si="195"/>
        <v>-78602.565372280573</v>
      </c>
      <c r="Y621" s="1">
        <f t="shared" si="180"/>
        <v>78523442.105686188</v>
      </c>
      <c r="AA621" s="2">
        <f>+Bono!J621</f>
        <v>782462.18087912374</v>
      </c>
      <c r="AC621" s="10">
        <f t="shared" si="186"/>
        <v>49.833333333333336</v>
      </c>
      <c r="AD621" s="1">
        <f t="shared" si="187"/>
        <v>81125055.542830944</v>
      </c>
    </row>
    <row r="622" spans="2:30">
      <c r="B622" s="1">
        <f t="shared" si="181"/>
        <v>599</v>
      </c>
      <c r="C622" s="2">
        <f t="shared" si="188"/>
        <v>49</v>
      </c>
      <c r="D622" s="2">
        <f t="shared" si="189"/>
        <v>11</v>
      </c>
      <c r="E622" s="2">
        <f t="shared" si="190"/>
        <v>78</v>
      </c>
      <c r="F622" s="1">
        <f t="shared" si="182"/>
        <v>1819151.2562656198</v>
      </c>
      <c r="H622" s="1">
        <f t="shared" si="178"/>
        <v>14506.167578878751</v>
      </c>
      <c r="I622" s="1">
        <v>0</v>
      </c>
      <c r="J622" s="1">
        <v>0</v>
      </c>
      <c r="K622" s="1">
        <f t="shared" si="183"/>
        <v>-1833.6574238444987</v>
      </c>
      <c r="L622" s="1">
        <f t="shared" si="179"/>
        <v>1831823.766420654</v>
      </c>
      <c r="N622" s="1">
        <f t="shared" si="184"/>
        <v>599</v>
      </c>
      <c r="O622" s="2">
        <f t="shared" si="191"/>
        <v>49</v>
      </c>
      <c r="P622" s="2">
        <f t="shared" si="192"/>
        <v>11</v>
      </c>
      <c r="Q622" s="2">
        <f t="shared" si="193"/>
        <v>49</v>
      </c>
      <c r="R622" s="1">
        <f t="shared" si="185"/>
        <v>78523442.105686188</v>
      </c>
      <c r="S622" s="1">
        <f>IF($G$17="si",S610*(1+$G$20),S610)</f>
        <v>10000</v>
      </c>
      <c r="U622" s="1">
        <f t="shared" si="194"/>
        <v>626236.69571592542</v>
      </c>
      <c r="V622" s="35">
        <f t="shared" si="177"/>
        <v>-520.70122210231546</v>
      </c>
      <c r="X622" s="35">
        <f t="shared" si="195"/>
        <v>-79159.678801402115</v>
      </c>
      <c r="Y622" s="1">
        <f t="shared" si="180"/>
        <v>79079998.421378598</v>
      </c>
      <c r="AA622" s="2">
        <f>+Bono!J622</f>
        <v>787313.53716056957</v>
      </c>
      <c r="AC622" s="10">
        <f t="shared" si="186"/>
        <v>49.916666666666664</v>
      </c>
      <c r="AD622" s="1">
        <f t="shared" si="187"/>
        <v>81699135.724959821</v>
      </c>
    </row>
    <row r="623" spans="2:30">
      <c r="B623" s="1">
        <f t="shared" si="181"/>
        <v>600</v>
      </c>
      <c r="C623" s="2">
        <f t="shared" si="188"/>
        <v>49</v>
      </c>
      <c r="D623" s="2">
        <f t="shared" si="189"/>
        <v>12</v>
      </c>
      <c r="E623" s="2">
        <f t="shared" si="190"/>
        <v>78</v>
      </c>
      <c r="F623" s="1">
        <f t="shared" si="182"/>
        <v>1831823.766420654</v>
      </c>
      <c r="H623" s="1">
        <f t="shared" si="178"/>
        <v>14607.219954441704</v>
      </c>
      <c r="I623" s="1">
        <v>0</v>
      </c>
      <c r="J623" s="69">
        <f>-SUM(F623:H623)*$J$21</f>
        <v>-16617.878877375864</v>
      </c>
      <c r="K623" s="1">
        <f t="shared" si="183"/>
        <v>-1829.8131074977198</v>
      </c>
      <c r="L623" s="1">
        <f t="shared" si="179"/>
        <v>1827983.2943902221</v>
      </c>
      <c r="N623" s="1">
        <f t="shared" si="184"/>
        <v>600</v>
      </c>
      <c r="O623" s="2">
        <f t="shared" si="191"/>
        <v>49</v>
      </c>
      <c r="P623" s="2">
        <f t="shared" si="192"/>
        <v>12</v>
      </c>
      <c r="Q623" s="2">
        <f t="shared" si="193"/>
        <v>49</v>
      </c>
      <c r="R623" s="1">
        <f t="shared" si="185"/>
        <v>79079998.421378598</v>
      </c>
      <c r="S623" s="4">
        <f>IF($G$4="mensual",S622,0)</f>
        <v>10000</v>
      </c>
      <c r="U623" s="1">
        <f t="shared" si="194"/>
        <v>630674.75393384998</v>
      </c>
      <c r="V623" s="35">
        <f t="shared" si="177"/>
        <v>-520.70122210231546</v>
      </c>
      <c r="X623" s="35">
        <f t="shared" si="195"/>
        <v>-79720.673175312448</v>
      </c>
      <c r="Y623" s="1">
        <f t="shared" si="180"/>
        <v>79640431.800915033</v>
      </c>
      <c r="AA623" s="2">
        <f>+Bono!J623</f>
        <v>785058.08077031642</v>
      </c>
      <c r="AC623" s="10">
        <f t="shared" si="186"/>
        <v>50</v>
      </c>
      <c r="AD623" s="1">
        <f t="shared" si="187"/>
        <v>82253473.176075563</v>
      </c>
    </row>
    <row r="624" spans="2:30">
      <c r="B624" s="1">
        <f t="shared" si="181"/>
        <v>601</v>
      </c>
      <c r="C624" s="2">
        <f t="shared" si="188"/>
        <v>50</v>
      </c>
      <c r="D624" s="2">
        <f t="shared" si="189"/>
        <v>1</v>
      </c>
      <c r="E624" s="2">
        <f t="shared" si="190"/>
        <v>79</v>
      </c>
      <c r="F624" s="1">
        <f t="shared" si="182"/>
        <v>1827983.2943902221</v>
      </c>
      <c r="H624" s="1">
        <f t="shared" si="178"/>
        <v>14576.595491157761</v>
      </c>
      <c r="I624" s="1">
        <v>0</v>
      </c>
      <c r="J624" s="1">
        <v>0</v>
      </c>
      <c r="K624" s="1">
        <f t="shared" si="183"/>
        <v>-1842.5598898813798</v>
      </c>
      <c r="L624" s="1">
        <f t="shared" si="179"/>
        <v>1840717.3299914985</v>
      </c>
      <c r="N624" s="1">
        <f t="shared" si="184"/>
        <v>601</v>
      </c>
      <c r="O624" s="2">
        <f t="shared" si="191"/>
        <v>50</v>
      </c>
      <c r="P624" s="2">
        <f t="shared" si="192"/>
        <v>1</v>
      </c>
      <c r="Q624" s="2">
        <f t="shared" si="193"/>
        <v>50</v>
      </c>
      <c r="R624" s="1">
        <f t="shared" si="185"/>
        <v>79640431.800915033</v>
      </c>
      <c r="S624" s="1">
        <f>IF($G$17="si",S612*(1+$G$20),S612)</f>
        <v>10000</v>
      </c>
      <c r="U624" s="1">
        <f t="shared" si="194"/>
        <v>635143.72840331867</v>
      </c>
      <c r="V624" s="35">
        <f>(V623*(1+$G$18))</f>
        <v>-541.52927098640805</v>
      </c>
      <c r="X624" s="35">
        <f t="shared" si="195"/>
        <v>-80285.575529318347</v>
      </c>
      <c r="Y624" s="1">
        <f t="shared" si="180"/>
        <v>80204748.424518034</v>
      </c>
      <c r="AA624" s="2">
        <f>+Bono!J624</f>
        <v>789925.53193219344</v>
      </c>
      <c r="AC624" s="10">
        <f t="shared" si="186"/>
        <v>50.083333333333336</v>
      </c>
      <c r="AD624" s="1">
        <f t="shared" si="187"/>
        <v>82835391.286441728</v>
      </c>
    </row>
    <row r="625" spans="2:30">
      <c r="B625" s="1">
        <f t="shared" si="181"/>
        <v>602</v>
      </c>
      <c r="C625" s="2">
        <f t="shared" si="188"/>
        <v>50</v>
      </c>
      <c r="D625" s="2">
        <f t="shared" si="189"/>
        <v>2</v>
      </c>
      <c r="E625" s="2">
        <f t="shared" si="190"/>
        <v>79</v>
      </c>
      <c r="F625" s="1">
        <f t="shared" si="182"/>
        <v>1840717.3299914985</v>
      </c>
      <c r="H625" s="1">
        <f t="shared" si="178"/>
        <v>14678.138479269001</v>
      </c>
      <c r="I625" s="1">
        <v>0</v>
      </c>
      <c r="J625" s="1">
        <v>0</v>
      </c>
      <c r="K625" s="1">
        <f t="shared" si="183"/>
        <v>-1855.3954684707676</v>
      </c>
      <c r="L625" s="1">
        <f t="shared" si="179"/>
        <v>1853540.0730022967</v>
      </c>
      <c r="N625" s="1">
        <f t="shared" si="184"/>
        <v>602</v>
      </c>
      <c r="O625" s="2">
        <f t="shared" si="191"/>
        <v>50</v>
      </c>
      <c r="P625" s="2">
        <f t="shared" si="192"/>
        <v>2</v>
      </c>
      <c r="Q625" s="2">
        <f t="shared" si="193"/>
        <v>50</v>
      </c>
      <c r="R625" s="1">
        <f t="shared" si="185"/>
        <v>80204748.424518034</v>
      </c>
      <c r="S625" s="4">
        <f>IF($G$4="mensual",S624,0)</f>
        <v>10000</v>
      </c>
      <c r="U625" s="1">
        <f t="shared" si="194"/>
        <v>639643.66840629373</v>
      </c>
      <c r="V625" s="35">
        <f t="shared" ref="V625:V688" si="196">V624</f>
        <v>-541.52927098640805</v>
      </c>
      <c r="X625" s="35">
        <f t="shared" si="195"/>
        <v>-80854.392092924332</v>
      </c>
      <c r="Y625" s="1">
        <f t="shared" si="180"/>
        <v>80772996.171560407</v>
      </c>
      <c r="AA625" s="2">
        <f>+Bono!J625</f>
        <v>794823.16185586352</v>
      </c>
      <c r="AC625" s="10">
        <f t="shared" si="186"/>
        <v>50.166666666666664</v>
      </c>
      <c r="AD625" s="1">
        <f t="shared" si="187"/>
        <v>83421359.406418562</v>
      </c>
    </row>
    <row r="626" spans="2:30">
      <c r="B626" s="1">
        <f t="shared" si="181"/>
        <v>603</v>
      </c>
      <c r="C626" s="2">
        <f t="shared" si="188"/>
        <v>50</v>
      </c>
      <c r="D626" s="2">
        <f t="shared" si="189"/>
        <v>3</v>
      </c>
      <c r="E626" s="2">
        <f t="shared" si="190"/>
        <v>79</v>
      </c>
      <c r="F626" s="1">
        <f t="shared" si="182"/>
        <v>1853540.0730022967</v>
      </c>
      <c r="H626" s="1">
        <f t="shared" si="178"/>
        <v>14780.38883272085</v>
      </c>
      <c r="I626" s="1">
        <v>0</v>
      </c>
      <c r="J626" s="69">
        <f>-SUM(F626:H626)*$J$21</f>
        <v>-16814.88415651516</v>
      </c>
      <c r="K626" s="1">
        <f t="shared" si="183"/>
        <v>-1851.5055776785025</v>
      </c>
      <c r="L626" s="1">
        <f t="shared" si="179"/>
        <v>1849654.072100824</v>
      </c>
      <c r="N626" s="1">
        <f t="shared" si="184"/>
        <v>603</v>
      </c>
      <c r="O626" s="2">
        <f t="shared" si="191"/>
        <v>50</v>
      </c>
      <c r="P626" s="2">
        <f t="shared" si="192"/>
        <v>3</v>
      </c>
      <c r="Q626" s="2">
        <f t="shared" si="193"/>
        <v>50</v>
      </c>
      <c r="R626" s="1">
        <f t="shared" si="185"/>
        <v>80772996.171560407</v>
      </c>
      <c r="S626" s="4">
        <f>IF($G$4="mensual",S625,0)</f>
        <v>10000</v>
      </c>
      <c r="U626" s="1">
        <f t="shared" si="194"/>
        <v>644174.95573961781</v>
      </c>
      <c r="V626" s="35">
        <f t="shared" si="196"/>
        <v>-541.52927098640805</v>
      </c>
      <c r="X626" s="35">
        <f t="shared" si="195"/>
        <v>-81427.171127300026</v>
      </c>
      <c r="Y626" s="1">
        <f t="shared" si="180"/>
        <v>81345202.426901728</v>
      </c>
      <c r="AA626" s="2">
        <f>+Bono!J626</f>
        <v>792546.19226888765</v>
      </c>
      <c r="AC626" s="10">
        <f t="shared" si="186"/>
        <v>50.25</v>
      </c>
      <c r="AD626" s="1">
        <f t="shared" si="187"/>
        <v>83987402.691271439</v>
      </c>
    </row>
    <row r="627" spans="2:30">
      <c r="B627" s="1">
        <f t="shared" si="181"/>
        <v>604</v>
      </c>
      <c r="C627" s="2">
        <f t="shared" si="188"/>
        <v>50</v>
      </c>
      <c r="D627" s="2">
        <f t="shared" si="189"/>
        <v>4</v>
      </c>
      <c r="E627" s="2">
        <f t="shared" si="190"/>
        <v>79</v>
      </c>
      <c r="F627" s="1">
        <f t="shared" si="182"/>
        <v>1849654.072100824</v>
      </c>
      <c r="H627" s="1">
        <f t="shared" si="178"/>
        <v>14749.401315825658</v>
      </c>
      <c r="I627" s="1">
        <v>0</v>
      </c>
      <c r="J627" s="1">
        <v>0</v>
      </c>
      <c r="K627" s="1">
        <f t="shared" si="183"/>
        <v>-1864.4034734166498</v>
      </c>
      <c r="L627" s="1">
        <f t="shared" si="179"/>
        <v>1862539.0699432332</v>
      </c>
      <c r="N627" s="1">
        <f t="shared" si="184"/>
        <v>604</v>
      </c>
      <c r="O627" s="2">
        <f t="shared" si="191"/>
        <v>50</v>
      </c>
      <c r="P627" s="2">
        <f t="shared" si="192"/>
        <v>4</v>
      </c>
      <c r="Q627" s="2">
        <f t="shared" si="193"/>
        <v>50</v>
      </c>
      <c r="R627" s="1">
        <f t="shared" si="185"/>
        <v>81345202.426901728</v>
      </c>
      <c r="S627" s="4">
        <f>IF($G$4="mensual",S624,IF($G$4="trimestral",S624,0))</f>
        <v>10000</v>
      </c>
      <c r="U627" s="1">
        <f t="shared" si="194"/>
        <v>648737.80877400667</v>
      </c>
      <c r="V627" s="35">
        <f t="shared" si="196"/>
        <v>-541.52927098640805</v>
      </c>
      <c r="X627" s="35">
        <f t="shared" si="195"/>
        <v>-82003.940235675735</v>
      </c>
      <c r="Y627" s="1">
        <f t="shared" si="180"/>
        <v>81921394.766169071</v>
      </c>
      <c r="AA627" s="2">
        <f>+Bono!J627</f>
        <v>797460.07059062307</v>
      </c>
      <c r="AC627" s="10">
        <f t="shared" si="186"/>
        <v>50.333333333333336</v>
      </c>
      <c r="AD627" s="1">
        <f t="shared" si="187"/>
        <v>84581393.906702936</v>
      </c>
    </row>
    <row r="628" spans="2:30">
      <c r="B628" s="1">
        <f t="shared" si="181"/>
        <v>605</v>
      </c>
      <c r="C628" s="2">
        <f t="shared" si="188"/>
        <v>50</v>
      </c>
      <c r="D628" s="2">
        <f t="shared" si="189"/>
        <v>5</v>
      </c>
      <c r="E628" s="2">
        <f t="shared" si="190"/>
        <v>79</v>
      </c>
      <c r="F628" s="1">
        <f t="shared" si="182"/>
        <v>1862539.0699432332</v>
      </c>
      <c r="H628" s="1">
        <f t="shared" si="178"/>
        <v>14852.148098047152</v>
      </c>
      <c r="I628" s="1">
        <v>0</v>
      </c>
      <c r="J628" s="1">
        <v>0</v>
      </c>
      <c r="K628" s="1">
        <f t="shared" si="183"/>
        <v>-1877.3912180412804</v>
      </c>
      <c r="L628" s="1">
        <f t="shared" si="179"/>
        <v>1875513.826823239</v>
      </c>
      <c r="N628" s="1">
        <f t="shared" si="184"/>
        <v>605</v>
      </c>
      <c r="O628" s="2">
        <f t="shared" si="191"/>
        <v>50</v>
      </c>
      <c r="P628" s="2">
        <f t="shared" si="192"/>
        <v>5</v>
      </c>
      <c r="Q628" s="2">
        <f t="shared" si="193"/>
        <v>50</v>
      </c>
      <c r="R628" s="1">
        <f t="shared" si="185"/>
        <v>81921394.766169071</v>
      </c>
      <c r="S628" s="4">
        <f>IF($G$4="mensual",S627,0)</f>
        <v>10000</v>
      </c>
      <c r="U628" s="1">
        <f t="shared" si="194"/>
        <v>653332.44740138308</v>
      </c>
      <c r="V628" s="35">
        <f t="shared" si="196"/>
        <v>-541.52927098640805</v>
      </c>
      <c r="X628" s="35">
        <f t="shared" si="195"/>
        <v>-82584.727213570455</v>
      </c>
      <c r="Y628" s="1">
        <f t="shared" si="180"/>
        <v>82501600.957085893</v>
      </c>
      <c r="AA628" s="2">
        <f>+Bono!J628</f>
        <v>802404.41552792781</v>
      </c>
      <c r="AC628" s="10">
        <f t="shared" si="186"/>
        <v>50.416666666666664</v>
      </c>
      <c r="AD628" s="1">
        <f t="shared" si="187"/>
        <v>85179519.199437052</v>
      </c>
    </row>
    <row r="629" spans="2:30">
      <c r="B629" s="1">
        <f t="shared" si="181"/>
        <v>606</v>
      </c>
      <c r="C629" s="2">
        <f t="shared" si="188"/>
        <v>50</v>
      </c>
      <c r="D629" s="2">
        <f t="shared" si="189"/>
        <v>6</v>
      </c>
      <c r="E629" s="2">
        <f t="shared" si="190"/>
        <v>79</v>
      </c>
      <c r="F629" s="1">
        <f t="shared" si="182"/>
        <v>1875513.826823239</v>
      </c>
      <c r="H629" s="1">
        <f t="shared" si="178"/>
        <v>14955.610631439204</v>
      </c>
      <c r="I629" s="1">
        <v>0</v>
      </c>
      <c r="J629" s="69">
        <f>-SUM(F629:H629)*$J$21</f>
        <v>-17014.224937092105</v>
      </c>
      <c r="K629" s="1">
        <f t="shared" si="183"/>
        <v>-1873.455212517586</v>
      </c>
      <c r="L629" s="1">
        <f t="shared" si="179"/>
        <v>1871581.7573050684</v>
      </c>
      <c r="N629" s="1">
        <f t="shared" si="184"/>
        <v>606</v>
      </c>
      <c r="O629" s="2">
        <f t="shared" si="191"/>
        <v>50</v>
      </c>
      <c r="P629" s="2">
        <f t="shared" si="192"/>
        <v>6</v>
      </c>
      <c r="Q629" s="2">
        <f t="shared" si="193"/>
        <v>50</v>
      </c>
      <c r="R629" s="1">
        <f t="shared" si="185"/>
        <v>82501600.957085893</v>
      </c>
      <c r="S629" s="4">
        <f>IF($G$4="mensual",S628,0)</f>
        <v>10000</v>
      </c>
      <c r="U629" s="1">
        <f t="shared" si="194"/>
        <v>657959.0930454731</v>
      </c>
      <c r="V629" s="35">
        <f t="shared" si="196"/>
        <v>-541.52927098640805</v>
      </c>
      <c r="X629" s="35">
        <f t="shared" si="195"/>
        <v>-83169.56005013136</v>
      </c>
      <c r="Y629" s="1">
        <f t="shared" si="180"/>
        <v>83085848.960810244</v>
      </c>
      <c r="AA629" s="2">
        <f>+Bono!J629</f>
        <v>800105.72754512401</v>
      </c>
      <c r="AC629" s="10">
        <f t="shared" si="186"/>
        <v>50.5</v>
      </c>
      <c r="AD629" s="1">
        <f t="shared" si="187"/>
        <v>85757536.445660442</v>
      </c>
    </row>
    <row r="630" spans="2:30">
      <c r="B630" s="1">
        <f t="shared" si="181"/>
        <v>607</v>
      </c>
      <c r="C630" s="2">
        <f t="shared" si="188"/>
        <v>50</v>
      </c>
      <c r="D630" s="2">
        <f t="shared" si="189"/>
        <v>7</v>
      </c>
      <c r="E630" s="2">
        <f t="shared" si="190"/>
        <v>79</v>
      </c>
      <c r="F630" s="1">
        <f t="shared" si="182"/>
        <v>1871581.7573050684</v>
      </c>
      <c r="H630" s="1">
        <f t="shared" si="178"/>
        <v>14924.255756925098</v>
      </c>
      <c r="I630" s="1">
        <v>0</v>
      </c>
      <c r="J630" s="1">
        <v>0</v>
      </c>
      <c r="K630" s="1">
        <f t="shared" si="183"/>
        <v>-1886.5060130619936</v>
      </c>
      <c r="L630" s="1">
        <f t="shared" si="179"/>
        <v>1884619.5070489314</v>
      </c>
      <c r="N630" s="1">
        <f t="shared" si="184"/>
        <v>607</v>
      </c>
      <c r="O630" s="2">
        <f t="shared" si="191"/>
        <v>50</v>
      </c>
      <c r="P630" s="2">
        <f t="shared" si="192"/>
        <v>7</v>
      </c>
      <c r="Q630" s="2">
        <f t="shared" si="193"/>
        <v>50</v>
      </c>
      <c r="R630" s="1">
        <f t="shared" si="185"/>
        <v>83085848.960810244</v>
      </c>
      <c r="S630" s="1">
        <f>+IF($G$4="mensual",S624,IF($G$4="trimestral",S624,IF($G$4="semestral",S624,0)))</f>
        <v>10000</v>
      </c>
      <c r="U630" s="1">
        <f t="shared" si="194"/>
        <v>662617.96867247787</v>
      </c>
      <c r="V630" s="35">
        <f t="shared" si="196"/>
        <v>-541.52927098640805</v>
      </c>
      <c r="X630" s="35">
        <f t="shared" si="195"/>
        <v>-83758.466929482733</v>
      </c>
      <c r="Y630" s="1">
        <f t="shared" si="180"/>
        <v>83674166.933282256</v>
      </c>
      <c r="AA630" s="2">
        <f>+Bono!J630</f>
        <v>805066.47586242389</v>
      </c>
      <c r="AC630" s="10">
        <f t="shared" si="186"/>
        <v>50.583333333333336</v>
      </c>
      <c r="AD630" s="1">
        <f t="shared" si="187"/>
        <v>86363852.916193619</v>
      </c>
    </row>
    <row r="631" spans="2:30">
      <c r="B631" s="1">
        <f t="shared" si="181"/>
        <v>608</v>
      </c>
      <c r="C631" s="2">
        <f t="shared" si="188"/>
        <v>50</v>
      </c>
      <c r="D631" s="2">
        <f t="shared" si="189"/>
        <v>8</v>
      </c>
      <c r="E631" s="2">
        <f t="shared" si="190"/>
        <v>79</v>
      </c>
      <c r="F631" s="1">
        <f t="shared" si="182"/>
        <v>1884619.5070489314</v>
      </c>
      <c r="H631" s="1">
        <f t="shared" si="178"/>
        <v>15028.220604259566</v>
      </c>
      <c r="I631" s="1">
        <v>0</v>
      </c>
      <c r="J631" s="1">
        <v>0</v>
      </c>
      <c r="K631" s="1">
        <f t="shared" si="183"/>
        <v>-1899.6477276531909</v>
      </c>
      <c r="L631" s="1">
        <f t="shared" si="179"/>
        <v>1897748.0799255378</v>
      </c>
      <c r="N631" s="1">
        <f t="shared" si="184"/>
        <v>608</v>
      </c>
      <c r="O631" s="2">
        <f t="shared" si="191"/>
        <v>50</v>
      </c>
      <c r="P631" s="2">
        <f t="shared" si="192"/>
        <v>8</v>
      </c>
      <c r="Q631" s="2">
        <f t="shared" si="193"/>
        <v>50</v>
      </c>
      <c r="R631" s="1">
        <f t="shared" si="185"/>
        <v>83674166.933282256</v>
      </c>
      <c r="S631" s="4">
        <f>IF($G$4="mensual",S630,0)</f>
        <v>10000</v>
      </c>
      <c r="U631" s="1">
        <f t="shared" si="194"/>
        <v>667309.29880181758</v>
      </c>
      <c r="V631" s="35">
        <f t="shared" si="196"/>
        <v>-541.52927098640805</v>
      </c>
      <c r="X631" s="35">
        <f t="shared" si="195"/>
        <v>-84351.476232084082</v>
      </c>
      <c r="Y631" s="1">
        <f t="shared" si="180"/>
        <v>84266583.226581007</v>
      </c>
      <c r="AA631" s="2">
        <f>+Bono!J631</f>
        <v>810057.98139470222</v>
      </c>
      <c r="AC631" s="10">
        <f t="shared" si="186"/>
        <v>50.666666666666664</v>
      </c>
      <c r="AD631" s="1">
        <f t="shared" si="187"/>
        <v>86974389.287901253</v>
      </c>
    </row>
    <row r="632" spans="2:30">
      <c r="B632" s="1">
        <f t="shared" si="181"/>
        <v>609</v>
      </c>
      <c r="C632" s="2">
        <f t="shared" si="188"/>
        <v>50</v>
      </c>
      <c r="D632" s="2">
        <f t="shared" si="189"/>
        <v>9</v>
      </c>
      <c r="E632" s="2">
        <f t="shared" si="190"/>
        <v>79</v>
      </c>
      <c r="F632" s="1">
        <f t="shared" si="182"/>
        <v>1897748.0799255378</v>
      </c>
      <c r="H632" s="1">
        <f t="shared" si="178"/>
        <v>15132.909688008724</v>
      </c>
      <c r="I632" s="1">
        <v>0</v>
      </c>
      <c r="J632" s="69">
        <f>-SUM(F632:H632)*$J$21</f>
        <v>-17215.92890652192</v>
      </c>
      <c r="K632" s="1">
        <f t="shared" si="183"/>
        <v>-1895.6650607070246</v>
      </c>
      <c r="L632" s="1">
        <f t="shared" si="179"/>
        <v>1893769.3956463174</v>
      </c>
      <c r="N632" s="1">
        <f t="shared" si="184"/>
        <v>609</v>
      </c>
      <c r="O632" s="2">
        <f t="shared" si="191"/>
        <v>50</v>
      </c>
      <c r="P632" s="2">
        <f t="shared" si="192"/>
        <v>9</v>
      </c>
      <c r="Q632" s="2">
        <f t="shared" si="193"/>
        <v>50</v>
      </c>
      <c r="R632" s="1">
        <f t="shared" si="185"/>
        <v>84266583.226581007</v>
      </c>
      <c r="S632" s="4">
        <f>IF($G$4="mensual",S631,0)</f>
        <v>10000</v>
      </c>
      <c r="U632" s="1">
        <f t="shared" si="194"/>
        <v>672033.30951695249</v>
      </c>
      <c r="V632" s="35">
        <f t="shared" si="196"/>
        <v>-541.52927098640805</v>
      </c>
      <c r="X632" s="35">
        <f t="shared" si="195"/>
        <v>-84948.616536097965</v>
      </c>
      <c r="Y632" s="1">
        <f t="shared" si="180"/>
        <v>84863126.390290871</v>
      </c>
      <c r="AA632" s="2">
        <f>+Bono!J632</f>
        <v>807737.36785971664</v>
      </c>
      <c r="AC632" s="10">
        <f t="shared" si="186"/>
        <v>50.75</v>
      </c>
      <c r="AD632" s="1">
        <f t="shared" si="187"/>
        <v>87564633.153796911</v>
      </c>
    </row>
    <row r="633" spans="2:30">
      <c r="B633" s="1">
        <f t="shared" si="181"/>
        <v>610</v>
      </c>
      <c r="C633" s="2">
        <f t="shared" si="188"/>
        <v>50</v>
      </c>
      <c r="D633" s="2">
        <f t="shared" si="189"/>
        <v>10</v>
      </c>
      <c r="E633" s="2">
        <f t="shared" si="190"/>
        <v>79</v>
      </c>
      <c r="F633" s="1">
        <f t="shared" si="182"/>
        <v>1893769.3956463174</v>
      </c>
      <c r="H633" s="1">
        <f t="shared" si="178"/>
        <v>15101.183100843948</v>
      </c>
      <c r="I633" s="1">
        <v>0</v>
      </c>
      <c r="J633" s="1">
        <v>0</v>
      </c>
      <c r="K633" s="1">
        <f t="shared" si="183"/>
        <v>-1908.8705787471615</v>
      </c>
      <c r="L633" s="1">
        <f t="shared" si="179"/>
        <v>1906961.7081684142</v>
      </c>
      <c r="N633" s="1">
        <f t="shared" si="184"/>
        <v>610</v>
      </c>
      <c r="O633" s="2">
        <f t="shared" si="191"/>
        <v>50</v>
      </c>
      <c r="P633" s="2">
        <f t="shared" si="192"/>
        <v>10</v>
      </c>
      <c r="Q633" s="2">
        <f t="shared" si="193"/>
        <v>50</v>
      </c>
      <c r="R633" s="1">
        <f t="shared" si="185"/>
        <v>84863126.390290871</v>
      </c>
      <c r="S633" s="4">
        <f>IF($G$4="mensual",S624,IF($G$4="trimestral",S624,0))</f>
        <v>10000</v>
      </c>
      <c r="U633" s="1">
        <f t="shared" si="194"/>
        <v>676790.22847627744</v>
      </c>
      <c r="V633" s="35">
        <f t="shared" si="196"/>
        <v>-541.52927098640805</v>
      </c>
      <c r="X633" s="35">
        <f t="shared" si="195"/>
        <v>-85549.916618767151</v>
      </c>
      <c r="Y633" s="1">
        <f t="shared" si="180"/>
        <v>85463825.172877386</v>
      </c>
      <c r="AA633" s="2">
        <f>+Bono!J633</f>
        <v>812745.43323218252</v>
      </c>
      <c r="AC633" s="10">
        <f t="shared" si="186"/>
        <v>50.833333333333336</v>
      </c>
      <c r="AD633" s="1">
        <f t="shared" si="187"/>
        <v>88183532.314277992</v>
      </c>
    </row>
    <row r="634" spans="2:30">
      <c r="B634" s="1">
        <f t="shared" si="181"/>
        <v>611</v>
      </c>
      <c r="C634" s="2">
        <f t="shared" si="188"/>
        <v>50</v>
      </c>
      <c r="D634" s="2">
        <f t="shared" si="189"/>
        <v>11</v>
      </c>
      <c r="E634" s="2">
        <f t="shared" si="190"/>
        <v>79</v>
      </c>
      <c r="F634" s="1">
        <f t="shared" si="182"/>
        <v>1906961.7081684142</v>
      </c>
      <c r="H634" s="1">
        <f t="shared" si="178"/>
        <v>15206.380453477133</v>
      </c>
      <c r="I634" s="1">
        <v>0</v>
      </c>
      <c r="J634" s="1">
        <v>0</v>
      </c>
      <c r="K634" s="1">
        <f t="shared" si="183"/>
        <v>-1922.1680886218915</v>
      </c>
      <c r="L634" s="1">
        <f t="shared" si="179"/>
        <v>1920245.9205332694</v>
      </c>
      <c r="N634" s="1">
        <f t="shared" si="184"/>
        <v>611</v>
      </c>
      <c r="O634" s="2">
        <f t="shared" si="191"/>
        <v>50</v>
      </c>
      <c r="P634" s="2">
        <f t="shared" si="192"/>
        <v>11</v>
      </c>
      <c r="Q634" s="2">
        <f t="shared" si="193"/>
        <v>50</v>
      </c>
      <c r="R634" s="1">
        <f t="shared" si="185"/>
        <v>85463825.172877386</v>
      </c>
      <c r="S634" s="1">
        <f>IF($G$17="si",S622*(1+$G$20),S622)</f>
        <v>10000</v>
      </c>
      <c r="U634" s="1">
        <f t="shared" si="194"/>
        <v>681580.28492409387</v>
      </c>
      <c r="V634" s="35">
        <f t="shared" si="196"/>
        <v>-541.52927098640805</v>
      </c>
      <c r="X634" s="35">
        <f t="shared" si="195"/>
        <v>-86155.405457801477</v>
      </c>
      <c r="Y634" s="1">
        <f t="shared" si="180"/>
        <v>86068708.52307269</v>
      </c>
      <c r="AA634" s="2">
        <f>+Bono!J634</f>
        <v>817784.54919085733</v>
      </c>
      <c r="AC634" s="10">
        <f t="shared" si="186"/>
        <v>50.916666666666664</v>
      </c>
      <c r="AD634" s="1">
        <f t="shared" si="187"/>
        <v>88806738.992796823</v>
      </c>
    </row>
    <row r="635" spans="2:30">
      <c r="B635" s="1">
        <f t="shared" si="181"/>
        <v>612</v>
      </c>
      <c r="C635" s="2">
        <f t="shared" si="188"/>
        <v>50</v>
      </c>
      <c r="D635" s="2">
        <f t="shared" si="189"/>
        <v>12</v>
      </c>
      <c r="E635" s="2">
        <f t="shared" si="190"/>
        <v>79</v>
      </c>
      <c r="F635" s="1">
        <f t="shared" si="182"/>
        <v>1920245.9205332694</v>
      </c>
      <c r="H635" s="1">
        <f t="shared" si="178"/>
        <v>15312.310628361869</v>
      </c>
      <c r="I635" s="1">
        <v>0</v>
      </c>
      <c r="J635" s="69">
        <f>-SUM(F635:H635)*$J$21</f>
        <v>-17420.024080454681</v>
      </c>
      <c r="K635" s="1">
        <f t="shared" si="183"/>
        <v>-1918.1382070811767</v>
      </c>
      <c r="L635" s="1">
        <f t="shared" si="179"/>
        <v>1916220.0688740953</v>
      </c>
      <c r="N635" s="1">
        <f t="shared" si="184"/>
        <v>612</v>
      </c>
      <c r="O635" s="2">
        <f t="shared" si="191"/>
        <v>50</v>
      </c>
      <c r="P635" s="2">
        <f t="shared" si="192"/>
        <v>12</v>
      </c>
      <c r="Q635" s="2">
        <f t="shared" si="193"/>
        <v>50</v>
      </c>
      <c r="R635" s="1">
        <f t="shared" si="185"/>
        <v>86068708.52307269</v>
      </c>
      <c r="S635" s="4">
        <f>IF($G$4="mensual",S634,0)</f>
        <v>10000</v>
      </c>
      <c r="U635" s="1">
        <f t="shared" si="194"/>
        <v>686403.70970165695</v>
      </c>
      <c r="V635" s="35">
        <f t="shared" si="196"/>
        <v>-541.52927098640805</v>
      </c>
      <c r="X635" s="35">
        <f t="shared" si="195"/>
        <v>-86765.112232774351</v>
      </c>
      <c r="Y635" s="1">
        <f t="shared" si="180"/>
        <v>86677805.591270581</v>
      </c>
      <c r="AA635" s="2">
        <f>+Bono!J635</f>
        <v>815441.80097141885</v>
      </c>
      <c r="AC635" s="10">
        <f t="shared" si="186"/>
        <v>51</v>
      </c>
      <c r="AD635" s="1">
        <f t="shared" si="187"/>
        <v>89409467.46111609</v>
      </c>
    </row>
    <row r="636" spans="2:30">
      <c r="B636" s="1">
        <f t="shared" si="181"/>
        <v>613</v>
      </c>
      <c r="C636" s="2">
        <f t="shared" si="188"/>
        <v>51</v>
      </c>
      <c r="D636" s="2">
        <f t="shared" si="189"/>
        <v>1</v>
      </c>
      <c r="E636" s="2">
        <f t="shared" si="190"/>
        <v>80</v>
      </c>
      <c r="F636" s="1">
        <f t="shared" si="182"/>
        <v>1916220.0688740953</v>
      </c>
      <c r="H636" s="1">
        <f t="shared" si="178"/>
        <v>15280.20792188568</v>
      </c>
      <c r="I636" s="1">
        <v>0</v>
      </c>
      <c r="J636" s="1">
        <v>0</v>
      </c>
      <c r="K636" s="1">
        <f t="shared" si="183"/>
        <v>-1931.5002767959811</v>
      </c>
      <c r="L636" s="1">
        <f t="shared" si="179"/>
        <v>1929568.7765191849</v>
      </c>
      <c r="N636" s="1">
        <f t="shared" si="184"/>
        <v>613</v>
      </c>
      <c r="O636" s="2">
        <f t="shared" si="191"/>
        <v>51</v>
      </c>
      <c r="P636" s="2">
        <f t="shared" si="192"/>
        <v>1</v>
      </c>
      <c r="Q636" s="2">
        <f t="shared" si="193"/>
        <v>51</v>
      </c>
      <c r="R636" s="1">
        <f t="shared" si="185"/>
        <v>86677805.591270581</v>
      </c>
      <c r="S636" s="1">
        <f>IF($G$17="si",S624*(1+$G$20),S624)</f>
        <v>10000</v>
      </c>
      <c r="U636" s="1">
        <f t="shared" si="194"/>
        <v>691260.73525830056</v>
      </c>
      <c r="V636" s="35">
        <f>(V635*(1+$G$18))</f>
        <v>-563.19044182586435</v>
      </c>
      <c r="X636" s="35">
        <f t="shared" si="195"/>
        <v>-87379.066326528875</v>
      </c>
      <c r="Y636" s="1">
        <f t="shared" si="180"/>
        <v>87291124.069760516</v>
      </c>
      <c r="AA636" s="2">
        <f>+Bono!J636</f>
        <v>820497.6347228362</v>
      </c>
      <c r="AC636" s="10">
        <f t="shared" si="186"/>
        <v>51.083333333333336</v>
      </c>
      <c r="AD636" s="1">
        <f t="shared" si="187"/>
        <v>90041190.481002524</v>
      </c>
    </row>
    <row r="637" spans="2:30">
      <c r="B637" s="1">
        <f t="shared" si="181"/>
        <v>614</v>
      </c>
      <c r="C637" s="2">
        <f t="shared" si="188"/>
        <v>51</v>
      </c>
      <c r="D637" s="2">
        <f t="shared" si="189"/>
        <v>2</v>
      </c>
      <c r="E637" s="2">
        <f t="shared" si="190"/>
        <v>80</v>
      </c>
      <c r="F637" s="1">
        <f t="shared" si="182"/>
        <v>1929568.7765191849</v>
      </c>
      <c r="H637" s="1">
        <f t="shared" si="178"/>
        <v>15386.652391192005</v>
      </c>
      <c r="I637" s="1">
        <v>0</v>
      </c>
      <c r="J637" s="1">
        <v>0</v>
      </c>
      <c r="K637" s="1">
        <f t="shared" si="183"/>
        <v>-1944.9554289103771</v>
      </c>
      <c r="L637" s="1">
        <f t="shared" si="179"/>
        <v>1943010.4734814665</v>
      </c>
      <c r="N637" s="1">
        <f t="shared" si="184"/>
        <v>614</v>
      </c>
      <c r="O637" s="2">
        <f t="shared" si="191"/>
        <v>51</v>
      </c>
      <c r="P637" s="2">
        <f t="shared" si="192"/>
        <v>2</v>
      </c>
      <c r="Q637" s="2">
        <f t="shared" si="193"/>
        <v>51</v>
      </c>
      <c r="R637" s="1">
        <f t="shared" si="185"/>
        <v>87291124.069760516</v>
      </c>
      <c r="S637" s="4">
        <f>IF($G$4="mensual",S636,0)</f>
        <v>10000</v>
      </c>
      <c r="U637" s="1">
        <f t="shared" si="194"/>
        <v>696151.42293342086</v>
      </c>
      <c r="V637" s="35">
        <f t="shared" si="196"/>
        <v>-563.19044182586435</v>
      </c>
      <c r="X637" s="35">
        <f t="shared" si="195"/>
        <v>-87997.275492693938</v>
      </c>
      <c r="Y637" s="1">
        <f t="shared" si="180"/>
        <v>87908715.026759401</v>
      </c>
      <c r="AA637" s="2">
        <f>+Bono!J637</f>
        <v>825584.81522995268</v>
      </c>
      <c r="AC637" s="10">
        <f t="shared" si="186"/>
        <v>51.166666666666664</v>
      </c>
      <c r="AD637" s="1">
        <f t="shared" si="187"/>
        <v>90677310.315470815</v>
      </c>
    </row>
    <row r="638" spans="2:30">
      <c r="B638" s="1">
        <f t="shared" si="181"/>
        <v>615</v>
      </c>
      <c r="C638" s="2">
        <f t="shared" si="188"/>
        <v>51</v>
      </c>
      <c r="D638" s="2">
        <f t="shared" si="189"/>
        <v>3</v>
      </c>
      <c r="E638" s="2">
        <f t="shared" si="190"/>
        <v>80</v>
      </c>
      <c r="F638" s="1">
        <f t="shared" si="182"/>
        <v>1943010.4734814665</v>
      </c>
      <c r="H638" s="1">
        <f t="shared" si="178"/>
        <v>15493.838370372008</v>
      </c>
      <c r="I638" s="1">
        <v>0</v>
      </c>
      <c r="J638" s="69">
        <f>-SUM(F638:H638)*$J$21</f>
        <v>-17626.538806666551</v>
      </c>
      <c r="K638" s="1">
        <f t="shared" si="183"/>
        <v>-1940.877773045172</v>
      </c>
      <c r="L638" s="1">
        <f t="shared" si="179"/>
        <v>1938936.8952721269</v>
      </c>
      <c r="N638" s="1">
        <f t="shared" si="184"/>
        <v>615</v>
      </c>
      <c r="O638" s="2">
        <f t="shared" si="191"/>
        <v>51</v>
      </c>
      <c r="P638" s="2">
        <f t="shared" si="192"/>
        <v>3</v>
      </c>
      <c r="Q638" s="2">
        <f t="shared" si="193"/>
        <v>51</v>
      </c>
      <c r="R638" s="1">
        <f t="shared" si="185"/>
        <v>87908715.026759401</v>
      </c>
      <c r="S638" s="4">
        <f>IF($G$4="mensual",S637,0)</f>
        <v>10000</v>
      </c>
      <c r="U638" s="1">
        <f t="shared" si="194"/>
        <v>701076.17995215103</v>
      </c>
      <c r="V638" s="35">
        <f t="shared" si="196"/>
        <v>-563.19044182586435</v>
      </c>
      <c r="X638" s="35">
        <f t="shared" si="195"/>
        <v>-88619.791206711554</v>
      </c>
      <c r="Y638" s="1">
        <f t="shared" si="180"/>
        <v>88530608.225062996</v>
      </c>
      <c r="AA638" s="2">
        <f>+Bono!J638</f>
        <v>823219.72119902587</v>
      </c>
      <c r="AC638" s="10">
        <f t="shared" si="186"/>
        <v>51.25</v>
      </c>
      <c r="AD638" s="1">
        <f t="shared" si="187"/>
        <v>91292764.841534138</v>
      </c>
    </row>
    <row r="639" spans="2:30">
      <c r="B639" s="1">
        <f t="shared" si="181"/>
        <v>616</v>
      </c>
      <c r="C639" s="2">
        <f t="shared" si="188"/>
        <v>51</v>
      </c>
      <c r="D639" s="2">
        <f t="shared" si="189"/>
        <v>4</v>
      </c>
      <c r="E639" s="2">
        <f t="shared" si="190"/>
        <v>80</v>
      </c>
      <c r="F639" s="1">
        <f t="shared" si="182"/>
        <v>1938936.8952721269</v>
      </c>
      <c r="H639" s="1">
        <f t="shared" si="178"/>
        <v>15461.355085682611</v>
      </c>
      <c r="I639" s="1">
        <v>0</v>
      </c>
      <c r="J639" s="1">
        <v>0</v>
      </c>
      <c r="K639" s="1">
        <f t="shared" si="183"/>
        <v>-1954.3982503578095</v>
      </c>
      <c r="L639" s="1">
        <f t="shared" si="179"/>
        <v>1952443.8521074518</v>
      </c>
      <c r="N639" s="1">
        <f t="shared" si="184"/>
        <v>616</v>
      </c>
      <c r="O639" s="2">
        <f t="shared" si="191"/>
        <v>51</v>
      </c>
      <c r="P639" s="2">
        <f t="shared" si="192"/>
        <v>4</v>
      </c>
      <c r="Q639" s="2">
        <f t="shared" si="193"/>
        <v>51</v>
      </c>
      <c r="R639" s="1">
        <f t="shared" si="185"/>
        <v>88530608.225062996</v>
      </c>
      <c r="S639" s="4">
        <f>IF($G$4="mensual",S636,IF($G$4="trimestral",S636,0))</f>
        <v>10000</v>
      </c>
      <c r="U639" s="1">
        <f t="shared" si="194"/>
        <v>706035.24364720401</v>
      </c>
      <c r="V639" s="35">
        <f t="shared" si="196"/>
        <v>-563.19044182586435</v>
      </c>
      <c r="X639" s="35">
        <f t="shared" si="195"/>
        <v>-89246.643468710201</v>
      </c>
      <c r="Y639" s="1">
        <f t="shared" si="180"/>
        <v>89156833.634799659</v>
      </c>
      <c r="AA639" s="2">
        <f>+Bono!J639</f>
        <v>828323.77895803715</v>
      </c>
      <c r="AC639" s="10">
        <f t="shared" si="186"/>
        <v>51.333333333333336</v>
      </c>
      <c r="AD639" s="1">
        <f t="shared" si="187"/>
        <v>91937601.265865147</v>
      </c>
    </row>
    <row r="640" spans="2:30">
      <c r="B640" s="1">
        <f t="shared" si="181"/>
        <v>617</v>
      </c>
      <c r="C640" s="2">
        <f t="shared" si="188"/>
        <v>51</v>
      </c>
      <c r="D640" s="2">
        <f t="shared" si="189"/>
        <v>5</v>
      </c>
      <c r="E640" s="2">
        <f t="shared" si="190"/>
        <v>80</v>
      </c>
      <c r="F640" s="1">
        <f t="shared" si="182"/>
        <v>1952443.8521074518</v>
      </c>
      <c r="H640" s="1">
        <f t="shared" si="178"/>
        <v>15569.061456254633</v>
      </c>
      <c r="I640" s="1">
        <v>0</v>
      </c>
      <c r="J640" s="1">
        <v>0</v>
      </c>
      <c r="K640" s="1">
        <f t="shared" si="183"/>
        <v>-1968.0129135637064</v>
      </c>
      <c r="L640" s="1">
        <f t="shared" si="179"/>
        <v>1966044.9006501427</v>
      </c>
      <c r="N640" s="1">
        <f t="shared" si="184"/>
        <v>617</v>
      </c>
      <c r="O640" s="2">
        <f t="shared" si="191"/>
        <v>51</v>
      </c>
      <c r="P640" s="2">
        <f t="shared" si="192"/>
        <v>5</v>
      </c>
      <c r="Q640" s="2">
        <f t="shared" si="193"/>
        <v>51</v>
      </c>
      <c r="R640" s="1">
        <f t="shared" si="185"/>
        <v>89156833.634799659</v>
      </c>
      <c r="S640" s="4">
        <f>IF($G$4="mensual",S639,0)</f>
        <v>10000</v>
      </c>
      <c r="U640" s="1">
        <f t="shared" si="194"/>
        <v>711028.85300459201</v>
      </c>
      <c r="V640" s="35">
        <f t="shared" si="196"/>
        <v>-563.19044182586435</v>
      </c>
      <c r="X640" s="35">
        <f t="shared" si="195"/>
        <v>-89877.862487804246</v>
      </c>
      <c r="Y640" s="1">
        <f t="shared" si="180"/>
        <v>89787421.434874609</v>
      </c>
      <c r="AA640" s="2">
        <f>+Bono!J640</f>
        <v>833459.48246718838</v>
      </c>
      <c r="AC640" s="10">
        <f t="shared" si="186"/>
        <v>51.416666666666664</v>
      </c>
      <c r="AD640" s="1">
        <f t="shared" si="187"/>
        <v>92586925.817991942</v>
      </c>
    </row>
    <row r="641" spans="2:30">
      <c r="B641" s="1">
        <f t="shared" si="181"/>
        <v>618</v>
      </c>
      <c r="C641" s="2">
        <f t="shared" si="188"/>
        <v>51</v>
      </c>
      <c r="D641" s="2">
        <f t="shared" si="189"/>
        <v>6</v>
      </c>
      <c r="E641" s="2">
        <f t="shared" si="190"/>
        <v>80</v>
      </c>
      <c r="F641" s="1">
        <f t="shared" si="182"/>
        <v>1966044.9006501427</v>
      </c>
      <c r="H641" s="1">
        <f t="shared" si="178"/>
        <v>15677.518127314388</v>
      </c>
      <c r="I641" s="1">
        <v>0</v>
      </c>
      <c r="J641" s="69">
        <f>-SUM(F641:H641)*$J$21</f>
        <v>-17835.501768997114</v>
      </c>
      <c r="K641" s="1">
        <f t="shared" si="183"/>
        <v>-1963.8869170084599</v>
      </c>
      <c r="L641" s="1">
        <f t="shared" si="179"/>
        <v>1961923.0300914512</v>
      </c>
      <c r="N641" s="1">
        <f t="shared" si="184"/>
        <v>618</v>
      </c>
      <c r="O641" s="2">
        <f t="shared" si="191"/>
        <v>51</v>
      </c>
      <c r="P641" s="2">
        <f t="shared" si="192"/>
        <v>6</v>
      </c>
      <c r="Q641" s="2">
        <f t="shared" si="193"/>
        <v>51</v>
      </c>
      <c r="R641" s="1">
        <f t="shared" si="185"/>
        <v>89787421.434874609</v>
      </c>
      <c r="S641" s="4">
        <f>IF($G$4="mensual",S640,0)</f>
        <v>10000</v>
      </c>
      <c r="U641" s="1">
        <f t="shared" si="194"/>
        <v>716057.24867514311</v>
      </c>
      <c r="V641" s="35">
        <f t="shared" si="196"/>
        <v>-563.19044182586435</v>
      </c>
      <c r="X641" s="35">
        <f t="shared" si="195"/>
        <v>-90513.478683549751</v>
      </c>
      <c r="Y641" s="1">
        <f t="shared" si="180"/>
        <v>90422402.014424369</v>
      </c>
      <c r="AA641" s="2">
        <f>+Bono!J641</f>
        <v>831071.82948394713</v>
      </c>
      <c r="AC641" s="10">
        <f t="shared" si="186"/>
        <v>51.5</v>
      </c>
      <c r="AD641" s="1">
        <f t="shared" si="187"/>
        <v>93215396.87399976</v>
      </c>
    </row>
    <row r="642" spans="2:30">
      <c r="B642" s="1">
        <f t="shared" si="181"/>
        <v>619</v>
      </c>
      <c r="C642" s="2">
        <f t="shared" si="188"/>
        <v>51</v>
      </c>
      <c r="D642" s="2">
        <f t="shared" si="189"/>
        <v>7</v>
      </c>
      <c r="E642" s="2">
        <f t="shared" si="190"/>
        <v>80</v>
      </c>
      <c r="F642" s="1">
        <f t="shared" si="182"/>
        <v>1961923.0300914512</v>
      </c>
      <c r="H642" s="1">
        <f t="shared" si="178"/>
        <v>15644.649752649619</v>
      </c>
      <c r="I642" s="1">
        <v>0</v>
      </c>
      <c r="J642" s="1">
        <v>0</v>
      </c>
      <c r="K642" s="1">
        <f t="shared" si="183"/>
        <v>-1977.5676798441009</v>
      </c>
      <c r="L642" s="1">
        <f t="shared" si="179"/>
        <v>1975590.1121642569</v>
      </c>
      <c r="N642" s="1">
        <f t="shared" si="184"/>
        <v>619</v>
      </c>
      <c r="O642" s="2">
        <f t="shared" si="191"/>
        <v>51</v>
      </c>
      <c r="P642" s="2">
        <f t="shared" si="192"/>
        <v>7</v>
      </c>
      <c r="Q642" s="2">
        <f t="shared" si="193"/>
        <v>51</v>
      </c>
      <c r="R642" s="1">
        <f t="shared" si="185"/>
        <v>90422402.014424369</v>
      </c>
      <c r="S642" s="1">
        <f>+IF($G$4="mensual",S636,IF($G$4="trimestral",S636,IF($G$4="semestral",S636,0)))</f>
        <v>10000</v>
      </c>
      <c r="U642" s="1">
        <f t="shared" si="194"/>
        <v>721120.67298609961</v>
      </c>
      <c r="V642" s="35">
        <f t="shared" si="196"/>
        <v>-563.19044182586435</v>
      </c>
      <c r="X642" s="35">
        <f t="shared" si="195"/>
        <v>-91153.52268741047</v>
      </c>
      <c r="Y642" s="1">
        <f t="shared" si="180"/>
        <v>91061805.974281237</v>
      </c>
      <c r="AA642" s="2">
        <f>+Bono!J642</f>
        <v>836224.57122511312</v>
      </c>
      <c r="AC642" s="10">
        <f t="shared" si="186"/>
        <v>51.583333333333336</v>
      </c>
      <c r="AD642" s="1">
        <f t="shared" si="187"/>
        <v>93873620.657670602</v>
      </c>
    </row>
    <row r="643" spans="2:30">
      <c r="B643" s="1">
        <f t="shared" si="181"/>
        <v>620</v>
      </c>
      <c r="C643" s="2">
        <f t="shared" si="188"/>
        <v>51</v>
      </c>
      <c r="D643" s="2">
        <f t="shared" si="189"/>
        <v>8</v>
      </c>
      <c r="E643" s="2">
        <f t="shared" si="190"/>
        <v>80</v>
      </c>
      <c r="F643" s="1">
        <f t="shared" si="182"/>
        <v>1975590.1121642569</v>
      </c>
      <c r="H643" s="1">
        <f t="shared" si="178"/>
        <v>15753.632984351523</v>
      </c>
      <c r="I643" s="1">
        <v>0</v>
      </c>
      <c r="J643" s="1">
        <v>0</v>
      </c>
      <c r="K643" s="1">
        <f t="shared" si="183"/>
        <v>-1991.3437451486086</v>
      </c>
      <c r="L643" s="1">
        <f t="shared" si="179"/>
        <v>1989352.40140346</v>
      </c>
      <c r="N643" s="1">
        <f t="shared" si="184"/>
        <v>620</v>
      </c>
      <c r="O643" s="2">
        <f t="shared" si="191"/>
        <v>51</v>
      </c>
      <c r="P643" s="2">
        <f t="shared" si="192"/>
        <v>8</v>
      </c>
      <c r="Q643" s="2">
        <f t="shared" si="193"/>
        <v>51</v>
      </c>
      <c r="R643" s="1">
        <f t="shared" si="185"/>
        <v>91061805.974281237</v>
      </c>
      <c r="S643" s="4">
        <f>IF($G$4="mensual",S642,0)</f>
        <v>10000</v>
      </c>
      <c r="U643" s="1">
        <f t="shared" si="194"/>
        <v>726219.36995279533</v>
      </c>
      <c r="V643" s="35">
        <f t="shared" si="196"/>
        <v>-563.19044182586435</v>
      </c>
      <c r="X643" s="35">
        <f t="shared" si="195"/>
        <v>-91798.025344234033</v>
      </c>
      <c r="Y643" s="1">
        <f t="shared" si="180"/>
        <v>91705664.128447965</v>
      </c>
      <c r="AA643" s="2">
        <f>+Bono!J643</f>
        <v>841409.26056275552</v>
      </c>
      <c r="AC643" s="10">
        <f t="shared" si="186"/>
        <v>51.666666666666664</v>
      </c>
      <c r="AD643" s="1">
        <f t="shared" si="187"/>
        <v>94536425.790414184</v>
      </c>
    </row>
    <row r="644" spans="2:30">
      <c r="B644" s="1">
        <f t="shared" si="181"/>
        <v>621</v>
      </c>
      <c r="C644" s="2">
        <f t="shared" si="188"/>
        <v>51</v>
      </c>
      <c r="D644" s="2">
        <f t="shared" si="189"/>
        <v>9</v>
      </c>
      <c r="E644" s="2">
        <f t="shared" si="190"/>
        <v>80</v>
      </c>
      <c r="F644" s="1">
        <f t="shared" si="182"/>
        <v>1989352.40140346</v>
      </c>
      <c r="H644" s="1">
        <f t="shared" si="178"/>
        <v>15863.375411368119</v>
      </c>
      <c r="I644" s="1">
        <v>0</v>
      </c>
      <c r="J644" s="69">
        <f>-SUM(F644:H644)*$J$21</f>
        <v>-18046.941991333457</v>
      </c>
      <c r="K644" s="1">
        <f t="shared" si="183"/>
        <v>-1987.1688348234948</v>
      </c>
      <c r="L644" s="1">
        <f t="shared" si="179"/>
        <v>1985181.6659886714</v>
      </c>
      <c r="N644" s="1">
        <f t="shared" si="184"/>
        <v>621</v>
      </c>
      <c r="O644" s="2">
        <f t="shared" si="191"/>
        <v>51</v>
      </c>
      <c r="P644" s="2">
        <f t="shared" si="192"/>
        <v>9</v>
      </c>
      <c r="Q644" s="2">
        <f t="shared" si="193"/>
        <v>51</v>
      </c>
      <c r="R644" s="1">
        <f t="shared" si="185"/>
        <v>91705664.128447965</v>
      </c>
      <c r="S644" s="4">
        <f>IF($G$4="mensual",S643,0)</f>
        <v>10000</v>
      </c>
      <c r="U644" s="1">
        <f t="shared" si="194"/>
        <v>731353.58529041568</v>
      </c>
      <c r="V644" s="35">
        <f t="shared" si="196"/>
        <v>-563.19044182586435</v>
      </c>
      <c r="X644" s="35">
        <f t="shared" si="195"/>
        <v>-92447.017713738387</v>
      </c>
      <c r="Y644" s="1">
        <f t="shared" si="180"/>
        <v>92354007.505582809</v>
      </c>
      <c r="AA644" s="2">
        <f>+Bono!J644</f>
        <v>838998.83345337457</v>
      </c>
      <c r="AC644" s="10">
        <f t="shared" si="186"/>
        <v>51.75</v>
      </c>
      <c r="AD644" s="1">
        <f t="shared" si="187"/>
        <v>95178188.00502485</v>
      </c>
    </row>
    <row r="645" spans="2:30">
      <c r="B645" s="1">
        <f t="shared" si="181"/>
        <v>622</v>
      </c>
      <c r="C645" s="2">
        <f t="shared" si="188"/>
        <v>51</v>
      </c>
      <c r="D645" s="2">
        <f t="shared" si="189"/>
        <v>10</v>
      </c>
      <c r="E645" s="2">
        <f t="shared" si="190"/>
        <v>80</v>
      </c>
      <c r="F645" s="1">
        <f t="shared" si="182"/>
        <v>1985181.6659886714</v>
      </c>
      <c r="H645" s="1">
        <f t="shared" si="178"/>
        <v>15830.117381478793</v>
      </c>
      <c r="I645" s="1">
        <v>0</v>
      </c>
      <c r="J645" s="1">
        <v>0</v>
      </c>
      <c r="K645" s="1">
        <f t="shared" si="183"/>
        <v>-2001.0117833701504</v>
      </c>
      <c r="L645" s="1">
        <f t="shared" si="179"/>
        <v>1999010.7715867802</v>
      </c>
      <c r="N645" s="1">
        <f t="shared" si="184"/>
        <v>622</v>
      </c>
      <c r="O645" s="2">
        <f t="shared" si="191"/>
        <v>51</v>
      </c>
      <c r="P645" s="2">
        <f t="shared" si="192"/>
        <v>10</v>
      </c>
      <c r="Q645" s="2">
        <f t="shared" si="193"/>
        <v>51</v>
      </c>
      <c r="R645" s="1">
        <f t="shared" si="185"/>
        <v>92354007.505582809</v>
      </c>
      <c r="S645" s="4">
        <f>IF($G$4="mensual",S636,IF($G$4="trimestral",S636,0))</f>
        <v>10000</v>
      </c>
      <c r="U645" s="1">
        <f t="shared" si="194"/>
        <v>736523.56642583862</v>
      </c>
      <c r="V645" s="35">
        <f t="shared" si="196"/>
        <v>-563.19044182586435</v>
      </c>
      <c r="X645" s="35">
        <f t="shared" si="195"/>
        <v>-93100.531072008656</v>
      </c>
      <c r="Y645" s="1">
        <f t="shared" si="180"/>
        <v>93006867.350494817</v>
      </c>
      <c r="AA645" s="2">
        <f>+Bono!J645</f>
        <v>844200.72353862668</v>
      </c>
      <c r="AC645" s="10">
        <f t="shared" si="186"/>
        <v>51.833333333333336</v>
      </c>
      <c r="AD645" s="1">
        <f t="shared" si="187"/>
        <v>95850078.845620215</v>
      </c>
    </row>
    <row r="646" spans="2:30">
      <c r="B646" s="1">
        <f t="shared" si="181"/>
        <v>623</v>
      </c>
      <c r="C646" s="2">
        <f t="shared" si="188"/>
        <v>51</v>
      </c>
      <c r="D646" s="2">
        <f t="shared" si="189"/>
        <v>11</v>
      </c>
      <c r="E646" s="2">
        <f t="shared" si="190"/>
        <v>80</v>
      </c>
      <c r="F646" s="1">
        <f t="shared" si="182"/>
        <v>1999010.7715867802</v>
      </c>
      <c r="H646" s="1">
        <f t="shared" si="178"/>
        <v>15940.392611524252</v>
      </c>
      <c r="I646" s="1">
        <v>0</v>
      </c>
      <c r="J646" s="1">
        <v>0</v>
      </c>
      <c r="K646" s="1">
        <f t="shared" si="183"/>
        <v>-2014.9511641983045</v>
      </c>
      <c r="L646" s="1">
        <f t="shared" si="179"/>
        <v>2012936.2130341062</v>
      </c>
      <c r="N646" s="1">
        <f t="shared" si="184"/>
        <v>623</v>
      </c>
      <c r="O646" s="2">
        <f t="shared" si="191"/>
        <v>51</v>
      </c>
      <c r="P646" s="2">
        <f t="shared" si="192"/>
        <v>11</v>
      </c>
      <c r="Q646" s="2">
        <f t="shared" si="193"/>
        <v>51</v>
      </c>
      <c r="R646" s="1">
        <f t="shared" si="185"/>
        <v>93006867.350494817</v>
      </c>
      <c r="S646" s="1">
        <f>IF($G$17="si",S634*(1+$G$20),S634)</f>
        <v>10000</v>
      </c>
      <c r="U646" s="1">
        <f t="shared" si="194"/>
        <v>741729.56250955933</v>
      </c>
      <c r="V646" s="35">
        <f t="shared" si="196"/>
        <v>-563.19044182586435</v>
      </c>
      <c r="X646" s="35">
        <f t="shared" si="195"/>
        <v>-93758.596913004381</v>
      </c>
      <c r="Y646" s="1">
        <f t="shared" si="180"/>
        <v>93664275.125649542</v>
      </c>
      <c r="AA646" s="2">
        <f>+Bono!J646</f>
        <v>849434.86594578926</v>
      </c>
      <c r="AC646" s="10">
        <f t="shared" si="186"/>
        <v>51.916666666666664</v>
      </c>
      <c r="AD646" s="1">
        <f t="shared" si="187"/>
        <v>96526646.204629436</v>
      </c>
    </row>
    <row r="647" spans="2:30">
      <c r="B647" s="1">
        <f t="shared" si="181"/>
        <v>624</v>
      </c>
      <c r="C647" s="2">
        <f t="shared" si="188"/>
        <v>51</v>
      </c>
      <c r="D647" s="2">
        <f t="shared" si="189"/>
        <v>12</v>
      </c>
      <c r="E647" s="2">
        <f t="shared" si="190"/>
        <v>80</v>
      </c>
      <c r="F647" s="1">
        <f t="shared" si="182"/>
        <v>2012936.2130341062</v>
      </c>
      <c r="H647" s="1">
        <f t="shared" si="178"/>
        <v>16051.436037159707</v>
      </c>
      <c r="I647" s="1">
        <v>0</v>
      </c>
      <c r="J647" s="69">
        <f>-SUM(F647:H647)*$J$21</f>
        <v>-18260.888841641397</v>
      </c>
      <c r="K647" s="1">
        <f t="shared" si="183"/>
        <v>-2010.7267602296247</v>
      </c>
      <c r="L647" s="1">
        <f t="shared" si="179"/>
        <v>2008716.033469395</v>
      </c>
      <c r="N647" s="1">
        <f t="shared" si="184"/>
        <v>624</v>
      </c>
      <c r="O647" s="2">
        <f t="shared" si="191"/>
        <v>51</v>
      </c>
      <c r="P647" s="2">
        <f t="shared" si="192"/>
        <v>12</v>
      </c>
      <c r="Q647" s="2">
        <f t="shared" si="193"/>
        <v>51</v>
      </c>
      <c r="R647" s="1">
        <f t="shared" si="185"/>
        <v>93664275.125649542</v>
      </c>
      <c r="S647" s="4">
        <f>IF($G$4="mensual",S646,0)</f>
        <v>10000</v>
      </c>
      <c r="U647" s="1">
        <f t="shared" si="194"/>
        <v>746971.82442769629</v>
      </c>
      <c r="V647" s="35">
        <f t="shared" si="196"/>
        <v>-563.19044182586435</v>
      </c>
      <c r="X647" s="35">
        <f t="shared" si="195"/>
        <v>-94421.246950077242</v>
      </c>
      <c r="Y647" s="1">
        <f t="shared" si="180"/>
        <v>94326262.512685329</v>
      </c>
      <c r="AA647" s="2">
        <f>+Bono!J647</f>
        <v>847001.44748405321</v>
      </c>
      <c r="AC647" s="10">
        <f t="shared" si="186"/>
        <v>52</v>
      </c>
      <c r="AD647" s="1">
        <f t="shared" si="187"/>
        <v>97181979.993638769</v>
      </c>
    </row>
    <row r="648" spans="2:30">
      <c r="B648" s="1">
        <f t="shared" si="181"/>
        <v>625</v>
      </c>
      <c r="C648" s="2">
        <f t="shared" si="188"/>
        <v>52</v>
      </c>
      <c r="D648" s="2">
        <f t="shared" si="189"/>
        <v>1</v>
      </c>
      <c r="E648" s="2">
        <f t="shared" si="190"/>
        <v>81</v>
      </c>
      <c r="F648" s="1">
        <f t="shared" si="182"/>
        <v>2008716.033469395</v>
      </c>
      <c r="H648" s="1">
        <f t="shared" si="178"/>
        <v>16017.783732675509</v>
      </c>
      <c r="I648" s="1">
        <v>0</v>
      </c>
      <c r="J648" s="1">
        <v>0</v>
      </c>
      <c r="K648" s="1">
        <f t="shared" si="183"/>
        <v>-2024.7338172020704</v>
      </c>
      <c r="L648" s="1">
        <f t="shared" si="179"/>
        <v>2022709.0833848685</v>
      </c>
      <c r="N648" s="1">
        <f t="shared" si="184"/>
        <v>625</v>
      </c>
      <c r="O648" s="2">
        <f t="shared" si="191"/>
        <v>52</v>
      </c>
      <c r="P648" s="2">
        <f t="shared" si="192"/>
        <v>1</v>
      </c>
      <c r="Q648" s="2">
        <f t="shared" si="193"/>
        <v>52</v>
      </c>
      <c r="R648" s="1">
        <f t="shared" si="185"/>
        <v>94326262.512685329</v>
      </c>
      <c r="S648" s="1">
        <f>IF($G$17="si",S636*(1+$G$20),S636)</f>
        <v>10000</v>
      </c>
      <c r="U648" s="1">
        <f t="shared" si="194"/>
        <v>752250.60481408273</v>
      </c>
      <c r="V648" s="35">
        <f>(V647*(1+$G$18))</f>
        <v>-585.71805949889892</v>
      </c>
      <c r="X648" s="35">
        <f t="shared" si="195"/>
        <v>-95088.513117499417</v>
      </c>
      <c r="Y648" s="1">
        <f t="shared" si="180"/>
        <v>94992838.886322424</v>
      </c>
      <c r="AA648" s="2">
        <f>+Bono!J648</f>
        <v>852252.95470454125</v>
      </c>
      <c r="AC648" s="10">
        <f t="shared" si="186"/>
        <v>52.083333333333336</v>
      </c>
      <c r="AD648" s="1">
        <f t="shared" si="187"/>
        <v>97867800.924411833</v>
      </c>
    </row>
    <row r="649" spans="2:30">
      <c r="B649" s="1">
        <f t="shared" si="181"/>
        <v>626</v>
      </c>
      <c r="C649" s="2">
        <f t="shared" si="188"/>
        <v>52</v>
      </c>
      <c r="D649" s="2">
        <f t="shared" si="189"/>
        <v>2</v>
      </c>
      <c r="E649" s="2">
        <f t="shared" si="190"/>
        <v>81</v>
      </c>
      <c r="F649" s="1">
        <f t="shared" si="182"/>
        <v>2022709.0833848685</v>
      </c>
      <c r="H649" s="1">
        <f t="shared" si="178"/>
        <v>16129.366277730154</v>
      </c>
      <c r="I649" s="1">
        <v>0</v>
      </c>
      <c r="J649" s="1">
        <v>0</v>
      </c>
      <c r="K649" s="1">
        <f t="shared" si="183"/>
        <v>-2038.8384496625986</v>
      </c>
      <c r="L649" s="1">
        <f t="shared" si="179"/>
        <v>2036799.611212936</v>
      </c>
      <c r="N649" s="1">
        <f t="shared" si="184"/>
        <v>626</v>
      </c>
      <c r="O649" s="2">
        <f t="shared" si="191"/>
        <v>52</v>
      </c>
      <c r="P649" s="2">
        <f t="shared" si="192"/>
        <v>2</v>
      </c>
      <c r="Q649" s="2">
        <f t="shared" si="193"/>
        <v>52</v>
      </c>
      <c r="R649" s="1">
        <f t="shared" si="185"/>
        <v>94992838.886322424</v>
      </c>
      <c r="S649" s="4">
        <f>IF($G$4="mensual",S648,0)</f>
        <v>10000</v>
      </c>
      <c r="U649" s="1">
        <f t="shared" si="194"/>
        <v>757565.97842405434</v>
      </c>
      <c r="V649" s="35">
        <f t="shared" si="196"/>
        <v>-585.71805949889892</v>
      </c>
      <c r="X649" s="35">
        <f t="shared" si="195"/>
        <v>-95760.404864746481</v>
      </c>
      <c r="Y649" s="1">
        <f t="shared" si="180"/>
        <v>95664058.741822243</v>
      </c>
      <c r="AA649" s="2">
        <f>+Bono!J649</f>
        <v>857537.02187893353</v>
      </c>
      <c r="AC649" s="10">
        <f t="shared" si="186"/>
        <v>52.166666666666664</v>
      </c>
      <c r="AD649" s="1">
        <f t="shared" si="187"/>
        <v>98558395.37491411</v>
      </c>
    </row>
    <row r="650" spans="2:30">
      <c r="B650" s="1">
        <f t="shared" si="181"/>
        <v>627</v>
      </c>
      <c r="C650" s="2">
        <f t="shared" si="188"/>
        <v>52</v>
      </c>
      <c r="D650" s="2">
        <f t="shared" si="189"/>
        <v>3</v>
      </c>
      <c r="E650" s="2">
        <f t="shared" si="190"/>
        <v>81</v>
      </c>
      <c r="F650" s="1">
        <f t="shared" si="182"/>
        <v>2036799.611212936</v>
      </c>
      <c r="H650" s="1">
        <f t="shared" si="178"/>
        <v>16241.726125348541</v>
      </c>
      <c r="I650" s="1">
        <v>0</v>
      </c>
      <c r="J650" s="69">
        <f>-SUM(F650:H650)*$J$21</f>
        <v>-18477.372036044562</v>
      </c>
      <c r="K650" s="1">
        <f t="shared" si="183"/>
        <v>-2034.5639653022401</v>
      </c>
      <c r="L650" s="1">
        <f t="shared" si="179"/>
        <v>2032529.4013369379</v>
      </c>
      <c r="N650" s="1">
        <f t="shared" si="184"/>
        <v>627</v>
      </c>
      <c r="O650" s="2">
        <f t="shared" si="191"/>
        <v>52</v>
      </c>
      <c r="P650" s="2">
        <f t="shared" si="192"/>
        <v>3</v>
      </c>
      <c r="Q650" s="2">
        <f t="shared" si="193"/>
        <v>52</v>
      </c>
      <c r="R650" s="1">
        <f t="shared" si="185"/>
        <v>95664058.741822243</v>
      </c>
      <c r="S650" s="4">
        <f>IF($G$4="mensual",S649,0)</f>
        <v>10000</v>
      </c>
      <c r="U650" s="1">
        <f t="shared" si="194"/>
        <v>762918.37981047831</v>
      </c>
      <c r="V650" s="35">
        <f t="shared" si="196"/>
        <v>-585.71805949889892</v>
      </c>
      <c r="X650" s="35">
        <f t="shared" si="195"/>
        <v>-96436.977121632721</v>
      </c>
      <c r="Y650" s="1">
        <f t="shared" si="180"/>
        <v>96339954.426451594</v>
      </c>
      <c r="AA650" s="2">
        <f>+Bono!J650</f>
        <v>855080.3927666602</v>
      </c>
      <c r="AC650" s="10">
        <f t="shared" si="186"/>
        <v>52.25</v>
      </c>
      <c r="AD650" s="1">
        <f t="shared" si="187"/>
        <v>99227564.220555186</v>
      </c>
    </row>
    <row r="651" spans="2:30">
      <c r="B651" s="1">
        <f t="shared" si="181"/>
        <v>628</v>
      </c>
      <c r="C651" s="2">
        <f t="shared" si="188"/>
        <v>52</v>
      </c>
      <c r="D651" s="2">
        <f t="shared" si="189"/>
        <v>4</v>
      </c>
      <c r="E651" s="2">
        <f t="shared" si="190"/>
        <v>81</v>
      </c>
      <c r="F651" s="1">
        <f t="shared" si="182"/>
        <v>2032529.4013369379</v>
      </c>
      <c r="H651" s="1">
        <f t="shared" si="178"/>
        <v>16207.674872136442</v>
      </c>
      <c r="I651" s="1">
        <v>0</v>
      </c>
      <c r="J651" s="1">
        <v>0</v>
      </c>
      <c r="K651" s="1">
        <f t="shared" si="183"/>
        <v>-2048.7370762090745</v>
      </c>
      <c r="L651" s="1">
        <f t="shared" si="179"/>
        <v>2046688.3391328652</v>
      </c>
      <c r="N651" s="1">
        <f t="shared" si="184"/>
        <v>628</v>
      </c>
      <c r="O651" s="2">
        <f t="shared" si="191"/>
        <v>52</v>
      </c>
      <c r="P651" s="2">
        <f t="shared" si="192"/>
        <v>4</v>
      </c>
      <c r="Q651" s="2">
        <f t="shared" si="193"/>
        <v>52</v>
      </c>
      <c r="R651" s="1">
        <f t="shared" si="185"/>
        <v>96339954.426451594</v>
      </c>
      <c r="S651" s="4">
        <f>IF($G$4="mensual",S648,IF($G$4="trimestral",S648,0))</f>
        <v>10000</v>
      </c>
      <c r="U651" s="1">
        <f t="shared" si="194"/>
        <v>768308.06691500288</v>
      </c>
      <c r="V651" s="35">
        <f t="shared" si="196"/>
        <v>-585.71805949889892</v>
      </c>
      <c r="X651" s="35">
        <f t="shared" si="195"/>
        <v>-97118.262493366594</v>
      </c>
      <c r="Y651" s="1">
        <f t="shared" si="180"/>
        <v>97020558.512813732</v>
      </c>
      <c r="AA651" s="2">
        <f>+Bono!J651</f>
        <v>860381.99038500001</v>
      </c>
      <c r="AC651" s="10">
        <f t="shared" si="186"/>
        <v>52.333333333333336</v>
      </c>
      <c r="AD651" s="1">
        <f t="shared" si="187"/>
        <v>99927628.842331588</v>
      </c>
    </row>
    <row r="652" spans="2:30">
      <c r="B652" s="1">
        <f t="shared" si="181"/>
        <v>629</v>
      </c>
      <c r="C652" s="2">
        <f t="shared" si="188"/>
        <v>52</v>
      </c>
      <c r="D652" s="2">
        <f t="shared" si="189"/>
        <v>5</v>
      </c>
      <c r="E652" s="2">
        <f t="shared" si="190"/>
        <v>81</v>
      </c>
      <c r="F652" s="1">
        <f t="shared" si="182"/>
        <v>2046688.3391328652</v>
      </c>
      <c r="H652" s="1">
        <f t="shared" si="178"/>
        <v>16320.580230445279</v>
      </c>
      <c r="I652" s="1">
        <v>0</v>
      </c>
      <c r="J652" s="1">
        <v>0</v>
      </c>
      <c r="K652" s="1">
        <f t="shared" si="183"/>
        <v>-2063.0089193633107</v>
      </c>
      <c r="L652" s="1">
        <f t="shared" si="179"/>
        <v>2060945.9104439472</v>
      </c>
      <c r="N652" s="1">
        <f t="shared" si="184"/>
        <v>629</v>
      </c>
      <c r="O652" s="2">
        <f t="shared" si="191"/>
        <v>52</v>
      </c>
      <c r="P652" s="2">
        <f t="shared" si="192"/>
        <v>5</v>
      </c>
      <c r="Q652" s="2">
        <f t="shared" si="193"/>
        <v>52</v>
      </c>
      <c r="R652" s="1">
        <f t="shared" si="185"/>
        <v>97020558.512813732</v>
      </c>
      <c r="S652" s="4">
        <f>IF($G$4="mensual",S651,0)</f>
        <v>10000</v>
      </c>
      <c r="U652" s="1">
        <f t="shared" si="194"/>
        <v>773735.2994761403</v>
      </c>
      <c r="V652" s="35">
        <f t="shared" si="196"/>
        <v>-585.71805949889892</v>
      </c>
      <c r="X652" s="35">
        <f t="shared" si="195"/>
        <v>-97804.293812289878</v>
      </c>
      <c r="Y652" s="1">
        <f t="shared" si="180"/>
        <v>97705903.800418094</v>
      </c>
      <c r="AA652" s="2">
        <f>+Bono!J652</f>
        <v>865716.45852352085</v>
      </c>
      <c r="AC652" s="10">
        <f t="shared" si="186"/>
        <v>52.416666666666664</v>
      </c>
      <c r="AD652" s="1">
        <f t="shared" si="187"/>
        <v>100632566.16938557</v>
      </c>
    </row>
    <row r="653" spans="2:30">
      <c r="B653" s="1">
        <f t="shared" si="181"/>
        <v>630</v>
      </c>
      <c r="C653" s="2">
        <f t="shared" si="188"/>
        <v>52</v>
      </c>
      <c r="D653" s="2">
        <f t="shared" si="189"/>
        <v>6</v>
      </c>
      <c r="E653" s="2">
        <f t="shared" si="190"/>
        <v>81</v>
      </c>
      <c r="F653" s="1">
        <f t="shared" si="182"/>
        <v>2060945.9104439472</v>
      </c>
      <c r="H653" s="1">
        <f t="shared" si="178"/>
        <v>16434.272106254957</v>
      </c>
      <c r="I653" s="1">
        <v>0</v>
      </c>
      <c r="J653" s="69">
        <f>-SUM(F653:H653)*$J$21</f>
        <v>-18696.42164295182</v>
      </c>
      <c r="K653" s="1">
        <f t="shared" si="183"/>
        <v>-2058.6837609072504</v>
      </c>
      <c r="L653" s="1">
        <f t="shared" si="179"/>
        <v>2056625.077146343</v>
      </c>
      <c r="N653" s="1">
        <f t="shared" si="184"/>
        <v>630</v>
      </c>
      <c r="O653" s="2">
        <f t="shared" si="191"/>
        <v>52</v>
      </c>
      <c r="P653" s="2">
        <f t="shared" si="192"/>
        <v>6</v>
      </c>
      <c r="Q653" s="2">
        <f t="shared" si="193"/>
        <v>52</v>
      </c>
      <c r="R653" s="1">
        <f t="shared" si="185"/>
        <v>97705903.800418094</v>
      </c>
      <c r="S653" s="4">
        <f>IF($G$4="mensual",S652,0)</f>
        <v>10000</v>
      </c>
      <c r="U653" s="1">
        <f t="shared" si="194"/>
        <v>779200.33904178487</v>
      </c>
      <c r="V653" s="35">
        <f t="shared" si="196"/>
        <v>-585.71805949889892</v>
      </c>
      <c r="X653" s="35">
        <f t="shared" si="195"/>
        <v>-98495.104139459887</v>
      </c>
      <c r="Y653" s="1">
        <f t="shared" si="180"/>
        <v>98396023.317260921</v>
      </c>
      <c r="AA653" s="2">
        <f>+Bono!J653</f>
        <v>863236.39737079875</v>
      </c>
      <c r="AC653" s="10">
        <f t="shared" si="186"/>
        <v>52.5</v>
      </c>
      <c r="AD653" s="1">
        <f t="shared" si="187"/>
        <v>101315884.79177806</v>
      </c>
    </row>
    <row r="654" spans="2:30">
      <c r="B654" s="1">
        <f t="shared" si="181"/>
        <v>631</v>
      </c>
      <c r="C654" s="2">
        <f t="shared" si="188"/>
        <v>52</v>
      </c>
      <c r="D654" s="2">
        <f t="shared" si="189"/>
        <v>7</v>
      </c>
      <c r="E654" s="2">
        <f t="shared" si="190"/>
        <v>81</v>
      </c>
      <c r="F654" s="1">
        <f t="shared" si="182"/>
        <v>2056625.077146343</v>
      </c>
      <c r="H654" s="1">
        <f t="shared" si="178"/>
        <v>16399.817174769978</v>
      </c>
      <c r="I654" s="1">
        <v>0</v>
      </c>
      <c r="J654" s="1">
        <v>0</v>
      </c>
      <c r="K654" s="1">
        <f t="shared" si="183"/>
        <v>-2073.0248943211132</v>
      </c>
      <c r="L654" s="1">
        <f t="shared" si="179"/>
        <v>2070951.8694267918</v>
      </c>
      <c r="N654" s="1">
        <f t="shared" si="184"/>
        <v>631</v>
      </c>
      <c r="O654" s="2">
        <f t="shared" si="191"/>
        <v>52</v>
      </c>
      <c r="P654" s="2">
        <f t="shared" si="192"/>
        <v>7</v>
      </c>
      <c r="Q654" s="2">
        <f t="shared" si="193"/>
        <v>52</v>
      </c>
      <c r="R654" s="1">
        <f t="shared" si="185"/>
        <v>98396023.317260921</v>
      </c>
      <c r="S654" s="1">
        <f>+IF($G$4="mensual",S648,IF($G$4="trimestral",S648,IF($G$4="semestral",S648,0)))</f>
        <v>10000</v>
      </c>
      <c r="U654" s="1">
        <f t="shared" si="194"/>
        <v>784703.44898181688</v>
      </c>
      <c r="V654" s="35">
        <f t="shared" si="196"/>
        <v>-585.71805949889892</v>
      </c>
      <c r="X654" s="35">
        <f t="shared" si="195"/>
        <v>-99190.726766242748</v>
      </c>
      <c r="Y654" s="1">
        <f t="shared" si="180"/>
        <v>99090950.321417004</v>
      </c>
      <c r="AA654" s="2">
        <f>+Bono!J654</f>
        <v>868588.56316372228</v>
      </c>
      <c r="AC654" s="10">
        <f t="shared" si="186"/>
        <v>52.583333333333336</v>
      </c>
      <c r="AD654" s="1">
        <f t="shared" si="187"/>
        <v>102030490.75400752</v>
      </c>
    </row>
    <row r="655" spans="2:30">
      <c r="B655" s="1">
        <f t="shared" si="181"/>
        <v>632</v>
      </c>
      <c r="C655" s="2">
        <f t="shared" si="188"/>
        <v>52</v>
      </c>
      <c r="D655" s="2">
        <f t="shared" si="189"/>
        <v>8</v>
      </c>
      <c r="E655" s="2">
        <f t="shared" si="190"/>
        <v>81</v>
      </c>
      <c r="F655" s="1">
        <f t="shared" si="182"/>
        <v>2070951.8694267918</v>
      </c>
      <c r="H655" s="1">
        <f t="shared" si="178"/>
        <v>16514.06102831001</v>
      </c>
      <c r="I655" s="1">
        <v>0</v>
      </c>
      <c r="J655" s="1">
        <v>0</v>
      </c>
      <c r="K655" s="1">
        <f t="shared" si="183"/>
        <v>-2087.4659304551019</v>
      </c>
      <c r="L655" s="1">
        <f t="shared" si="179"/>
        <v>2085378.4645246468</v>
      </c>
      <c r="N655" s="1">
        <f t="shared" si="184"/>
        <v>632</v>
      </c>
      <c r="O655" s="2">
        <f t="shared" si="191"/>
        <v>52</v>
      </c>
      <c r="P655" s="2">
        <f t="shared" si="192"/>
        <v>8</v>
      </c>
      <c r="Q655" s="2">
        <f t="shared" si="193"/>
        <v>52</v>
      </c>
      <c r="R655" s="1">
        <f t="shared" si="185"/>
        <v>99090950.321417004</v>
      </c>
      <c r="S655" s="4">
        <f>IF($G$4="mensual",S654,0)</f>
        <v>10000</v>
      </c>
      <c r="U655" s="1">
        <f t="shared" si="194"/>
        <v>790244.89450079482</v>
      </c>
      <c r="V655" s="35">
        <f t="shared" si="196"/>
        <v>-585.71805949889892</v>
      </c>
      <c r="X655" s="35">
        <f t="shared" si="195"/>
        <v>-99891.195215917804</v>
      </c>
      <c r="Y655" s="1">
        <f t="shared" si="180"/>
        <v>99790718.30264239</v>
      </c>
      <c r="AA655" s="2">
        <f>+Bono!J655</f>
        <v>873973.91300537472</v>
      </c>
      <c r="AC655" s="10">
        <f t="shared" si="186"/>
        <v>52.666666666666664</v>
      </c>
      <c r="AD655" s="1">
        <f t="shared" si="187"/>
        <v>102750070.68017241</v>
      </c>
    </row>
    <row r="656" spans="2:30">
      <c r="B656" s="1">
        <f t="shared" si="181"/>
        <v>633</v>
      </c>
      <c r="C656" s="2">
        <f t="shared" si="188"/>
        <v>52</v>
      </c>
      <c r="D656" s="2">
        <f t="shared" si="189"/>
        <v>9</v>
      </c>
      <c r="E656" s="2">
        <f t="shared" si="190"/>
        <v>81</v>
      </c>
      <c r="F656" s="1">
        <f t="shared" si="182"/>
        <v>2085378.4645246468</v>
      </c>
      <c r="H656" s="1">
        <f t="shared" si="178"/>
        <v>16629.100723531239</v>
      </c>
      <c r="I656" s="1">
        <v>0</v>
      </c>
      <c r="J656" s="69">
        <f>-SUM(F656:H656)*$J$21</f>
        <v>-18918.068087233602</v>
      </c>
      <c r="K656" s="1">
        <f t="shared" si="183"/>
        <v>-2083.0894971609441</v>
      </c>
      <c r="L656" s="1">
        <f t="shared" si="179"/>
        <v>2081006.4076637833</v>
      </c>
      <c r="N656" s="1">
        <f t="shared" si="184"/>
        <v>633</v>
      </c>
      <c r="O656" s="2">
        <f t="shared" si="191"/>
        <v>52</v>
      </c>
      <c r="P656" s="2">
        <f t="shared" si="192"/>
        <v>9</v>
      </c>
      <c r="Q656" s="2">
        <f t="shared" si="193"/>
        <v>52</v>
      </c>
      <c r="R656" s="1">
        <f t="shared" si="185"/>
        <v>99790718.30264239</v>
      </c>
      <c r="S656" s="4">
        <f>IF($G$4="mensual",S655,0)</f>
        <v>10000</v>
      </c>
      <c r="U656" s="1">
        <f t="shared" si="194"/>
        <v>795824.94265073654</v>
      </c>
      <c r="V656" s="35">
        <f t="shared" si="196"/>
        <v>-585.71805949889892</v>
      </c>
      <c r="X656" s="35">
        <f t="shared" si="195"/>
        <v>-100596.54324529313</v>
      </c>
      <c r="Y656" s="1">
        <f t="shared" si="180"/>
        <v>100495360.98398834</v>
      </c>
      <c r="AA656" s="2">
        <f>+Bono!J656</f>
        <v>871470.19631061086</v>
      </c>
      <c r="AC656" s="10">
        <f t="shared" si="186"/>
        <v>52.75</v>
      </c>
      <c r="AD656" s="1">
        <f t="shared" si="187"/>
        <v>103447837.58796273</v>
      </c>
    </row>
    <row r="657" spans="2:30">
      <c r="B657" s="1">
        <f t="shared" si="181"/>
        <v>634</v>
      </c>
      <c r="C657" s="2">
        <f t="shared" si="188"/>
        <v>52</v>
      </c>
      <c r="D657" s="2">
        <f t="shared" si="189"/>
        <v>10</v>
      </c>
      <c r="E657" s="2">
        <f t="shared" si="190"/>
        <v>81</v>
      </c>
      <c r="F657" s="1">
        <f t="shared" si="182"/>
        <v>2081006.4076637833</v>
      </c>
      <c r="H657" s="1">
        <f t="shared" si="178"/>
        <v>16594.237328159561</v>
      </c>
      <c r="I657" s="1">
        <v>0</v>
      </c>
      <c r="J657" s="1">
        <v>0</v>
      </c>
      <c r="K657" s="1">
        <f t="shared" si="183"/>
        <v>-2097.6006449919428</v>
      </c>
      <c r="L657" s="1">
        <f t="shared" si="179"/>
        <v>2095503.0443469507</v>
      </c>
      <c r="N657" s="1">
        <f t="shared" si="184"/>
        <v>634</v>
      </c>
      <c r="O657" s="2">
        <f t="shared" si="191"/>
        <v>52</v>
      </c>
      <c r="P657" s="2">
        <f t="shared" si="192"/>
        <v>10</v>
      </c>
      <c r="Q657" s="2">
        <f t="shared" si="193"/>
        <v>52</v>
      </c>
      <c r="R657" s="1">
        <f t="shared" si="185"/>
        <v>100495360.98398834</v>
      </c>
      <c r="S657" s="4">
        <f>IF($G$4="mensual",S648,IF($G$4="trimestral",S648,0))</f>
        <v>10000</v>
      </c>
      <c r="U657" s="1">
        <f t="shared" si="194"/>
        <v>801443.8623439885</v>
      </c>
      <c r="V657" s="35">
        <f t="shared" si="196"/>
        <v>-585.71805949889892</v>
      </c>
      <c r="X657" s="35">
        <f t="shared" si="195"/>
        <v>-101306.80484633234</v>
      </c>
      <c r="Y657" s="1">
        <f t="shared" si="180"/>
        <v>101204912.3234265</v>
      </c>
      <c r="AA657" s="2">
        <f>+Bono!J657</f>
        <v>876873.41261202272</v>
      </c>
      <c r="AC657" s="10">
        <f t="shared" si="186"/>
        <v>52.833333333333336</v>
      </c>
      <c r="AD657" s="1">
        <f t="shared" si="187"/>
        <v>104177288.78038546</v>
      </c>
    </row>
    <row r="658" spans="2:30">
      <c r="B658" s="1">
        <f t="shared" si="181"/>
        <v>635</v>
      </c>
      <c r="C658" s="2">
        <f t="shared" si="188"/>
        <v>52</v>
      </c>
      <c r="D658" s="2">
        <f t="shared" si="189"/>
        <v>11</v>
      </c>
      <c r="E658" s="2">
        <f t="shared" si="190"/>
        <v>81</v>
      </c>
      <c r="F658" s="1">
        <f t="shared" si="182"/>
        <v>2095503.0443469507</v>
      </c>
      <c r="H658" s="1">
        <f t="shared" si="178"/>
        <v>16709.835544817939</v>
      </c>
      <c r="I658" s="1">
        <v>0</v>
      </c>
      <c r="J658" s="1">
        <v>0</v>
      </c>
      <c r="K658" s="1">
        <f t="shared" si="183"/>
        <v>-2112.2128798917688</v>
      </c>
      <c r="L658" s="1">
        <f t="shared" si="179"/>
        <v>2110100.6670118766</v>
      </c>
      <c r="N658" s="1">
        <f t="shared" si="184"/>
        <v>635</v>
      </c>
      <c r="O658" s="2">
        <f t="shared" si="191"/>
        <v>52</v>
      </c>
      <c r="P658" s="2">
        <f t="shared" si="192"/>
        <v>11</v>
      </c>
      <c r="Q658" s="2">
        <f t="shared" si="193"/>
        <v>52</v>
      </c>
      <c r="R658" s="1">
        <f t="shared" si="185"/>
        <v>101204912.3234265</v>
      </c>
      <c r="S658" s="1">
        <f>IF($G$17="si",S646*(1+$G$20),S646)</f>
        <v>10000</v>
      </c>
      <c r="U658" s="1">
        <f t="shared" si="194"/>
        <v>807101.92436618509</v>
      </c>
      <c r="V658" s="35">
        <f t="shared" si="196"/>
        <v>-585.71805949889892</v>
      </c>
      <c r="X658" s="35">
        <f t="shared" si="195"/>
        <v>-102022.0142477927</v>
      </c>
      <c r="Y658" s="1">
        <f t="shared" si="180"/>
        <v>101919406.51548541</v>
      </c>
      <c r="AA658" s="2">
        <f>+Bono!J658</f>
        <v>882310.12948123761</v>
      </c>
      <c r="AC658" s="10">
        <f t="shared" si="186"/>
        <v>52.916666666666664</v>
      </c>
      <c r="AD658" s="1">
        <f t="shared" si="187"/>
        <v>104911817.31197852</v>
      </c>
    </row>
    <row r="659" spans="2:30">
      <c r="B659" s="1">
        <f t="shared" si="181"/>
        <v>636</v>
      </c>
      <c r="C659" s="2">
        <f t="shared" si="188"/>
        <v>52</v>
      </c>
      <c r="D659" s="2">
        <f t="shared" si="189"/>
        <v>12</v>
      </c>
      <c r="E659" s="2">
        <f t="shared" si="190"/>
        <v>81</v>
      </c>
      <c r="F659" s="1">
        <f t="shared" si="182"/>
        <v>2110100.6670118766</v>
      </c>
      <c r="H659" s="1">
        <f t="shared" si="178"/>
        <v>16826.239037876203</v>
      </c>
      <c r="I659" s="1">
        <v>0</v>
      </c>
      <c r="J659" s="69">
        <f>-SUM(F659:H659)*$J$21</f>
        <v>-19142.342154447775</v>
      </c>
      <c r="K659" s="1">
        <f t="shared" si="183"/>
        <v>-2107.7845638953049</v>
      </c>
      <c r="L659" s="1">
        <f t="shared" si="179"/>
        <v>2105676.7793314094</v>
      </c>
      <c r="N659" s="1">
        <f t="shared" si="184"/>
        <v>636</v>
      </c>
      <c r="O659" s="2">
        <f t="shared" si="191"/>
        <v>52</v>
      </c>
      <c r="P659" s="2">
        <f t="shared" si="192"/>
        <v>12</v>
      </c>
      <c r="Q659" s="2">
        <f t="shared" si="193"/>
        <v>52</v>
      </c>
      <c r="R659" s="1">
        <f t="shared" si="185"/>
        <v>101919406.51548541</v>
      </c>
      <c r="S659" s="4">
        <f>IF($G$4="mensual",S658,0)</f>
        <v>10000</v>
      </c>
      <c r="U659" s="1">
        <f t="shared" si="194"/>
        <v>812799.40138929896</v>
      </c>
      <c r="V659" s="35">
        <f t="shared" si="196"/>
        <v>-585.71805949889892</v>
      </c>
      <c r="X659" s="35">
        <f t="shared" si="195"/>
        <v>-102742.20591687471</v>
      </c>
      <c r="Y659" s="1">
        <f t="shared" si="180"/>
        <v>102638877.99289833</v>
      </c>
      <c r="AA659" s="2">
        <f>+Bono!J659</f>
        <v>879782.53161101625</v>
      </c>
      <c r="AC659" s="10">
        <f t="shared" si="186"/>
        <v>53</v>
      </c>
      <c r="AD659" s="1">
        <f t="shared" si="187"/>
        <v>105624337.30384076</v>
      </c>
    </row>
    <row r="660" spans="2:30">
      <c r="B660" s="1">
        <f t="shared" si="181"/>
        <v>637</v>
      </c>
      <c r="C660" s="2">
        <f t="shared" si="188"/>
        <v>53</v>
      </c>
      <c r="D660" s="2">
        <f t="shared" si="189"/>
        <v>1</v>
      </c>
      <c r="E660" s="2">
        <f t="shared" si="190"/>
        <v>82</v>
      </c>
      <c r="F660" s="1">
        <f t="shared" si="182"/>
        <v>2105676.7793314094</v>
      </c>
      <c r="H660" s="1">
        <f t="shared" si="178"/>
        <v>16790.962336270462</v>
      </c>
      <c r="I660" s="1">
        <v>0</v>
      </c>
      <c r="J660" s="1">
        <v>0</v>
      </c>
      <c r="K660" s="1">
        <f t="shared" si="183"/>
        <v>-2122.46774166768</v>
      </c>
      <c r="L660" s="1">
        <f t="shared" si="179"/>
        <v>2120345.2739260122</v>
      </c>
      <c r="N660" s="1">
        <f t="shared" si="184"/>
        <v>637</v>
      </c>
      <c r="O660" s="2">
        <f t="shared" si="191"/>
        <v>53</v>
      </c>
      <c r="P660" s="2">
        <f t="shared" si="192"/>
        <v>1</v>
      </c>
      <c r="Q660" s="2">
        <f t="shared" si="193"/>
        <v>53</v>
      </c>
      <c r="R660" s="1">
        <f t="shared" si="185"/>
        <v>102638877.99289833</v>
      </c>
      <c r="S660" s="1">
        <f>IF($G$17="si",S648*(1+$G$20),S648)</f>
        <v>10000</v>
      </c>
      <c r="U660" s="1">
        <f t="shared" si="194"/>
        <v>818536.56798478041</v>
      </c>
      <c r="V660" s="35">
        <f>(V659*(1+$G$18))</f>
        <v>-609.14678187885488</v>
      </c>
      <c r="X660" s="35">
        <f t="shared" si="195"/>
        <v>-103467.4145608831</v>
      </c>
      <c r="Y660" s="1">
        <f t="shared" si="180"/>
        <v>103363337.99954034</v>
      </c>
      <c r="AA660" s="2">
        <f>+Bono!J660</f>
        <v>885237.28535546188</v>
      </c>
      <c r="AC660" s="10">
        <f t="shared" si="186"/>
        <v>53.083333333333336</v>
      </c>
      <c r="AD660" s="1">
        <f t="shared" si="187"/>
        <v>106368920.55882183</v>
      </c>
    </row>
    <row r="661" spans="2:30">
      <c r="B661" s="1">
        <f t="shared" si="181"/>
        <v>638</v>
      </c>
      <c r="C661" s="2">
        <f t="shared" si="188"/>
        <v>53</v>
      </c>
      <c r="D661" s="2">
        <f t="shared" si="189"/>
        <v>2</v>
      </c>
      <c r="E661" s="2">
        <f t="shared" si="190"/>
        <v>82</v>
      </c>
      <c r="F661" s="1">
        <f t="shared" si="182"/>
        <v>2120345.2739260122</v>
      </c>
      <c r="H661" s="1">
        <f t="shared" si="178"/>
        <v>16907.930972048442</v>
      </c>
      <c r="I661" s="1">
        <v>0</v>
      </c>
      <c r="J661" s="1">
        <v>0</v>
      </c>
      <c r="K661" s="1">
        <f t="shared" si="183"/>
        <v>-2137.2532048980606</v>
      </c>
      <c r="L661" s="1">
        <f t="shared" si="179"/>
        <v>2135115.9516931628</v>
      </c>
      <c r="N661" s="1">
        <f t="shared" si="184"/>
        <v>638</v>
      </c>
      <c r="O661" s="2">
        <f t="shared" si="191"/>
        <v>53</v>
      </c>
      <c r="P661" s="2">
        <f t="shared" si="192"/>
        <v>2</v>
      </c>
      <c r="Q661" s="2">
        <f t="shared" si="193"/>
        <v>53</v>
      </c>
      <c r="R661" s="1">
        <f t="shared" si="185"/>
        <v>103363337.99954034</v>
      </c>
      <c r="S661" s="4">
        <f>IF($G$4="mensual",S660,0)</f>
        <v>10000</v>
      </c>
      <c r="U661" s="1">
        <f t="shared" si="194"/>
        <v>824313.51381286839</v>
      </c>
      <c r="V661" s="35">
        <f t="shared" si="196"/>
        <v>-609.14678187885488</v>
      </c>
      <c r="X661" s="35">
        <f t="shared" si="195"/>
        <v>-104197.65151335322</v>
      </c>
      <c r="Y661" s="1">
        <f t="shared" si="180"/>
        <v>104092844.71505798</v>
      </c>
      <c r="AA661" s="2">
        <f>+Bono!J661</f>
        <v>890725.85920583538</v>
      </c>
      <c r="AC661" s="10">
        <f t="shared" si="186"/>
        <v>53.166666666666664</v>
      </c>
      <c r="AD661" s="1">
        <f t="shared" si="187"/>
        <v>107118686.52595699</v>
      </c>
    </row>
    <row r="662" spans="2:30">
      <c r="B662" s="1">
        <f t="shared" si="181"/>
        <v>639</v>
      </c>
      <c r="C662" s="2">
        <f t="shared" si="188"/>
        <v>53</v>
      </c>
      <c r="D662" s="2">
        <f t="shared" si="189"/>
        <v>3</v>
      </c>
      <c r="E662" s="2">
        <f t="shared" si="190"/>
        <v>82</v>
      </c>
      <c r="F662" s="1">
        <f t="shared" si="182"/>
        <v>2135115.9516931628</v>
      </c>
      <c r="H662" s="1">
        <f t="shared" si="178"/>
        <v>17025.714430793785</v>
      </c>
      <c r="I662" s="1">
        <v>0</v>
      </c>
      <c r="J662" s="69">
        <f>-SUM(F662:H662)*$J$21</f>
        <v>-19369.274995115611</v>
      </c>
      <c r="K662" s="1">
        <f t="shared" si="183"/>
        <v>-2132.7723911288408</v>
      </c>
      <c r="L662" s="1">
        <f t="shared" si="179"/>
        <v>2130639.618737712</v>
      </c>
      <c r="N662" s="1">
        <f t="shared" si="184"/>
        <v>639</v>
      </c>
      <c r="O662" s="2">
        <f t="shared" si="191"/>
        <v>53</v>
      </c>
      <c r="P662" s="2">
        <f t="shared" si="192"/>
        <v>3</v>
      </c>
      <c r="Q662" s="2">
        <f t="shared" si="193"/>
        <v>53</v>
      </c>
      <c r="R662" s="1">
        <f t="shared" si="185"/>
        <v>104092844.71505798</v>
      </c>
      <c r="S662" s="4">
        <f>IF($G$4="mensual",S661,0)</f>
        <v>10000</v>
      </c>
      <c r="U662" s="1">
        <f t="shared" si="194"/>
        <v>830130.70280623448</v>
      </c>
      <c r="V662" s="35">
        <f t="shared" si="196"/>
        <v>-609.14678187885488</v>
      </c>
      <c r="X662" s="35">
        <f t="shared" si="195"/>
        <v>-104932.97541786422</v>
      </c>
      <c r="Y662" s="1">
        <f t="shared" si="180"/>
        <v>104827433.29566447</v>
      </c>
      <c r="AA662" s="2">
        <f>+Bono!J662</f>
        <v>888174.15237458388</v>
      </c>
      <c r="AC662" s="10">
        <f t="shared" si="186"/>
        <v>53.25</v>
      </c>
      <c r="AD662" s="1">
        <f t="shared" si="187"/>
        <v>107846247.06677677</v>
      </c>
    </row>
    <row r="663" spans="2:30">
      <c r="B663" s="1">
        <f t="shared" si="181"/>
        <v>640</v>
      </c>
      <c r="C663" s="2">
        <f t="shared" si="188"/>
        <v>53</v>
      </c>
      <c r="D663" s="2">
        <f t="shared" si="189"/>
        <v>4</v>
      </c>
      <c r="E663" s="2">
        <f t="shared" si="190"/>
        <v>82</v>
      </c>
      <c r="F663" s="1">
        <f t="shared" si="182"/>
        <v>2130639.618737712</v>
      </c>
      <c r="H663" s="1">
        <f t="shared" si="178"/>
        <v>16990.019523200492</v>
      </c>
      <c r="I663" s="1">
        <v>0</v>
      </c>
      <c r="J663" s="1">
        <v>0</v>
      </c>
      <c r="K663" s="1">
        <f t="shared" si="183"/>
        <v>-2147.6296382609125</v>
      </c>
      <c r="L663" s="1">
        <f t="shared" si="179"/>
        <v>2145482.0086226519</v>
      </c>
      <c r="N663" s="1">
        <f t="shared" si="184"/>
        <v>640</v>
      </c>
      <c r="O663" s="2">
        <f t="shared" si="191"/>
        <v>53</v>
      </c>
      <c r="P663" s="2">
        <f t="shared" si="192"/>
        <v>4</v>
      </c>
      <c r="Q663" s="2">
        <f t="shared" si="193"/>
        <v>53</v>
      </c>
      <c r="R663" s="1">
        <f t="shared" si="185"/>
        <v>104827433.29566447</v>
      </c>
      <c r="S663" s="4">
        <f>IF($G$4="mensual",S660,IF($G$4="trimestral",S660,0))</f>
        <v>10000</v>
      </c>
      <c r="U663" s="1">
        <f t="shared" si="194"/>
        <v>835988.41530545964</v>
      </c>
      <c r="V663" s="35">
        <f t="shared" si="196"/>
        <v>-609.14678187885488</v>
      </c>
      <c r="X663" s="35">
        <f t="shared" si="195"/>
        <v>-105673.42171096994</v>
      </c>
      <c r="Y663" s="1">
        <f t="shared" si="180"/>
        <v>105567139.1424771</v>
      </c>
      <c r="AA663" s="2">
        <f>+Bono!J663</f>
        <v>893680.9351411314</v>
      </c>
      <c r="AC663" s="10">
        <f t="shared" si="186"/>
        <v>53.333333333333336</v>
      </c>
      <c r="AD663" s="1">
        <f t="shared" si="187"/>
        <v>108606302.08624087</v>
      </c>
    </row>
    <row r="664" spans="2:30">
      <c r="B664" s="1">
        <f t="shared" si="181"/>
        <v>641</v>
      </c>
      <c r="C664" s="2">
        <f t="shared" si="188"/>
        <v>53</v>
      </c>
      <c r="D664" s="2">
        <f t="shared" si="189"/>
        <v>5</v>
      </c>
      <c r="E664" s="2">
        <f t="shared" si="190"/>
        <v>82</v>
      </c>
      <c r="F664" s="1">
        <f t="shared" si="182"/>
        <v>2145482.0086226519</v>
      </c>
      <c r="H664" s="1">
        <f t="shared" ref="H664:H727" si="197">SUM(F664:G664)*$G$8</f>
        <v>17108.374824443545</v>
      </c>
      <c r="I664" s="1">
        <v>0</v>
      </c>
      <c r="J664" s="1">
        <v>0</v>
      </c>
      <c r="K664" s="1">
        <f t="shared" si="183"/>
        <v>-2162.5903834470955</v>
      </c>
      <c r="L664" s="1">
        <f t="shared" ref="L664:L727" si="198">SUM(F664:K664)</f>
        <v>2160427.793063648</v>
      </c>
      <c r="N664" s="1">
        <f t="shared" si="184"/>
        <v>641</v>
      </c>
      <c r="O664" s="2">
        <f t="shared" si="191"/>
        <v>53</v>
      </c>
      <c r="P664" s="2">
        <f t="shared" si="192"/>
        <v>5</v>
      </c>
      <c r="Q664" s="2">
        <f t="shared" si="193"/>
        <v>53</v>
      </c>
      <c r="R664" s="1">
        <f t="shared" si="185"/>
        <v>105567139.1424771</v>
      </c>
      <c r="S664" s="4">
        <f>IF($G$4="mensual",S663,0)</f>
        <v>10000</v>
      </c>
      <c r="U664" s="1">
        <f t="shared" si="194"/>
        <v>841886.9336040247</v>
      </c>
      <c r="V664" s="35">
        <f t="shared" si="196"/>
        <v>-609.14678187885488</v>
      </c>
      <c r="X664" s="35">
        <f t="shared" si="195"/>
        <v>-106419.02607608114</v>
      </c>
      <c r="Y664" s="1">
        <f t="shared" ref="Y664:Y727" si="199">SUM(R664:X664)</f>
        <v>106311997.90322317</v>
      </c>
      <c r="AA664" s="2">
        <f>+Bono!J664</f>
        <v>899221.86059957882</v>
      </c>
      <c r="AC664" s="10">
        <f t="shared" si="186"/>
        <v>53.416666666666664</v>
      </c>
      <c r="AD664" s="1">
        <f t="shared" si="187"/>
        <v>109371647.5568864</v>
      </c>
    </row>
    <row r="665" spans="2:30">
      <c r="B665" s="1">
        <f t="shared" ref="B665:B728" si="200">+B664+1</f>
        <v>642</v>
      </c>
      <c r="C665" s="2">
        <f t="shared" si="188"/>
        <v>53</v>
      </c>
      <c r="D665" s="2">
        <f t="shared" si="189"/>
        <v>6</v>
      </c>
      <c r="E665" s="2">
        <f t="shared" si="190"/>
        <v>82</v>
      </c>
      <c r="F665" s="1">
        <f t="shared" ref="F665:F728" si="201">L664</f>
        <v>2160427.793063648</v>
      </c>
      <c r="H665" s="1">
        <f t="shared" si="197"/>
        <v>17227.554608396171</v>
      </c>
      <c r="I665" s="1">
        <v>0</v>
      </c>
      <c r="J665" s="69">
        <f>-SUM(F665:H665)*$J$21</f>
        <v>-19598.898129048401</v>
      </c>
      <c r="K665" s="1">
        <f t="shared" ref="K665:K728" si="202">-SUM(F665:J665)*0.1%</f>
        <v>-2158.0564495429962</v>
      </c>
      <c r="L665" s="1">
        <f t="shared" si="198"/>
        <v>2155898.3930934528</v>
      </c>
      <c r="N665" s="1">
        <f t="shared" ref="N665:N728" si="203">+N664+1</f>
        <v>642</v>
      </c>
      <c r="O665" s="2">
        <f t="shared" si="191"/>
        <v>53</v>
      </c>
      <c r="P665" s="2">
        <f t="shared" si="192"/>
        <v>6</v>
      </c>
      <c r="Q665" s="2">
        <f t="shared" si="193"/>
        <v>53</v>
      </c>
      <c r="R665" s="1">
        <f t="shared" ref="R665:R728" si="204">Y664</f>
        <v>106311997.90322317</v>
      </c>
      <c r="S665" s="4">
        <f>IF($G$4="mensual",S664,0)</f>
        <v>10000</v>
      </c>
      <c r="U665" s="1">
        <f t="shared" si="194"/>
        <v>847826.54196191311</v>
      </c>
      <c r="V665" s="35">
        <f t="shared" si="196"/>
        <v>-609.14678187885488</v>
      </c>
      <c r="X665" s="35">
        <f t="shared" si="195"/>
        <v>-107169.82444518508</v>
      </c>
      <c r="Y665" s="1">
        <f t="shared" si="199"/>
        <v>107062045.47395802</v>
      </c>
      <c r="AA665" s="2">
        <f>+Bono!J665</f>
        <v>896645.81484903942</v>
      </c>
      <c r="AC665" s="10">
        <f t="shared" ref="AC665:AC728" si="205">+B665/12</f>
        <v>53.5</v>
      </c>
      <c r="AD665" s="1">
        <f t="shared" ref="AD665:AD728" si="206">+AA665+Y665+L665</f>
        <v>110114589.6819005</v>
      </c>
    </row>
    <row r="666" spans="2:30">
      <c r="B666" s="1">
        <f t="shared" si="200"/>
        <v>643</v>
      </c>
      <c r="C666" s="2">
        <f t="shared" si="188"/>
        <v>53</v>
      </c>
      <c r="D666" s="2">
        <f t="shared" si="189"/>
        <v>7</v>
      </c>
      <c r="E666" s="2">
        <f t="shared" si="190"/>
        <v>82</v>
      </c>
      <c r="F666" s="1">
        <f t="shared" si="201"/>
        <v>2155898.3930934528</v>
      </c>
      <c r="H666" s="1">
        <f t="shared" si="197"/>
        <v>17191.436536975161</v>
      </c>
      <c r="I666" s="1">
        <v>0</v>
      </c>
      <c r="J666" s="1">
        <v>0</v>
      </c>
      <c r="K666" s="1">
        <f t="shared" si="202"/>
        <v>-2173.0898296304281</v>
      </c>
      <c r="L666" s="1">
        <f t="shared" si="198"/>
        <v>2170916.7398007978</v>
      </c>
      <c r="N666" s="1">
        <f t="shared" si="203"/>
        <v>643</v>
      </c>
      <c r="O666" s="2">
        <f t="shared" si="191"/>
        <v>53</v>
      </c>
      <c r="P666" s="2">
        <f t="shared" si="192"/>
        <v>7</v>
      </c>
      <c r="Q666" s="2">
        <f t="shared" si="193"/>
        <v>53</v>
      </c>
      <c r="R666" s="1">
        <f t="shared" si="204"/>
        <v>107062045.47395802</v>
      </c>
      <c r="S666" s="1">
        <f>+IF($G$4="mensual",S660,IF($G$4="trimestral",S660,IF($G$4="semestral",S660,0)))</f>
        <v>10000</v>
      </c>
      <c r="U666" s="1">
        <f t="shared" si="194"/>
        <v>853807.52661931096</v>
      </c>
      <c r="V666" s="35">
        <f t="shared" si="196"/>
        <v>-609.14678187885488</v>
      </c>
      <c r="X666" s="35">
        <f t="shared" si="195"/>
        <v>-107925.85300057734</v>
      </c>
      <c r="Y666" s="1">
        <f t="shared" si="199"/>
        <v>107817318.00079487</v>
      </c>
      <c r="AA666" s="2">
        <f>+Bono!J666</f>
        <v>902205.12290558068</v>
      </c>
      <c r="AC666" s="10">
        <f t="shared" si="205"/>
        <v>53.583333333333336</v>
      </c>
      <c r="AD666" s="1">
        <f t="shared" si="206"/>
        <v>110890439.86350125</v>
      </c>
    </row>
    <row r="667" spans="2:30">
      <c r="B667" s="1">
        <f t="shared" si="200"/>
        <v>644</v>
      </c>
      <c r="C667" s="2">
        <f t="shared" si="188"/>
        <v>53</v>
      </c>
      <c r="D667" s="2">
        <f t="shared" si="189"/>
        <v>8</v>
      </c>
      <c r="E667" s="2">
        <f t="shared" si="190"/>
        <v>82</v>
      </c>
      <c r="F667" s="1">
        <f t="shared" si="201"/>
        <v>2170916.7398007978</v>
      </c>
      <c r="H667" s="1">
        <f t="shared" si="197"/>
        <v>17311.194942629496</v>
      </c>
      <c r="I667" s="1">
        <v>0</v>
      </c>
      <c r="J667" s="1">
        <v>0</v>
      </c>
      <c r="K667" s="1">
        <f t="shared" si="202"/>
        <v>-2188.2279347434273</v>
      </c>
      <c r="L667" s="1">
        <f t="shared" si="198"/>
        <v>2186039.7068086839</v>
      </c>
      <c r="N667" s="1">
        <f t="shared" si="203"/>
        <v>644</v>
      </c>
      <c r="O667" s="2">
        <f t="shared" si="191"/>
        <v>53</v>
      </c>
      <c r="P667" s="2">
        <f t="shared" si="192"/>
        <v>8</v>
      </c>
      <c r="Q667" s="2">
        <f t="shared" si="193"/>
        <v>53</v>
      </c>
      <c r="R667" s="1">
        <f t="shared" si="204"/>
        <v>107817318.00079487</v>
      </c>
      <c r="S667" s="4">
        <f>IF($G$4="mensual",S666,0)</f>
        <v>10000</v>
      </c>
      <c r="U667" s="1">
        <f t="shared" si="194"/>
        <v>859830.17581040098</v>
      </c>
      <c r="V667" s="35">
        <f t="shared" si="196"/>
        <v>-609.14678187885488</v>
      </c>
      <c r="X667" s="35">
        <f t="shared" si="195"/>
        <v>-108687.14817660527</v>
      </c>
      <c r="Y667" s="1">
        <f t="shared" si="199"/>
        <v>108577851.88164678</v>
      </c>
      <c r="AA667" s="2">
        <f>+Bono!J667</f>
        <v>907798.89931691217</v>
      </c>
      <c r="AC667" s="10">
        <f t="shared" si="205"/>
        <v>53.666666666666664</v>
      </c>
      <c r="AD667" s="1">
        <f t="shared" si="206"/>
        <v>111671690.48777238</v>
      </c>
    </row>
    <row r="668" spans="2:30">
      <c r="B668" s="1">
        <f t="shared" si="200"/>
        <v>645</v>
      </c>
      <c r="C668" s="2">
        <f t="shared" si="188"/>
        <v>53</v>
      </c>
      <c r="D668" s="2">
        <f t="shared" si="189"/>
        <v>9</v>
      </c>
      <c r="E668" s="2">
        <f t="shared" si="190"/>
        <v>82</v>
      </c>
      <c r="F668" s="1">
        <f t="shared" si="201"/>
        <v>2186039.7068086839</v>
      </c>
      <c r="H668" s="1">
        <f t="shared" si="197"/>
        <v>17431.787605252059</v>
      </c>
      <c r="I668" s="1">
        <v>0</v>
      </c>
      <c r="J668" s="69">
        <f>-SUM(F668:H668)*$J$21</f>
        <v>-19831.243449725425</v>
      </c>
      <c r="K668" s="1">
        <f t="shared" si="202"/>
        <v>-2183.6402509642107</v>
      </c>
      <c r="L668" s="1">
        <f t="shared" si="198"/>
        <v>2181456.6107132467</v>
      </c>
      <c r="N668" s="1">
        <f t="shared" si="203"/>
        <v>645</v>
      </c>
      <c r="O668" s="2">
        <f t="shared" si="191"/>
        <v>53</v>
      </c>
      <c r="P668" s="2">
        <f t="shared" si="192"/>
        <v>9</v>
      </c>
      <c r="Q668" s="2">
        <f t="shared" si="193"/>
        <v>53</v>
      </c>
      <c r="R668" s="1">
        <f t="shared" si="204"/>
        <v>108577851.88164678</v>
      </c>
      <c r="S668" s="4">
        <f>IF($G$4="mensual",S667,0)</f>
        <v>10000</v>
      </c>
      <c r="U668" s="1">
        <f t="shared" si="194"/>
        <v>865894.77977725328</v>
      </c>
      <c r="V668" s="35">
        <f t="shared" si="196"/>
        <v>-609.14678187885488</v>
      </c>
      <c r="X668" s="35">
        <f t="shared" si="195"/>
        <v>-109453.74666142404</v>
      </c>
      <c r="Y668" s="1">
        <f t="shared" si="199"/>
        <v>109343683.76798074</v>
      </c>
      <c r="AA668" s="2">
        <f>+Bono!J668</f>
        <v>905198.28249541891</v>
      </c>
      <c r="AC668" s="10">
        <f t="shared" si="205"/>
        <v>53.75</v>
      </c>
      <c r="AD668" s="1">
        <f t="shared" si="206"/>
        <v>112430338.66118941</v>
      </c>
    </row>
    <row r="669" spans="2:30">
      <c r="B669" s="1">
        <f t="shared" si="200"/>
        <v>646</v>
      </c>
      <c r="C669" s="2">
        <f t="shared" si="188"/>
        <v>53</v>
      </c>
      <c r="D669" s="2">
        <f t="shared" si="189"/>
        <v>10</v>
      </c>
      <c r="E669" s="2">
        <f t="shared" si="190"/>
        <v>82</v>
      </c>
      <c r="F669" s="1">
        <f t="shared" si="201"/>
        <v>2181456.6107132467</v>
      </c>
      <c r="H669" s="1">
        <f t="shared" si="197"/>
        <v>17395.241353387883</v>
      </c>
      <c r="I669" s="1">
        <v>0</v>
      </c>
      <c r="J669" s="1">
        <v>0</v>
      </c>
      <c r="K669" s="1">
        <f t="shared" si="202"/>
        <v>-2198.8518520666348</v>
      </c>
      <c r="L669" s="1">
        <f t="shared" si="198"/>
        <v>2196653.0002145679</v>
      </c>
      <c r="N669" s="1">
        <f t="shared" si="203"/>
        <v>646</v>
      </c>
      <c r="O669" s="2">
        <f t="shared" si="191"/>
        <v>53</v>
      </c>
      <c r="P669" s="2">
        <f t="shared" si="192"/>
        <v>10</v>
      </c>
      <c r="Q669" s="2">
        <f t="shared" si="193"/>
        <v>53</v>
      </c>
      <c r="R669" s="1">
        <f t="shared" si="204"/>
        <v>109343683.76798074</v>
      </c>
      <c r="S669" s="4">
        <f>IF($G$4="mensual",S660,IF($G$4="trimestral",S660,0))</f>
        <v>10000</v>
      </c>
      <c r="U669" s="1">
        <f t="shared" si="194"/>
        <v>872001.63078381249</v>
      </c>
      <c r="V669" s="35">
        <f t="shared" si="196"/>
        <v>-609.14678187885488</v>
      </c>
      <c r="X669" s="35">
        <f t="shared" si="195"/>
        <v>-110225.68539876456</v>
      </c>
      <c r="Y669" s="1">
        <f t="shared" si="199"/>
        <v>110114850.56658392</v>
      </c>
      <c r="AA669" s="2">
        <f>+Bono!J669</f>
        <v>910810.61684339237</v>
      </c>
      <c r="AC669" s="10">
        <f t="shared" si="205"/>
        <v>53.833333333333336</v>
      </c>
      <c r="AD669" s="1">
        <f t="shared" si="206"/>
        <v>113222314.18364187</v>
      </c>
    </row>
    <row r="670" spans="2:30">
      <c r="B670" s="1">
        <f t="shared" si="200"/>
        <v>647</v>
      </c>
      <c r="C670" s="2">
        <f t="shared" si="188"/>
        <v>53</v>
      </c>
      <c r="D670" s="2">
        <f t="shared" si="189"/>
        <v>11</v>
      </c>
      <c r="E670" s="2">
        <f t="shared" si="190"/>
        <v>82</v>
      </c>
      <c r="F670" s="1">
        <f t="shared" si="201"/>
        <v>2196653.0002145679</v>
      </c>
      <c r="H670" s="1">
        <f t="shared" si="197"/>
        <v>17516.419497283736</v>
      </c>
      <c r="I670" s="1">
        <v>0</v>
      </c>
      <c r="J670" s="1">
        <v>0</v>
      </c>
      <c r="K670" s="1">
        <f t="shared" si="202"/>
        <v>-2214.1694197118518</v>
      </c>
      <c r="L670" s="1">
        <f t="shared" si="198"/>
        <v>2211955.2502921396</v>
      </c>
      <c r="N670" s="1">
        <f t="shared" si="203"/>
        <v>647</v>
      </c>
      <c r="O670" s="2">
        <f t="shared" si="191"/>
        <v>53</v>
      </c>
      <c r="P670" s="2">
        <f t="shared" si="192"/>
        <v>11</v>
      </c>
      <c r="Q670" s="2">
        <f t="shared" si="193"/>
        <v>53</v>
      </c>
      <c r="R670" s="1">
        <f t="shared" si="204"/>
        <v>110114850.56658392</v>
      </c>
      <c r="S670" s="1">
        <f>IF($G$17="si",S658*(1+$G$20),S658)</f>
        <v>10000</v>
      </c>
      <c r="U670" s="1">
        <f t="shared" si="194"/>
        <v>878151.02312998241</v>
      </c>
      <c r="V670" s="35">
        <f t="shared" si="196"/>
        <v>-609.14678187885488</v>
      </c>
      <c r="X670" s="35">
        <f t="shared" si="195"/>
        <v>-111003.00158971391</v>
      </c>
      <c r="Y670" s="1">
        <f t="shared" si="199"/>
        <v>110891389.44134231</v>
      </c>
      <c r="AA670" s="2">
        <f>+Bono!J670</f>
        <v>916457.74831531383</v>
      </c>
      <c r="AC670" s="10">
        <f t="shared" si="205"/>
        <v>53.916666666666664</v>
      </c>
      <c r="AD670" s="1">
        <f t="shared" si="206"/>
        <v>114019802.43994977</v>
      </c>
    </row>
    <row r="671" spans="2:30">
      <c r="B671" s="1">
        <f t="shared" si="200"/>
        <v>648</v>
      </c>
      <c r="C671" s="2">
        <f t="shared" si="188"/>
        <v>53</v>
      </c>
      <c r="D671" s="2">
        <f t="shared" si="189"/>
        <v>12</v>
      </c>
      <c r="E671" s="2">
        <f t="shared" si="190"/>
        <v>82</v>
      </c>
      <c r="F671" s="1">
        <f t="shared" si="201"/>
        <v>2211955.2502921396</v>
      </c>
      <c r="H671" s="1">
        <f t="shared" si="197"/>
        <v>17638.441788280496</v>
      </c>
      <c r="I671" s="1">
        <v>0</v>
      </c>
      <c r="J671" s="69">
        <f>-SUM(F671:H671)*$J$21</f>
        <v>-20066.343228723781</v>
      </c>
      <c r="K671" s="1">
        <f t="shared" si="202"/>
        <v>-2209.5273488516964</v>
      </c>
      <c r="L671" s="1">
        <f t="shared" si="198"/>
        <v>2207317.8215028443</v>
      </c>
      <c r="N671" s="1">
        <f t="shared" si="203"/>
        <v>648</v>
      </c>
      <c r="O671" s="2">
        <f t="shared" si="191"/>
        <v>53</v>
      </c>
      <c r="P671" s="2">
        <f t="shared" si="192"/>
        <v>12</v>
      </c>
      <c r="Q671" s="2">
        <f t="shared" si="193"/>
        <v>53</v>
      </c>
      <c r="R671" s="1">
        <f t="shared" si="204"/>
        <v>110891389.44134231</v>
      </c>
      <c r="S671" s="4">
        <f>IF($G$4="mensual",S670,0)</f>
        <v>10000</v>
      </c>
      <c r="U671" s="1">
        <f t="shared" si="194"/>
        <v>884343.25316580874</v>
      </c>
      <c r="V671" s="35">
        <f t="shared" si="196"/>
        <v>-609.14678187885488</v>
      </c>
      <c r="X671" s="35">
        <f t="shared" si="195"/>
        <v>-111785.73269450813</v>
      </c>
      <c r="Y671" s="1">
        <f t="shared" si="199"/>
        <v>111673337.81503174</v>
      </c>
      <c r="AA671" s="2">
        <f>+Bono!J671</f>
        <v>913832.32605687086</v>
      </c>
      <c r="AC671" s="10">
        <f t="shared" si="205"/>
        <v>54</v>
      </c>
      <c r="AD671" s="1">
        <f t="shared" si="206"/>
        <v>114794487.96259145</v>
      </c>
    </row>
    <row r="672" spans="2:30">
      <c r="B672" s="1">
        <f t="shared" si="200"/>
        <v>649</v>
      </c>
      <c r="C672" s="2">
        <f t="shared" si="188"/>
        <v>54</v>
      </c>
      <c r="D672" s="2">
        <f t="shared" si="189"/>
        <v>1</v>
      </c>
      <c r="E672" s="2">
        <f t="shared" si="190"/>
        <v>83</v>
      </c>
      <c r="F672" s="1">
        <f t="shared" si="201"/>
        <v>2207317.8215028443</v>
      </c>
      <c r="H672" s="1">
        <f t="shared" si="197"/>
        <v>17601.462279885614</v>
      </c>
      <c r="I672" s="1">
        <v>0</v>
      </c>
      <c r="J672" s="1">
        <v>0</v>
      </c>
      <c r="K672" s="1">
        <f t="shared" si="202"/>
        <v>-2224.91928378273</v>
      </c>
      <c r="L672" s="1">
        <f t="shared" si="198"/>
        <v>2222694.3644989473</v>
      </c>
      <c r="N672" s="1">
        <f t="shared" si="203"/>
        <v>649</v>
      </c>
      <c r="O672" s="2">
        <f t="shared" si="191"/>
        <v>54</v>
      </c>
      <c r="P672" s="2">
        <f t="shared" si="192"/>
        <v>1</v>
      </c>
      <c r="Q672" s="2">
        <f t="shared" si="193"/>
        <v>54</v>
      </c>
      <c r="R672" s="1">
        <f t="shared" si="204"/>
        <v>111673337.81503174</v>
      </c>
      <c r="S672" s="1">
        <f>IF($G$17="si",S660*(1+$G$20),S660)</f>
        <v>10000</v>
      </c>
      <c r="U672" s="1">
        <f t="shared" si="194"/>
        <v>890578.61930576118</v>
      </c>
      <c r="V672" s="35">
        <f>(V671*(1+$G$18))</f>
        <v>-633.51265315400906</v>
      </c>
      <c r="X672" s="35">
        <f t="shared" si="195"/>
        <v>-112573.9164343375</v>
      </c>
      <c r="Y672" s="1">
        <f t="shared" si="199"/>
        <v>112460709.00525001</v>
      </c>
      <c r="AA672" s="2">
        <f>+Bono!J672</f>
        <v>919498.19247641251</v>
      </c>
      <c r="AC672" s="10">
        <f t="shared" si="205"/>
        <v>54.083333333333336</v>
      </c>
      <c r="AD672" s="1">
        <f t="shared" si="206"/>
        <v>115602901.56222536</v>
      </c>
    </row>
    <row r="673" spans="2:30">
      <c r="B673" s="1">
        <f t="shared" si="200"/>
        <v>650</v>
      </c>
      <c r="C673" s="2">
        <f t="shared" si="188"/>
        <v>54</v>
      </c>
      <c r="D673" s="2">
        <f t="shared" si="189"/>
        <v>2</v>
      </c>
      <c r="E673" s="2">
        <f t="shared" si="190"/>
        <v>83</v>
      </c>
      <c r="F673" s="1">
        <f t="shared" si="201"/>
        <v>2222694.3644989473</v>
      </c>
      <c r="H673" s="1">
        <f t="shared" si="197"/>
        <v>17724.076993047616</v>
      </c>
      <c r="I673" s="1">
        <v>0</v>
      </c>
      <c r="J673" s="1">
        <v>0</v>
      </c>
      <c r="K673" s="1">
        <f t="shared" si="202"/>
        <v>-2240.4184414919951</v>
      </c>
      <c r="L673" s="1">
        <f t="shared" si="198"/>
        <v>2238178.0230505029</v>
      </c>
      <c r="N673" s="1">
        <f t="shared" si="203"/>
        <v>650</v>
      </c>
      <c r="O673" s="2">
        <f t="shared" si="191"/>
        <v>54</v>
      </c>
      <c r="P673" s="2">
        <f t="shared" si="192"/>
        <v>2</v>
      </c>
      <c r="Q673" s="2">
        <f t="shared" si="193"/>
        <v>54</v>
      </c>
      <c r="R673" s="1">
        <f t="shared" si="204"/>
        <v>112460709.00525001</v>
      </c>
      <c r="S673" s="4">
        <f>IF($G$4="mensual",S672,0)</f>
        <v>10000</v>
      </c>
      <c r="U673" s="1">
        <f t="shared" si="194"/>
        <v>896857.22774623474</v>
      </c>
      <c r="V673" s="35">
        <f t="shared" si="196"/>
        <v>-633.51265315400906</v>
      </c>
      <c r="X673" s="35">
        <f t="shared" si="195"/>
        <v>-113367.56623299624</v>
      </c>
      <c r="Y673" s="1">
        <f t="shared" si="199"/>
        <v>113253565.15411009</v>
      </c>
      <c r="AA673" s="2">
        <f>+Bono!J673</f>
        <v>925199.18792495504</v>
      </c>
      <c r="AC673" s="10">
        <f t="shared" si="205"/>
        <v>54.166666666666664</v>
      </c>
      <c r="AD673" s="1">
        <f t="shared" si="206"/>
        <v>116416942.36508554</v>
      </c>
    </row>
    <row r="674" spans="2:30">
      <c r="B674" s="1">
        <f t="shared" si="200"/>
        <v>651</v>
      </c>
      <c r="C674" s="2">
        <f t="shared" si="188"/>
        <v>54</v>
      </c>
      <c r="D674" s="2">
        <f t="shared" si="189"/>
        <v>3</v>
      </c>
      <c r="E674" s="2">
        <f t="shared" si="190"/>
        <v>83</v>
      </c>
      <c r="F674" s="1">
        <f t="shared" si="201"/>
        <v>2238178.0230505029</v>
      </c>
      <c r="H674" s="1">
        <f t="shared" si="197"/>
        <v>17847.545860690916</v>
      </c>
      <c r="I674" s="1">
        <v>0</v>
      </c>
      <c r="J674" s="69">
        <f>-SUM(F674:H674)*$J$21</f>
        <v>-20304.230120200747</v>
      </c>
      <c r="K674" s="1">
        <f t="shared" si="202"/>
        <v>-2235.7213387909933</v>
      </c>
      <c r="L674" s="1">
        <f t="shared" si="198"/>
        <v>2233485.6174522024</v>
      </c>
      <c r="N674" s="1">
        <f t="shared" si="203"/>
        <v>651</v>
      </c>
      <c r="O674" s="2">
        <f t="shared" si="191"/>
        <v>54</v>
      </c>
      <c r="P674" s="2">
        <f t="shared" si="192"/>
        <v>3</v>
      </c>
      <c r="Q674" s="2">
        <f t="shared" si="193"/>
        <v>54</v>
      </c>
      <c r="R674" s="1">
        <f t="shared" si="204"/>
        <v>113253565.15411009</v>
      </c>
      <c r="S674" s="4">
        <f>IF($G$4="mensual",S673,0)</f>
        <v>10000</v>
      </c>
      <c r="U674" s="1">
        <f t="shared" si="194"/>
        <v>903179.57401716488</v>
      </c>
      <c r="V674" s="35">
        <f t="shared" si="196"/>
        <v>-633.51265315400906</v>
      </c>
      <c r="X674" s="35">
        <f t="shared" si="195"/>
        <v>-114166.74472812726</v>
      </c>
      <c r="Y674" s="1">
        <f t="shared" si="199"/>
        <v>114051944.47074597</v>
      </c>
      <c r="AA674" s="2">
        <f>+Bono!J674</f>
        <v>922548.72362811572</v>
      </c>
      <c r="AC674" s="10">
        <f t="shared" si="205"/>
        <v>54.25</v>
      </c>
      <c r="AD674" s="1">
        <f t="shared" si="206"/>
        <v>117207978.81182629</v>
      </c>
    </row>
    <row r="675" spans="2:30">
      <c r="B675" s="1">
        <f t="shared" si="200"/>
        <v>652</v>
      </c>
      <c r="C675" s="2">
        <f t="shared" si="188"/>
        <v>54</v>
      </c>
      <c r="D675" s="2">
        <f t="shared" si="189"/>
        <v>4</v>
      </c>
      <c r="E675" s="2">
        <f t="shared" si="190"/>
        <v>83</v>
      </c>
      <c r="F675" s="1">
        <f t="shared" si="201"/>
        <v>2233485.6174522024</v>
      </c>
      <c r="H675" s="1">
        <f t="shared" si="197"/>
        <v>17810.127959500693</v>
      </c>
      <c r="I675" s="1">
        <v>0</v>
      </c>
      <c r="J675" s="1">
        <v>0</v>
      </c>
      <c r="K675" s="1">
        <f t="shared" si="202"/>
        <v>-2251.2957454117031</v>
      </c>
      <c r="L675" s="1">
        <f t="shared" si="198"/>
        <v>2249044.449666291</v>
      </c>
      <c r="N675" s="1">
        <f t="shared" si="203"/>
        <v>652</v>
      </c>
      <c r="O675" s="2">
        <f t="shared" si="191"/>
        <v>54</v>
      </c>
      <c r="P675" s="2">
        <f t="shared" si="192"/>
        <v>4</v>
      </c>
      <c r="Q675" s="2">
        <f t="shared" si="193"/>
        <v>54</v>
      </c>
      <c r="R675" s="1">
        <f t="shared" si="204"/>
        <v>114051944.47074597</v>
      </c>
      <c r="S675" s="4">
        <f>IF($G$4="mensual",S672,IF($G$4="trimestral",S672,0))</f>
        <v>10000</v>
      </c>
      <c r="U675" s="1">
        <f t="shared" si="194"/>
        <v>909545.96280355158</v>
      </c>
      <c r="V675" s="35">
        <f t="shared" si="196"/>
        <v>-633.51265315400906</v>
      </c>
      <c r="X675" s="35">
        <f t="shared" si="195"/>
        <v>-114971.49043354952</v>
      </c>
      <c r="Y675" s="1">
        <f t="shared" si="199"/>
        <v>114855885.43046282</v>
      </c>
      <c r="AA675" s="2">
        <f>+Bono!J675</f>
        <v>928268.63272363856</v>
      </c>
      <c r="AC675" s="10">
        <f t="shared" si="205"/>
        <v>54.333333333333336</v>
      </c>
      <c r="AD675" s="1">
        <f t="shared" si="206"/>
        <v>118033198.51285276</v>
      </c>
    </row>
    <row r="676" spans="2:30">
      <c r="B676" s="1">
        <f t="shared" si="200"/>
        <v>653</v>
      </c>
      <c r="C676" s="2">
        <f t="shared" ref="C676:C739" si="207">C664+1</f>
        <v>54</v>
      </c>
      <c r="D676" s="2">
        <f t="shared" ref="D676:D739" si="208">D664</f>
        <v>5</v>
      </c>
      <c r="E676" s="2">
        <f t="shared" ref="E676:E739" si="209">E664+1</f>
        <v>83</v>
      </c>
      <c r="F676" s="1">
        <f t="shared" si="201"/>
        <v>2249044.449666291</v>
      </c>
      <c r="H676" s="1">
        <f t="shared" si="197"/>
        <v>17934.196272485588</v>
      </c>
      <c r="I676" s="1">
        <v>0</v>
      </c>
      <c r="J676" s="1">
        <v>0</v>
      </c>
      <c r="K676" s="1">
        <f t="shared" si="202"/>
        <v>-2266.9786459387765</v>
      </c>
      <c r="L676" s="1">
        <f t="shared" si="198"/>
        <v>2264711.6672928375</v>
      </c>
      <c r="N676" s="1">
        <f t="shared" si="203"/>
        <v>653</v>
      </c>
      <c r="O676" s="2">
        <f t="shared" ref="O676:O739" si="210">O664+1</f>
        <v>54</v>
      </c>
      <c r="P676" s="2">
        <f t="shared" ref="P676:P739" si="211">P664</f>
        <v>5</v>
      </c>
      <c r="Q676" s="2">
        <f t="shared" ref="Q676:Q739" si="212">Q664+1</f>
        <v>54</v>
      </c>
      <c r="R676" s="1">
        <f t="shared" si="204"/>
        <v>114855885.43046282</v>
      </c>
      <c r="S676" s="4">
        <f>IF($G$4="mensual",S675,0)</f>
        <v>10000</v>
      </c>
      <c r="U676" s="1">
        <f t="shared" ref="U676:U739" si="213">SUM(R676:T676)*$G$8</f>
        <v>915956.70091288141</v>
      </c>
      <c r="V676" s="35">
        <f t="shared" si="196"/>
        <v>-633.51265315400906</v>
      </c>
      <c r="X676" s="35">
        <f t="shared" si="195"/>
        <v>-115781.8421313757</v>
      </c>
      <c r="Y676" s="1">
        <f t="shared" si="199"/>
        <v>115665426.77659117</v>
      </c>
      <c r="AA676" s="2">
        <f>+Bono!J676</f>
        <v>934024.00591902202</v>
      </c>
      <c r="AC676" s="10">
        <f t="shared" si="205"/>
        <v>54.416666666666664</v>
      </c>
      <c r="AD676" s="1">
        <f t="shared" si="206"/>
        <v>118864162.44980302</v>
      </c>
    </row>
    <row r="677" spans="2:30">
      <c r="B677" s="1">
        <f t="shared" si="200"/>
        <v>654</v>
      </c>
      <c r="C677" s="2">
        <f t="shared" si="207"/>
        <v>54</v>
      </c>
      <c r="D677" s="2">
        <f t="shared" si="208"/>
        <v>6</v>
      </c>
      <c r="E677" s="2">
        <f t="shared" si="209"/>
        <v>83</v>
      </c>
      <c r="F677" s="1">
        <f t="shared" si="201"/>
        <v>2264711.6672928375</v>
      </c>
      <c r="H677" s="1">
        <f t="shared" si="197"/>
        <v>18059.128865969866</v>
      </c>
      <c r="I677" s="1">
        <v>0</v>
      </c>
      <c r="J677" s="69">
        <f>-SUM(F677:H677)*$J$21</f>
        <v>-20544.93716542927</v>
      </c>
      <c r="K677" s="1">
        <f t="shared" si="202"/>
        <v>-2262.2258589933781</v>
      </c>
      <c r="L677" s="1">
        <f t="shared" si="198"/>
        <v>2259963.6331343846</v>
      </c>
      <c r="N677" s="1">
        <f t="shared" si="203"/>
        <v>654</v>
      </c>
      <c r="O677" s="2">
        <f t="shared" si="210"/>
        <v>54</v>
      </c>
      <c r="P677" s="2">
        <f t="shared" si="211"/>
        <v>6</v>
      </c>
      <c r="Q677" s="2">
        <f t="shared" si="212"/>
        <v>54</v>
      </c>
      <c r="R677" s="1">
        <f t="shared" si="204"/>
        <v>115665426.77659117</v>
      </c>
      <c r="S677" s="4">
        <f>IF($G$4="mensual",S676,0)</f>
        <v>10000</v>
      </c>
      <c r="U677" s="1">
        <f t="shared" si="213"/>
        <v>922412.09728991264</v>
      </c>
      <c r="V677" s="35">
        <f t="shared" si="196"/>
        <v>-633.51265315400906</v>
      </c>
      <c r="X677" s="35">
        <f t="shared" si="195"/>
        <v>-116597.83887388109</v>
      </c>
      <c r="Y677" s="1">
        <f t="shared" si="199"/>
        <v>116480607.52235405</v>
      </c>
      <c r="AA677" s="2">
        <f>+Bono!J677</f>
        <v>931348.26072556642</v>
      </c>
      <c r="AC677" s="10">
        <f t="shared" si="205"/>
        <v>54.5</v>
      </c>
      <c r="AD677" s="1">
        <f t="shared" si="206"/>
        <v>119671919.416214</v>
      </c>
    </row>
    <row r="678" spans="2:30">
      <c r="B678" s="1">
        <f t="shared" si="200"/>
        <v>655</v>
      </c>
      <c r="C678" s="2">
        <f t="shared" si="207"/>
        <v>54</v>
      </c>
      <c r="D678" s="2">
        <f t="shared" si="208"/>
        <v>7</v>
      </c>
      <c r="E678" s="2">
        <f t="shared" si="209"/>
        <v>83</v>
      </c>
      <c r="F678" s="1">
        <f t="shared" si="201"/>
        <v>2259963.6331343846</v>
      </c>
      <c r="H678" s="1">
        <f t="shared" si="197"/>
        <v>18021.267374829131</v>
      </c>
      <c r="I678" s="1">
        <v>0</v>
      </c>
      <c r="J678" s="1">
        <v>0</v>
      </c>
      <c r="K678" s="1">
        <f t="shared" si="202"/>
        <v>-2277.9849005092137</v>
      </c>
      <c r="L678" s="1">
        <f t="shared" si="198"/>
        <v>2275706.9156087046</v>
      </c>
      <c r="N678" s="1">
        <f t="shared" si="203"/>
        <v>655</v>
      </c>
      <c r="O678" s="2">
        <f t="shared" si="210"/>
        <v>54</v>
      </c>
      <c r="P678" s="2">
        <f t="shared" si="211"/>
        <v>7</v>
      </c>
      <c r="Q678" s="2">
        <f t="shared" si="212"/>
        <v>54</v>
      </c>
      <c r="R678" s="1">
        <f t="shared" si="204"/>
        <v>116480607.52235405</v>
      </c>
      <c r="S678" s="1">
        <f>+IF($G$4="mensual",S672,IF($G$4="trimestral",S672,IF($G$4="semestral",S672,0)))</f>
        <v>10000</v>
      </c>
      <c r="U678" s="1">
        <f t="shared" si="213"/>
        <v>928912.46303156437</v>
      </c>
      <c r="V678" s="35">
        <f t="shared" si="196"/>
        <v>-633.51265315400906</v>
      </c>
      <c r="X678" s="35">
        <f t="shared" si="195"/>
        <v>-117419.51998538562</v>
      </c>
      <c r="Y678" s="1">
        <f t="shared" si="199"/>
        <v>117301466.95274706</v>
      </c>
      <c r="AA678" s="2">
        <f>+Bono!J678</f>
        <v>937122.72797177662</v>
      </c>
      <c r="AC678" s="10">
        <f t="shared" si="205"/>
        <v>54.583333333333336</v>
      </c>
      <c r="AD678" s="1">
        <f t="shared" si="206"/>
        <v>120514296.59632754</v>
      </c>
    </row>
    <row r="679" spans="2:30">
      <c r="B679" s="1">
        <f t="shared" si="200"/>
        <v>656</v>
      </c>
      <c r="C679" s="2">
        <f t="shared" si="207"/>
        <v>54</v>
      </c>
      <c r="D679" s="2">
        <f t="shared" si="208"/>
        <v>8</v>
      </c>
      <c r="E679" s="2">
        <f t="shared" si="209"/>
        <v>83</v>
      </c>
      <c r="F679" s="1">
        <f t="shared" si="201"/>
        <v>2275706.9156087046</v>
      </c>
      <c r="H679" s="1">
        <f t="shared" si="197"/>
        <v>18146.806520091257</v>
      </c>
      <c r="I679" s="1">
        <v>0</v>
      </c>
      <c r="J679" s="1">
        <v>0</v>
      </c>
      <c r="K679" s="1">
        <f t="shared" si="202"/>
        <v>-2293.8537221287961</v>
      </c>
      <c r="L679" s="1">
        <f t="shared" si="198"/>
        <v>2291559.8684066669</v>
      </c>
      <c r="N679" s="1">
        <f t="shared" si="203"/>
        <v>656</v>
      </c>
      <c r="O679" s="2">
        <f t="shared" si="210"/>
        <v>54</v>
      </c>
      <c r="P679" s="2">
        <f t="shared" si="211"/>
        <v>8</v>
      </c>
      <c r="Q679" s="2">
        <f t="shared" si="212"/>
        <v>54</v>
      </c>
      <c r="R679" s="1">
        <f t="shared" si="204"/>
        <v>117301466.95274706</v>
      </c>
      <c r="S679" s="4">
        <f>IF($G$4="mensual",S678,0)</f>
        <v>10000</v>
      </c>
      <c r="U679" s="1">
        <f t="shared" si="213"/>
        <v>935458.11140190822</v>
      </c>
      <c r="V679" s="35">
        <f t="shared" si="196"/>
        <v>-633.51265315400906</v>
      </c>
      <c r="X679" s="35">
        <f t="shared" si="195"/>
        <v>-118246.92506414898</v>
      </c>
      <c r="Y679" s="1">
        <f t="shared" si="199"/>
        <v>118128044.62643167</v>
      </c>
      <c r="AA679" s="2">
        <f>+Bono!J679</f>
        <v>942932.99758471001</v>
      </c>
      <c r="AC679" s="10">
        <f t="shared" si="205"/>
        <v>54.666666666666664</v>
      </c>
      <c r="AD679" s="1">
        <f t="shared" si="206"/>
        <v>121362537.49242306</v>
      </c>
    </row>
    <row r="680" spans="2:30">
      <c r="B680" s="1">
        <f t="shared" si="200"/>
        <v>657</v>
      </c>
      <c r="C680" s="2">
        <f t="shared" si="207"/>
        <v>54</v>
      </c>
      <c r="D680" s="2">
        <f t="shared" si="208"/>
        <v>9</v>
      </c>
      <c r="E680" s="2">
        <f t="shared" si="209"/>
        <v>83</v>
      </c>
      <c r="F680" s="1">
        <f t="shared" si="201"/>
        <v>2291559.8684066669</v>
      </c>
      <c r="H680" s="1">
        <f t="shared" si="197"/>
        <v>18273.220191914992</v>
      </c>
      <c r="I680" s="1">
        <v>0</v>
      </c>
      <c r="J680" s="69">
        <f>-SUM(F680:H680)*$J$21</f>
        <v>-20788.497797387241</v>
      </c>
      <c r="K680" s="1">
        <f t="shared" si="202"/>
        <v>-2289.0445908011948</v>
      </c>
      <c r="L680" s="1">
        <f t="shared" si="198"/>
        <v>2286755.5462103938</v>
      </c>
      <c r="N680" s="1">
        <f t="shared" si="203"/>
        <v>657</v>
      </c>
      <c r="O680" s="2">
        <f t="shared" si="210"/>
        <v>54</v>
      </c>
      <c r="P680" s="2">
        <f t="shared" si="211"/>
        <v>9</v>
      </c>
      <c r="Q680" s="2">
        <f t="shared" si="212"/>
        <v>54</v>
      </c>
      <c r="R680" s="1">
        <f t="shared" si="204"/>
        <v>118128044.62643167</v>
      </c>
      <c r="S680" s="4">
        <f>IF($G$4="mensual",S679,0)</f>
        <v>10000</v>
      </c>
      <c r="U680" s="1">
        <f t="shared" si="213"/>
        <v>942049.3578472659</v>
      </c>
      <c r="V680" s="35">
        <f t="shared" si="196"/>
        <v>-633.51265315400906</v>
      </c>
      <c r="X680" s="35">
        <f t="shared" si="195"/>
        <v>-119080.09398427895</v>
      </c>
      <c r="Y680" s="1">
        <f t="shared" si="199"/>
        <v>118960380.37764151</v>
      </c>
      <c r="AA680" s="2">
        <f>+Bono!J680</f>
        <v>940231.73035811936</v>
      </c>
      <c r="AC680" s="10">
        <f t="shared" si="205"/>
        <v>54.75</v>
      </c>
      <c r="AD680" s="1">
        <f t="shared" si="206"/>
        <v>122187367.65421003</v>
      </c>
    </row>
    <row r="681" spans="2:30">
      <c r="B681" s="1">
        <f t="shared" si="200"/>
        <v>658</v>
      </c>
      <c r="C681" s="2">
        <f t="shared" si="207"/>
        <v>54</v>
      </c>
      <c r="D681" s="2">
        <f t="shared" si="208"/>
        <v>10</v>
      </c>
      <c r="E681" s="2">
        <f t="shared" si="209"/>
        <v>83</v>
      </c>
      <c r="F681" s="1">
        <f t="shared" si="201"/>
        <v>2286755.5462103938</v>
      </c>
      <c r="H681" s="1">
        <f t="shared" si="197"/>
        <v>18234.909852056211</v>
      </c>
      <c r="I681" s="1">
        <v>0</v>
      </c>
      <c r="J681" s="1">
        <v>0</v>
      </c>
      <c r="K681" s="1">
        <f t="shared" si="202"/>
        <v>-2304.99045606245</v>
      </c>
      <c r="L681" s="1">
        <f t="shared" si="198"/>
        <v>2302685.4656063877</v>
      </c>
      <c r="N681" s="1">
        <f t="shared" si="203"/>
        <v>658</v>
      </c>
      <c r="O681" s="2">
        <f t="shared" si="210"/>
        <v>54</v>
      </c>
      <c r="P681" s="2">
        <f t="shared" si="211"/>
        <v>10</v>
      </c>
      <c r="Q681" s="2">
        <f t="shared" si="212"/>
        <v>54</v>
      </c>
      <c r="R681" s="1">
        <f t="shared" si="204"/>
        <v>118960380.37764151</v>
      </c>
      <c r="S681" s="4">
        <f>IF($G$4="mensual",S672,IF($G$4="trimestral",S672,0))</f>
        <v>10000</v>
      </c>
      <c r="U681" s="1">
        <f t="shared" si="213"/>
        <v>948686.52001141023</v>
      </c>
      <c r="V681" s="35">
        <f t="shared" si="196"/>
        <v>-633.51265315400906</v>
      </c>
      <c r="X681" s="35">
        <f t="shared" si="195"/>
        <v>-119919.06689765293</v>
      </c>
      <c r="Y681" s="1">
        <f t="shared" si="199"/>
        <v>119798514.31810212</v>
      </c>
      <c r="AA681" s="2">
        <f>+Bono!J681</f>
        <v>946061.2761464701</v>
      </c>
      <c r="AC681" s="10">
        <f t="shared" si="205"/>
        <v>54.833333333333336</v>
      </c>
      <c r="AD681" s="1">
        <f t="shared" si="206"/>
        <v>123047261.05985498</v>
      </c>
    </row>
    <row r="682" spans="2:30">
      <c r="B682" s="1">
        <f t="shared" si="200"/>
        <v>659</v>
      </c>
      <c r="C682" s="2">
        <f t="shared" si="207"/>
        <v>54</v>
      </c>
      <c r="D682" s="2">
        <f t="shared" si="208"/>
        <v>11</v>
      </c>
      <c r="E682" s="2">
        <f t="shared" si="209"/>
        <v>83</v>
      </c>
      <c r="F682" s="1">
        <f t="shared" si="201"/>
        <v>2302685.4656063877</v>
      </c>
      <c r="H682" s="1">
        <f t="shared" si="197"/>
        <v>18361.937266340985</v>
      </c>
      <c r="I682" s="1">
        <v>0</v>
      </c>
      <c r="J682" s="1">
        <v>0</v>
      </c>
      <c r="K682" s="1">
        <f t="shared" si="202"/>
        <v>-2321.0474028727285</v>
      </c>
      <c r="L682" s="1">
        <f t="shared" si="198"/>
        <v>2318726.3554698559</v>
      </c>
      <c r="N682" s="1">
        <f t="shared" si="203"/>
        <v>659</v>
      </c>
      <c r="O682" s="2">
        <f t="shared" si="210"/>
        <v>54</v>
      </c>
      <c r="P682" s="2">
        <f t="shared" si="211"/>
        <v>11</v>
      </c>
      <c r="Q682" s="2">
        <f t="shared" si="212"/>
        <v>54</v>
      </c>
      <c r="R682" s="1">
        <f t="shared" si="204"/>
        <v>119798514.31810212</v>
      </c>
      <c r="S682" s="1">
        <f>IF($G$17="si",S670*(1+$G$20),S670)</f>
        <v>10000</v>
      </c>
      <c r="U682" s="1">
        <f t="shared" si="213"/>
        <v>955369.9177508736</v>
      </c>
      <c r="V682" s="35">
        <f t="shared" si="196"/>
        <v>-633.51265315400906</v>
      </c>
      <c r="X682" s="35">
        <f t="shared" si="195"/>
        <v>-120763.88423585301</v>
      </c>
      <c r="Y682" s="1">
        <f t="shared" si="199"/>
        <v>120642486.83896399</v>
      </c>
      <c r="AA682" s="2">
        <f>+Bono!J682</f>
        <v>951926.96579489415</v>
      </c>
      <c r="AC682" s="10">
        <f t="shared" si="205"/>
        <v>54.916666666666664</v>
      </c>
      <c r="AD682" s="1">
        <f t="shared" si="206"/>
        <v>123913140.16022873</v>
      </c>
    </row>
    <row r="683" spans="2:30">
      <c r="B683" s="1">
        <f t="shared" si="200"/>
        <v>660</v>
      </c>
      <c r="C683" s="2">
        <f t="shared" si="207"/>
        <v>54</v>
      </c>
      <c r="D683" s="2">
        <f t="shared" si="208"/>
        <v>12</v>
      </c>
      <c r="E683" s="2">
        <f t="shared" si="209"/>
        <v>83</v>
      </c>
      <c r="F683" s="1">
        <f t="shared" si="201"/>
        <v>2318726.3554698559</v>
      </c>
      <c r="H683" s="1">
        <f t="shared" si="197"/>
        <v>18489.84957471686</v>
      </c>
      <c r="I683" s="1">
        <v>0</v>
      </c>
      <c r="J683" s="69">
        <f>-SUM(F683:H683)*$J$21</f>
        <v>-21034.945845401158</v>
      </c>
      <c r="K683" s="1">
        <f t="shared" si="202"/>
        <v>-2316.1812591991716</v>
      </c>
      <c r="L683" s="1">
        <f t="shared" si="198"/>
        <v>2313865.0779399723</v>
      </c>
      <c r="N683" s="1">
        <f t="shared" si="203"/>
        <v>660</v>
      </c>
      <c r="O683" s="2">
        <f t="shared" si="210"/>
        <v>54</v>
      </c>
      <c r="P683" s="2">
        <f t="shared" si="211"/>
        <v>12</v>
      </c>
      <c r="Q683" s="2">
        <f t="shared" si="212"/>
        <v>54</v>
      </c>
      <c r="R683" s="1">
        <f t="shared" si="204"/>
        <v>120642486.83896399</v>
      </c>
      <c r="S683" s="4">
        <f>IF($G$4="mensual",S682,0)</f>
        <v>10000</v>
      </c>
      <c r="U683" s="1">
        <f t="shared" si="213"/>
        <v>962099.87315036205</v>
      </c>
      <c r="V683" s="35">
        <f t="shared" si="196"/>
        <v>-633.51265315400906</v>
      </c>
      <c r="X683" s="35">
        <f t="shared" ref="X683:X746" si="214">-SUM(R683:U683)*0.1%</f>
        <v>-121614.58671211435</v>
      </c>
      <c r="Y683" s="1">
        <f t="shared" si="199"/>
        <v>121492338.61274908</v>
      </c>
      <c r="AA683" s="2">
        <f>+Bono!J683</f>
        <v>949199.93309861969</v>
      </c>
      <c r="AC683" s="10">
        <f t="shared" si="205"/>
        <v>55</v>
      </c>
      <c r="AD683" s="1">
        <f t="shared" si="206"/>
        <v>124755403.62378767</v>
      </c>
    </row>
    <row r="684" spans="2:30">
      <c r="B684" s="1">
        <f t="shared" si="200"/>
        <v>661</v>
      </c>
      <c r="C684" s="2">
        <f t="shared" si="207"/>
        <v>55</v>
      </c>
      <c r="D684" s="2">
        <f t="shared" si="208"/>
        <v>1</v>
      </c>
      <c r="E684" s="2">
        <f t="shared" si="209"/>
        <v>84</v>
      </c>
      <c r="F684" s="1">
        <f t="shared" si="201"/>
        <v>2313865.0779399723</v>
      </c>
      <c r="H684" s="1">
        <f t="shared" si="197"/>
        <v>18451.085065029692</v>
      </c>
      <c r="I684" s="1">
        <v>0</v>
      </c>
      <c r="J684" s="1">
        <v>0</v>
      </c>
      <c r="K684" s="1">
        <f t="shared" si="202"/>
        <v>-2332.3161630050017</v>
      </c>
      <c r="L684" s="1">
        <f t="shared" si="198"/>
        <v>2329983.846841997</v>
      </c>
      <c r="N684" s="1">
        <f t="shared" si="203"/>
        <v>661</v>
      </c>
      <c r="O684" s="2">
        <f t="shared" si="210"/>
        <v>55</v>
      </c>
      <c r="P684" s="2">
        <f t="shared" si="211"/>
        <v>1</v>
      </c>
      <c r="Q684" s="2">
        <f t="shared" si="212"/>
        <v>55</v>
      </c>
      <c r="R684" s="1">
        <f t="shared" si="204"/>
        <v>121492338.61274908</v>
      </c>
      <c r="S684" s="1">
        <f>IF($G$17="si",S672*(1+$G$20),S672)</f>
        <v>10000</v>
      </c>
      <c r="U684" s="1">
        <f t="shared" si="213"/>
        <v>968876.7105382774</v>
      </c>
      <c r="V684" s="35">
        <f>(V683*(1+$G$18))</f>
        <v>-658.85315928016939</v>
      </c>
      <c r="X684" s="35">
        <f t="shared" si="214"/>
        <v>-122471.21532328737</v>
      </c>
      <c r="Y684" s="1">
        <f t="shared" si="199"/>
        <v>122348085.2548048</v>
      </c>
      <c r="AA684" s="2">
        <f>+Bono!J684</f>
        <v>955085.0827842087</v>
      </c>
      <c r="AC684" s="10">
        <f t="shared" si="205"/>
        <v>55.083333333333336</v>
      </c>
      <c r="AD684" s="1">
        <f t="shared" si="206"/>
        <v>125633154.184431</v>
      </c>
    </row>
    <row r="685" spans="2:30">
      <c r="B685" s="1">
        <f t="shared" si="200"/>
        <v>662</v>
      </c>
      <c r="C685" s="2">
        <f t="shared" si="207"/>
        <v>55</v>
      </c>
      <c r="D685" s="2">
        <f t="shared" si="208"/>
        <v>2</v>
      </c>
      <c r="E685" s="2">
        <f t="shared" si="209"/>
        <v>84</v>
      </c>
      <c r="F685" s="1">
        <f t="shared" si="201"/>
        <v>2329983.846841997</v>
      </c>
      <c r="H685" s="1">
        <f t="shared" si="197"/>
        <v>18579.618391795484</v>
      </c>
      <c r="I685" s="1">
        <v>0</v>
      </c>
      <c r="J685" s="1">
        <v>0</v>
      </c>
      <c r="K685" s="1">
        <f t="shared" si="202"/>
        <v>-2348.5634652337926</v>
      </c>
      <c r="L685" s="1">
        <f t="shared" si="198"/>
        <v>2346214.9017685587</v>
      </c>
      <c r="N685" s="1">
        <f t="shared" si="203"/>
        <v>662</v>
      </c>
      <c r="O685" s="2">
        <f t="shared" si="210"/>
        <v>55</v>
      </c>
      <c r="P685" s="2">
        <f t="shared" si="211"/>
        <v>2</v>
      </c>
      <c r="Q685" s="2">
        <f t="shared" si="212"/>
        <v>55</v>
      </c>
      <c r="R685" s="1">
        <f t="shared" si="204"/>
        <v>122348085.2548048</v>
      </c>
      <c r="S685" s="4">
        <f>IF($G$4="mensual",S684,0)</f>
        <v>10000</v>
      </c>
      <c r="U685" s="1">
        <f t="shared" si="213"/>
        <v>975700.5544335926</v>
      </c>
      <c r="V685" s="35">
        <f t="shared" si="196"/>
        <v>-658.85315928016939</v>
      </c>
      <c r="X685" s="35">
        <f t="shared" si="214"/>
        <v>-123333.78580923841</v>
      </c>
      <c r="Y685" s="1">
        <f t="shared" si="199"/>
        <v>123209793.17026989</v>
      </c>
      <c r="AA685" s="2">
        <f>+Bono!J685</f>
        <v>961006.72108048352</v>
      </c>
      <c r="AC685" s="10">
        <f t="shared" si="205"/>
        <v>55.166666666666664</v>
      </c>
      <c r="AD685" s="1">
        <f t="shared" si="206"/>
        <v>126517014.79311894</v>
      </c>
    </row>
    <row r="686" spans="2:30">
      <c r="B686" s="1">
        <f t="shared" si="200"/>
        <v>663</v>
      </c>
      <c r="C686" s="2">
        <f t="shared" si="207"/>
        <v>55</v>
      </c>
      <c r="D686" s="2">
        <f t="shared" si="208"/>
        <v>3</v>
      </c>
      <c r="E686" s="2">
        <f t="shared" si="209"/>
        <v>84</v>
      </c>
      <c r="F686" s="1">
        <f t="shared" si="201"/>
        <v>2346214.9017685587</v>
      </c>
      <c r="H686" s="1">
        <f t="shared" si="197"/>
        <v>18709.047103089139</v>
      </c>
      <c r="I686" s="1">
        <v>0</v>
      </c>
      <c r="J686" s="69">
        <f>-SUM(F686:H686)*$J$21</f>
        <v>-21284.315539844833</v>
      </c>
      <c r="K686" s="1">
        <f t="shared" si="202"/>
        <v>-2343.639633331803</v>
      </c>
      <c r="L686" s="1">
        <f t="shared" si="198"/>
        <v>2341295.9936984712</v>
      </c>
      <c r="N686" s="1">
        <f t="shared" si="203"/>
        <v>663</v>
      </c>
      <c r="O686" s="2">
        <f t="shared" si="210"/>
        <v>55</v>
      </c>
      <c r="P686" s="2">
        <f t="shared" si="211"/>
        <v>3</v>
      </c>
      <c r="Q686" s="2">
        <f t="shared" si="212"/>
        <v>55</v>
      </c>
      <c r="R686" s="1">
        <f t="shared" si="204"/>
        <v>123209793.17026989</v>
      </c>
      <c r="S686" s="4">
        <f>IF($G$4="mensual",S685,0)</f>
        <v>10000</v>
      </c>
      <c r="U686" s="1">
        <f t="shared" si="213"/>
        <v>982571.93436020904</v>
      </c>
      <c r="V686" s="35">
        <f t="shared" si="196"/>
        <v>-658.85315928016939</v>
      </c>
      <c r="X686" s="35">
        <f t="shared" si="214"/>
        <v>-124202.36510463009</v>
      </c>
      <c r="Y686" s="1">
        <f t="shared" si="199"/>
        <v>124077503.88636619</v>
      </c>
      <c r="AA686" s="2">
        <f>+Bono!J686</f>
        <v>958253.67715600808</v>
      </c>
      <c r="AC686" s="10">
        <f t="shared" si="205"/>
        <v>55.25</v>
      </c>
      <c r="AD686" s="1">
        <f t="shared" si="206"/>
        <v>127377053.55722067</v>
      </c>
    </row>
    <row r="687" spans="2:30">
      <c r="B687" s="1">
        <f t="shared" si="200"/>
        <v>664</v>
      </c>
      <c r="C687" s="2">
        <f t="shared" si="207"/>
        <v>55</v>
      </c>
      <c r="D687" s="2">
        <f t="shared" si="208"/>
        <v>4</v>
      </c>
      <c r="E687" s="2">
        <f t="shared" si="209"/>
        <v>84</v>
      </c>
      <c r="F687" s="1">
        <f t="shared" si="201"/>
        <v>2341295.9936984712</v>
      </c>
      <c r="H687" s="1">
        <f t="shared" si="197"/>
        <v>18669.823039381394</v>
      </c>
      <c r="I687" s="1">
        <v>0</v>
      </c>
      <c r="J687" s="1">
        <v>0</v>
      </c>
      <c r="K687" s="1">
        <f t="shared" si="202"/>
        <v>-2359.9658167378525</v>
      </c>
      <c r="L687" s="1">
        <f t="shared" si="198"/>
        <v>2357605.8509211144</v>
      </c>
      <c r="N687" s="1">
        <f t="shared" si="203"/>
        <v>664</v>
      </c>
      <c r="O687" s="2">
        <f t="shared" si="210"/>
        <v>55</v>
      </c>
      <c r="P687" s="2">
        <f t="shared" si="211"/>
        <v>4</v>
      </c>
      <c r="Q687" s="2">
        <f t="shared" si="212"/>
        <v>55</v>
      </c>
      <c r="R687" s="1">
        <f t="shared" si="204"/>
        <v>124077503.88636619</v>
      </c>
      <c r="S687" s="4">
        <f>IF($G$4="mensual",S684,IF($G$4="trimestral",S684,0))</f>
        <v>10000</v>
      </c>
      <c r="U687" s="1">
        <f t="shared" si="213"/>
        <v>989491.18146202562</v>
      </c>
      <c r="V687" s="35">
        <f t="shared" si="196"/>
        <v>-658.85315928016939</v>
      </c>
      <c r="X687" s="35">
        <f t="shared" si="214"/>
        <v>-125076.9950678282</v>
      </c>
      <c r="Y687" s="1">
        <f t="shared" si="199"/>
        <v>124951259.21960109</v>
      </c>
      <c r="AA687" s="2">
        <f>+Bono!J687</f>
        <v>964194.96110492223</v>
      </c>
      <c r="AC687" s="10">
        <f t="shared" si="205"/>
        <v>55.333333333333336</v>
      </c>
      <c r="AD687" s="1">
        <f t="shared" si="206"/>
        <v>128273060.03162713</v>
      </c>
    </row>
    <row r="688" spans="2:30">
      <c r="B688" s="1">
        <f t="shared" si="200"/>
        <v>665</v>
      </c>
      <c r="C688" s="2">
        <f t="shared" si="207"/>
        <v>55</v>
      </c>
      <c r="D688" s="2">
        <f t="shared" si="208"/>
        <v>5</v>
      </c>
      <c r="E688" s="2">
        <f t="shared" si="209"/>
        <v>84</v>
      </c>
      <c r="F688" s="1">
        <f t="shared" si="201"/>
        <v>2357605.8509211144</v>
      </c>
      <c r="H688" s="1">
        <f t="shared" si="197"/>
        <v>18799.88013125012</v>
      </c>
      <c r="I688" s="1">
        <v>0</v>
      </c>
      <c r="J688" s="1">
        <v>0</v>
      </c>
      <c r="K688" s="1">
        <f t="shared" si="202"/>
        <v>-2376.4057310523649</v>
      </c>
      <c r="L688" s="1">
        <f t="shared" si="198"/>
        <v>2374029.3253213125</v>
      </c>
      <c r="N688" s="1">
        <f t="shared" si="203"/>
        <v>665</v>
      </c>
      <c r="O688" s="2">
        <f t="shared" si="210"/>
        <v>55</v>
      </c>
      <c r="P688" s="2">
        <f t="shared" si="211"/>
        <v>5</v>
      </c>
      <c r="Q688" s="2">
        <f t="shared" si="212"/>
        <v>55</v>
      </c>
      <c r="R688" s="1">
        <f t="shared" si="204"/>
        <v>124951259.21960109</v>
      </c>
      <c r="S688" s="4">
        <f>IF($G$4="mensual",S687,0)</f>
        <v>10000</v>
      </c>
      <c r="U688" s="1">
        <f t="shared" si="213"/>
        <v>996458.62918974436</v>
      </c>
      <c r="V688" s="35">
        <f t="shared" si="196"/>
        <v>-658.85315928016939</v>
      </c>
      <c r="X688" s="35">
        <f t="shared" si="214"/>
        <v>-125957.71784879084</v>
      </c>
      <c r="Y688" s="1">
        <f t="shared" si="199"/>
        <v>125831101.27778277</v>
      </c>
      <c r="AA688" s="2">
        <f>+Bono!J688</f>
        <v>970173.0817034659</v>
      </c>
      <c r="AC688" s="10">
        <f t="shared" si="205"/>
        <v>55.416666666666664</v>
      </c>
      <c r="AD688" s="1">
        <f t="shared" si="206"/>
        <v>129175303.68480755</v>
      </c>
    </row>
    <row r="689" spans="2:30">
      <c r="B689" s="1">
        <f t="shared" si="200"/>
        <v>666</v>
      </c>
      <c r="C689" s="2">
        <f t="shared" si="207"/>
        <v>55</v>
      </c>
      <c r="D689" s="2">
        <f t="shared" si="208"/>
        <v>6</v>
      </c>
      <c r="E689" s="2">
        <f t="shared" si="209"/>
        <v>84</v>
      </c>
      <c r="F689" s="1">
        <f t="shared" si="201"/>
        <v>2374029.3253213125</v>
      </c>
      <c r="H689" s="1">
        <f t="shared" si="197"/>
        <v>18930.843222447806</v>
      </c>
      <c r="I689" s="1">
        <v>0</v>
      </c>
      <c r="J689" s="69">
        <f>-SUM(F689:H689)*$J$21</f>
        <v>-21536.641516893844</v>
      </c>
      <c r="K689" s="1">
        <f t="shared" si="202"/>
        <v>-2371.4235270268664</v>
      </c>
      <c r="L689" s="1">
        <f t="shared" si="198"/>
        <v>2369052.1034998395</v>
      </c>
      <c r="N689" s="1">
        <f t="shared" si="203"/>
        <v>666</v>
      </c>
      <c r="O689" s="2">
        <f t="shared" si="210"/>
        <v>55</v>
      </c>
      <c r="P689" s="2">
        <f t="shared" si="211"/>
        <v>6</v>
      </c>
      <c r="Q689" s="2">
        <f t="shared" si="212"/>
        <v>55</v>
      </c>
      <c r="R689" s="1">
        <f t="shared" si="204"/>
        <v>125831101.27778277</v>
      </c>
      <c r="S689" s="4">
        <f>IF($G$4="mensual",S688,0)</f>
        <v>10000</v>
      </c>
      <c r="U689" s="1">
        <f t="shared" si="213"/>
        <v>1003474.6133169407</v>
      </c>
      <c r="V689" s="35">
        <f t="shared" ref="V689:V752" si="215">V688</f>
        <v>-658.85315928016939</v>
      </c>
      <c r="X689" s="35">
        <f t="shared" si="214"/>
        <v>-126844.57589109971</v>
      </c>
      <c r="Y689" s="1">
        <f t="shared" si="199"/>
        <v>126717072.46204934</v>
      </c>
      <c r="AA689" s="2">
        <f>+Bono!J689</f>
        <v>967393.77844815643</v>
      </c>
      <c r="AC689" s="10">
        <f t="shared" si="205"/>
        <v>55.5</v>
      </c>
      <c r="AD689" s="1">
        <f t="shared" si="206"/>
        <v>130053518.34399733</v>
      </c>
    </row>
    <row r="690" spans="2:30">
      <c r="B690" s="1">
        <f t="shared" si="200"/>
        <v>667</v>
      </c>
      <c r="C690" s="2">
        <f t="shared" si="207"/>
        <v>55</v>
      </c>
      <c r="D690" s="2">
        <f t="shared" si="208"/>
        <v>7</v>
      </c>
      <c r="E690" s="2">
        <f t="shared" si="209"/>
        <v>84</v>
      </c>
      <c r="F690" s="1">
        <f t="shared" si="201"/>
        <v>2369052.1034998395</v>
      </c>
      <c r="H690" s="1">
        <f t="shared" si="197"/>
        <v>18891.154156697576</v>
      </c>
      <c r="I690" s="1">
        <v>0</v>
      </c>
      <c r="J690" s="1">
        <v>0</v>
      </c>
      <c r="K690" s="1">
        <f t="shared" si="202"/>
        <v>-2387.9432576565368</v>
      </c>
      <c r="L690" s="1">
        <f t="shared" si="198"/>
        <v>2385555.3143988806</v>
      </c>
      <c r="N690" s="1">
        <f t="shared" si="203"/>
        <v>667</v>
      </c>
      <c r="O690" s="2">
        <f t="shared" si="210"/>
        <v>55</v>
      </c>
      <c r="P690" s="2">
        <f t="shared" si="211"/>
        <v>7</v>
      </c>
      <c r="Q690" s="2">
        <f t="shared" si="212"/>
        <v>55</v>
      </c>
      <c r="R690" s="1">
        <f t="shared" si="204"/>
        <v>126717072.46204934</v>
      </c>
      <c r="S690" s="1">
        <f>+IF($G$4="mensual",S684,IF($G$4="trimestral",S684,IF($G$4="semestral",S684,0)))</f>
        <v>10000</v>
      </c>
      <c r="U690" s="1">
        <f t="shared" si="213"/>
        <v>1010539.4719562446</v>
      </c>
      <c r="V690" s="35">
        <f t="shared" si="215"/>
        <v>-658.85315928016939</v>
      </c>
      <c r="X690" s="35">
        <f t="shared" si="214"/>
        <v>-127737.61193400557</v>
      </c>
      <c r="Y690" s="1">
        <f t="shared" si="199"/>
        <v>127609215.46891229</v>
      </c>
      <c r="AA690" s="2">
        <f>+Bono!J690</f>
        <v>973391.73208526801</v>
      </c>
      <c r="AC690" s="10">
        <f t="shared" si="205"/>
        <v>55.583333333333336</v>
      </c>
      <c r="AD690" s="1">
        <f t="shared" si="206"/>
        <v>130968162.51539645</v>
      </c>
    </row>
    <row r="691" spans="2:30">
      <c r="B691" s="1">
        <f t="shared" si="200"/>
        <v>668</v>
      </c>
      <c r="C691" s="2">
        <f t="shared" si="207"/>
        <v>55</v>
      </c>
      <c r="D691" s="2">
        <f t="shared" si="208"/>
        <v>8</v>
      </c>
      <c r="E691" s="2">
        <f t="shared" si="209"/>
        <v>84</v>
      </c>
      <c r="F691" s="1">
        <f t="shared" si="201"/>
        <v>2385555.3143988806</v>
      </c>
      <c r="H691" s="1">
        <f t="shared" si="197"/>
        <v>19022.753077934343</v>
      </c>
      <c r="I691" s="1">
        <v>0</v>
      </c>
      <c r="J691" s="1">
        <v>0</v>
      </c>
      <c r="K691" s="1">
        <f t="shared" si="202"/>
        <v>-2404.5780674768152</v>
      </c>
      <c r="L691" s="1">
        <f t="shared" si="198"/>
        <v>2402173.4894093382</v>
      </c>
      <c r="N691" s="1">
        <f t="shared" si="203"/>
        <v>668</v>
      </c>
      <c r="O691" s="2">
        <f t="shared" si="210"/>
        <v>55</v>
      </c>
      <c r="P691" s="2">
        <f t="shared" si="211"/>
        <v>8</v>
      </c>
      <c r="Q691" s="2">
        <f t="shared" si="212"/>
        <v>55</v>
      </c>
      <c r="R691" s="1">
        <f t="shared" si="204"/>
        <v>127609215.46891229</v>
      </c>
      <c r="S691" s="4">
        <f>IF($G$4="mensual",S690,0)</f>
        <v>10000</v>
      </c>
      <c r="U691" s="1">
        <f t="shared" si="213"/>
        <v>1017653.5455756341</v>
      </c>
      <c r="V691" s="35">
        <f t="shared" si="215"/>
        <v>-658.85315928016939</v>
      </c>
      <c r="X691" s="35">
        <f t="shared" si="214"/>
        <v>-128636.86901448792</v>
      </c>
      <c r="Y691" s="1">
        <f t="shared" si="199"/>
        <v>128507573.29231416</v>
      </c>
      <c r="AA691" s="2">
        <f>+Bono!J691</f>
        <v>979426.87373064912</v>
      </c>
      <c r="AC691" s="10">
        <f t="shared" si="205"/>
        <v>55.666666666666664</v>
      </c>
      <c r="AD691" s="1">
        <f t="shared" si="206"/>
        <v>131889173.65545414</v>
      </c>
    </row>
    <row r="692" spans="2:30">
      <c r="B692" s="1">
        <f t="shared" si="200"/>
        <v>669</v>
      </c>
      <c r="C692" s="2">
        <f t="shared" si="207"/>
        <v>55</v>
      </c>
      <c r="D692" s="2">
        <f t="shared" si="208"/>
        <v>9</v>
      </c>
      <c r="E692" s="2">
        <f t="shared" si="209"/>
        <v>84</v>
      </c>
      <c r="F692" s="1">
        <f t="shared" si="201"/>
        <v>2402173.4894093382</v>
      </c>
      <c r="H692" s="1">
        <f t="shared" si="197"/>
        <v>19155.268739139832</v>
      </c>
      <c r="I692" s="1">
        <v>0</v>
      </c>
      <c r="J692" s="69">
        <f>-SUM(F692:H692)*$J$21</f>
        <v>-21791.958823336303</v>
      </c>
      <c r="K692" s="1">
        <f t="shared" si="202"/>
        <v>-2399.5367993251416</v>
      </c>
      <c r="L692" s="1">
        <f t="shared" si="198"/>
        <v>2397137.2625258164</v>
      </c>
      <c r="N692" s="1">
        <f t="shared" si="203"/>
        <v>669</v>
      </c>
      <c r="O692" s="2">
        <f t="shared" si="210"/>
        <v>55</v>
      </c>
      <c r="P692" s="2">
        <f t="shared" si="211"/>
        <v>9</v>
      </c>
      <c r="Q692" s="2">
        <f t="shared" si="212"/>
        <v>55</v>
      </c>
      <c r="R692" s="1">
        <f t="shared" si="204"/>
        <v>128507573.29231416</v>
      </c>
      <c r="S692" s="4">
        <f>IF($G$4="mensual",S691,0)</f>
        <v>10000</v>
      </c>
      <c r="U692" s="1">
        <f t="shared" si="213"/>
        <v>1024817.177014845</v>
      </c>
      <c r="V692" s="35">
        <f t="shared" si="215"/>
        <v>-658.85315928016939</v>
      </c>
      <c r="X692" s="35">
        <f t="shared" si="214"/>
        <v>-129542.390469329</v>
      </c>
      <c r="Y692" s="1">
        <f t="shared" si="199"/>
        <v>129412189.22570039</v>
      </c>
      <c r="AA692" s="2">
        <f>+Bono!J692</f>
        <v>976621.06067539752</v>
      </c>
      <c r="AC692" s="10">
        <f t="shared" si="205"/>
        <v>55.75</v>
      </c>
      <c r="AD692" s="1">
        <f t="shared" si="206"/>
        <v>132785947.5489016</v>
      </c>
    </row>
    <row r="693" spans="2:30">
      <c r="B693" s="1">
        <f t="shared" si="200"/>
        <v>670</v>
      </c>
      <c r="C693" s="2">
        <f t="shared" si="207"/>
        <v>55</v>
      </c>
      <c r="D693" s="2">
        <f t="shared" si="208"/>
        <v>10</v>
      </c>
      <c r="E693" s="2">
        <f t="shared" si="209"/>
        <v>84</v>
      </c>
      <c r="F693" s="1">
        <f t="shared" si="201"/>
        <v>2397137.2625258164</v>
      </c>
      <c r="H693" s="1">
        <f t="shared" si="197"/>
        <v>19115.109158738811</v>
      </c>
      <c r="I693" s="1">
        <v>0</v>
      </c>
      <c r="J693" s="1">
        <v>0</v>
      </c>
      <c r="K693" s="1">
        <f t="shared" si="202"/>
        <v>-2416.2523716845553</v>
      </c>
      <c r="L693" s="1">
        <f t="shared" si="198"/>
        <v>2413836.1193128708</v>
      </c>
      <c r="N693" s="1">
        <f t="shared" si="203"/>
        <v>670</v>
      </c>
      <c r="O693" s="2">
        <f t="shared" si="210"/>
        <v>55</v>
      </c>
      <c r="P693" s="2">
        <f t="shared" si="211"/>
        <v>10</v>
      </c>
      <c r="Q693" s="2">
        <f t="shared" si="212"/>
        <v>55</v>
      </c>
      <c r="R693" s="1">
        <f t="shared" si="204"/>
        <v>129412189.22570039</v>
      </c>
      <c r="S693" s="4">
        <f>IF($G$4="mensual",S684,IF($G$4="trimestral",S684,0))</f>
        <v>10000</v>
      </c>
      <c r="U693" s="1">
        <f t="shared" si="213"/>
        <v>1032030.7115018907</v>
      </c>
      <c r="V693" s="35">
        <f t="shared" si="215"/>
        <v>-658.85315928016939</v>
      </c>
      <c r="X693" s="35">
        <f t="shared" si="214"/>
        <v>-130454.21993720229</v>
      </c>
      <c r="Y693" s="1">
        <f t="shared" si="199"/>
        <v>130323106.86410581</v>
      </c>
      <c r="AA693" s="2">
        <f>+Bono!J693</f>
        <v>982676.22453261644</v>
      </c>
      <c r="AC693" s="10">
        <f t="shared" si="205"/>
        <v>55.833333333333336</v>
      </c>
      <c r="AD693" s="1">
        <f t="shared" si="206"/>
        <v>133719619.20795129</v>
      </c>
    </row>
    <row r="694" spans="2:30">
      <c r="B694" s="1">
        <f t="shared" si="200"/>
        <v>671</v>
      </c>
      <c r="C694" s="2">
        <f t="shared" si="207"/>
        <v>55</v>
      </c>
      <c r="D694" s="2">
        <f t="shared" si="208"/>
        <v>11</v>
      </c>
      <c r="E694" s="2">
        <f t="shared" si="209"/>
        <v>84</v>
      </c>
      <c r="F694" s="1">
        <f t="shared" si="201"/>
        <v>2413836.1193128708</v>
      </c>
      <c r="H694" s="1">
        <f t="shared" si="197"/>
        <v>19248.268187760932</v>
      </c>
      <c r="I694" s="1">
        <v>0</v>
      </c>
      <c r="J694" s="1">
        <v>0</v>
      </c>
      <c r="K694" s="1">
        <f t="shared" si="202"/>
        <v>-2433.0843875006317</v>
      </c>
      <c r="L694" s="1">
        <f t="shared" si="198"/>
        <v>2430651.3031131309</v>
      </c>
      <c r="N694" s="1">
        <f t="shared" si="203"/>
        <v>671</v>
      </c>
      <c r="O694" s="2">
        <f t="shared" si="210"/>
        <v>55</v>
      </c>
      <c r="P694" s="2">
        <f t="shared" si="211"/>
        <v>11</v>
      </c>
      <c r="Q694" s="2">
        <f t="shared" si="212"/>
        <v>55</v>
      </c>
      <c r="R694" s="1">
        <f t="shared" si="204"/>
        <v>130323106.86410581</v>
      </c>
      <c r="S694" s="1">
        <f>IF($G$17="si",S682*(1+$G$20),S682)</f>
        <v>10000</v>
      </c>
      <c r="U694" s="1">
        <f t="shared" si="213"/>
        <v>1039294.4966697008</v>
      </c>
      <c r="V694" s="35">
        <f t="shared" si="215"/>
        <v>-658.85315928016939</v>
      </c>
      <c r="X694" s="35">
        <f t="shared" si="214"/>
        <v>-131372.40136077549</v>
      </c>
      <c r="Y694" s="1">
        <f t="shared" si="199"/>
        <v>131240370.10625544</v>
      </c>
      <c r="AA694" s="2">
        <f>+Bono!J694</f>
        <v>988768.93110810558</v>
      </c>
      <c r="AC694" s="10">
        <f t="shared" si="205"/>
        <v>55.916666666666664</v>
      </c>
      <c r="AD694" s="1">
        <f t="shared" si="206"/>
        <v>134659790.34047666</v>
      </c>
    </row>
    <row r="695" spans="2:30">
      <c r="B695" s="1">
        <f t="shared" si="200"/>
        <v>672</v>
      </c>
      <c r="C695" s="2">
        <f t="shared" si="207"/>
        <v>55</v>
      </c>
      <c r="D695" s="2">
        <f t="shared" si="208"/>
        <v>12</v>
      </c>
      <c r="E695" s="2">
        <f t="shared" si="209"/>
        <v>84</v>
      </c>
      <c r="F695" s="1">
        <f t="shared" si="201"/>
        <v>2430651.3031131309</v>
      </c>
      <c r="H695" s="1">
        <f t="shared" si="197"/>
        <v>19382.354824722035</v>
      </c>
      <c r="I695" s="1">
        <v>0</v>
      </c>
      <c r="J695" s="69">
        <f>-SUM(F695:H695)*$J$21</f>
        <v>-22050.302921440678</v>
      </c>
      <c r="K695" s="1">
        <f t="shared" si="202"/>
        <v>-2427.9833550164121</v>
      </c>
      <c r="L695" s="1">
        <f t="shared" si="198"/>
        <v>2425555.3716613958</v>
      </c>
      <c r="N695" s="1">
        <f t="shared" si="203"/>
        <v>672</v>
      </c>
      <c r="O695" s="2">
        <f t="shared" si="210"/>
        <v>55</v>
      </c>
      <c r="P695" s="2">
        <f t="shared" si="211"/>
        <v>12</v>
      </c>
      <c r="Q695" s="2">
        <f t="shared" si="212"/>
        <v>55</v>
      </c>
      <c r="R695" s="1">
        <f t="shared" si="204"/>
        <v>131240370.10625544</v>
      </c>
      <c r="S695" s="4">
        <f>IF($G$4="mensual",S694,0)</f>
        <v>10000</v>
      </c>
      <c r="U695" s="1">
        <f t="shared" si="213"/>
        <v>1046608.8825728736</v>
      </c>
      <c r="V695" s="35">
        <f t="shared" si="215"/>
        <v>-658.85315928016939</v>
      </c>
      <c r="X695" s="35">
        <f t="shared" si="214"/>
        <v>-132296.97898882831</v>
      </c>
      <c r="Y695" s="1">
        <f t="shared" si="199"/>
        <v>132164023.15668021</v>
      </c>
      <c r="AA695" s="2">
        <f>+Bono!J695</f>
        <v>985936.35539475712</v>
      </c>
      <c r="AC695" s="10">
        <f t="shared" si="205"/>
        <v>56</v>
      </c>
      <c r="AD695" s="1">
        <f t="shared" si="206"/>
        <v>135575514.88373637</v>
      </c>
    </row>
    <row r="696" spans="2:30">
      <c r="B696" s="1">
        <f t="shared" si="200"/>
        <v>673</v>
      </c>
      <c r="C696" s="2">
        <f t="shared" si="207"/>
        <v>56</v>
      </c>
      <c r="D696" s="2">
        <f t="shared" si="208"/>
        <v>1</v>
      </c>
      <c r="E696" s="2">
        <f t="shared" si="209"/>
        <v>85</v>
      </c>
      <c r="F696" s="1">
        <f t="shared" si="201"/>
        <v>2425555.3716613958</v>
      </c>
      <c r="H696" s="1">
        <f t="shared" si="197"/>
        <v>19341.719151709833</v>
      </c>
      <c r="I696" s="1">
        <v>0</v>
      </c>
      <c r="J696" s="1">
        <v>0</v>
      </c>
      <c r="K696" s="1">
        <f t="shared" si="202"/>
        <v>-2444.8970908131055</v>
      </c>
      <c r="L696" s="1">
        <f t="shared" si="198"/>
        <v>2442452.1937222923</v>
      </c>
      <c r="N696" s="1">
        <f t="shared" si="203"/>
        <v>673</v>
      </c>
      <c r="O696" s="2">
        <f t="shared" si="210"/>
        <v>56</v>
      </c>
      <c r="P696" s="2">
        <f t="shared" si="211"/>
        <v>1</v>
      </c>
      <c r="Q696" s="2">
        <f t="shared" si="212"/>
        <v>56</v>
      </c>
      <c r="R696" s="1">
        <f t="shared" si="204"/>
        <v>132164023.15668021</v>
      </c>
      <c r="S696" s="1">
        <f>IF($G$17="si",S684*(1+$G$20),S684)</f>
        <v>10000</v>
      </c>
      <c r="U696" s="1">
        <f t="shared" si="213"/>
        <v>1053974.2217045461</v>
      </c>
      <c r="V696" s="35">
        <f>(V695*(1+$G$18))</f>
        <v>-685.2072856513762</v>
      </c>
      <c r="X696" s="35">
        <f t="shared" si="214"/>
        <v>-133227.99737838475</v>
      </c>
      <c r="Y696" s="1">
        <f t="shared" si="199"/>
        <v>133094084.17372072</v>
      </c>
      <c r="AA696" s="2">
        <f>+Bono!J696</f>
        <v>992049.27515974338</v>
      </c>
      <c r="AC696" s="10">
        <f t="shared" si="205"/>
        <v>56.083333333333336</v>
      </c>
      <c r="AD696" s="1">
        <f t="shared" si="206"/>
        <v>136528585.64260274</v>
      </c>
    </row>
    <row r="697" spans="2:30">
      <c r="B697" s="1">
        <f t="shared" si="200"/>
        <v>674</v>
      </c>
      <c r="C697" s="2">
        <f t="shared" si="207"/>
        <v>56</v>
      </c>
      <c r="D697" s="2">
        <f t="shared" si="208"/>
        <v>2</v>
      </c>
      <c r="E697" s="2">
        <f t="shared" si="209"/>
        <v>85</v>
      </c>
      <c r="F697" s="1">
        <f t="shared" si="201"/>
        <v>2442452.1937222923</v>
      </c>
      <c r="H697" s="1">
        <f t="shared" si="197"/>
        <v>19476.456783625621</v>
      </c>
      <c r="I697" s="1">
        <v>0</v>
      </c>
      <c r="J697" s="1">
        <v>0</v>
      </c>
      <c r="K697" s="1">
        <f t="shared" si="202"/>
        <v>-2461.9286505059181</v>
      </c>
      <c r="L697" s="1">
        <f t="shared" si="198"/>
        <v>2459466.7218554122</v>
      </c>
      <c r="N697" s="1">
        <f t="shared" si="203"/>
        <v>674</v>
      </c>
      <c r="O697" s="2">
        <f t="shared" si="210"/>
        <v>56</v>
      </c>
      <c r="P697" s="2">
        <f t="shared" si="211"/>
        <v>2</v>
      </c>
      <c r="Q697" s="2">
        <f t="shared" si="212"/>
        <v>56</v>
      </c>
      <c r="R697" s="1">
        <f t="shared" si="204"/>
        <v>133094084.17372072</v>
      </c>
      <c r="S697" s="4">
        <f>IF($G$4="mensual",S696,0)</f>
        <v>10000</v>
      </c>
      <c r="U697" s="1">
        <f t="shared" si="213"/>
        <v>1061390.658861876</v>
      </c>
      <c r="V697" s="35">
        <f t="shared" si="215"/>
        <v>-685.2072856513762</v>
      </c>
      <c r="X697" s="35">
        <f t="shared" si="214"/>
        <v>-134165.47483258261</v>
      </c>
      <c r="Y697" s="1">
        <f t="shared" si="199"/>
        <v>134030624.15046436</v>
      </c>
      <c r="AA697" s="2">
        <f>+Bono!J697</f>
        <v>998200.09573632735</v>
      </c>
      <c r="AC697" s="10">
        <f t="shared" si="205"/>
        <v>56.166666666666664</v>
      </c>
      <c r="AD697" s="1">
        <f t="shared" si="206"/>
        <v>137488290.96805608</v>
      </c>
    </row>
    <row r="698" spans="2:30">
      <c r="B698" s="1">
        <f t="shared" si="200"/>
        <v>675</v>
      </c>
      <c r="C698" s="2">
        <f t="shared" si="207"/>
        <v>56</v>
      </c>
      <c r="D698" s="2">
        <f t="shared" si="208"/>
        <v>3</v>
      </c>
      <c r="E698" s="2">
        <f t="shared" si="209"/>
        <v>85</v>
      </c>
      <c r="F698" s="1">
        <f t="shared" si="201"/>
        <v>2459466.7218554122</v>
      </c>
      <c r="H698" s="1">
        <f t="shared" si="197"/>
        <v>19612.133020290654</v>
      </c>
      <c r="I698" s="1">
        <v>0</v>
      </c>
      <c r="J698" s="69">
        <f>-SUM(F698:H698)*$J$21</f>
        <v>-22311.70969388133</v>
      </c>
      <c r="K698" s="1">
        <f t="shared" si="202"/>
        <v>-2456.7671451818219</v>
      </c>
      <c r="L698" s="1">
        <f t="shared" si="198"/>
        <v>2454310.3780366397</v>
      </c>
      <c r="N698" s="1">
        <f t="shared" si="203"/>
        <v>675</v>
      </c>
      <c r="O698" s="2">
        <f t="shared" si="210"/>
        <v>56</v>
      </c>
      <c r="P698" s="2">
        <f t="shared" si="211"/>
        <v>3</v>
      </c>
      <c r="Q698" s="2">
        <f t="shared" si="212"/>
        <v>56</v>
      </c>
      <c r="R698" s="1">
        <f t="shared" si="204"/>
        <v>134030624.15046436</v>
      </c>
      <c r="S698" s="4">
        <f>IF($G$4="mensual",S697,0)</f>
        <v>10000</v>
      </c>
      <c r="U698" s="1">
        <f t="shared" si="213"/>
        <v>1068858.760153712</v>
      </c>
      <c r="V698" s="35">
        <f t="shared" si="215"/>
        <v>-685.2072856513762</v>
      </c>
      <c r="X698" s="35">
        <f t="shared" si="214"/>
        <v>-135109.48291061807</v>
      </c>
      <c r="Y698" s="1">
        <f t="shared" si="199"/>
        <v>134973688.22042182</v>
      </c>
      <c r="AA698" s="2">
        <f>+Bono!J698</f>
        <v>995340.50209489267</v>
      </c>
      <c r="AC698" s="10">
        <f t="shared" si="205"/>
        <v>56.25</v>
      </c>
      <c r="AD698" s="1">
        <f t="shared" si="206"/>
        <v>138423339.10055336</v>
      </c>
    </row>
    <row r="699" spans="2:30">
      <c r="B699" s="1">
        <f t="shared" si="200"/>
        <v>676</v>
      </c>
      <c r="C699" s="2">
        <f t="shared" si="207"/>
        <v>56</v>
      </c>
      <c r="D699" s="2">
        <f t="shared" si="208"/>
        <v>4</v>
      </c>
      <c r="E699" s="2">
        <f t="shared" si="209"/>
        <v>85</v>
      </c>
      <c r="F699" s="1">
        <f t="shared" si="201"/>
        <v>2454310.3780366397</v>
      </c>
      <c r="H699" s="1">
        <f t="shared" si="197"/>
        <v>19571.015610580049</v>
      </c>
      <c r="I699" s="1">
        <v>0</v>
      </c>
      <c r="J699" s="1">
        <v>0</v>
      </c>
      <c r="K699" s="1">
        <f t="shared" si="202"/>
        <v>-2473.8813936472197</v>
      </c>
      <c r="L699" s="1">
        <f t="shared" si="198"/>
        <v>2471407.5122535722</v>
      </c>
      <c r="N699" s="1">
        <f t="shared" si="203"/>
        <v>676</v>
      </c>
      <c r="O699" s="2">
        <f t="shared" si="210"/>
        <v>56</v>
      </c>
      <c r="P699" s="2">
        <f t="shared" si="211"/>
        <v>4</v>
      </c>
      <c r="Q699" s="2">
        <f t="shared" si="212"/>
        <v>56</v>
      </c>
      <c r="R699" s="1">
        <f t="shared" si="204"/>
        <v>134973688.22042182</v>
      </c>
      <c r="S699" s="4">
        <f>IF($G$4="mensual",S696,IF($G$4="trimestral",S696,0))</f>
        <v>10000</v>
      </c>
      <c r="U699" s="1">
        <f t="shared" si="213"/>
        <v>1076378.8854810065</v>
      </c>
      <c r="V699" s="35">
        <f t="shared" si="215"/>
        <v>-685.2072856513762</v>
      </c>
      <c r="X699" s="35">
        <f t="shared" si="214"/>
        <v>-136060.06710590282</v>
      </c>
      <c r="Y699" s="1">
        <f t="shared" si="199"/>
        <v>135923321.83151129</v>
      </c>
      <c r="AA699" s="2">
        <f>+Bono!J699</f>
        <v>1001511.7286602333</v>
      </c>
      <c r="AC699" s="10">
        <f t="shared" si="205"/>
        <v>56.333333333333336</v>
      </c>
      <c r="AD699" s="1">
        <f t="shared" si="206"/>
        <v>139396241.0724251</v>
      </c>
    </row>
    <row r="700" spans="2:30">
      <c r="B700" s="1">
        <f t="shared" si="200"/>
        <v>677</v>
      </c>
      <c r="C700" s="2">
        <f t="shared" si="207"/>
        <v>56</v>
      </c>
      <c r="D700" s="2">
        <f t="shared" si="208"/>
        <v>5</v>
      </c>
      <c r="E700" s="2">
        <f t="shared" si="209"/>
        <v>85</v>
      </c>
      <c r="F700" s="1">
        <f t="shared" si="201"/>
        <v>2471407.5122535722</v>
      </c>
      <c r="H700" s="1">
        <f t="shared" si="197"/>
        <v>19707.350559757684</v>
      </c>
      <c r="I700" s="1">
        <v>0</v>
      </c>
      <c r="J700" s="1">
        <v>0</v>
      </c>
      <c r="K700" s="1">
        <f t="shared" si="202"/>
        <v>-2491.1148628133296</v>
      </c>
      <c r="L700" s="1">
        <f t="shared" si="198"/>
        <v>2488623.7479505166</v>
      </c>
      <c r="N700" s="1">
        <f t="shared" si="203"/>
        <v>677</v>
      </c>
      <c r="O700" s="2">
        <f t="shared" si="210"/>
        <v>56</v>
      </c>
      <c r="P700" s="2">
        <f t="shared" si="211"/>
        <v>5</v>
      </c>
      <c r="Q700" s="2">
        <f t="shared" si="212"/>
        <v>56</v>
      </c>
      <c r="R700" s="1">
        <f t="shared" si="204"/>
        <v>135923321.83151129</v>
      </c>
      <c r="S700" s="4">
        <f>IF($G$4="mensual",S699,0)</f>
        <v>10000</v>
      </c>
      <c r="U700" s="1">
        <f t="shared" si="213"/>
        <v>1083951.3972518409</v>
      </c>
      <c r="V700" s="35">
        <f t="shared" si="215"/>
        <v>-685.2072856513762</v>
      </c>
      <c r="X700" s="35">
        <f t="shared" si="214"/>
        <v>-137017.27322876314</v>
      </c>
      <c r="Y700" s="1">
        <f t="shared" si="199"/>
        <v>136879570.74824873</v>
      </c>
      <c r="AA700" s="2">
        <f>+Bono!J700</f>
        <v>1007721.217546097</v>
      </c>
      <c r="AC700" s="10">
        <f t="shared" si="205"/>
        <v>56.416666666666664</v>
      </c>
      <c r="AD700" s="1">
        <f t="shared" si="206"/>
        <v>140375915.71374536</v>
      </c>
    </row>
    <row r="701" spans="2:30">
      <c r="B701" s="1">
        <f t="shared" si="200"/>
        <v>678</v>
      </c>
      <c r="C701" s="2">
        <f t="shared" si="207"/>
        <v>56</v>
      </c>
      <c r="D701" s="2">
        <f t="shared" si="208"/>
        <v>6</v>
      </c>
      <c r="E701" s="2">
        <f t="shared" si="209"/>
        <v>85</v>
      </c>
      <c r="F701" s="1">
        <f t="shared" si="201"/>
        <v>2488623.7479505166</v>
      </c>
      <c r="H701" s="1">
        <f t="shared" si="197"/>
        <v>19844.635240862226</v>
      </c>
      <c r="I701" s="1">
        <v>0</v>
      </c>
      <c r="J701" s="69">
        <f>-SUM(F701:H701)*$J$21</f>
        <v>-22576.215448722411</v>
      </c>
      <c r="K701" s="1">
        <f t="shared" si="202"/>
        <v>-2485.8921677426565</v>
      </c>
      <c r="L701" s="1">
        <f t="shared" si="198"/>
        <v>2483406.2755749137</v>
      </c>
      <c r="N701" s="1">
        <f t="shared" si="203"/>
        <v>678</v>
      </c>
      <c r="O701" s="2">
        <f t="shared" si="210"/>
        <v>56</v>
      </c>
      <c r="P701" s="2">
        <f t="shared" si="211"/>
        <v>6</v>
      </c>
      <c r="Q701" s="2">
        <f t="shared" si="212"/>
        <v>56</v>
      </c>
      <c r="R701" s="1">
        <f t="shared" si="204"/>
        <v>136879570.74824873</v>
      </c>
      <c r="S701" s="4">
        <f>IF($G$4="mensual",S700,0)</f>
        <v>10000</v>
      </c>
      <c r="U701" s="1">
        <f t="shared" si="213"/>
        <v>1091576.6603988924</v>
      </c>
      <c r="V701" s="35">
        <f t="shared" si="215"/>
        <v>-685.2072856513762</v>
      </c>
      <c r="X701" s="35">
        <f t="shared" si="214"/>
        <v>-137981.14740864764</v>
      </c>
      <c r="Y701" s="1">
        <f t="shared" si="199"/>
        <v>137842481.05395335</v>
      </c>
      <c r="AA701" s="2">
        <f>+Bono!J701</f>
        <v>1004834.3482717478</v>
      </c>
      <c r="AC701" s="10">
        <f t="shared" si="205"/>
        <v>56.5</v>
      </c>
      <c r="AD701" s="1">
        <f t="shared" si="206"/>
        <v>141330721.67780003</v>
      </c>
    </row>
    <row r="702" spans="2:30">
      <c r="B702" s="1">
        <f t="shared" si="200"/>
        <v>679</v>
      </c>
      <c r="C702" s="2">
        <f t="shared" si="207"/>
        <v>56</v>
      </c>
      <c r="D702" s="2">
        <f t="shared" si="208"/>
        <v>7</v>
      </c>
      <c r="E702" s="2">
        <f t="shared" si="209"/>
        <v>85</v>
      </c>
      <c r="F702" s="1">
        <f t="shared" si="201"/>
        <v>2483406.2755749137</v>
      </c>
      <c r="H702" s="1">
        <f t="shared" si="197"/>
        <v>19803.030383455243</v>
      </c>
      <c r="I702" s="1">
        <v>0</v>
      </c>
      <c r="J702" s="1">
        <v>0</v>
      </c>
      <c r="K702" s="1">
        <f t="shared" si="202"/>
        <v>-2503.209305958369</v>
      </c>
      <c r="L702" s="1">
        <f t="shared" si="198"/>
        <v>2500706.0966524105</v>
      </c>
      <c r="N702" s="1">
        <f t="shared" si="203"/>
        <v>679</v>
      </c>
      <c r="O702" s="2">
        <f t="shared" si="210"/>
        <v>56</v>
      </c>
      <c r="P702" s="2">
        <f t="shared" si="211"/>
        <v>7</v>
      </c>
      <c r="Q702" s="2">
        <f t="shared" si="212"/>
        <v>56</v>
      </c>
      <c r="R702" s="1">
        <f t="shared" si="204"/>
        <v>137842481.05395335</v>
      </c>
      <c r="S702" s="1">
        <f>+IF($G$4="mensual",S696,IF($G$4="trimestral",S696,IF($G$4="semestral",S696,0)))</f>
        <v>10000</v>
      </c>
      <c r="U702" s="1">
        <f t="shared" si="213"/>
        <v>1099255.0423970197</v>
      </c>
      <c r="V702" s="35">
        <f t="shared" si="215"/>
        <v>-685.2072856513762</v>
      </c>
      <c r="X702" s="35">
        <f t="shared" si="214"/>
        <v>-138951.73609635039</v>
      </c>
      <c r="Y702" s="1">
        <f t="shared" si="199"/>
        <v>138812099.15296838</v>
      </c>
      <c r="AA702" s="2">
        <f>+Bono!J702</f>
        <v>1011064.4377846029</v>
      </c>
      <c r="AC702" s="10">
        <f t="shared" si="205"/>
        <v>56.583333333333336</v>
      </c>
      <c r="AD702" s="1">
        <f t="shared" si="206"/>
        <v>142323869.68740541</v>
      </c>
    </row>
    <row r="703" spans="2:30">
      <c r="B703" s="1">
        <f t="shared" si="200"/>
        <v>680</v>
      </c>
      <c r="C703" s="2">
        <f t="shared" si="207"/>
        <v>56</v>
      </c>
      <c r="D703" s="2">
        <f t="shared" si="208"/>
        <v>8</v>
      </c>
      <c r="E703" s="2">
        <f t="shared" si="209"/>
        <v>85</v>
      </c>
      <c r="F703" s="1">
        <f t="shared" si="201"/>
        <v>2500706.0966524105</v>
      </c>
      <c r="H703" s="1">
        <f t="shared" si="197"/>
        <v>19940.98158612211</v>
      </c>
      <c r="I703" s="1">
        <v>0</v>
      </c>
      <c r="J703" s="1">
        <v>0</v>
      </c>
      <c r="K703" s="1">
        <f t="shared" si="202"/>
        <v>-2520.6470782385327</v>
      </c>
      <c r="L703" s="1">
        <f t="shared" si="198"/>
        <v>2518126.431160294</v>
      </c>
      <c r="N703" s="1">
        <f t="shared" si="203"/>
        <v>680</v>
      </c>
      <c r="O703" s="2">
        <f t="shared" si="210"/>
        <v>56</v>
      </c>
      <c r="P703" s="2">
        <f t="shared" si="211"/>
        <v>8</v>
      </c>
      <c r="Q703" s="2">
        <f t="shared" si="212"/>
        <v>56</v>
      </c>
      <c r="R703" s="1">
        <f t="shared" si="204"/>
        <v>138812099.15296838</v>
      </c>
      <c r="S703" s="4">
        <f>IF($G$4="mensual",S702,0)</f>
        <v>10000</v>
      </c>
      <c r="U703" s="1">
        <f t="shared" si="213"/>
        <v>1106986.913280972</v>
      </c>
      <c r="V703" s="35">
        <f t="shared" si="215"/>
        <v>-685.2072856513762</v>
      </c>
      <c r="X703" s="35">
        <f t="shared" si="214"/>
        <v>-139929.08606624935</v>
      </c>
      <c r="Y703" s="1">
        <f t="shared" si="199"/>
        <v>139788471.77289745</v>
      </c>
      <c r="AA703" s="2">
        <f>+Bono!J703</f>
        <v>1017333.1545750833</v>
      </c>
      <c r="AC703" s="10">
        <f t="shared" si="205"/>
        <v>56.666666666666664</v>
      </c>
      <c r="AD703" s="1">
        <f t="shared" si="206"/>
        <v>143323931.35863283</v>
      </c>
    </row>
    <row r="704" spans="2:30">
      <c r="B704" s="1">
        <f t="shared" si="200"/>
        <v>681</v>
      </c>
      <c r="C704" s="2">
        <f t="shared" si="207"/>
        <v>56</v>
      </c>
      <c r="D704" s="2">
        <f t="shared" si="208"/>
        <v>9</v>
      </c>
      <c r="E704" s="2">
        <f t="shared" si="209"/>
        <v>85</v>
      </c>
      <c r="F704" s="1">
        <f t="shared" si="201"/>
        <v>2518126.431160294</v>
      </c>
      <c r="H704" s="1">
        <f t="shared" si="197"/>
        <v>20079.893779806451</v>
      </c>
      <c r="I704" s="1">
        <v>0</v>
      </c>
      <c r="J704" s="69">
        <f>-SUM(F704:H704)*$J$21</f>
        <v>-22843.856924460906</v>
      </c>
      <c r="K704" s="1">
        <f t="shared" si="202"/>
        <v>-2515.3624680156395</v>
      </c>
      <c r="L704" s="1">
        <f t="shared" si="198"/>
        <v>2512847.1055476237</v>
      </c>
      <c r="N704" s="1">
        <f t="shared" si="203"/>
        <v>681</v>
      </c>
      <c r="O704" s="2">
        <f t="shared" si="210"/>
        <v>56</v>
      </c>
      <c r="P704" s="2">
        <f t="shared" si="211"/>
        <v>9</v>
      </c>
      <c r="Q704" s="2">
        <f t="shared" si="212"/>
        <v>56</v>
      </c>
      <c r="R704" s="1">
        <f t="shared" si="204"/>
        <v>139788471.77289745</v>
      </c>
      <c r="S704" s="4">
        <f>IF($G$4="mensual",S703,0)</f>
        <v>10000</v>
      </c>
      <c r="U704" s="1">
        <f t="shared" si="213"/>
        <v>1114772.6456632232</v>
      </c>
      <c r="V704" s="35">
        <f t="shared" si="215"/>
        <v>-685.2072856513762</v>
      </c>
      <c r="X704" s="35">
        <f t="shared" si="214"/>
        <v>-140913.24441856067</v>
      </c>
      <c r="Y704" s="1">
        <f t="shared" si="199"/>
        <v>140771645.96685648</v>
      </c>
      <c r="AA704" s="2">
        <f>+Bono!J704</f>
        <v>1014418.7495049278</v>
      </c>
      <c r="AC704" s="10">
        <f t="shared" si="205"/>
        <v>56.75</v>
      </c>
      <c r="AD704" s="1">
        <f t="shared" si="206"/>
        <v>144298911.82190904</v>
      </c>
    </row>
    <row r="705" spans="2:30">
      <c r="B705" s="1">
        <f t="shared" si="200"/>
        <v>682</v>
      </c>
      <c r="C705" s="2">
        <f t="shared" si="207"/>
        <v>56</v>
      </c>
      <c r="D705" s="2">
        <f t="shared" si="208"/>
        <v>10</v>
      </c>
      <c r="E705" s="2">
        <f t="shared" si="209"/>
        <v>85</v>
      </c>
      <c r="F705" s="1">
        <f t="shared" si="201"/>
        <v>2512847.1055476237</v>
      </c>
      <c r="H705" s="1">
        <f t="shared" si="197"/>
        <v>20037.795696001111</v>
      </c>
      <c r="I705" s="1">
        <v>0</v>
      </c>
      <c r="J705" s="1">
        <v>0</v>
      </c>
      <c r="K705" s="1">
        <f t="shared" si="202"/>
        <v>-2532.8849012436249</v>
      </c>
      <c r="L705" s="1">
        <f t="shared" si="198"/>
        <v>2530352.016342381</v>
      </c>
      <c r="N705" s="1">
        <f t="shared" si="203"/>
        <v>682</v>
      </c>
      <c r="O705" s="2">
        <f t="shared" si="210"/>
        <v>56</v>
      </c>
      <c r="P705" s="2">
        <f t="shared" si="211"/>
        <v>10</v>
      </c>
      <c r="Q705" s="2">
        <f t="shared" si="212"/>
        <v>56</v>
      </c>
      <c r="R705" s="1">
        <f t="shared" si="204"/>
        <v>140771645.96685648</v>
      </c>
      <c r="S705" s="4">
        <f>IF($G$4="mensual",S696,IF($G$4="trimestral",S696,0))</f>
        <v>10000</v>
      </c>
      <c r="U705" s="1">
        <f t="shared" si="213"/>
        <v>1122612.6147519269</v>
      </c>
      <c r="V705" s="35">
        <f t="shared" si="215"/>
        <v>-685.2072856513762</v>
      </c>
      <c r="X705" s="35">
        <f t="shared" si="214"/>
        <v>-141904.25858160842</v>
      </c>
      <c r="Y705" s="1">
        <f t="shared" si="199"/>
        <v>141761669.11574116</v>
      </c>
      <c r="AA705" s="2">
        <f>+Bono!J705</f>
        <v>1020708.2634171504</v>
      </c>
      <c r="AC705" s="10">
        <f t="shared" si="205"/>
        <v>56.833333333333336</v>
      </c>
      <c r="AD705" s="1">
        <f t="shared" si="206"/>
        <v>145312729.39550069</v>
      </c>
    </row>
    <row r="706" spans="2:30">
      <c r="B706" s="1">
        <f t="shared" si="200"/>
        <v>683</v>
      </c>
      <c r="C706" s="2">
        <f t="shared" si="207"/>
        <v>56</v>
      </c>
      <c r="D706" s="2">
        <f t="shared" si="208"/>
        <v>11</v>
      </c>
      <c r="E706" s="2">
        <f t="shared" si="209"/>
        <v>85</v>
      </c>
      <c r="F706" s="1">
        <f t="shared" si="201"/>
        <v>2530352.016342381</v>
      </c>
      <c r="H706" s="1">
        <f t="shared" si="197"/>
        <v>20177.382312873939</v>
      </c>
      <c r="I706" s="1">
        <v>0</v>
      </c>
      <c r="J706" s="1">
        <v>0</v>
      </c>
      <c r="K706" s="1">
        <f t="shared" si="202"/>
        <v>-2550.5293986552551</v>
      </c>
      <c r="L706" s="1">
        <f t="shared" si="198"/>
        <v>2547978.8692565998</v>
      </c>
      <c r="N706" s="1">
        <f t="shared" si="203"/>
        <v>683</v>
      </c>
      <c r="O706" s="2">
        <f t="shared" si="210"/>
        <v>56</v>
      </c>
      <c r="P706" s="2">
        <f t="shared" si="211"/>
        <v>11</v>
      </c>
      <c r="Q706" s="2">
        <f t="shared" si="212"/>
        <v>56</v>
      </c>
      <c r="R706" s="1">
        <f t="shared" si="204"/>
        <v>141761669.11574116</v>
      </c>
      <c r="S706" s="1">
        <f>IF($G$17="si",S694*(1+$G$20),S694)</f>
        <v>10000</v>
      </c>
      <c r="U706" s="1">
        <f t="shared" si="213"/>
        <v>1130507.1983689987</v>
      </c>
      <c r="V706" s="35">
        <f t="shared" si="215"/>
        <v>-685.2072856513762</v>
      </c>
      <c r="X706" s="35">
        <f t="shared" si="214"/>
        <v>-142902.17631411017</v>
      </c>
      <c r="Y706" s="1">
        <f t="shared" si="199"/>
        <v>142758588.9305104</v>
      </c>
      <c r="AA706" s="2">
        <f>+Bono!J706</f>
        <v>1027036.7730451672</v>
      </c>
      <c r="AC706" s="10">
        <f t="shared" si="205"/>
        <v>56.916666666666664</v>
      </c>
      <c r="AD706" s="1">
        <f t="shared" si="206"/>
        <v>146333604.57281214</v>
      </c>
    </row>
    <row r="707" spans="2:30">
      <c r="B707" s="1">
        <f t="shared" si="200"/>
        <v>684</v>
      </c>
      <c r="C707" s="2">
        <f t="shared" si="207"/>
        <v>56</v>
      </c>
      <c r="D707" s="2">
        <f t="shared" si="208"/>
        <v>12</v>
      </c>
      <c r="E707" s="2">
        <f t="shared" si="209"/>
        <v>85</v>
      </c>
      <c r="F707" s="1">
        <f t="shared" si="201"/>
        <v>2547978.8692565998</v>
      </c>
      <c r="H707" s="1">
        <f t="shared" si="197"/>
        <v>20317.94131333155</v>
      </c>
      <c r="I707" s="1">
        <v>0</v>
      </c>
      <c r="J707" s="69">
        <f>-SUM(F707:H707)*$J$21</f>
        <v>-23114.671295129385</v>
      </c>
      <c r="K707" s="1">
        <f t="shared" si="202"/>
        <v>-2545.182139274802</v>
      </c>
      <c r="L707" s="1">
        <f t="shared" si="198"/>
        <v>2542636.9571355274</v>
      </c>
      <c r="N707" s="1">
        <f t="shared" si="203"/>
        <v>684</v>
      </c>
      <c r="O707" s="2">
        <f t="shared" si="210"/>
        <v>56</v>
      </c>
      <c r="P707" s="2">
        <f t="shared" si="211"/>
        <v>12</v>
      </c>
      <c r="Q707" s="2">
        <f t="shared" si="212"/>
        <v>56</v>
      </c>
      <c r="R707" s="1">
        <f t="shared" si="204"/>
        <v>142758588.9305104</v>
      </c>
      <c r="S707" s="4">
        <f>IF($G$4="mensual",S706,0)</f>
        <v>10000</v>
      </c>
      <c r="U707" s="1">
        <f t="shared" si="213"/>
        <v>1138456.7769683255</v>
      </c>
      <c r="V707" s="35">
        <f t="shared" si="215"/>
        <v>-685.2072856513762</v>
      </c>
      <c r="X707" s="35">
        <f t="shared" si="214"/>
        <v>-143907.04570747874</v>
      </c>
      <c r="Y707" s="1">
        <f t="shared" si="199"/>
        <v>143762453.45448563</v>
      </c>
      <c r="AA707" s="2">
        <f>+Bono!J707</f>
        <v>1024094.5695348049</v>
      </c>
      <c r="AC707" s="10">
        <f t="shared" si="205"/>
        <v>57</v>
      </c>
      <c r="AD707" s="1">
        <f t="shared" si="206"/>
        <v>147329184.98115596</v>
      </c>
    </row>
    <row r="708" spans="2:30">
      <c r="B708" s="1">
        <f t="shared" si="200"/>
        <v>685</v>
      </c>
      <c r="C708" s="2">
        <f t="shared" si="207"/>
        <v>57</v>
      </c>
      <c r="D708" s="2">
        <f t="shared" si="208"/>
        <v>1</v>
      </c>
      <c r="E708" s="2">
        <f t="shared" si="209"/>
        <v>86</v>
      </c>
      <c r="F708" s="1">
        <f t="shared" si="201"/>
        <v>2542636.9571355274</v>
      </c>
      <c r="H708" s="1">
        <f t="shared" si="197"/>
        <v>20275.344155919258</v>
      </c>
      <c r="I708" s="1">
        <v>0</v>
      </c>
      <c r="J708" s="1">
        <v>0</v>
      </c>
      <c r="K708" s="1">
        <f t="shared" si="202"/>
        <v>-2562.9123012914465</v>
      </c>
      <c r="L708" s="1">
        <f t="shared" si="198"/>
        <v>2560349.3889901554</v>
      </c>
      <c r="N708" s="1">
        <f t="shared" si="203"/>
        <v>685</v>
      </c>
      <c r="O708" s="2">
        <f t="shared" si="210"/>
        <v>57</v>
      </c>
      <c r="P708" s="2">
        <f t="shared" si="211"/>
        <v>1</v>
      </c>
      <c r="Q708" s="2">
        <f t="shared" si="212"/>
        <v>57</v>
      </c>
      <c r="R708" s="1">
        <f t="shared" si="204"/>
        <v>143762453.45448563</v>
      </c>
      <c r="S708" s="1">
        <f>IF($G$17="si",S696*(1+$G$20),S696)</f>
        <v>10000</v>
      </c>
      <c r="U708" s="1">
        <f t="shared" si="213"/>
        <v>1146461.7336540986</v>
      </c>
      <c r="V708" s="35">
        <f>(V707*(1+$G$18))</f>
        <v>-712.61557707743123</v>
      </c>
      <c r="X708" s="35">
        <f t="shared" si="214"/>
        <v>-144918.91518813974</v>
      </c>
      <c r="Y708" s="1">
        <f t="shared" si="199"/>
        <v>144773283.65737453</v>
      </c>
      <c r="AA708" s="2">
        <f>+Bono!J708</f>
        <v>1030444.0746535384</v>
      </c>
      <c r="AC708" s="10">
        <f t="shared" si="205"/>
        <v>57.083333333333336</v>
      </c>
      <c r="AD708" s="1">
        <f t="shared" si="206"/>
        <v>148364077.12101823</v>
      </c>
    </row>
    <row r="709" spans="2:30">
      <c r="B709" s="1">
        <f t="shared" si="200"/>
        <v>686</v>
      </c>
      <c r="C709" s="2">
        <f t="shared" si="207"/>
        <v>57</v>
      </c>
      <c r="D709" s="2">
        <f t="shared" si="208"/>
        <v>2</v>
      </c>
      <c r="E709" s="2">
        <f t="shared" si="209"/>
        <v>86</v>
      </c>
      <c r="F709" s="1">
        <f t="shared" si="201"/>
        <v>2560349.3889901554</v>
      </c>
      <c r="H709" s="1">
        <f t="shared" si="197"/>
        <v>20416.58557486545</v>
      </c>
      <c r="I709" s="1">
        <v>0</v>
      </c>
      <c r="J709" s="1">
        <v>0</v>
      </c>
      <c r="K709" s="1">
        <f t="shared" si="202"/>
        <v>-2580.7659745650208</v>
      </c>
      <c r="L709" s="1">
        <f t="shared" si="198"/>
        <v>2578185.2085904558</v>
      </c>
      <c r="N709" s="1">
        <f t="shared" si="203"/>
        <v>686</v>
      </c>
      <c r="O709" s="2">
        <f t="shared" si="210"/>
        <v>57</v>
      </c>
      <c r="P709" s="2">
        <f t="shared" si="211"/>
        <v>2</v>
      </c>
      <c r="Q709" s="2">
        <f t="shared" si="212"/>
        <v>57</v>
      </c>
      <c r="R709" s="1">
        <f t="shared" si="204"/>
        <v>144773283.65737453</v>
      </c>
      <c r="S709" s="4">
        <f>IF($G$4="mensual",S708,0)</f>
        <v>10000</v>
      </c>
      <c r="U709" s="1">
        <f t="shared" si="213"/>
        <v>1154522.2356417119</v>
      </c>
      <c r="V709" s="35">
        <f t="shared" si="215"/>
        <v>-712.61557707743123</v>
      </c>
      <c r="X709" s="35">
        <f t="shared" si="214"/>
        <v>-145937.80589301625</v>
      </c>
      <c r="Y709" s="1">
        <f t="shared" si="199"/>
        <v>145791155.47154617</v>
      </c>
      <c r="AA709" s="2">
        <f>+Bono!J709</f>
        <v>1036832.947440505</v>
      </c>
      <c r="AC709" s="10">
        <f t="shared" si="205"/>
        <v>57.166666666666664</v>
      </c>
      <c r="AD709" s="1">
        <f t="shared" si="206"/>
        <v>149406173.62757713</v>
      </c>
    </row>
    <row r="710" spans="2:30">
      <c r="B710" s="1">
        <f t="shared" si="200"/>
        <v>687</v>
      </c>
      <c r="C710" s="2">
        <f t="shared" si="207"/>
        <v>57</v>
      </c>
      <c r="D710" s="2">
        <f t="shared" si="208"/>
        <v>3</v>
      </c>
      <c r="E710" s="2">
        <f t="shared" si="209"/>
        <v>86</v>
      </c>
      <c r="F710" s="1">
        <f t="shared" si="201"/>
        <v>2578185.2085904558</v>
      </c>
      <c r="H710" s="1">
        <f t="shared" si="197"/>
        <v>20558.810905022838</v>
      </c>
      <c r="I710" s="1">
        <v>0</v>
      </c>
      <c r="J710" s="69">
        <f>-SUM(F710:H710)*$J$21</f>
        <v>-23388.696175459314</v>
      </c>
      <c r="K710" s="1">
        <f t="shared" si="202"/>
        <v>-2575.3553233200196</v>
      </c>
      <c r="L710" s="1">
        <f t="shared" si="198"/>
        <v>2572779.9679966997</v>
      </c>
      <c r="N710" s="1">
        <f t="shared" si="203"/>
        <v>687</v>
      </c>
      <c r="O710" s="2">
        <f t="shared" si="210"/>
        <v>57</v>
      </c>
      <c r="P710" s="2">
        <f t="shared" si="211"/>
        <v>3</v>
      </c>
      <c r="Q710" s="2">
        <f t="shared" si="212"/>
        <v>57</v>
      </c>
      <c r="R710" s="1">
        <f t="shared" si="204"/>
        <v>145791155.47154617</v>
      </c>
      <c r="S710" s="4">
        <f>IF($G$4="mensual",S709,0)</f>
        <v>10000</v>
      </c>
      <c r="U710" s="1">
        <f t="shared" si="213"/>
        <v>1162638.8884265397</v>
      </c>
      <c r="V710" s="35">
        <f t="shared" si="215"/>
        <v>-712.61557707743123</v>
      </c>
      <c r="X710" s="35">
        <f t="shared" si="214"/>
        <v>-146963.79435997273</v>
      </c>
      <c r="Y710" s="1">
        <f t="shared" si="199"/>
        <v>146816117.95003566</v>
      </c>
      <c r="AA710" s="2">
        <f>+Bono!J710</f>
        <v>1033862.6803403564</v>
      </c>
      <c r="AC710" s="10">
        <f t="shared" si="205"/>
        <v>57.25</v>
      </c>
      <c r="AD710" s="1">
        <f t="shared" si="206"/>
        <v>150422760.5983727</v>
      </c>
    </row>
    <row r="711" spans="2:30">
      <c r="B711" s="1">
        <f t="shared" si="200"/>
        <v>688</v>
      </c>
      <c r="C711" s="2">
        <f t="shared" si="207"/>
        <v>57</v>
      </c>
      <c r="D711" s="2">
        <f t="shared" si="208"/>
        <v>4</v>
      </c>
      <c r="E711" s="2">
        <f t="shared" si="209"/>
        <v>86</v>
      </c>
      <c r="F711" s="1">
        <f t="shared" si="201"/>
        <v>2572779.9679966997</v>
      </c>
      <c r="H711" s="1">
        <f t="shared" si="197"/>
        <v>20515.708757476215</v>
      </c>
      <c r="I711" s="1">
        <v>0</v>
      </c>
      <c r="J711" s="1">
        <v>0</v>
      </c>
      <c r="K711" s="1">
        <f t="shared" si="202"/>
        <v>-2593.2956767541764</v>
      </c>
      <c r="L711" s="1">
        <f t="shared" si="198"/>
        <v>2590702.3810774218</v>
      </c>
      <c r="N711" s="1">
        <f t="shared" si="203"/>
        <v>688</v>
      </c>
      <c r="O711" s="2">
        <f t="shared" si="210"/>
        <v>57</v>
      </c>
      <c r="P711" s="2">
        <f t="shared" si="211"/>
        <v>4</v>
      </c>
      <c r="Q711" s="2">
        <f t="shared" si="212"/>
        <v>57</v>
      </c>
      <c r="R711" s="1">
        <f t="shared" si="204"/>
        <v>146816117.95003566</v>
      </c>
      <c r="S711" s="4">
        <f>IF($G$4="mensual",S708,IF($G$4="trimestral",S708,0))</f>
        <v>10000</v>
      </c>
      <c r="U711" s="1">
        <f t="shared" si="213"/>
        <v>1170812.083164372</v>
      </c>
      <c r="V711" s="35">
        <f t="shared" si="215"/>
        <v>-712.61557707743123</v>
      </c>
      <c r="X711" s="35">
        <f t="shared" si="214"/>
        <v>-147996.93003320004</v>
      </c>
      <c r="Y711" s="1">
        <f t="shared" si="199"/>
        <v>147848220.48758975</v>
      </c>
      <c r="AA711" s="2">
        <f>+Bono!J711</f>
        <v>1040272.748879115</v>
      </c>
      <c r="AC711" s="10">
        <f t="shared" si="205"/>
        <v>57.333333333333336</v>
      </c>
      <c r="AD711" s="1">
        <f t="shared" si="206"/>
        <v>151479195.61754626</v>
      </c>
    </row>
    <row r="712" spans="2:30">
      <c r="B712" s="1">
        <f t="shared" si="200"/>
        <v>689</v>
      </c>
      <c r="C712" s="2">
        <f t="shared" si="207"/>
        <v>57</v>
      </c>
      <c r="D712" s="2">
        <f t="shared" si="208"/>
        <v>5</v>
      </c>
      <c r="E712" s="2">
        <f t="shared" si="209"/>
        <v>86</v>
      </c>
      <c r="F712" s="1">
        <f t="shared" si="201"/>
        <v>2590702.3810774218</v>
      </c>
      <c r="H712" s="1">
        <f t="shared" si="197"/>
        <v>20658.624596206715</v>
      </c>
      <c r="I712" s="1">
        <v>0</v>
      </c>
      <c r="J712" s="1">
        <v>0</v>
      </c>
      <c r="K712" s="1">
        <f t="shared" si="202"/>
        <v>-2611.3610056736288</v>
      </c>
      <c r="L712" s="1">
        <f t="shared" si="198"/>
        <v>2608749.6446679551</v>
      </c>
      <c r="N712" s="1">
        <f t="shared" si="203"/>
        <v>689</v>
      </c>
      <c r="O712" s="2">
        <f t="shared" si="210"/>
        <v>57</v>
      </c>
      <c r="P712" s="2">
        <f t="shared" si="211"/>
        <v>5</v>
      </c>
      <c r="Q712" s="2">
        <f t="shared" si="212"/>
        <v>57</v>
      </c>
      <c r="R712" s="1">
        <f t="shared" si="204"/>
        <v>147848220.48758975</v>
      </c>
      <c r="S712" s="4">
        <f>IF($G$4="mensual",S711,0)</f>
        <v>10000</v>
      </c>
      <c r="U712" s="1">
        <f t="shared" si="213"/>
        <v>1179042.2137358563</v>
      </c>
      <c r="V712" s="35">
        <f t="shared" si="215"/>
        <v>-712.61557707743123</v>
      </c>
      <c r="X712" s="35">
        <f t="shared" si="214"/>
        <v>-149037.26270132558</v>
      </c>
      <c r="Y712" s="1">
        <f t="shared" si="199"/>
        <v>148887512.82304719</v>
      </c>
      <c r="AA712" s="2">
        <f>+Bono!J712</f>
        <v>1046722.5605863358</v>
      </c>
      <c r="AC712" s="10">
        <f t="shared" si="205"/>
        <v>57.416666666666664</v>
      </c>
      <c r="AD712" s="1">
        <f t="shared" si="206"/>
        <v>152542985.02830148</v>
      </c>
    </row>
    <row r="713" spans="2:30">
      <c r="B713" s="1">
        <f t="shared" si="200"/>
        <v>690</v>
      </c>
      <c r="C713" s="2">
        <f t="shared" si="207"/>
        <v>57</v>
      </c>
      <c r="D713" s="2">
        <f t="shared" si="208"/>
        <v>6</v>
      </c>
      <c r="E713" s="2">
        <f t="shared" si="209"/>
        <v>86</v>
      </c>
      <c r="F713" s="1">
        <f t="shared" si="201"/>
        <v>2608749.6446679551</v>
      </c>
      <c r="H713" s="1">
        <f t="shared" si="197"/>
        <v>20802.536010435069</v>
      </c>
      <c r="I713" s="1">
        <v>0</v>
      </c>
      <c r="J713" s="69">
        <f>-SUM(F713:H713)*$J$21</f>
        <v>-23665.969626105514</v>
      </c>
      <c r="K713" s="1">
        <f t="shared" si="202"/>
        <v>-2605.8862110522846</v>
      </c>
      <c r="L713" s="1">
        <f t="shared" si="198"/>
        <v>2603280.3248412325</v>
      </c>
      <c r="N713" s="1">
        <f t="shared" si="203"/>
        <v>690</v>
      </c>
      <c r="O713" s="2">
        <f t="shared" si="210"/>
        <v>57</v>
      </c>
      <c r="P713" s="2">
        <f t="shared" si="211"/>
        <v>6</v>
      </c>
      <c r="Q713" s="2">
        <f t="shared" si="212"/>
        <v>57</v>
      </c>
      <c r="R713" s="1">
        <f t="shared" si="204"/>
        <v>148887512.82304719</v>
      </c>
      <c r="S713" s="4">
        <f>IF($G$4="mensual",S712,0)</f>
        <v>10000</v>
      </c>
      <c r="U713" s="1">
        <f t="shared" si="213"/>
        <v>1187329.6767654773</v>
      </c>
      <c r="V713" s="35">
        <f t="shared" si="215"/>
        <v>-712.61557707743123</v>
      </c>
      <c r="X713" s="35">
        <f t="shared" si="214"/>
        <v>-150084.84249981266</v>
      </c>
      <c r="Y713" s="1">
        <f t="shared" si="199"/>
        <v>149934045.04173577</v>
      </c>
      <c r="AA713" s="2">
        <f>+Bono!J713</f>
        <v>1043723.9622177484</v>
      </c>
      <c r="AC713" s="10">
        <f t="shared" si="205"/>
        <v>57.5</v>
      </c>
      <c r="AD713" s="1">
        <f t="shared" si="206"/>
        <v>153581049.32879475</v>
      </c>
    </row>
    <row r="714" spans="2:30">
      <c r="B714" s="1">
        <f t="shared" si="200"/>
        <v>691</v>
      </c>
      <c r="C714" s="2">
        <f t="shared" si="207"/>
        <v>57</v>
      </c>
      <c r="D714" s="2">
        <f t="shared" si="208"/>
        <v>7</v>
      </c>
      <c r="E714" s="2">
        <f t="shared" si="209"/>
        <v>86</v>
      </c>
      <c r="F714" s="1">
        <f t="shared" si="201"/>
        <v>2603280.3248412325</v>
      </c>
      <c r="H714" s="1">
        <f t="shared" si="197"/>
        <v>20758.922886086195</v>
      </c>
      <c r="I714" s="1">
        <v>0</v>
      </c>
      <c r="J714" s="1">
        <v>0</v>
      </c>
      <c r="K714" s="1">
        <f t="shared" si="202"/>
        <v>-2624.0392477273185</v>
      </c>
      <c r="L714" s="1">
        <f t="shared" si="198"/>
        <v>2621415.2084795912</v>
      </c>
      <c r="N714" s="1">
        <f t="shared" si="203"/>
        <v>691</v>
      </c>
      <c r="O714" s="2">
        <f t="shared" si="210"/>
        <v>57</v>
      </c>
      <c r="P714" s="2">
        <f t="shared" si="211"/>
        <v>7</v>
      </c>
      <c r="Q714" s="2">
        <f t="shared" si="212"/>
        <v>57</v>
      </c>
      <c r="R714" s="1">
        <f t="shared" si="204"/>
        <v>149934045.04173577</v>
      </c>
      <c r="S714" s="1">
        <f>+IF($G$4="mensual",S708,IF($G$4="trimestral",S708,IF($G$4="semestral",S708,0)))</f>
        <v>10000</v>
      </c>
      <c r="U714" s="1">
        <f t="shared" si="213"/>
        <v>1195674.8716406722</v>
      </c>
      <c r="V714" s="35">
        <f t="shared" si="215"/>
        <v>-712.61557707743123</v>
      </c>
      <c r="X714" s="35">
        <f t="shared" si="214"/>
        <v>-151139.71991337647</v>
      </c>
      <c r="Y714" s="1">
        <f t="shared" si="199"/>
        <v>150987867.57788602</v>
      </c>
      <c r="AA714" s="2">
        <f>+Bono!J714</f>
        <v>1050195.1718479847</v>
      </c>
      <c r="AC714" s="10">
        <f t="shared" si="205"/>
        <v>57.583333333333336</v>
      </c>
      <c r="AD714" s="1">
        <f t="shared" si="206"/>
        <v>154659477.9582136</v>
      </c>
    </row>
    <row r="715" spans="2:30">
      <c r="B715" s="1">
        <f t="shared" si="200"/>
        <v>692</v>
      </c>
      <c r="C715" s="2">
        <f t="shared" si="207"/>
        <v>57</v>
      </c>
      <c r="D715" s="2">
        <f t="shared" si="208"/>
        <v>8</v>
      </c>
      <c r="E715" s="2">
        <f t="shared" si="209"/>
        <v>86</v>
      </c>
      <c r="F715" s="1">
        <f t="shared" si="201"/>
        <v>2621415.2084795912</v>
      </c>
      <c r="H715" s="1">
        <f t="shared" si="197"/>
        <v>20903.532994880297</v>
      </c>
      <c r="I715" s="1">
        <v>0</v>
      </c>
      <c r="J715" s="1">
        <v>0</v>
      </c>
      <c r="K715" s="1">
        <f t="shared" si="202"/>
        <v>-2642.3187414744716</v>
      </c>
      <c r="L715" s="1">
        <f t="shared" si="198"/>
        <v>2639676.4227329972</v>
      </c>
      <c r="N715" s="1">
        <f t="shared" si="203"/>
        <v>692</v>
      </c>
      <c r="O715" s="2">
        <f t="shared" si="210"/>
        <v>57</v>
      </c>
      <c r="P715" s="2">
        <f t="shared" si="211"/>
        <v>8</v>
      </c>
      <c r="Q715" s="2">
        <f t="shared" si="212"/>
        <v>57</v>
      </c>
      <c r="R715" s="1">
        <f t="shared" si="204"/>
        <v>150987867.57788602</v>
      </c>
      <c r="S715" s="4">
        <f>IF($G$4="mensual",S714,0)</f>
        <v>10000</v>
      </c>
      <c r="U715" s="1">
        <f t="shared" si="213"/>
        <v>1204078.2005310778</v>
      </c>
      <c r="V715" s="35">
        <f t="shared" si="215"/>
        <v>-712.61557707743123</v>
      </c>
      <c r="X715" s="35">
        <f t="shared" si="214"/>
        <v>-152201.94577841708</v>
      </c>
      <c r="Y715" s="1">
        <f t="shared" si="199"/>
        <v>152049031.21706158</v>
      </c>
      <c r="AA715" s="2">
        <f>+Bono!J715</f>
        <v>1056706.5037285422</v>
      </c>
      <c r="AC715" s="10">
        <f t="shared" si="205"/>
        <v>57.666666666666664</v>
      </c>
      <c r="AD715" s="1">
        <f t="shared" si="206"/>
        <v>155745414.14352313</v>
      </c>
    </row>
    <row r="716" spans="2:30">
      <c r="B716" s="1">
        <f t="shared" si="200"/>
        <v>693</v>
      </c>
      <c r="C716" s="2">
        <f t="shared" si="207"/>
        <v>57</v>
      </c>
      <c r="D716" s="2">
        <f t="shared" si="208"/>
        <v>9</v>
      </c>
      <c r="E716" s="2">
        <f t="shared" si="209"/>
        <v>86</v>
      </c>
      <c r="F716" s="1">
        <f t="shared" si="201"/>
        <v>2639676.4227329972</v>
      </c>
      <c r="H716" s="1">
        <f t="shared" si="197"/>
        <v>21049.150481739256</v>
      </c>
      <c r="I716" s="1">
        <v>0</v>
      </c>
      <c r="J716" s="69">
        <f>-SUM(F716:H716)*$J$21</f>
        <v>-23946.53015893263</v>
      </c>
      <c r="K716" s="1">
        <f t="shared" si="202"/>
        <v>-2636.7790430558034</v>
      </c>
      <c r="L716" s="1">
        <f t="shared" si="198"/>
        <v>2634142.2640127479</v>
      </c>
      <c r="N716" s="1">
        <f t="shared" si="203"/>
        <v>693</v>
      </c>
      <c r="O716" s="2">
        <f t="shared" si="210"/>
        <v>57</v>
      </c>
      <c r="P716" s="2">
        <f t="shared" si="211"/>
        <v>9</v>
      </c>
      <c r="Q716" s="2">
        <f t="shared" si="212"/>
        <v>57</v>
      </c>
      <c r="R716" s="1">
        <f t="shared" si="204"/>
        <v>152049031.21706158</v>
      </c>
      <c r="S716" s="4">
        <f>IF($G$4="mensual",S715,0)</f>
        <v>10000</v>
      </c>
      <c r="U716" s="1">
        <f t="shared" si="213"/>
        <v>1212540.0684079104</v>
      </c>
      <c r="V716" s="35">
        <f t="shared" si="215"/>
        <v>-712.61557707743123</v>
      </c>
      <c r="X716" s="35">
        <f t="shared" si="214"/>
        <v>-153271.57128546952</v>
      </c>
      <c r="Y716" s="1">
        <f t="shared" si="199"/>
        <v>153117587.09860697</v>
      </c>
      <c r="AA716" s="2">
        <f>+Bono!J716</f>
        <v>1053679.3038596665</v>
      </c>
      <c r="AC716" s="10">
        <f t="shared" si="205"/>
        <v>57.75</v>
      </c>
      <c r="AD716" s="1">
        <f t="shared" si="206"/>
        <v>156805408.66647941</v>
      </c>
    </row>
    <row r="717" spans="2:30">
      <c r="B717" s="1">
        <f t="shared" si="200"/>
        <v>694</v>
      </c>
      <c r="C717" s="2">
        <f t="shared" si="207"/>
        <v>57</v>
      </c>
      <c r="D717" s="2">
        <f t="shared" si="208"/>
        <v>10</v>
      </c>
      <c r="E717" s="2">
        <f t="shared" si="209"/>
        <v>86</v>
      </c>
      <c r="F717" s="1">
        <f t="shared" si="201"/>
        <v>2634142.2640127479</v>
      </c>
      <c r="H717" s="1">
        <f t="shared" si="197"/>
        <v>21005.020322948145</v>
      </c>
      <c r="I717" s="1">
        <v>0</v>
      </c>
      <c r="J717" s="1">
        <v>0</v>
      </c>
      <c r="K717" s="1">
        <f t="shared" si="202"/>
        <v>-2655.147284335696</v>
      </c>
      <c r="L717" s="1">
        <f t="shared" si="198"/>
        <v>2652492.1370513602</v>
      </c>
      <c r="N717" s="1">
        <f t="shared" si="203"/>
        <v>694</v>
      </c>
      <c r="O717" s="2">
        <f t="shared" si="210"/>
        <v>57</v>
      </c>
      <c r="P717" s="2">
        <f t="shared" si="211"/>
        <v>10</v>
      </c>
      <c r="Q717" s="2">
        <f t="shared" si="212"/>
        <v>57</v>
      </c>
      <c r="R717" s="1">
        <f t="shared" si="204"/>
        <v>153117587.09860697</v>
      </c>
      <c r="S717" s="4">
        <f>IF($G$4="mensual",S708,IF($G$4="trimestral",S708,0))</f>
        <v>10000</v>
      </c>
      <c r="U717" s="1">
        <f t="shared" si="213"/>
        <v>1221060.8830634844</v>
      </c>
      <c r="V717" s="35">
        <f t="shared" si="215"/>
        <v>-712.61557707743123</v>
      </c>
      <c r="X717" s="35">
        <f t="shared" si="214"/>
        <v>-154348.64798167048</v>
      </c>
      <c r="Y717" s="1">
        <f t="shared" si="199"/>
        <v>154193586.71811172</v>
      </c>
      <c r="AA717" s="2">
        <f>+Bono!J717</f>
        <v>1060212.2377628309</v>
      </c>
      <c r="AC717" s="10">
        <f t="shared" si="205"/>
        <v>57.833333333333336</v>
      </c>
      <c r="AD717" s="1">
        <f t="shared" si="206"/>
        <v>157906291.09292594</v>
      </c>
    </row>
    <row r="718" spans="2:30">
      <c r="B718" s="1">
        <f t="shared" si="200"/>
        <v>695</v>
      </c>
      <c r="C718" s="2">
        <f t="shared" si="207"/>
        <v>57</v>
      </c>
      <c r="D718" s="2">
        <f t="shared" si="208"/>
        <v>11</v>
      </c>
      <c r="E718" s="2">
        <f t="shared" si="209"/>
        <v>86</v>
      </c>
      <c r="F718" s="1">
        <f t="shared" si="201"/>
        <v>2652492.1370513602</v>
      </c>
      <c r="H718" s="1">
        <f t="shared" si="197"/>
        <v>21151.344787410595</v>
      </c>
      <c r="I718" s="1">
        <v>0</v>
      </c>
      <c r="J718" s="1">
        <v>0</v>
      </c>
      <c r="K718" s="1">
        <f t="shared" si="202"/>
        <v>-2673.6434818387706</v>
      </c>
      <c r="L718" s="1">
        <f t="shared" si="198"/>
        <v>2670969.8383569317</v>
      </c>
      <c r="N718" s="1">
        <f t="shared" si="203"/>
        <v>695</v>
      </c>
      <c r="O718" s="2">
        <f t="shared" si="210"/>
        <v>57</v>
      </c>
      <c r="P718" s="2">
        <f t="shared" si="211"/>
        <v>11</v>
      </c>
      <c r="Q718" s="2">
        <f t="shared" si="212"/>
        <v>57</v>
      </c>
      <c r="R718" s="1">
        <f t="shared" si="204"/>
        <v>154193586.71811172</v>
      </c>
      <c r="S718" s="1">
        <f>IF($G$17="si",S706*(1+$G$20),S706)</f>
        <v>10000</v>
      </c>
      <c r="U718" s="1">
        <f t="shared" si="213"/>
        <v>1229641.0551308622</v>
      </c>
      <c r="V718" s="35">
        <f t="shared" si="215"/>
        <v>-712.61557707743123</v>
      </c>
      <c r="X718" s="35">
        <f t="shared" si="214"/>
        <v>-155433.2277732426</v>
      </c>
      <c r="Y718" s="1">
        <f t="shared" si="199"/>
        <v>155277081.92989227</v>
      </c>
      <c r="AA718" s="2">
        <f>+Bono!J718</f>
        <v>1066785.6766139683</v>
      </c>
      <c r="AC718" s="10">
        <f t="shared" si="205"/>
        <v>57.916666666666664</v>
      </c>
      <c r="AD718" s="1">
        <f t="shared" si="206"/>
        <v>159014837.44486317</v>
      </c>
    </row>
    <row r="719" spans="2:30">
      <c r="B719" s="1">
        <f t="shared" si="200"/>
        <v>696</v>
      </c>
      <c r="C719" s="2">
        <f t="shared" si="207"/>
        <v>57</v>
      </c>
      <c r="D719" s="2">
        <f t="shared" si="208"/>
        <v>12</v>
      </c>
      <c r="E719" s="2">
        <f t="shared" si="209"/>
        <v>86</v>
      </c>
      <c r="F719" s="1">
        <f t="shared" si="201"/>
        <v>2670969.8383569317</v>
      </c>
      <c r="H719" s="1">
        <f t="shared" si="197"/>
        <v>21298.688572424562</v>
      </c>
      <c r="I719" s="1">
        <v>0</v>
      </c>
      <c r="J719" s="69">
        <f>-SUM(F719:H719)*$J$21</f>
        <v>-24230.416742364207</v>
      </c>
      <c r="K719" s="1">
        <f t="shared" si="202"/>
        <v>-2668.0381101869916</v>
      </c>
      <c r="L719" s="1">
        <f t="shared" si="198"/>
        <v>2665370.0720768049</v>
      </c>
      <c r="N719" s="1">
        <f t="shared" si="203"/>
        <v>696</v>
      </c>
      <c r="O719" s="2">
        <f t="shared" si="210"/>
        <v>57</v>
      </c>
      <c r="P719" s="2">
        <f t="shared" si="211"/>
        <v>12</v>
      </c>
      <c r="Q719" s="2">
        <f t="shared" si="212"/>
        <v>57</v>
      </c>
      <c r="R719" s="1">
        <f t="shared" si="204"/>
        <v>155277081.92989227</v>
      </c>
      <c r="S719" s="4">
        <f>IF($G$4="mensual",S718,0)</f>
        <v>10000</v>
      </c>
      <c r="U719" s="1">
        <f t="shared" si="213"/>
        <v>1238280.9981036452</v>
      </c>
      <c r="V719" s="35">
        <f t="shared" si="215"/>
        <v>-712.61557707743123</v>
      </c>
      <c r="X719" s="35">
        <f t="shared" si="214"/>
        <v>-156525.36292799591</v>
      </c>
      <c r="Y719" s="1">
        <f t="shared" si="199"/>
        <v>156368124.94949085</v>
      </c>
      <c r="AA719" s="2">
        <f>+Bono!J719</f>
        <v>1063729.6024354054</v>
      </c>
      <c r="AC719" s="10">
        <f t="shared" si="205"/>
        <v>58</v>
      </c>
      <c r="AD719" s="1">
        <f t="shared" si="206"/>
        <v>160097224.62400305</v>
      </c>
    </row>
    <row r="720" spans="2:30">
      <c r="B720" s="1">
        <f t="shared" si="200"/>
        <v>697</v>
      </c>
      <c r="C720" s="2">
        <f t="shared" si="207"/>
        <v>58</v>
      </c>
      <c r="D720" s="2">
        <f t="shared" si="208"/>
        <v>1</v>
      </c>
      <c r="E720" s="2">
        <f t="shared" si="209"/>
        <v>87</v>
      </c>
      <c r="F720" s="1">
        <f t="shared" si="201"/>
        <v>2665370.0720768049</v>
      </c>
      <c r="H720" s="1">
        <f t="shared" si="197"/>
        <v>21254.03524973779</v>
      </c>
      <c r="I720" s="1">
        <v>0</v>
      </c>
      <c r="J720" s="1">
        <v>0</v>
      </c>
      <c r="K720" s="1">
        <f t="shared" si="202"/>
        <v>-2686.6241073265428</v>
      </c>
      <c r="L720" s="1">
        <f t="shared" si="198"/>
        <v>2683937.4832192166</v>
      </c>
      <c r="N720" s="1">
        <f t="shared" si="203"/>
        <v>697</v>
      </c>
      <c r="O720" s="2">
        <f t="shared" si="210"/>
        <v>58</v>
      </c>
      <c r="P720" s="2">
        <f t="shared" si="211"/>
        <v>1</v>
      </c>
      <c r="Q720" s="2">
        <f t="shared" si="212"/>
        <v>58</v>
      </c>
      <c r="R720" s="1">
        <f t="shared" si="204"/>
        <v>156368124.94949085</v>
      </c>
      <c r="S720" s="1">
        <f>IF($G$17="si",S708*(1+$G$20),S708)</f>
        <v>10000</v>
      </c>
      <c r="U720" s="1">
        <f t="shared" si="213"/>
        <v>1246981.1283558994</v>
      </c>
      <c r="V720" s="35">
        <f>(V719*(1+$G$18))</f>
        <v>-741.1202001605285</v>
      </c>
      <c r="X720" s="35">
        <f t="shared" si="214"/>
        <v>-157625.10607784675</v>
      </c>
      <c r="Y720" s="1">
        <f t="shared" si="199"/>
        <v>157466739.85156873</v>
      </c>
      <c r="AA720" s="2">
        <f>+Bono!J720</f>
        <v>1070324.8493555018</v>
      </c>
      <c r="AC720" s="10">
        <f t="shared" si="205"/>
        <v>58.083333333333336</v>
      </c>
      <c r="AD720" s="1">
        <f t="shared" si="206"/>
        <v>161221002.18414342</v>
      </c>
    </row>
    <row r="721" spans="2:30">
      <c r="B721" s="1">
        <f t="shared" si="200"/>
        <v>698</v>
      </c>
      <c r="C721" s="2">
        <f t="shared" si="207"/>
        <v>58</v>
      </c>
      <c r="D721" s="2">
        <f t="shared" si="208"/>
        <v>2</v>
      </c>
      <c r="E721" s="2">
        <f t="shared" si="209"/>
        <v>87</v>
      </c>
      <c r="F721" s="1">
        <f t="shared" si="201"/>
        <v>2683937.4832192166</v>
      </c>
      <c r="H721" s="1">
        <f t="shared" si="197"/>
        <v>21402.094393588573</v>
      </c>
      <c r="I721" s="1">
        <v>0</v>
      </c>
      <c r="J721" s="1">
        <v>0</v>
      </c>
      <c r="K721" s="1">
        <f t="shared" si="202"/>
        <v>-2705.3395776128054</v>
      </c>
      <c r="L721" s="1">
        <f t="shared" si="198"/>
        <v>2702634.2380351922</v>
      </c>
      <c r="N721" s="1">
        <f t="shared" si="203"/>
        <v>698</v>
      </c>
      <c r="O721" s="2">
        <f t="shared" si="210"/>
        <v>58</v>
      </c>
      <c r="P721" s="2">
        <f t="shared" si="211"/>
        <v>2</v>
      </c>
      <c r="Q721" s="2">
        <f t="shared" si="212"/>
        <v>58</v>
      </c>
      <c r="R721" s="1">
        <f t="shared" si="204"/>
        <v>157466739.85156873</v>
      </c>
      <c r="S721" s="4">
        <f>IF($G$4="mensual",S720,0)</f>
        <v>10000</v>
      </c>
      <c r="U721" s="1">
        <f t="shared" si="213"/>
        <v>1255741.6378623547</v>
      </c>
      <c r="V721" s="35">
        <f t="shared" si="215"/>
        <v>-741.1202001605285</v>
      </c>
      <c r="X721" s="35">
        <f t="shared" si="214"/>
        <v>-158732.48148943108</v>
      </c>
      <c r="Y721" s="1">
        <f t="shared" si="199"/>
        <v>158573007.88774151</v>
      </c>
      <c r="AA721" s="2">
        <f>+Bono!J721</f>
        <v>1076960.987571504</v>
      </c>
      <c r="AC721" s="10">
        <f t="shared" si="205"/>
        <v>58.166666666666664</v>
      </c>
      <c r="AD721" s="1">
        <f t="shared" si="206"/>
        <v>162352603.11334822</v>
      </c>
    </row>
    <row r="722" spans="2:30">
      <c r="B722" s="1">
        <f t="shared" si="200"/>
        <v>699</v>
      </c>
      <c r="C722" s="2">
        <f t="shared" si="207"/>
        <v>58</v>
      </c>
      <c r="D722" s="2">
        <f t="shared" si="208"/>
        <v>3</v>
      </c>
      <c r="E722" s="2">
        <f t="shared" si="209"/>
        <v>87</v>
      </c>
      <c r="F722" s="1">
        <f t="shared" si="201"/>
        <v>2702634.2380351922</v>
      </c>
      <c r="H722" s="1">
        <f t="shared" si="197"/>
        <v>21551.184942055945</v>
      </c>
      <c r="I722" s="1">
        <v>0</v>
      </c>
      <c r="J722" s="69">
        <f>-SUM(F722:H722)*$J$21</f>
        <v>-24517.668806795238</v>
      </c>
      <c r="K722" s="1">
        <f t="shared" si="202"/>
        <v>-2699.667754170453</v>
      </c>
      <c r="L722" s="1">
        <f t="shared" si="198"/>
        <v>2696968.0864162827</v>
      </c>
      <c r="N722" s="1">
        <f t="shared" si="203"/>
        <v>699</v>
      </c>
      <c r="O722" s="2">
        <f t="shared" si="210"/>
        <v>58</v>
      </c>
      <c r="P722" s="2">
        <f t="shared" si="211"/>
        <v>3</v>
      </c>
      <c r="Q722" s="2">
        <f t="shared" si="212"/>
        <v>58</v>
      </c>
      <c r="R722" s="1">
        <f t="shared" si="204"/>
        <v>158573007.88774151</v>
      </c>
      <c r="S722" s="4">
        <f>IF($G$4="mensual",S721,0)</f>
        <v>10000</v>
      </c>
      <c r="U722" s="1">
        <f t="shared" si="213"/>
        <v>1264563.1745348042</v>
      </c>
      <c r="V722" s="35">
        <f t="shared" si="215"/>
        <v>-741.1202001605285</v>
      </c>
      <c r="X722" s="35">
        <f t="shared" si="214"/>
        <v>-159847.57106227631</v>
      </c>
      <c r="Y722" s="1">
        <f t="shared" si="199"/>
        <v>159686982.37101388</v>
      </c>
      <c r="AA722" s="2">
        <f>+Bono!J722</f>
        <v>1073875.7636717197</v>
      </c>
      <c r="AC722" s="10">
        <f t="shared" si="205"/>
        <v>58.25</v>
      </c>
      <c r="AD722" s="1">
        <f t="shared" si="206"/>
        <v>163457826.22110188</v>
      </c>
    </row>
    <row r="723" spans="2:30">
      <c r="B723" s="1">
        <f t="shared" si="200"/>
        <v>700</v>
      </c>
      <c r="C723" s="2">
        <f t="shared" si="207"/>
        <v>58</v>
      </c>
      <c r="D723" s="2">
        <f t="shared" si="208"/>
        <v>4</v>
      </c>
      <c r="E723" s="2">
        <f t="shared" si="209"/>
        <v>87</v>
      </c>
      <c r="F723" s="1">
        <f t="shared" si="201"/>
        <v>2696968.0864162827</v>
      </c>
      <c r="H723" s="1">
        <f t="shared" si="197"/>
        <v>21506.002253355302</v>
      </c>
      <c r="I723" s="1">
        <v>0</v>
      </c>
      <c r="J723" s="1">
        <v>0</v>
      </c>
      <c r="K723" s="1">
        <f t="shared" si="202"/>
        <v>-2718.4740886696381</v>
      </c>
      <c r="L723" s="1">
        <f t="shared" si="198"/>
        <v>2715755.6145809684</v>
      </c>
      <c r="N723" s="1">
        <f t="shared" si="203"/>
        <v>700</v>
      </c>
      <c r="O723" s="2">
        <f t="shared" si="210"/>
        <v>58</v>
      </c>
      <c r="P723" s="2">
        <f t="shared" si="211"/>
        <v>4</v>
      </c>
      <c r="Q723" s="2">
        <f t="shared" si="212"/>
        <v>58</v>
      </c>
      <c r="R723" s="1">
        <f t="shared" si="204"/>
        <v>159686982.37101388</v>
      </c>
      <c r="S723" s="4">
        <f>IF($G$4="mensual",S720,IF($G$4="trimestral",S720,0))</f>
        <v>10000</v>
      </c>
      <c r="U723" s="1">
        <f t="shared" si="213"/>
        <v>1273446.1634986335</v>
      </c>
      <c r="V723" s="35">
        <f t="shared" si="215"/>
        <v>-741.1202001605285</v>
      </c>
      <c r="X723" s="35">
        <f t="shared" si="214"/>
        <v>-160970.42853451252</v>
      </c>
      <c r="Y723" s="1">
        <f t="shared" si="199"/>
        <v>160808716.98577785</v>
      </c>
      <c r="AA723" s="2">
        <f>+Bono!J723</f>
        <v>1080533.9179683633</v>
      </c>
      <c r="AC723" s="10">
        <f t="shared" si="205"/>
        <v>58.333333333333336</v>
      </c>
      <c r="AD723" s="1">
        <f t="shared" si="206"/>
        <v>164605006.51832718</v>
      </c>
    </row>
    <row r="724" spans="2:30">
      <c r="B724" s="1">
        <f t="shared" si="200"/>
        <v>701</v>
      </c>
      <c r="C724" s="2">
        <f t="shared" si="207"/>
        <v>58</v>
      </c>
      <c r="D724" s="2">
        <f t="shared" si="208"/>
        <v>5</v>
      </c>
      <c r="E724" s="2">
        <f t="shared" si="209"/>
        <v>87</v>
      </c>
      <c r="F724" s="1">
        <f t="shared" si="201"/>
        <v>2715755.6145809684</v>
      </c>
      <c r="H724" s="1">
        <f t="shared" si="197"/>
        <v>21655.816641252488</v>
      </c>
      <c r="I724" s="1">
        <v>0</v>
      </c>
      <c r="J724" s="1">
        <v>0</v>
      </c>
      <c r="K724" s="1">
        <f t="shared" si="202"/>
        <v>-2737.4114312222209</v>
      </c>
      <c r="L724" s="1">
        <f t="shared" si="198"/>
        <v>2734674.0197909987</v>
      </c>
      <c r="N724" s="1">
        <f t="shared" si="203"/>
        <v>701</v>
      </c>
      <c r="O724" s="2">
        <f t="shared" si="210"/>
        <v>58</v>
      </c>
      <c r="P724" s="2">
        <f t="shared" si="211"/>
        <v>5</v>
      </c>
      <c r="Q724" s="2">
        <f t="shared" si="212"/>
        <v>58</v>
      </c>
      <c r="R724" s="1">
        <f t="shared" si="204"/>
        <v>160808716.98577785</v>
      </c>
      <c r="S724" s="4">
        <f>IF($G$4="mensual",S723,0)</f>
        <v>10000</v>
      </c>
      <c r="U724" s="1">
        <f t="shared" si="213"/>
        <v>1282391.0328407236</v>
      </c>
      <c r="V724" s="35">
        <f t="shared" si="215"/>
        <v>-741.1202001605285</v>
      </c>
      <c r="X724" s="35">
        <f t="shared" si="214"/>
        <v>-162101.1080186186</v>
      </c>
      <c r="Y724" s="1">
        <f t="shared" si="199"/>
        <v>161938265.79039982</v>
      </c>
      <c r="AA724" s="2">
        <f>+Bono!J724</f>
        <v>1087233.3535939441</v>
      </c>
      <c r="AC724" s="10">
        <f t="shared" si="205"/>
        <v>58.416666666666664</v>
      </c>
      <c r="AD724" s="1">
        <f t="shared" si="206"/>
        <v>165760173.16378477</v>
      </c>
    </row>
    <row r="725" spans="2:30">
      <c r="B725" s="1">
        <f t="shared" si="200"/>
        <v>702</v>
      </c>
      <c r="C725" s="2">
        <f t="shared" si="207"/>
        <v>58</v>
      </c>
      <c r="D725" s="2">
        <f t="shared" si="208"/>
        <v>6</v>
      </c>
      <c r="E725" s="2">
        <f t="shared" si="209"/>
        <v>87</v>
      </c>
      <c r="F725" s="1">
        <f t="shared" si="201"/>
        <v>2734674.0197909987</v>
      </c>
      <c r="H725" s="1">
        <f t="shared" si="197"/>
        <v>21806.674661088175</v>
      </c>
      <c r="I725" s="1">
        <v>0</v>
      </c>
      <c r="J725" s="69">
        <f>-SUM(F725:H725)*$J$21</f>
        <v>-24808.326250068785</v>
      </c>
      <c r="K725" s="1">
        <f t="shared" si="202"/>
        <v>-2731.6723682020183</v>
      </c>
      <c r="L725" s="1">
        <f t="shared" si="198"/>
        <v>2728940.6958338162</v>
      </c>
      <c r="N725" s="1">
        <f t="shared" si="203"/>
        <v>702</v>
      </c>
      <c r="O725" s="2">
        <f t="shared" si="210"/>
        <v>58</v>
      </c>
      <c r="P725" s="2">
        <f t="shared" si="211"/>
        <v>6</v>
      </c>
      <c r="Q725" s="2">
        <f t="shared" si="212"/>
        <v>58</v>
      </c>
      <c r="R725" s="1">
        <f t="shared" si="204"/>
        <v>161938265.79039982</v>
      </c>
      <c r="S725" s="4">
        <f>IF($G$4="mensual",S724,0)</f>
        <v>10000</v>
      </c>
      <c r="U725" s="1">
        <f t="shared" si="213"/>
        <v>1291398.2136300795</v>
      </c>
      <c r="V725" s="35">
        <f t="shared" si="215"/>
        <v>-741.1202001605285</v>
      </c>
      <c r="X725" s="35">
        <f t="shared" si="214"/>
        <v>-163239.66400402991</v>
      </c>
      <c r="Y725" s="1">
        <f t="shared" si="199"/>
        <v>163075683.21982571</v>
      </c>
      <c r="AA725" s="2">
        <f>+Bono!J725</f>
        <v>1084118.7019344494</v>
      </c>
      <c r="AC725" s="10">
        <f t="shared" si="205"/>
        <v>58.5</v>
      </c>
      <c r="AD725" s="1">
        <f t="shared" si="206"/>
        <v>166888742.61759397</v>
      </c>
    </row>
    <row r="726" spans="2:30">
      <c r="B726" s="1">
        <f t="shared" si="200"/>
        <v>703</v>
      </c>
      <c r="C726" s="2">
        <f t="shared" si="207"/>
        <v>58</v>
      </c>
      <c r="D726" s="2">
        <f t="shared" si="208"/>
        <v>7</v>
      </c>
      <c r="E726" s="2">
        <f t="shared" si="209"/>
        <v>87</v>
      </c>
      <c r="F726" s="1">
        <f t="shared" si="201"/>
        <v>2728940.6958338162</v>
      </c>
      <c r="H726" s="1">
        <f t="shared" si="197"/>
        <v>21760.956330729205</v>
      </c>
      <c r="I726" s="1">
        <v>0</v>
      </c>
      <c r="J726" s="1">
        <v>0</v>
      </c>
      <c r="K726" s="1">
        <f t="shared" si="202"/>
        <v>-2750.7016521645455</v>
      </c>
      <c r="L726" s="1">
        <f t="shared" si="198"/>
        <v>2747950.9505123808</v>
      </c>
      <c r="N726" s="1">
        <f t="shared" si="203"/>
        <v>703</v>
      </c>
      <c r="O726" s="2">
        <f t="shared" si="210"/>
        <v>58</v>
      </c>
      <c r="P726" s="2">
        <f t="shared" si="211"/>
        <v>7</v>
      </c>
      <c r="Q726" s="2">
        <f t="shared" si="212"/>
        <v>58</v>
      </c>
      <c r="R726" s="1">
        <f t="shared" si="204"/>
        <v>163075683.21982571</v>
      </c>
      <c r="S726" s="1">
        <f>+IF($G$4="mensual",S720,IF($G$4="trimestral",S720,IF($G$4="semestral",S720,0)))</f>
        <v>10000</v>
      </c>
      <c r="U726" s="1">
        <f t="shared" si="213"/>
        <v>1300468.1399386046</v>
      </c>
      <c r="V726" s="35">
        <f t="shared" si="215"/>
        <v>-741.1202001605285</v>
      </c>
      <c r="X726" s="35">
        <f t="shared" si="214"/>
        <v>-164386.15135976431</v>
      </c>
      <c r="Y726" s="1">
        <f t="shared" si="199"/>
        <v>164221024.08820438</v>
      </c>
      <c r="AA726" s="2">
        <f>+Bono!J726</f>
        <v>1090840.363636429</v>
      </c>
      <c r="AC726" s="10">
        <f t="shared" si="205"/>
        <v>58.583333333333336</v>
      </c>
      <c r="AD726" s="1">
        <f t="shared" si="206"/>
        <v>168059815.4023532</v>
      </c>
    </row>
    <row r="727" spans="2:30">
      <c r="B727" s="1">
        <f t="shared" si="200"/>
        <v>704</v>
      </c>
      <c r="C727" s="2">
        <f t="shared" si="207"/>
        <v>58</v>
      </c>
      <c r="D727" s="2">
        <f t="shared" si="208"/>
        <v>8</v>
      </c>
      <c r="E727" s="2">
        <f t="shared" si="209"/>
        <v>87</v>
      </c>
      <c r="F727" s="1">
        <f t="shared" si="201"/>
        <v>2747950.9505123808</v>
      </c>
      <c r="H727" s="1">
        <f t="shared" si="197"/>
        <v>21912.546771125304</v>
      </c>
      <c r="I727" s="1">
        <v>0</v>
      </c>
      <c r="J727" s="1">
        <v>0</v>
      </c>
      <c r="K727" s="1">
        <f t="shared" si="202"/>
        <v>-2769.8634972835061</v>
      </c>
      <c r="L727" s="1">
        <f t="shared" si="198"/>
        <v>2767093.6337862229</v>
      </c>
      <c r="N727" s="1">
        <f t="shared" si="203"/>
        <v>704</v>
      </c>
      <c r="O727" s="2">
        <f t="shared" si="210"/>
        <v>58</v>
      </c>
      <c r="P727" s="2">
        <f t="shared" si="211"/>
        <v>8</v>
      </c>
      <c r="Q727" s="2">
        <f t="shared" si="212"/>
        <v>58</v>
      </c>
      <c r="R727" s="1">
        <f t="shared" si="204"/>
        <v>164221024.08820438</v>
      </c>
      <c r="S727" s="4">
        <f>IF($G$4="mensual",S726,0)</f>
        <v>10000</v>
      </c>
      <c r="U727" s="1">
        <f t="shared" si="213"/>
        <v>1309601.2488620186</v>
      </c>
      <c r="V727" s="35">
        <f t="shared" si="215"/>
        <v>-741.1202001605285</v>
      </c>
      <c r="X727" s="35">
        <f t="shared" si="214"/>
        <v>-165540.62533706642</v>
      </c>
      <c r="Y727" s="1">
        <f t="shared" si="199"/>
        <v>165374343.59152919</v>
      </c>
      <c r="AA727" s="2">
        <f>+Bono!J727</f>
        <v>1097603.7004206255</v>
      </c>
      <c r="AC727" s="10">
        <f t="shared" si="205"/>
        <v>58.666666666666664</v>
      </c>
      <c r="AD727" s="1">
        <f t="shared" si="206"/>
        <v>169239040.92573604</v>
      </c>
    </row>
    <row r="728" spans="2:30">
      <c r="B728" s="1">
        <f t="shared" si="200"/>
        <v>705</v>
      </c>
      <c r="C728" s="2">
        <f t="shared" si="207"/>
        <v>58</v>
      </c>
      <c r="D728" s="2">
        <f t="shared" si="208"/>
        <v>9</v>
      </c>
      <c r="E728" s="2">
        <f t="shared" si="209"/>
        <v>87</v>
      </c>
      <c r="F728" s="1">
        <f t="shared" si="201"/>
        <v>2767093.6337862229</v>
      </c>
      <c r="H728" s="1">
        <f t="shared" ref="H728:H755" si="216">SUM(F728:G728)*$G$8</f>
        <v>22065.193215736948</v>
      </c>
      <c r="I728" s="1">
        <v>0</v>
      </c>
      <c r="J728" s="69">
        <f>-SUM(F728:H728)*$J$21</f>
        <v>-25102.429443017641</v>
      </c>
      <c r="K728" s="1">
        <f t="shared" si="202"/>
        <v>-2764.0563975589425</v>
      </c>
      <c r="L728" s="1">
        <f t="shared" ref="L728:L755" si="217">SUM(F728:K728)</f>
        <v>2761292.3411613833</v>
      </c>
      <c r="N728" s="1">
        <f t="shared" si="203"/>
        <v>705</v>
      </c>
      <c r="O728" s="2">
        <f t="shared" si="210"/>
        <v>58</v>
      </c>
      <c r="P728" s="2">
        <f t="shared" si="211"/>
        <v>9</v>
      </c>
      <c r="Q728" s="2">
        <f t="shared" si="212"/>
        <v>58</v>
      </c>
      <c r="R728" s="1">
        <f t="shared" si="204"/>
        <v>165374343.59152919</v>
      </c>
      <c r="S728" s="4">
        <f>IF($G$4="mensual",S727,0)</f>
        <v>10000</v>
      </c>
      <c r="U728" s="1">
        <f t="shared" si="213"/>
        <v>1318797.980540924</v>
      </c>
      <c r="V728" s="35">
        <f t="shared" si="215"/>
        <v>-741.1202001605285</v>
      </c>
      <c r="X728" s="35">
        <f t="shared" si="214"/>
        <v>-166703.14157207013</v>
      </c>
      <c r="Y728" s="1">
        <f t="shared" ref="Y728:Y755" si="218">SUM(R728:X728)</f>
        <v>166535697.31029791</v>
      </c>
      <c r="AA728" s="2">
        <f>+Bono!J728</f>
        <v>1094459.3403109196</v>
      </c>
      <c r="AC728" s="10">
        <f t="shared" si="205"/>
        <v>58.75</v>
      </c>
      <c r="AD728" s="1">
        <f t="shared" si="206"/>
        <v>170391448.99177021</v>
      </c>
    </row>
    <row r="729" spans="2:30">
      <c r="B729" s="1">
        <f t="shared" ref="B729:B755" si="219">+B728+1</f>
        <v>706</v>
      </c>
      <c r="C729" s="2">
        <f t="shared" si="207"/>
        <v>58</v>
      </c>
      <c r="D729" s="2">
        <f t="shared" si="208"/>
        <v>10</v>
      </c>
      <c r="E729" s="2">
        <f t="shared" si="209"/>
        <v>87</v>
      </c>
      <c r="F729" s="1">
        <f t="shared" ref="F729:F755" si="220">L728</f>
        <v>2761292.3411613833</v>
      </c>
      <c r="H729" s="1">
        <f t="shared" si="216"/>
        <v>22018.932893677313</v>
      </c>
      <c r="I729" s="1">
        <v>0</v>
      </c>
      <c r="J729" s="1">
        <v>0</v>
      </c>
      <c r="K729" s="1">
        <f t="shared" ref="K729:K755" si="221">-SUM(F729:J729)*0.1%</f>
        <v>-2783.3112740550605</v>
      </c>
      <c r="L729" s="1">
        <f t="shared" si="217"/>
        <v>2780527.9627810055</v>
      </c>
      <c r="N729" s="1">
        <f t="shared" ref="N729:N755" si="222">+N728+1</f>
        <v>706</v>
      </c>
      <c r="O729" s="2">
        <f t="shared" si="210"/>
        <v>58</v>
      </c>
      <c r="P729" s="2">
        <f t="shared" si="211"/>
        <v>10</v>
      </c>
      <c r="Q729" s="2">
        <f t="shared" si="212"/>
        <v>58</v>
      </c>
      <c r="R729" s="1">
        <f t="shared" ref="R729:R755" si="223">Y728</f>
        <v>166535697.31029791</v>
      </c>
      <c r="S729" s="4">
        <f>IF($G$4="mensual",S720,IF($G$4="trimestral",S720,0))</f>
        <v>10000</v>
      </c>
      <c r="U729" s="1">
        <f t="shared" si="213"/>
        <v>1328058.7781820155</v>
      </c>
      <c r="V729" s="35">
        <f t="shared" si="215"/>
        <v>-741.1202001605285</v>
      </c>
      <c r="X729" s="35">
        <f t="shared" si="214"/>
        <v>-167873.75608847995</v>
      </c>
      <c r="Y729" s="1">
        <f t="shared" si="218"/>
        <v>167705141.21219131</v>
      </c>
      <c r="AA729" s="2">
        <f>+Bono!J729</f>
        <v>1101245.1151702732</v>
      </c>
      <c r="AC729" s="10">
        <f t="shared" ref="AC729:AC755" si="224">+B729/12</f>
        <v>58.833333333333336</v>
      </c>
      <c r="AD729" s="1">
        <f t="shared" ref="AD729:AD755" si="225">+AA729+Y729+L729</f>
        <v>171586914.2901426</v>
      </c>
    </row>
    <row r="730" spans="2:30">
      <c r="B730" s="1">
        <f t="shared" si="219"/>
        <v>707</v>
      </c>
      <c r="C730" s="2">
        <f t="shared" si="207"/>
        <v>58</v>
      </c>
      <c r="D730" s="2">
        <f t="shared" si="208"/>
        <v>11</v>
      </c>
      <c r="E730" s="2">
        <f t="shared" si="209"/>
        <v>87</v>
      </c>
      <c r="F730" s="1">
        <f t="shared" si="220"/>
        <v>2780527.9627810055</v>
      </c>
      <c r="H730" s="1">
        <f t="shared" si="216"/>
        <v>22172.320441709438</v>
      </c>
      <c r="I730" s="1">
        <v>0</v>
      </c>
      <c r="J730" s="1">
        <v>0</v>
      </c>
      <c r="K730" s="1">
        <f t="shared" si="221"/>
        <v>-2802.7002832227149</v>
      </c>
      <c r="L730" s="1">
        <f t="shared" si="217"/>
        <v>2799897.5829394921</v>
      </c>
      <c r="N730" s="1">
        <f t="shared" si="222"/>
        <v>707</v>
      </c>
      <c r="O730" s="2">
        <f t="shared" si="210"/>
        <v>58</v>
      </c>
      <c r="P730" s="2">
        <f t="shared" si="211"/>
        <v>11</v>
      </c>
      <c r="Q730" s="2">
        <f t="shared" si="212"/>
        <v>58</v>
      </c>
      <c r="R730" s="1">
        <f t="shared" si="223"/>
        <v>167705141.21219131</v>
      </c>
      <c r="S730" s="1">
        <f>IF($G$17="si",S718*(1+$G$20),S718)</f>
        <v>10000</v>
      </c>
      <c r="U730" s="1">
        <f t="shared" si="213"/>
        <v>1337384.0880794385</v>
      </c>
      <c r="V730" s="35">
        <f t="shared" si="215"/>
        <v>-741.1202001605285</v>
      </c>
      <c r="X730" s="35">
        <f t="shared" si="214"/>
        <v>-169052.52530027076</v>
      </c>
      <c r="Y730" s="1">
        <f t="shared" si="218"/>
        <v>168882731.65477034</v>
      </c>
      <c r="AA730" s="2">
        <f>+Bono!J730</f>
        <v>1108072.962620856</v>
      </c>
      <c r="AC730" s="10">
        <f t="shared" si="224"/>
        <v>58.916666666666664</v>
      </c>
      <c r="AD730" s="1">
        <f t="shared" si="225"/>
        <v>172790702.2003307</v>
      </c>
    </row>
    <row r="731" spans="2:30">
      <c r="B731" s="1">
        <f t="shared" si="219"/>
        <v>708</v>
      </c>
      <c r="C731" s="2">
        <f t="shared" si="207"/>
        <v>58</v>
      </c>
      <c r="D731" s="2">
        <f t="shared" si="208"/>
        <v>12</v>
      </c>
      <c r="E731" s="2">
        <f t="shared" si="209"/>
        <v>87</v>
      </c>
      <c r="F731" s="1">
        <f t="shared" si="220"/>
        <v>2799897.5829394921</v>
      </c>
      <c r="H731" s="1">
        <f t="shared" si="216"/>
        <v>22326.776512907734</v>
      </c>
      <c r="I731" s="1">
        <v>0</v>
      </c>
      <c r="J731" s="69">
        <f>-SUM(F731:H731)*$J$21</f>
        <v>-25400.019235071602</v>
      </c>
      <c r="K731" s="1">
        <f t="shared" si="221"/>
        <v>-2796.8243402173284</v>
      </c>
      <c r="L731" s="1">
        <f t="shared" si="217"/>
        <v>2794027.5158771109</v>
      </c>
      <c r="N731" s="1">
        <f t="shared" si="222"/>
        <v>708</v>
      </c>
      <c r="O731" s="2">
        <f t="shared" si="210"/>
        <v>58</v>
      </c>
      <c r="P731" s="2">
        <f t="shared" si="211"/>
        <v>12</v>
      </c>
      <c r="Q731" s="2">
        <f t="shared" si="212"/>
        <v>58</v>
      </c>
      <c r="R731" s="1">
        <f t="shared" si="223"/>
        <v>168882731.65477034</v>
      </c>
      <c r="S731" s="4">
        <f>IF($G$4="mensual",S730,0)</f>
        <v>10000</v>
      </c>
      <c r="U731" s="1">
        <f t="shared" si="213"/>
        <v>1346774.3596362988</v>
      </c>
      <c r="V731" s="35">
        <f t="shared" si="215"/>
        <v>-741.1202001605285</v>
      </c>
      <c r="X731" s="35">
        <f t="shared" si="214"/>
        <v>-170239.50601440665</v>
      </c>
      <c r="Y731" s="1">
        <f t="shared" si="218"/>
        <v>170068525.38819209</v>
      </c>
      <c r="AA731" s="2">
        <f>+Bono!J731</f>
        <v>1104898.6106931306</v>
      </c>
      <c r="AC731" s="10">
        <f t="shared" si="224"/>
        <v>59</v>
      </c>
      <c r="AD731" s="1">
        <f t="shared" si="225"/>
        <v>173967451.51476231</v>
      </c>
    </row>
    <row r="732" spans="2:30">
      <c r="B732" s="1">
        <f t="shared" si="219"/>
        <v>709</v>
      </c>
      <c r="C732" s="2">
        <f t="shared" si="207"/>
        <v>59</v>
      </c>
      <c r="D732" s="2">
        <f t="shared" si="208"/>
        <v>1</v>
      </c>
      <c r="E732" s="2">
        <f t="shared" si="209"/>
        <v>88</v>
      </c>
      <c r="F732" s="1">
        <f t="shared" si="220"/>
        <v>2794027.5158771109</v>
      </c>
      <c r="H732" s="1">
        <f t="shared" si="216"/>
        <v>22279.967773825225</v>
      </c>
      <c r="I732" s="1">
        <v>0</v>
      </c>
      <c r="J732" s="1">
        <v>0</v>
      </c>
      <c r="K732" s="1">
        <f t="shared" si="221"/>
        <v>-2816.3074836509363</v>
      </c>
      <c r="L732" s="1">
        <f t="shared" si="217"/>
        <v>2813491.1761672855</v>
      </c>
      <c r="N732" s="1">
        <f t="shared" si="222"/>
        <v>709</v>
      </c>
      <c r="O732" s="2">
        <f t="shared" si="210"/>
        <v>59</v>
      </c>
      <c r="P732" s="2">
        <f t="shared" si="211"/>
        <v>1</v>
      </c>
      <c r="Q732" s="2">
        <f t="shared" si="212"/>
        <v>59</v>
      </c>
      <c r="R732" s="1">
        <f t="shared" si="223"/>
        <v>170068525.38819209</v>
      </c>
      <c r="S732" s="1">
        <f>IF($G$17="si",S720*(1+$G$20),S720)</f>
        <v>10000</v>
      </c>
      <c r="U732" s="1">
        <f t="shared" si="213"/>
        <v>1356230.0453863179</v>
      </c>
      <c r="V732" s="35">
        <f>(V731*(1+$G$18))</f>
        <v>-770.76500816694966</v>
      </c>
      <c r="X732" s="35">
        <f t="shared" si="214"/>
        <v>-171434.75543357839</v>
      </c>
      <c r="Y732" s="1">
        <f t="shared" si="218"/>
        <v>171262549.91313663</v>
      </c>
      <c r="AA732" s="2">
        <f>+Bono!J732</f>
        <v>1111749.1102397344</v>
      </c>
      <c r="AC732" s="10">
        <f t="shared" si="224"/>
        <v>59.083333333333336</v>
      </c>
      <c r="AD732" s="1">
        <f t="shared" si="225"/>
        <v>175187790.19954365</v>
      </c>
    </row>
    <row r="733" spans="2:30">
      <c r="B733" s="1">
        <f t="shared" si="219"/>
        <v>710</v>
      </c>
      <c r="C733" s="2">
        <f t="shared" si="207"/>
        <v>59</v>
      </c>
      <c r="D733" s="2">
        <f t="shared" si="208"/>
        <v>2</v>
      </c>
      <c r="E733" s="2">
        <f t="shared" si="209"/>
        <v>88</v>
      </c>
      <c r="F733" s="1">
        <f t="shared" si="220"/>
        <v>2813491.1761672855</v>
      </c>
      <c r="H733" s="1">
        <f t="shared" si="216"/>
        <v>22435.173734239554</v>
      </c>
      <c r="I733" s="1">
        <v>0</v>
      </c>
      <c r="J733" s="1">
        <v>0</v>
      </c>
      <c r="K733" s="1">
        <f t="shared" si="221"/>
        <v>-2835.9263499015256</v>
      </c>
      <c r="L733" s="1">
        <f t="shared" si="217"/>
        <v>2833090.4235516237</v>
      </c>
      <c r="N733" s="1">
        <f t="shared" si="222"/>
        <v>710</v>
      </c>
      <c r="O733" s="2">
        <f t="shared" si="210"/>
        <v>59</v>
      </c>
      <c r="P733" s="2">
        <f t="shared" si="211"/>
        <v>2</v>
      </c>
      <c r="Q733" s="2">
        <f t="shared" si="212"/>
        <v>59</v>
      </c>
      <c r="R733" s="1">
        <f t="shared" si="223"/>
        <v>171262549.91313663</v>
      </c>
      <c r="S733" s="4">
        <f>IF($G$4="mensual",S732,0)</f>
        <v>10000</v>
      </c>
      <c r="U733" s="1">
        <f t="shared" si="213"/>
        <v>1365751.3646237808</v>
      </c>
      <c r="V733" s="35">
        <f t="shared" si="215"/>
        <v>-770.76500816694966</v>
      </c>
      <c r="X733" s="35">
        <f t="shared" si="214"/>
        <v>-172638.30127776042</v>
      </c>
      <c r="Y733" s="1">
        <f t="shared" si="218"/>
        <v>172464892.21147448</v>
      </c>
      <c r="AA733" s="2">
        <f>+Bono!J733</f>
        <v>1118642.0836781359</v>
      </c>
      <c r="AC733" s="10">
        <f t="shared" si="224"/>
        <v>59.166666666666664</v>
      </c>
      <c r="AD733" s="1">
        <f t="shared" si="225"/>
        <v>176416624.71870422</v>
      </c>
    </row>
    <row r="734" spans="2:30">
      <c r="B734" s="1">
        <f t="shared" si="219"/>
        <v>711</v>
      </c>
      <c r="C734" s="2">
        <f t="shared" si="207"/>
        <v>59</v>
      </c>
      <c r="D734" s="2">
        <f t="shared" si="208"/>
        <v>3</v>
      </c>
      <c r="E734" s="2">
        <f t="shared" si="209"/>
        <v>88</v>
      </c>
      <c r="F734" s="1">
        <f t="shared" si="220"/>
        <v>2833090.4235516237</v>
      </c>
      <c r="H734" s="1">
        <f t="shared" si="216"/>
        <v>22591.460885183093</v>
      </c>
      <c r="I734" s="1">
        <v>0</v>
      </c>
      <c r="J734" s="69">
        <f>-SUM(F734:H734)*$J$21</f>
        <v>-25701.136959931264</v>
      </c>
      <c r="K734" s="1">
        <f t="shared" si="221"/>
        <v>-2829.9807474768754</v>
      </c>
      <c r="L734" s="1">
        <f t="shared" si="217"/>
        <v>2827150.7667293986</v>
      </c>
      <c r="N734" s="1">
        <f t="shared" si="222"/>
        <v>711</v>
      </c>
      <c r="O734" s="2">
        <f t="shared" si="210"/>
        <v>59</v>
      </c>
      <c r="P734" s="2">
        <f t="shared" si="211"/>
        <v>3</v>
      </c>
      <c r="Q734" s="2">
        <f t="shared" si="212"/>
        <v>59</v>
      </c>
      <c r="R734" s="1">
        <f t="shared" si="223"/>
        <v>172464892.21147448</v>
      </c>
      <c r="S734" s="4">
        <f>IF($G$4="mensual",S733,0)</f>
        <v>10000</v>
      </c>
      <c r="U734" s="1">
        <f t="shared" si="213"/>
        <v>1375339.0109543377</v>
      </c>
      <c r="V734" s="35">
        <f t="shared" si="215"/>
        <v>-770.76500816694966</v>
      </c>
      <c r="X734" s="35">
        <f t="shared" si="214"/>
        <v>-173850.23122242882</v>
      </c>
      <c r="Y734" s="1">
        <f t="shared" si="218"/>
        <v>173675610.22619823</v>
      </c>
      <c r="AA734" s="2">
        <f>+Bono!J734</f>
        <v>1115437.4538617386</v>
      </c>
      <c r="AC734" s="10">
        <f t="shared" si="224"/>
        <v>59.25</v>
      </c>
      <c r="AD734" s="1">
        <f t="shared" si="225"/>
        <v>177618198.44678935</v>
      </c>
    </row>
    <row r="735" spans="2:30">
      <c r="B735" s="1">
        <f t="shared" si="219"/>
        <v>712</v>
      </c>
      <c r="C735" s="2">
        <f t="shared" si="207"/>
        <v>59</v>
      </c>
      <c r="D735" s="2">
        <f t="shared" si="208"/>
        <v>4</v>
      </c>
      <c r="E735" s="2">
        <f t="shared" si="209"/>
        <v>88</v>
      </c>
      <c r="F735" s="1">
        <f t="shared" si="220"/>
        <v>2827150.7667293986</v>
      </c>
      <c r="H735" s="1">
        <f t="shared" si="216"/>
        <v>22544.097227583174</v>
      </c>
      <c r="I735" s="1">
        <v>0</v>
      </c>
      <c r="J735" s="1">
        <v>0</v>
      </c>
      <c r="K735" s="1">
        <f t="shared" si="221"/>
        <v>-2849.6948639569819</v>
      </c>
      <c r="L735" s="1">
        <f t="shared" si="217"/>
        <v>2846845.1690930249</v>
      </c>
      <c r="N735" s="1">
        <f t="shared" si="222"/>
        <v>712</v>
      </c>
      <c r="O735" s="2">
        <f t="shared" si="210"/>
        <v>59</v>
      </c>
      <c r="P735" s="2">
        <f t="shared" si="211"/>
        <v>4</v>
      </c>
      <c r="Q735" s="2">
        <f t="shared" si="212"/>
        <v>59</v>
      </c>
      <c r="R735" s="1">
        <f t="shared" si="223"/>
        <v>173675610.22619823</v>
      </c>
      <c r="S735" s="4">
        <f>IF($G$4="mensual",S732,IF($G$4="trimestral",S732,0))</f>
        <v>10000</v>
      </c>
      <c r="U735" s="1">
        <f t="shared" si="213"/>
        <v>1384993.4464235483</v>
      </c>
      <c r="V735" s="35">
        <f t="shared" si="215"/>
        <v>-770.76500816694966</v>
      </c>
      <c r="X735" s="35">
        <f t="shared" si="214"/>
        <v>-175070.6036726218</v>
      </c>
      <c r="Y735" s="1">
        <f t="shared" si="218"/>
        <v>174894762.30394098</v>
      </c>
      <c r="AA735" s="2">
        <f>+Bono!J735</f>
        <v>1122353.2954584179</v>
      </c>
      <c r="AC735" s="10">
        <f t="shared" si="224"/>
        <v>59.333333333333336</v>
      </c>
      <c r="AD735" s="1">
        <f t="shared" si="225"/>
        <v>178863960.7684924</v>
      </c>
    </row>
    <row r="736" spans="2:30">
      <c r="B736" s="1">
        <f t="shared" si="219"/>
        <v>713</v>
      </c>
      <c r="C736" s="2">
        <f t="shared" si="207"/>
        <v>59</v>
      </c>
      <c r="D736" s="2">
        <f t="shared" si="208"/>
        <v>5</v>
      </c>
      <c r="E736" s="2">
        <f t="shared" si="209"/>
        <v>88</v>
      </c>
      <c r="F736" s="1">
        <f t="shared" si="220"/>
        <v>2846845.1690930249</v>
      </c>
      <c r="H736" s="1">
        <f t="shared" si="216"/>
        <v>22701.143157694063</v>
      </c>
      <c r="I736" s="1">
        <v>0</v>
      </c>
      <c r="J736" s="1">
        <v>0</v>
      </c>
      <c r="K736" s="1">
        <f t="shared" si="221"/>
        <v>-2869.546312250719</v>
      </c>
      <c r="L736" s="1">
        <f t="shared" si="217"/>
        <v>2866676.7659384683</v>
      </c>
      <c r="N736" s="1">
        <f t="shared" si="222"/>
        <v>713</v>
      </c>
      <c r="O736" s="2">
        <f t="shared" si="210"/>
        <v>59</v>
      </c>
      <c r="P736" s="2">
        <f t="shared" si="211"/>
        <v>5</v>
      </c>
      <c r="Q736" s="2">
        <f t="shared" si="212"/>
        <v>59</v>
      </c>
      <c r="R736" s="1">
        <f t="shared" si="223"/>
        <v>174894762.30394098</v>
      </c>
      <c r="S736" s="4">
        <f>IF($G$4="mensual",S735,0)</f>
        <v>10000</v>
      </c>
      <c r="U736" s="1">
        <f t="shared" si="213"/>
        <v>1394715.1362956588</v>
      </c>
      <c r="V736" s="35">
        <f t="shared" si="215"/>
        <v>-770.76500816694966</v>
      </c>
      <c r="X736" s="35">
        <f t="shared" si="214"/>
        <v>-176299.47744023663</v>
      </c>
      <c r="Y736" s="1">
        <f t="shared" si="218"/>
        <v>176122407.19778821</v>
      </c>
      <c r="AA736" s="2">
        <f>+Bono!J736</f>
        <v>1129312.0160751846</v>
      </c>
      <c r="AC736" s="10">
        <f t="shared" si="224"/>
        <v>59.416666666666664</v>
      </c>
      <c r="AD736" s="1">
        <f t="shared" si="225"/>
        <v>180118395.97980186</v>
      </c>
    </row>
    <row r="737" spans="2:30">
      <c r="B737" s="1">
        <f t="shared" si="219"/>
        <v>714</v>
      </c>
      <c r="C737" s="2">
        <f t="shared" si="207"/>
        <v>59</v>
      </c>
      <c r="D737" s="2">
        <f t="shared" si="208"/>
        <v>6</v>
      </c>
      <c r="E737" s="2">
        <f t="shared" si="209"/>
        <v>88</v>
      </c>
      <c r="F737" s="1">
        <f t="shared" si="220"/>
        <v>2866676.7659384683</v>
      </c>
      <c r="H737" s="1">
        <f t="shared" si="216"/>
        <v>22859.283095869032</v>
      </c>
      <c r="I737" s="1">
        <v>0</v>
      </c>
      <c r="J737" s="69">
        <f>-SUM(F737:H737)*$J$21</f>
        <v>-26005.82444130904</v>
      </c>
      <c r="K737" s="1">
        <f t="shared" si="221"/>
        <v>-2863.5302245930284</v>
      </c>
      <c r="L737" s="1">
        <f t="shared" si="217"/>
        <v>2860666.6943684355</v>
      </c>
      <c r="N737" s="1">
        <f t="shared" si="222"/>
        <v>714</v>
      </c>
      <c r="O737" s="2">
        <f t="shared" si="210"/>
        <v>59</v>
      </c>
      <c r="P737" s="2">
        <f t="shared" si="211"/>
        <v>6</v>
      </c>
      <c r="Q737" s="2">
        <f t="shared" si="212"/>
        <v>59</v>
      </c>
      <c r="R737" s="1">
        <f t="shared" si="223"/>
        <v>176122407.19778821</v>
      </c>
      <c r="S737" s="4">
        <f>IF($G$4="mensual",S736,0)</f>
        <v>10000</v>
      </c>
      <c r="U737" s="1">
        <f t="shared" si="213"/>
        <v>1404504.5490760233</v>
      </c>
      <c r="V737" s="35">
        <f t="shared" si="215"/>
        <v>-770.76500816694966</v>
      </c>
      <c r="X737" s="35">
        <f t="shared" si="214"/>
        <v>-177536.91174686424</v>
      </c>
      <c r="Y737" s="1">
        <f t="shared" si="218"/>
        <v>177358604.07010919</v>
      </c>
      <c r="AA737" s="2">
        <f>+Bono!J737</f>
        <v>1126076.8195708382</v>
      </c>
      <c r="AC737" s="10">
        <f t="shared" si="224"/>
        <v>59.5</v>
      </c>
      <c r="AD737" s="1">
        <f t="shared" si="225"/>
        <v>181345347.58404845</v>
      </c>
    </row>
    <row r="738" spans="2:30">
      <c r="B738" s="1">
        <f t="shared" si="219"/>
        <v>715</v>
      </c>
      <c r="C738" s="2">
        <f t="shared" si="207"/>
        <v>59</v>
      </c>
      <c r="D738" s="2">
        <f t="shared" si="208"/>
        <v>7</v>
      </c>
      <c r="E738" s="2">
        <f t="shared" si="209"/>
        <v>88</v>
      </c>
      <c r="F738" s="1">
        <f t="shared" si="220"/>
        <v>2860666.6943684355</v>
      </c>
      <c r="H738" s="1">
        <f t="shared" si="216"/>
        <v>22811.357941181832</v>
      </c>
      <c r="I738" s="1">
        <v>0</v>
      </c>
      <c r="J738" s="1">
        <v>0</v>
      </c>
      <c r="K738" s="1">
        <f t="shared" si="221"/>
        <v>-2883.4780523096174</v>
      </c>
      <c r="L738" s="1">
        <f t="shared" si="217"/>
        <v>2880594.5742573077</v>
      </c>
      <c r="N738" s="1">
        <f t="shared" si="222"/>
        <v>715</v>
      </c>
      <c r="O738" s="2">
        <f t="shared" si="210"/>
        <v>59</v>
      </c>
      <c r="P738" s="2">
        <f t="shared" si="211"/>
        <v>7</v>
      </c>
      <c r="Q738" s="2">
        <f t="shared" si="212"/>
        <v>59</v>
      </c>
      <c r="R738" s="1">
        <f t="shared" si="223"/>
        <v>177358604.07010919</v>
      </c>
      <c r="S738" s="1">
        <f>+IF($G$4="mensual",S732,IF($G$4="trimestral",S732,IF($G$4="semestral",S732,0)))</f>
        <v>10000</v>
      </c>
      <c r="U738" s="1">
        <f t="shared" si="213"/>
        <v>1414362.1565336825</v>
      </c>
      <c r="V738" s="35">
        <f t="shared" si="215"/>
        <v>-770.76500816694966</v>
      </c>
      <c r="X738" s="35">
        <f t="shared" si="214"/>
        <v>-178782.96622664289</v>
      </c>
      <c r="Y738" s="1">
        <f t="shared" si="218"/>
        <v>178603412.49540806</v>
      </c>
      <c r="AA738" s="2">
        <f>+Bono!J738</f>
        <v>1133058.626469004</v>
      </c>
      <c r="AC738" s="10">
        <f t="shared" si="224"/>
        <v>59.583333333333336</v>
      </c>
      <c r="AD738" s="1">
        <f t="shared" si="225"/>
        <v>182617065.69613439</v>
      </c>
    </row>
    <row r="739" spans="2:30">
      <c r="B739" s="1">
        <f t="shared" si="219"/>
        <v>716</v>
      </c>
      <c r="C739" s="2">
        <f t="shared" si="207"/>
        <v>59</v>
      </c>
      <c r="D739" s="2">
        <f t="shared" si="208"/>
        <v>8</v>
      </c>
      <c r="E739" s="2">
        <f t="shared" si="209"/>
        <v>88</v>
      </c>
      <c r="F739" s="1">
        <f t="shared" si="220"/>
        <v>2880594.5742573077</v>
      </c>
      <c r="H739" s="1">
        <f t="shared" si="216"/>
        <v>22970.265653866023</v>
      </c>
      <c r="I739" s="1">
        <v>0</v>
      </c>
      <c r="J739" s="1">
        <v>0</v>
      </c>
      <c r="K739" s="1">
        <f t="shared" si="221"/>
        <v>-2903.5648399111737</v>
      </c>
      <c r="L739" s="1">
        <f t="shared" si="217"/>
        <v>2900661.2750712624</v>
      </c>
      <c r="N739" s="1">
        <f t="shared" si="222"/>
        <v>716</v>
      </c>
      <c r="O739" s="2">
        <f t="shared" si="210"/>
        <v>59</v>
      </c>
      <c r="P739" s="2">
        <f t="shared" si="211"/>
        <v>8</v>
      </c>
      <c r="Q739" s="2">
        <f t="shared" si="212"/>
        <v>59</v>
      </c>
      <c r="R739" s="1">
        <f t="shared" si="223"/>
        <v>178603412.49540806</v>
      </c>
      <c r="S739" s="4">
        <f>IF($G$4="mensual",S738,0)</f>
        <v>10000</v>
      </c>
      <c r="U739" s="1">
        <f t="shared" si="213"/>
        <v>1424288.4337240981</v>
      </c>
      <c r="V739" s="35">
        <f t="shared" si="215"/>
        <v>-770.76500816694966</v>
      </c>
      <c r="X739" s="35">
        <f t="shared" si="214"/>
        <v>-180037.70092913217</v>
      </c>
      <c r="Y739" s="1">
        <f t="shared" si="218"/>
        <v>179856892.46319485</v>
      </c>
      <c r="AA739" s="2">
        <f>+Bono!J739</f>
        <v>1140083.7213797776</v>
      </c>
      <c r="AC739" s="10">
        <f t="shared" si="224"/>
        <v>59.666666666666664</v>
      </c>
      <c r="AD739" s="1">
        <f t="shared" si="225"/>
        <v>183897637.4596459</v>
      </c>
    </row>
    <row r="740" spans="2:30">
      <c r="B740" s="1">
        <f t="shared" si="219"/>
        <v>717</v>
      </c>
      <c r="C740" s="2">
        <f t="shared" ref="C740:C755" si="226">C728+1</f>
        <v>59</v>
      </c>
      <c r="D740" s="2">
        <f t="shared" ref="D740:D755" si="227">D728</f>
        <v>9</v>
      </c>
      <c r="E740" s="2">
        <f t="shared" ref="E740:E755" si="228">E728+1</f>
        <v>88</v>
      </c>
      <c r="F740" s="1">
        <f t="shared" si="220"/>
        <v>2900661.2750712624</v>
      </c>
      <c r="H740" s="1">
        <f t="shared" si="216"/>
        <v>23130.280344101295</v>
      </c>
      <c r="I740" s="1">
        <v>0</v>
      </c>
      <c r="J740" s="69">
        <f>-SUM(F740:H740)*$J$21</f>
        <v>-26314.123998738276</v>
      </c>
      <c r="K740" s="1">
        <f t="shared" si="221"/>
        <v>-2897.4774314166252</v>
      </c>
      <c r="L740" s="1">
        <f t="shared" si="217"/>
        <v>2894579.9539852086</v>
      </c>
      <c r="N740" s="1">
        <f t="shared" si="222"/>
        <v>717</v>
      </c>
      <c r="O740" s="2">
        <f t="shared" ref="O740:O755" si="229">O728+1</f>
        <v>59</v>
      </c>
      <c r="P740" s="2">
        <f t="shared" ref="P740:P755" si="230">P728</f>
        <v>9</v>
      </c>
      <c r="Q740" s="2">
        <f t="shared" ref="Q740:Q755" si="231">Q728+1</f>
        <v>59</v>
      </c>
      <c r="R740" s="1">
        <f t="shared" si="223"/>
        <v>179856892.46319485</v>
      </c>
      <c r="S740" s="4">
        <f>IF($G$4="mensual",S739,0)</f>
        <v>10000</v>
      </c>
      <c r="U740" s="1">
        <f t="shared" ref="U740:U755" si="232">SUM(R740:T740)*$G$8</f>
        <v>1434283.8590120478</v>
      </c>
      <c r="V740" s="35">
        <f t="shared" si="215"/>
        <v>-770.76500816694966</v>
      </c>
      <c r="X740" s="35">
        <f t="shared" si="214"/>
        <v>-181301.17632220688</v>
      </c>
      <c r="Y740" s="1">
        <f t="shared" si="218"/>
        <v>181119104.38087648</v>
      </c>
      <c r="AA740" s="2">
        <f>+Bono!J740</f>
        <v>1136817.6666335538</v>
      </c>
      <c r="AC740" s="10">
        <f t="shared" si="224"/>
        <v>59.75</v>
      </c>
      <c r="AD740" s="1">
        <f t="shared" si="225"/>
        <v>185150502.00149524</v>
      </c>
    </row>
    <row r="741" spans="2:30">
      <c r="B741" s="1">
        <f t="shared" si="219"/>
        <v>718</v>
      </c>
      <c r="C741" s="2">
        <f t="shared" si="226"/>
        <v>59</v>
      </c>
      <c r="D741" s="2">
        <f t="shared" si="227"/>
        <v>10</v>
      </c>
      <c r="E741" s="2">
        <f t="shared" si="228"/>
        <v>88</v>
      </c>
      <c r="F741" s="1">
        <f t="shared" si="220"/>
        <v>2894579.9539852086</v>
      </c>
      <c r="H741" s="1">
        <f t="shared" si="216"/>
        <v>23081.787035767851</v>
      </c>
      <c r="I741" s="1">
        <v>0</v>
      </c>
      <c r="J741" s="1">
        <v>0</v>
      </c>
      <c r="K741" s="1">
        <f t="shared" si="221"/>
        <v>-2917.6617410209765</v>
      </c>
      <c r="L741" s="1">
        <f t="shared" si="217"/>
        <v>2914744.0792799555</v>
      </c>
      <c r="N741" s="1">
        <f t="shared" si="222"/>
        <v>718</v>
      </c>
      <c r="O741" s="2">
        <f t="shared" si="229"/>
        <v>59</v>
      </c>
      <c r="P741" s="2">
        <f t="shared" si="230"/>
        <v>10</v>
      </c>
      <c r="Q741" s="2">
        <f t="shared" si="231"/>
        <v>59</v>
      </c>
      <c r="R741" s="1">
        <f t="shared" si="223"/>
        <v>181119104.38087648</v>
      </c>
      <c r="S741" s="4">
        <f>IF($G$4="mensual",S732,IF($G$4="trimestral",S732,0))</f>
        <v>10000</v>
      </c>
      <c r="U741" s="1">
        <f t="shared" si="232"/>
        <v>1444348.914094677</v>
      </c>
      <c r="V741" s="35">
        <f t="shared" si="215"/>
        <v>-770.76500816694966</v>
      </c>
      <c r="X741" s="35">
        <f t="shared" si="214"/>
        <v>-182573.45329497117</v>
      </c>
      <c r="Y741" s="1">
        <f t="shared" si="218"/>
        <v>182390109.07666802</v>
      </c>
      <c r="AA741" s="2">
        <f>+Bono!J741</f>
        <v>1143866.0680293695</v>
      </c>
      <c r="AC741" s="10">
        <f t="shared" si="224"/>
        <v>59.833333333333336</v>
      </c>
      <c r="AD741" s="1">
        <f t="shared" si="225"/>
        <v>186448719.22397736</v>
      </c>
    </row>
    <row r="742" spans="2:30">
      <c r="B742" s="1">
        <f t="shared" si="219"/>
        <v>719</v>
      </c>
      <c r="C742" s="2">
        <f t="shared" si="226"/>
        <v>59</v>
      </c>
      <c r="D742" s="2">
        <f t="shared" si="227"/>
        <v>11</v>
      </c>
      <c r="E742" s="2">
        <f t="shared" si="228"/>
        <v>88</v>
      </c>
      <c r="F742" s="1">
        <f t="shared" si="220"/>
        <v>2914744.0792799555</v>
      </c>
      <c r="H742" s="1">
        <f t="shared" si="216"/>
        <v>23242.57860249417</v>
      </c>
      <c r="I742" s="1">
        <v>0</v>
      </c>
      <c r="J742" s="1">
        <v>0</v>
      </c>
      <c r="K742" s="1">
        <f t="shared" si="221"/>
        <v>-2937.9866578824499</v>
      </c>
      <c r="L742" s="1">
        <f t="shared" si="217"/>
        <v>2935048.6712245671</v>
      </c>
      <c r="N742" s="1">
        <f t="shared" si="222"/>
        <v>719</v>
      </c>
      <c r="O742" s="2">
        <f t="shared" si="229"/>
        <v>59</v>
      </c>
      <c r="P742" s="2">
        <f t="shared" si="230"/>
        <v>11</v>
      </c>
      <c r="Q742" s="2">
        <f t="shared" si="231"/>
        <v>59</v>
      </c>
      <c r="R742" s="1">
        <f t="shared" si="223"/>
        <v>182390109.07666802</v>
      </c>
      <c r="S742" s="1">
        <f>IF($G$17="si",S730*(1+$G$20),S730)</f>
        <v>10000</v>
      </c>
      <c r="U742" s="1">
        <f t="shared" si="232"/>
        <v>1454484.084024715</v>
      </c>
      <c r="V742" s="35">
        <f t="shared" si="215"/>
        <v>-770.76500816694966</v>
      </c>
      <c r="X742" s="35">
        <f t="shared" si="214"/>
        <v>-183854.59316069275</v>
      </c>
      <c r="Y742" s="1">
        <f t="shared" si="218"/>
        <v>183669967.80252388</v>
      </c>
      <c r="AA742" s="2">
        <f>+Bono!J742</f>
        <v>1150958.1703314031</v>
      </c>
      <c r="AC742" s="10">
        <f t="shared" si="224"/>
        <v>59.916666666666664</v>
      </c>
      <c r="AD742" s="1">
        <f t="shared" si="225"/>
        <v>187755974.64407983</v>
      </c>
    </row>
    <row r="743" spans="2:30">
      <c r="B743" s="1">
        <f t="shared" si="219"/>
        <v>720</v>
      </c>
      <c r="C743" s="2">
        <f t="shared" si="226"/>
        <v>59</v>
      </c>
      <c r="D743" s="2">
        <f t="shared" si="227"/>
        <v>12</v>
      </c>
      <c r="E743" s="2">
        <f t="shared" si="228"/>
        <v>88</v>
      </c>
      <c r="F743" s="1">
        <f t="shared" si="220"/>
        <v>2935048.6712245671</v>
      </c>
      <c r="H743" s="1">
        <f t="shared" si="216"/>
        <v>23404.490270012095</v>
      </c>
      <c r="I743" s="1">
        <v>0</v>
      </c>
      <c r="J743" s="69">
        <f>-SUM(F743:H743)*$J$21</f>
        <v>-26626.078453451217</v>
      </c>
      <c r="K743" s="1">
        <f t="shared" si="221"/>
        <v>-2931.8270830411279</v>
      </c>
      <c r="L743" s="1">
        <f t="shared" si="217"/>
        <v>2928895.2559580868</v>
      </c>
      <c r="N743" s="1">
        <f t="shared" si="222"/>
        <v>720</v>
      </c>
      <c r="O743" s="2">
        <f t="shared" si="229"/>
        <v>59</v>
      </c>
      <c r="P743" s="2">
        <f t="shared" si="230"/>
        <v>12</v>
      </c>
      <c r="Q743" s="2">
        <f t="shared" si="231"/>
        <v>59</v>
      </c>
      <c r="R743" s="1">
        <f t="shared" si="223"/>
        <v>183669967.80252388</v>
      </c>
      <c r="S743" s="4">
        <f>IF($G$4="mensual",S742,0)</f>
        <v>10000</v>
      </c>
      <c r="U743" s="1">
        <f t="shared" si="232"/>
        <v>1464689.8572338475</v>
      </c>
      <c r="V743" s="35">
        <f t="shared" si="215"/>
        <v>-770.76500816694966</v>
      </c>
      <c r="X743" s="35">
        <f t="shared" si="214"/>
        <v>-185144.65765975774</v>
      </c>
      <c r="Y743" s="1">
        <f t="shared" si="218"/>
        <v>184958742.23708978</v>
      </c>
      <c r="AA743" s="2">
        <f>+Bono!J743</f>
        <v>1147660.9630084476</v>
      </c>
      <c r="AC743" s="10">
        <f t="shared" si="224"/>
        <v>60</v>
      </c>
      <c r="AD743" s="1">
        <f t="shared" si="225"/>
        <v>189035298.4560563</v>
      </c>
    </row>
    <row r="744" spans="2:30">
      <c r="B744" s="1">
        <f t="shared" si="219"/>
        <v>721</v>
      </c>
      <c r="C744" s="2">
        <f t="shared" si="226"/>
        <v>60</v>
      </c>
      <c r="D744" s="2">
        <f t="shared" si="227"/>
        <v>1</v>
      </c>
      <c r="E744" s="2">
        <f t="shared" si="228"/>
        <v>89</v>
      </c>
      <c r="F744" s="1">
        <f t="shared" si="220"/>
        <v>2928895.2559580868</v>
      </c>
      <c r="H744" s="1">
        <f t="shared" si="216"/>
        <v>23355.422072559821</v>
      </c>
      <c r="I744" s="1">
        <v>0</v>
      </c>
      <c r="J744" s="1">
        <v>0</v>
      </c>
      <c r="K744" s="1">
        <f t="shared" si="221"/>
        <v>-2952.2506780306467</v>
      </c>
      <c r="L744" s="1">
        <f t="shared" si="217"/>
        <v>2949298.4273526156</v>
      </c>
      <c r="N744" s="1">
        <f t="shared" si="222"/>
        <v>721</v>
      </c>
      <c r="O744" s="2">
        <f t="shared" si="229"/>
        <v>60</v>
      </c>
      <c r="P744" s="2">
        <f t="shared" si="230"/>
        <v>1</v>
      </c>
      <c r="Q744" s="2">
        <f t="shared" si="231"/>
        <v>60</v>
      </c>
      <c r="R744" s="1">
        <f t="shared" si="223"/>
        <v>184958742.23708978</v>
      </c>
      <c r="S744" s="1">
        <f>IF($G$17="si",S732*(1+$G$20),S732)</f>
        <v>10000</v>
      </c>
      <c r="U744" s="1">
        <f t="shared" si="232"/>
        <v>1474966.7255562569</v>
      </c>
      <c r="V744" s="35">
        <f>(V743*(1+$G$18))</f>
        <v>-801.59560849362765</v>
      </c>
      <c r="X744" s="35">
        <f t="shared" si="214"/>
        <v>-186443.70896264605</v>
      </c>
      <c r="Y744" s="1">
        <f t="shared" si="218"/>
        <v>186256463.65807489</v>
      </c>
      <c r="AA744" s="2">
        <f>+Bono!J744</f>
        <v>1154776.5940995321</v>
      </c>
      <c r="AC744" s="10">
        <f t="shared" si="224"/>
        <v>60.083333333333336</v>
      </c>
      <c r="AD744" s="1">
        <f t="shared" si="225"/>
        <v>190360538.67952701</v>
      </c>
    </row>
    <row r="745" spans="2:30">
      <c r="B745" s="1">
        <f t="shared" si="219"/>
        <v>722</v>
      </c>
      <c r="C745" s="2">
        <f t="shared" si="226"/>
        <v>60</v>
      </c>
      <c r="D745" s="2">
        <f t="shared" si="227"/>
        <v>2</v>
      </c>
      <c r="E745" s="2">
        <f t="shared" si="228"/>
        <v>89</v>
      </c>
      <c r="F745" s="1">
        <f t="shared" si="220"/>
        <v>2949298.4273526156</v>
      </c>
      <c r="H745" s="1">
        <f t="shared" si="216"/>
        <v>23518.119826454786</v>
      </c>
      <c r="I745" s="1">
        <v>0</v>
      </c>
      <c r="J745" s="1">
        <v>0</v>
      </c>
      <c r="K745" s="1">
        <f t="shared" si="221"/>
        <v>-2972.8165471790703</v>
      </c>
      <c r="L745" s="1">
        <f t="shared" si="217"/>
        <v>2969843.7306318912</v>
      </c>
      <c r="N745" s="1">
        <f t="shared" si="222"/>
        <v>722</v>
      </c>
      <c r="O745" s="2">
        <f t="shared" si="229"/>
        <v>60</v>
      </c>
      <c r="P745" s="2">
        <f t="shared" si="230"/>
        <v>2</v>
      </c>
      <c r="Q745" s="2">
        <f t="shared" si="231"/>
        <v>60</v>
      </c>
      <c r="R745" s="1">
        <f t="shared" si="223"/>
        <v>186256463.65807489</v>
      </c>
      <c r="S745" s="4">
        <f>IF($G$4="mensual",S744,0)</f>
        <v>10000</v>
      </c>
      <c r="U745" s="1">
        <f t="shared" si="232"/>
        <v>1485314.9384047887</v>
      </c>
      <c r="V745" s="35">
        <f t="shared" si="215"/>
        <v>-801.59560849362765</v>
      </c>
      <c r="X745" s="35">
        <f t="shared" si="214"/>
        <v>-187751.77859647968</v>
      </c>
      <c r="Y745" s="1">
        <f t="shared" si="218"/>
        <v>187563225.22227469</v>
      </c>
      <c r="AA745" s="2">
        <f>+Bono!J745</f>
        <v>1161936.3429287435</v>
      </c>
      <c r="AC745" s="10">
        <f t="shared" si="224"/>
        <v>60.166666666666664</v>
      </c>
      <c r="AD745" s="1">
        <f t="shared" si="225"/>
        <v>191695005.29583532</v>
      </c>
    </row>
    <row r="746" spans="2:30">
      <c r="B746" s="1">
        <f t="shared" si="219"/>
        <v>723</v>
      </c>
      <c r="C746" s="2">
        <f t="shared" si="226"/>
        <v>60</v>
      </c>
      <c r="D746" s="2">
        <f t="shared" si="227"/>
        <v>3</v>
      </c>
      <c r="E746" s="2">
        <f t="shared" si="228"/>
        <v>89</v>
      </c>
      <c r="F746" s="1">
        <f t="shared" si="220"/>
        <v>2969843.7306318912</v>
      </c>
      <c r="H746" s="1">
        <f t="shared" si="216"/>
        <v>23681.950959958143</v>
      </c>
      <c r="I746" s="1">
        <v>0</v>
      </c>
      <c r="J746" s="69">
        <f>-SUM(F746:H746)*$J$21</f>
        <v>-26941.731134326648</v>
      </c>
      <c r="K746" s="1">
        <f t="shared" si="221"/>
        <v>-2966.5839504575229</v>
      </c>
      <c r="L746" s="1">
        <f t="shared" si="217"/>
        <v>2963617.366507065</v>
      </c>
      <c r="N746" s="1">
        <f t="shared" si="222"/>
        <v>723</v>
      </c>
      <c r="O746" s="2">
        <f t="shared" si="229"/>
        <v>60</v>
      </c>
      <c r="P746" s="2">
        <f t="shared" si="230"/>
        <v>3</v>
      </c>
      <c r="Q746" s="2">
        <f t="shared" si="231"/>
        <v>60</v>
      </c>
      <c r="R746" s="1">
        <f t="shared" si="223"/>
        <v>187563225.22227469</v>
      </c>
      <c r="S746" s="4">
        <f>IF($G$4="mensual",S745,0)</f>
        <v>10000</v>
      </c>
      <c r="U746" s="1">
        <f t="shared" si="232"/>
        <v>1495735.2386248119</v>
      </c>
      <c r="V746" s="35">
        <f t="shared" si="215"/>
        <v>-801.59560849362765</v>
      </c>
      <c r="X746" s="35">
        <f t="shared" si="214"/>
        <v>-189068.96046089951</v>
      </c>
      <c r="Y746" s="1">
        <f t="shared" si="218"/>
        <v>188879089.9048301</v>
      </c>
      <c r="AA746" s="2">
        <f>+Bono!J746</f>
        <v>1158607.6858867505</v>
      </c>
      <c r="AC746" s="10">
        <f t="shared" si="224"/>
        <v>60.25</v>
      </c>
      <c r="AD746" s="1">
        <f t="shared" si="225"/>
        <v>193001314.95722389</v>
      </c>
    </row>
    <row r="747" spans="2:30">
      <c r="B747" s="1">
        <f t="shared" si="219"/>
        <v>724</v>
      </c>
      <c r="C747" s="2">
        <f t="shared" si="226"/>
        <v>60</v>
      </c>
      <c r="D747" s="2">
        <f t="shared" si="227"/>
        <v>4</v>
      </c>
      <c r="E747" s="2">
        <f t="shared" si="228"/>
        <v>89</v>
      </c>
      <c r="F747" s="1">
        <f t="shared" si="220"/>
        <v>2963617.366507065</v>
      </c>
      <c r="H747" s="1">
        <f t="shared" si="216"/>
        <v>23632.301058065292</v>
      </c>
      <c r="I747" s="1">
        <v>0</v>
      </c>
      <c r="J747" s="1">
        <v>0</v>
      </c>
      <c r="K747" s="1">
        <f t="shared" si="221"/>
        <v>-2987.24966756513</v>
      </c>
      <c r="L747" s="1">
        <f t="shared" si="217"/>
        <v>2984262.4178975648</v>
      </c>
      <c r="N747" s="1">
        <f t="shared" si="222"/>
        <v>724</v>
      </c>
      <c r="O747" s="2">
        <f t="shared" si="229"/>
        <v>60</v>
      </c>
      <c r="P747" s="2">
        <f t="shared" si="230"/>
        <v>4</v>
      </c>
      <c r="Q747" s="2">
        <f t="shared" si="231"/>
        <v>60</v>
      </c>
      <c r="R747" s="1">
        <f t="shared" si="223"/>
        <v>188879089.9048301</v>
      </c>
      <c r="S747" s="4">
        <f>IF($G$4="mensual",S744,IF($G$4="trimestral",S744,0))</f>
        <v>10000</v>
      </c>
      <c r="U747" s="1">
        <f t="shared" si="232"/>
        <v>1506228.1283889436</v>
      </c>
      <c r="V747" s="35">
        <f t="shared" si="215"/>
        <v>-801.59560849362765</v>
      </c>
      <c r="X747" s="35">
        <f t="shared" ref="X747:X755" si="233">-SUM(R747:U747)*0.1%</f>
        <v>-190395.31803321905</v>
      </c>
      <c r="Y747" s="1">
        <f t="shared" si="218"/>
        <v>190204121.11957732</v>
      </c>
      <c r="AA747" s="2">
        <f>+Bono!J747</f>
        <v>1165791.1879294217</v>
      </c>
      <c r="AC747" s="10">
        <f t="shared" si="224"/>
        <v>60.333333333333336</v>
      </c>
      <c r="AD747" s="1">
        <f t="shared" si="225"/>
        <v>194354174.72540429</v>
      </c>
    </row>
    <row r="748" spans="2:30">
      <c r="B748" s="1">
        <f t="shared" si="219"/>
        <v>725</v>
      </c>
      <c r="C748" s="2">
        <f t="shared" si="226"/>
        <v>60</v>
      </c>
      <c r="D748" s="2">
        <f t="shared" si="227"/>
        <v>5</v>
      </c>
      <c r="E748" s="2">
        <f t="shared" si="228"/>
        <v>89</v>
      </c>
      <c r="F748" s="1">
        <f t="shared" si="220"/>
        <v>2984262.4178975648</v>
      </c>
      <c r="H748" s="1">
        <f t="shared" si="216"/>
        <v>23796.927597015074</v>
      </c>
      <c r="I748" s="1">
        <v>0</v>
      </c>
      <c r="J748" s="1">
        <v>0</v>
      </c>
      <c r="K748" s="1">
        <f t="shared" si="221"/>
        <v>-3008.0593454945802</v>
      </c>
      <c r="L748" s="1">
        <f t="shared" si="217"/>
        <v>3005051.2861490855</v>
      </c>
      <c r="N748" s="1">
        <f t="shared" si="222"/>
        <v>725</v>
      </c>
      <c r="O748" s="2">
        <f t="shared" si="229"/>
        <v>60</v>
      </c>
      <c r="P748" s="2">
        <f t="shared" si="230"/>
        <v>5</v>
      </c>
      <c r="Q748" s="2">
        <f t="shared" si="231"/>
        <v>60</v>
      </c>
      <c r="R748" s="1">
        <f t="shared" si="223"/>
        <v>190204121.11957732</v>
      </c>
      <c r="S748" s="4">
        <f>IF($G$4="mensual",S747,0)</f>
        <v>10000</v>
      </c>
      <c r="U748" s="1">
        <f t="shared" si="232"/>
        <v>1516794.1133680188</v>
      </c>
      <c r="V748" s="35">
        <f t="shared" si="215"/>
        <v>-801.59560849362765</v>
      </c>
      <c r="X748" s="35">
        <f t="shared" si="233"/>
        <v>-191730.91523294532</v>
      </c>
      <c r="Y748" s="1">
        <f t="shared" si="218"/>
        <v>191538382.72210386</v>
      </c>
      <c r="AA748" s="2">
        <f>+Bono!J748</f>
        <v>1173019.2285179922</v>
      </c>
      <c r="AC748" s="10">
        <f t="shared" si="224"/>
        <v>60.416666666666664</v>
      </c>
      <c r="AD748" s="1">
        <f t="shared" si="225"/>
        <v>195716453.23677093</v>
      </c>
    </row>
    <row r="749" spans="2:30">
      <c r="B749" s="1">
        <f t="shared" si="219"/>
        <v>726</v>
      </c>
      <c r="C749" s="2">
        <f t="shared" si="226"/>
        <v>60</v>
      </c>
      <c r="D749" s="2">
        <f t="shared" si="227"/>
        <v>6</v>
      </c>
      <c r="E749" s="2">
        <f t="shared" si="228"/>
        <v>89</v>
      </c>
      <c r="F749" s="1">
        <f t="shared" si="220"/>
        <v>3005051.2861490855</v>
      </c>
      <c r="H749" s="1">
        <f t="shared" si="216"/>
        <v>23962.700951810679</v>
      </c>
      <c r="I749" s="1">
        <v>0</v>
      </c>
      <c r="J749" s="69">
        <f>-SUM(F749:H749)*$J$21</f>
        <v>-27261.125883908066</v>
      </c>
      <c r="K749" s="1">
        <f t="shared" si="221"/>
        <v>-3001.7528612169881</v>
      </c>
      <c r="L749" s="1">
        <f t="shared" si="217"/>
        <v>2998751.1083557708</v>
      </c>
      <c r="N749" s="1">
        <f t="shared" si="222"/>
        <v>726</v>
      </c>
      <c r="O749" s="2">
        <f t="shared" si="229"/>
        <v>60</v>
      </c>
      <c r="P749" s="2">
        <f t="shared" si="230"/>
        <v>6</v>
      </c>
      <c r="Q749" s="2">
        <f t="shared" si="231"/>
        <v>60</v>
      </c>
      <c r="R749" s="1">
        <f t="shared" si="223"/>
        <v>191538382.72210386</v>
      </c>
      <c r="S749" s="4">
        <f>IF($G$4="mensual",S748,0)</f>
        <v>10000</v>
      </c>
      <c r="U749" s="1">
        <f t="shared" si="232"/>
        <v>1527433.7027554596</v>
      </c>
      <c r="V749" s="35">
        <f t="shared" si="215"/>
        <v>-801.59560849362765</v>
      </c>
      <c r="X749" s="35">
        <f t="shared" si="233"/>
        <v>-193075.81642485931</v>
      </c>
      <c r="Y749" s="1">
        <f t="shared" si="218"/>
        <v>192881939.01282597</v>
      </c>
      <c r="AA749" s="2">
        <f>+Bono!J749</f>
        <v>1169658.8217804269</v>
      </c>
      <c r="AC749" s="10">
        <f t="shared" si="224"/>
        <v>60.5</v>
      </c>
      <c r="AD749" s="1">
        <f t="shared" si="225"/>
        <v>197050348.94296214</v>
      </c>
    </row>
    <row r="750" spans="2:30">
      <c r="B750" s="1">
        <f t="shared" si="219"/>
        <v>727</v>
      </c>
      <c r="C750" s="2">
        <f t="shared" si="226"/>
        <v>60</v>
      </c>
      <c r="D750" s="2">
        <f t="shared" si="227"/>
        <v>7</v>
      </c>
      <c r="E750" s="2">
        <f t="shared" si="228"/>
        <v>89</v>
      </c>
      <c r="F750" s="1">
        <f t="shared" si="220"/>
        <v>2998751.1083557708</v>
      </c>
      <c r="H750" s="1">
        <f t="shared" si="216"/>
        <v>23912.462449359726</v>
      </c>
      <c r="I750" s="1">
        <v>0</v>
      </c>
      <c r="J750" s="1">
        <v>0</v>
      </c>
      <c r="K750" s="1">
        <f t="shared" si="221"/>
        <v>-3022.6635708051308</v>
      </c>
      <c r="L750" s="1">
        <f t="shared" si="217"/>
        <v>3019640.9072343255</v>
      </c>
      <c r="N750" s="1">
        <f t="shared" si="222"/>
        <v>727</v>
      </c>
      <c r="O750" s="2">
        <f t="shared" si="229"/>
        <v>60</v>
      </c>
      <c r="P750" s="2">
        <f t="shared" si="230"/>
        <v>7</v>
      </c>
      <c r="Q750" s="2">
        <f t="shared" si="231"/>
        <v>60</v>
      </c>
      <c r="R750" s="1">
        <f t="shared" si="223"/>
        <v>192881939.01282597</v>
      </c>
      <c r="S750" s="1">
        <f>+IF($G$4="mensual",S744,IF($G$4="trimestral",S744,IF($G$4="semestral",S744,0)))</f>
        <v>10000</v>
      </c>
      <c r="U750" s="1">
        <f t="shared" si="232"/>
        <v>1538147.4092918148</v>
      </c>
      <c r="V750" s="35">
        <f t="shared" si="215"/>
        <v>-801.59560849362765</v>
      </c>
      <c r="X750" s="35">
        <f t="shared" si="233"/>
        <v>-194430.08642211778</v>
      </c>
      <c r="Y750" s="1">
        <f t="shared" si="218"/>
        <v>194234854.74008715</v>
      </c>
      <c r="AA750" s="2">
        <f>+Bono!J750</f>
        <v>1176910.8421474914</v>
      </c>
      <c r="AC750" s="10">
        <f t="shared" si="224"/>
        <v>60.583333333333336</v>
      </c>
      <c r="AD750" s="1">
        <f t="shared" si="225"/>
        <v>198431406.48946896</v>
      </c>
    </row>
    <row r="751" spans="2:30">
      <c r="B751" s="1">
        <f t="shared" si="219"/>
        <v>728</v>
      </c>
      <c r="C751" s="2">
        <f t="shared" si="226"/>
        <v>60</v>
      </c>
      <c r="D751" s="2">
        <f t="shared" si="227"/>
        <v>8</v>
      </c>
      <c r="E751" s="2">
        <f t="shared" si="228"/>
        <v>89</v>
      </c>
      <c r="F751" s="1">
        <f t="shared" si="220"/>
        <v>3019640.9072343255</v>
      </c>
      <c r="H751" s="1">
        <f t="shared" si="216"/>
        <v>24079.040639148876</v>
      </c>
      <c r="I751" s="1">
        <v>0</v>
      </c>
      <c r="J751" s="1">
        <v>0</v>
      </c>
      <c r="K751" s="1">
        <f t="shared" si="221"/>
        <v>-3043.7199478734747</v>
      </c>
      <c r="L751" s="1">
        <f t="shared" si="217"/>
        <v>3040676.2279256009</v>
      </c>
      <c r="N751" s="1">
        <f t="shared" si="222"/>
        <v>728</v>
      </c>
      <c r="O751" s="2">
        <f t="shared" si="229"/>
        <v>60</v>
      </c>
      <c r="P751" s="2">
        <f t="shared" si="230"/>
        <v>8</v>
      </c>
      <c r="Q751" s="2">
        <f t="shared" si="231"/>
        <v>60</v>
      </c>
      <c r="R751" s="1">
        <f t="shared" si="223"/>
        <v>194234854.74008715</v>
      </c>
      <c r="S751" s="4">
        <f>IF($G$4="mensual",S750,0)</f>
        <v>10000</v>
      </c>
      <c r="U751" s="1">
        <f t="shared" si="232"/>
        <v>1548935.7492894679</v>
      </c>
      <c r="V751" s="35">
        <f t="shared" si="215"/>
        <v>-801.59560849362765</v>
      </c>
      <c r="X751" s="35">
        <f t="shared" si="233"/>
        <v>-195793.79048937661</v>
      </c>
      <c r="Y751" s="1">
        <f t="shared" si="218"/>
        <v>195597195.10327873</v>
      </c>
      <c r="AA751" s="2">
        <f>+Bono!J751</f>
        <v>1184207.8258820141</v>
      </c>
      <c r="AC751" s="10">
        <f t="shared" si="224"/>
        <v>60.666666666666664</v>
      </c>
      <c r="AD751" s="1">
        <f t="shared" si="225"/>
        <v>199822079.15708634</v>
      </c>
    </row>
    <row r="752" spans="2:30">
      <c r="B752" s="1">
        <f t="shared" si="219"/>
        <v>729</v>
      </c>
      <c r="C752" s="2">
        <f t="shared" si="226"/>
        <v>60</v>
      </c>
      <c r="D752" s="2">
        <f t="shared" si="227"/>
        <v>9</v>
      </c>
      <c r="E752" s="2">
        <f t="shared" si="228"/>
        <v>89</v>
      </c>
      <c r="F752" s="1">
        <f t="shared" si="220"/>
        <v>3040676.2279256009</v>
      </c>
      <c r="H752" s="1">
        <f t="shared" si="216"/>
        <v>24246.779240308133</v>
      </c>
      <c r="I752" s="1">
        <v>0</v>
      </c>
      <c r="J752" s="69">
        <f>-SUM(F752:H752)*$J$21</f>
        <v>-27584.307064493187</v>
      </c>
      <c r="K752" s="1">
        <f t="shared" si="221"/>
        <v>-3037.3387001014162</v>
      </c>
      <c r="L752" s="1">
        <f t="shared" si="217"/>
        <v>3034301.3614013148</v>
      </c>
      <c r="N752" s="1">
        <f t="shared" si="222"/>
        <v>729</v>
      </c>
      <c r="O752" s="2">
        <f t="shared" si="229"/>
        <v>60</v>
      </c>
      <c r="P752" s="2">
        <f t="shared" si="230"/>
        <v>9</v>
      </c>
      <c r="Q752" s="2">
        <f t="shared" si="231"/>
        <v>60</v>
      </c>
      <c r="R752" s="1">
        <f t="shared" si="223"/>
        <v>195597195.10327873</v>
      </c>
      <c r="S752" s="4">
        <f>IF($G$4="mensual",S751,0)</f>
        <v>10000</v>
      </c>
      <c r="U752" s="1">
        <f t="shared" si="232"/>
        <v>1559799.2426575213</v>
      </c>
      <c r="V752" s="35">
        <f t="shared" si="215"/>
        <v>-801.59560849362765</v>
      </c>
      <c r="X752" s="35">
        <f t="shared" si="233"/>
        <v>-197166.99434593625</v>
      </c>
      <c r="Y752" s="1">
        <f t="shared" si="218"/>
        <v>196969025.7559818</v>
      </c>
      <c r="AA752" s="2">
        <f>+Bono!J752</f>
        <v>1180815.3666110788</v>
      </c>
      <c r="AC752" s="10">
        <f t="shared" si="224"/>
        <v>60.75</v>
      </c>
      <c r="AD752" s="1">
        <f t="shared" si="225"/>
        <v>201184142.48399422</v>
      </c>
    </row>
    <row r="753" spans="2:30">
      <c r="B753" s="1">
        <f t="shared" si="219"/>
        <v>730</v>
      </c>
      <c r="C753" s="2">
        <f t="shared" si="226"/>
        <v>60</v>
      </c>
      <c r="D753" s="2">
        <f t="shared" si="227"/>
        <v>10</v>
      </c>
      <c r="E753" s="2">
        <f t="shared" si="228"/>
        <v>89</v>
      </c>
      <c r="F753" s="1">
        <f t="shared" si="220"/>
        <v>3034301.3614013148</v>
      </c>
      <c r="H753" s="1">
        <f t="shared" si="216"/>
        <v>24195.945159427956</v>
      </c>
      <c r="I753" s="1">
        <v>0</v>
      </c>
      <c r="J753" s="1">
        <v>0</v>
      </c>
      <c r="K753" s="1">
        <f t="shared" si="221"/>
        <v>-3058.4973065607428</v>
      </c>
      <c r="L753" s="1">
        <f t="shared" si="217"/>
        <v>3055438.809254182</v>
      </c>
      <c r="N753" s="1">
        <f t="shared" si="222"/>
        <v>730</v>
      </c>
      <c r="O753" s="2">
        <f t="shared" si="229"/>
        <v>60</v>
      </c>
      <c r="P753" s="2">
        <f t="shared" si="230"/>
        <v>10</v>
      </c>
      <c r="Q753" s="2">
        <f t="shared" si="231"/>
        <v>60</v>
      </c>
      <c r="R753" s="1">
        <f t="shared" si="223"/>
        <v>196969025.7559818</v>
      </c>
      <c r="S753" s="4">
        <f>IF($G$4="mensual",S744,IF($G$4="trimestral",S744,0))</f>
        <v>10000</v>
      </c>
      <c r="U753" s="1">
        <f t="shared" si="232"/>
        <v>1570738.4129268504</v>
      </c>
      <c r="V753" s="35">
        <f>V752</f>
        <v>-801.59560849362765</v>
      </c>
      <c r="X753" s="35">
        <f t="shared" si="233"/>
        <v>-198549.76416890867</v>
      </c>
      <c r="Y753" s="1">
        <f t="shared" si="218"/>
        <v>198350412.80913123</v>
      </c>
      <c r="AA753" s="2">
        <f>+Bono!J753</f>
        <v>1188136.5588501724</v>
      </c>
      <c r="AC753" s="10">
        <f t="shared" si="224"/>
        <v>60.833333333333336</v>
      </c>
      <c r="AD753" s="1">
        <f t="shared" si="225"/>
        <v>202593988.17723557</v>
      </c>
    </row>
    <row r="754" spans="2:30">
      <c r="B754" s="1">
        <f t="shared" si="219"/>
        <v>731</v>
      </c>
      <c r="C754" s="2">
        <f t="shared" si="226"/>
        <v>60</v>
      </c>
      <c r="D754" s="2">
        <f t="shared" si="227"/>
        <v>11</v>
      </c>
      <c r="E754" s="2">
        <f t="shared" si="228"/>
        <v>89</v>
      </c>
      <c r="F754" s="1">
        <f t="shared" si="220"/>
        <v>3055438.809254182</v>
      </c>
      <c r="H754" s="1">
        <f t="shared" si="216"/>
        <v>24364.49813691535</v>
      </c>
      <c r="I754" s="1">
        <v>0</v>
      </c>
      <c r="J754" s="1">
        <v>0</v>
      </c>
      <c r="K754" s="1">
        <f t="shared" si="221"/>
        <v>-3079.8033073910974</v>
      </c>
      <c r="L754" s="1">
        <f t="shared" si="217"/>
        <v>3076723.5040837061</v>
      </c>
      <c r="N754" s="1">
        <f t="shared" si="222"/>
        <v>731</v>
      </c>
      <c r="O754" s="2">
        <f t="shared" si="229"/>
        <v>60</v>
      </c>
      <c r="P754" s="2">
        <f t="shared" si="230"/>
        <v>11</v>
      </c>
      <c r="Q754" s="2">
        <f t="shared" si="231"/>
        <v>60</v>
      </c>
      <c r="R754" s="1">
        <f t="shared" si="223"/>
        <v>198350412.80913123</v>
      </c>
      <c r="S754" s="1">
        <f>IF($G$17="si",S742*(1+$G$20),S742)</f>
        <v>10000</v>
      </c>
      <c r="U754" s="1">
        <f t="shared" si="232"/>
        <v>1581753.7872753334</v>
      </c>
      <c r="V754" s="35">
        <f>V753</f>
        <v>-801.59560849362765</v>
      </c>
      <c r="X754" s="35">
        <f t="shared" si="233"/>
        <v>-199942.16659640658</v>
      </c>
      <c r="Y754" s="1">
        <f t="shared" si="218"/>
        <v>199741422.83420166</v>
      </c>
      <c r="AA754" s="2">
        <f>+Bono!J754</f>
        <v>1195503.143330354</v>
      </c>
      <c r="AC754" s="10">
        <f t="shared" si="224"/>
        <v>60.916666666666664</v>
      </c>
      <c r="AD754" s="1">
        <f t="shared" si="225"/>
        <v>204013649.48161572</v>
      </c>
    </row>
    <row r="755" spans="2:30">
      <c r="B755" s="1">
        <f t="shared" si="219"/>
        <v>732</v>
      </c>
      <c r="C755" s="2">
        <f t="shared" si="226"/>
        <v>60</v>
      </c>
      <c r="D755" s="2">
        <f t="shared" si="227"/>
        <v>12</v>
      </c>
      <c r="E755" s="2">
        <f t="shared" si="228"/>
        <v>89</v>
      </c>
      <c r="F755" s="1">
        <f t="shared" si="220"/>
        <v>3076723.5040837061</v>
      </c>
      <c r="H755" s="1">
        <f t="shared" si="216"/>
        <v>24534.225282472336</v>
      </c>
      <c r="I755" s="1">
        <v>0</v>
      </c>
      <c r="J755" s="69">
        <f>-SUM(F755:H755)*$J$21</f>
        <v>-27911.319564295613</v>
      </c>
      <c r="K755" s="1">
        <f t="shared" si="221"/>
        <v>-3073.3464098018831</v>
      </c>
      <c r="L755" s="1">
        <f t="shared" si="217"/>
        <v>3070273.0633920813</v>
      </c>
      <c r="N755" s="1">
        <f t="shared" si="222"/>
        <v>732</v>
      </c>
      <c r="O755" s="2">
        <f t="shared" si="229"/>
        <v>60</v>
      </c>
      <c r="P755" s="2">
        <f t="shared" si="230"/>
        <v>12</v>
      </c>
      <c r="Q755" s="2">
        <f t="shared" si="231"/>
        <v>60</v>
      </c>
      <c r="R755" s="1">
        <f t="shared" si="223"/>
        <v>199741422.83420166</v>
      </c>
      <c r="S755" s="4">
        <f>IF($G$4="mensual",S754,0)</f>
        <v>10000</v>
      </c>
      <c r="U755" s="1">
        <f t="shared" si="232"/>
        <v>1592845.8965532579</v>
      </c>
      <c r="V755" s="35">
        <f>V754</f>
        <v>-801.59560849362765</v>
      </c>
      <c r="X755" s="35">
        <f t="shared" si="233"/>
        <v>-201344.26873075491</v>
      </c>
      <c r="Y755" s="1">
        <f t="shared" si="218"/>
        <v>201142122.86641565</v>
      </c>
      <c r="AA755" s="2">
        <f>+Bono!J755</f>
        <v>1192078.3257996957</v>
      </c>
      <c r="AC755" s="10">
        <f t="shared" si="224"/>
        <v>61</v>
      </c>
      <c r="AD755" s="1">
        <f t="shared" si="225"/>
        <v>205404474.25560743</v>
      </c>
    </row>
  </sheetData>
  <sheetProtection password="FDA0" sheet="1" objects="1" scenarios="1" selectLockedCells="1"/>
  <mergeCells count="4">
    <mergeCell ref="C22:L22"/>
    <mergeCell ref="O22:Y22"/>
    <mergeCell ref="AK32:AZ41"/>
    <mergeCell ref="AK42:BA46"/>
  </mergeCells>
  <phoneticPr fontId="0" type="noConversion"/>
  <pageMargins left="0.75" right="0.75" top="1" bottom="1" header="0" footer="0"/>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BA755"/>
  <sheetViews>
    <sheetView topLeftCell="A14" workbookViewId="0">
      <selection activeCell="J21" sqref="J21"/>
    </sheetView>
  </sheetViews>
  <sheetFormatPr baseColWidth="10" defaultRowHeight="11.25"/>
  <cols>
    <col min="1" max="1" width="11.42578125" style="1"/>
    <col min="2" max="2" width="4" style="1" bestFit="1" customWidth="1"/>
    <col min="3" max="5" width="7" style="2" customWidth="1"/>
    <col min="6" max="8" width="11.42578125" style="1"/>
    <col min="9" max="9" width="14.7109375" style="1" customWidth="1"/>
    <col min="10" max="10" width="15" style="1" bestFit="1" customWidth="1"/>
    <col min="11" max="13" width="11.42578125" style="1"/>
    <col min="14" max="14" width="4" style="1" bestFit="1" customWidth="1"/>
    <col min="15" max="15" width="11.42578125" style="7"/>
    <col min="16" max="17" width="11.42578125" style="1"/>
    <col min="18" max="18" width="12" style="1" bestFit="1" customWidth="1"/>
    <col min="19" max="21" width="11.42578125" style="1"/>
    <col min="22" max="22" width="11.42578125" style="35"/>
    <col min="23" max="23" width="11.42578125" style="1"/>
    <col min="24" max="24" width="11.42578125" style="35"/>
    <col min="25" max="26" width="11.42578125" style="1"/>
    <col min="27" max="28" width="11.42578125" style="2"/>
    <col min="29" max="29" width="11.42578125" style="1"/>
    <col min="30" max="30" width="13" style="1" bestFit="1" customWidth="1"/>
    <col min="31" max="33" width="11.42578125" style="1"/>
    <col min="34" max="34" width="12.28515625" style="1" customWidth="1"/>
    <col min="35" max="35" width="13.85546875" style="1" customWidth="1"/>
    <col min="36" max="16384" width="11.42578125" style="1"/>
  </cols>
  <sheetData>
    <row r="1" spans="1:28" s="4" customFormat="1">
      <c r="A1" s="69"/>
      <c r="B1" s="69"/>
      <c r="C1" s="70"/>
      <c r="D1" s="70"/>
      <c r="E1" s="70"/>
      <c r="F1" s="69"/>
      <c r="G1" s="69"/>
      <c r="H1" s="69"/>
      <c r="I1" s="69"/>
      <c r="J1" s="69"/>
      <c r="K1" s="69"/>
      <c r="L1" s="69"/>
      <c r="V1" s="65"/>
      <c r="X1" s="65"/>
      <c r="AA1" s="64"/>
      <c r="AB1" s="64"/>
    </row>
    <row r="2" spans="1:28" s="4" customFormat="1">
      <c r="A2" s="69"/>
      <c r="B2" s="69"/>
      <c r="C2" s="70"/>
      <c r="D2" s="70"/>
      <c r="E2" s="70"/>
      <c r="F2" s="69" t="s">
        <v>3</v>
      </c>
      <c r="G2" s="71">
        <f>+'OptiMaxx plus'!T7</f>
        <v>29</v>
      </c>
      <c r="H2" s="69"/>
      <c r="I2" s="78" t="s">
        <v>12</v>
      </c>
      <c r="J2" s="79" t="s">
        <v>76</v>
      </c>
      <c r="K2" s="69"/>
      <c r="L2" s="69"/>
      <c r="V2" s="65"/>
      <c r="X2" s="65"/>
      <c r="AA2" s="64"/>
      <c r="AB2" s="64"/>
    </row>
    <row r="3" spans="1:28" s="4" customFormat="1">
      <c r="A3" s="69"/>
      <c r="B3" s="69"/>
      <c r="C3" s="70"/>
      <c r="D3" s="70"/>
      <c r="E3" s="70"/>
      <c r="F3" s="69" t="s">
        <v>5</v>
      </c>
      <c r="G3" s="71">
        <f>+'OptiMaxx plus'!D12</f>
        <v>10000</v>
      </c>
      <c r="H3" s="69"/>
      <c r="I3" s="69" t="s">
        <v>26</v>
      </c>
      <c r="J3" s="72">
        <v>0.06</v>
      </c>
      <c r="K3" s="73">
        <f>+J3</f>
        <v>0.06</v>
      </c>
      <c r="L3" s="74">
        <f>+'OptiMaxx plus'!F21</f>
        <v>0</v>
      </c>
      <c r="V3" s="65"/>
      <c r="X3" s="65"/>
      <c r="AA3" s="64"/>
      <c r="AB3" s="64"/>
    </row>
    <row r="4" spans="1:28" s="4" customFormat="1">
      <c r="A4" s="69"/>
      <c r="B4" s="69"/>
      <c r="C4" s="70"/>
      <c r="D4" s="70"/>
      <c r="E4" s="70"/>
      <c r="F4" s="69" t="s">
        <v>11</v>
      </c>
      <c r="G4" s="71" t="str">
        <f>+'OptiMaxx plus'!K12</f>
        <v>Mensual</v>
      </c>
      <c r="H4" s="69"/>
      <c r="I4" s="69" t="s">
        <v>77</v>
      </c>
      <c r="J4" s="72">
        <v>0.09</v>
      </c>
      <c r="K4" s="73">
        <f t="shared" ref="K4:K17" si="0">+J4</f>
        <v>0.09</v>
      </c>
      <c r="L4" s="74">
        <f>+'OptiMaxx plus'!J21</f>
        <v>0</v>
      </c>
      <c r="V4" s="65"/>
      <c r="X4" s="65"/>
      <c r="AA4" s="64"/>
      <c r="AB4" s="64"/>
    </row>
    <row r="5" spans="1:28" s="4" customFormat="1">
      <c r="A5" s="69"/>
      <c r="B5" s="69"/>
      <c r="C5" s="70"/>
      <c r="D5" s="70"/>
      <c r="E5" s="70"/>
      <c r="F5" s="69" t="s">
        <v>1</v>
      </c>
      <c r="G5" s="71">
        <f>+'OptiMaxx plus'!D15</f>
        <v>25</v>
      </c>
      <c r="H5" s="69"/>
      <c r="I5" s="69" t="s">
        <v>29</v>
      </c>
      <c r="J5" s="72">
        <v>0.12</v>
      </c>
      <c r="K5" s="73">
        <f t="shared" si="0"/>
        <v>0.12</v>
      </c>
      <c r="L5" s="74">
        <f>+'OptiMaxx plus'!N21</f>
        <v>0</v>
      </c>
      <c r="V5" s="65"/>
      <c r="X5" s="65"/>
      <c r="AA5" s="64"/>
      <c r="AB5" s="64"/>
    </row>
    <row r="6" spans="1:28" s="4" customFormat="1">
      <c r="A6" s="69"/>
      <c r="B6" s="69"/>
      <c r="C6" s="70"/>
      <c r="D6" s="70"/>
      <c r="E6" s="70"/>
      <c r="F6" s="69" t="s">
        <v>12</v>
      </c>
      <c r="G6" s="71">
        <f>L20</f>
        <v>0.1</v>
      </c>
      <c r="H6" s="69"/>
      <c r="I6" s="69" t="s">
        <v>27</v>
      </c>
      <c r="J6" s="72">
        <v>0.03</v>
      </c>
      <c r="K6" s="73">
        <f t="shared" si="0"/>
        <v>0.03</v>
      </c>
      <c r="L6" s="74">
        <f>+'OptiMaxx plus'!F22</f>
        <v>0</v>
      </c>
      <c r="V6" s="65"/>
      <c r="X6" s="65"/>
      <c r="AA6" s="64"/>
      <c r="AB6" s="64"/>
    </row>
    <row r="7" spans="1:28" s="4" customFormat="1">
      <c r="A7" s="69"/>
      <c r="B7" s="69"/>
      <c r="C7" s="70"/>
      <c r="D7" s="70"/>
      <c r="E7" s="70"/>
      <c r="F7" s="69" t="s">
        <v>13</v>
      </c>
      <c r="G7" s="75">
        <f>+L20</f>
        <v>0.1</v>
      </c>
      <c r="H7" s="69"/>
      <c r="I7" s="69" t="s">
        <v>78</v>
      </c>
      <c r="J7" s="72">
        <v>0.06</v>
      </c>
      <c r="K7" s="73">
        <f t="shared" si="0"/>
        <v>0.06</v>
      </c>
      <c r="L7" s="74">
        <f>+'OptiMaxx plus'!J22</f>
        <v>0</v>
      </c>
      <c r="V7" s="65"/>
      <c r="X7" s="65"/>
      <c r="AA7" s="64"/>
      <c r="AB7" s="64"/>
    </row>
    <row r="8" spans="1:28" s="4" customFormat="1">
      <c r="A8" s="69"/>
      <c r="B8" s="69"/>
      <c r="C8" s="70"/>
      <c r="D8" s="70"/>
      <c r="E8" s="70"/>
      <c r="F8" s="69" t="s">
        <v>14</v>
      </c>
      <c r="G8" s="75">
        <f>(1+G7)^(1/12)-1</f>
        <v>7.9741404289037643E-3</v>
      </c>
      <c r="H8" s="69"/>
      <c r="I8" s="69" t="s">
        <v>30</v>
      </c>
      <c r="J8" s="72">
        <v>0.1</v>
      </c>
      <c r="K8" s="73">
        <f t="shared" si="0"/>
        <v>0.1</v>
      </c>
      <c r="L8" s="74">
        <f>+'OptiMaxx plus'!N22</f>
        <v>1</v>
      </c>
      <c r="V8" s="65"/>
      <c r="X8" s="65"/>
      <c r="AA8" s="64"/>
      <c r="AB8" s="64"/>
    </row>
    <row r="9" spans="1:28" s="4" customFormat="1">
      <c r="A9" s="69"/>
      <c r="B9" s="69"/>
      <c r="C9" s="70"/>
      <c r="D9" s="70"/>
      <c r="E9" s="70"/>
      <c r="F9" s="69" t="s">
        <v>15</v>
      </c>
      <c r="G9" s="76">
        <f>+Bono!F9</f>
        <v>1</v>
      </c>
      <c r="H9" s="69"/>
      <c r="I9" s="69" t="s">
        <v>28</v>
      </c>
      <c r="J9" s="72">
        <v>0.03</v>
      </c>
      <c r="K9" s="73">
        <f t="shared" si="0"/>
        <v>0.03</v>
      </c>
      <c r="L9" s="74">
        <f>+'OptiMaxx plus'!F23</f>
        <v>0</v>
      </c>
      <c r="V9" s="65"/>
      <c r="X9" s="65"/>
      <c r="AA9" s="64"/>
      <c r="AB9" s="64"/>
    </row>
    <row r="10" spans="1:28" s="4" customFormat="1">
      <c r="A10" s="69"/>
      <c r="B10" s="69"/>
      <c r="C10" s="70"/>
      <c r="D10" s="70"/>
      <c r="E10" s="70"/>
      <c r="F10" s="69"/>
      <c r="G10" s="76"/>
      <c r="H10" s="69"/>
      <c r="I10" s="69" t="s">
        <v>79</v>
      </c>
      <c r="J10" s="72">
        <v>0.06</v>
      </c>
      <c r="K10" s="73">
        <f t="shared" si="0"/>
        <v>0.06</v>
      </c>
      <c r="L10" s="74">
        <f>+'OptiMaxx plus'!J23</f>
        <v>0</v>
      </c>
      <c r="V10" s="65"/>
      <c r="X10" s="65"/>
      <c r="AA10" s="64"/>
      <c r="AB10" s="64"/>
    </row>
    <row r="11" spans="1:28" s="4" customFormat="1">
      <c r="A11" s="69"/>
      <c r="B11" s="69"/>
      <c r="C11" s="70"/>
      <c r="D11" s="70"/>
      <c r="E11" s="70"/>
      <c r="F11" s="69"/>
      <c r="G11" s="76"/>
      <c r="H11" s="69"/>
      <c r="I11" s="69" t="s">
        <v>31</v>
      </c>
      <c r="J11" s="72">
        <v>0.09</v>
      </c>
      <c r="K11" s="73">
        <f t="shared" si="0"/>
        <v>0.09</v>
      </c>
      <c r="L11" s="74">
        <f>+'OptiMaxx plus'!N23</f>
        <v>0</v>
      </c>
      <c r="V11" s="65"/>
      <c r="X11" s="65"/>
      <c r="AA11" s="64"/>
      <c r="AB11" s="64"/>
    </row>
    <row r="12" spans="1:28" s="4" customFormat="1">
      <c r="A12" s="69"/>
      <c r="B12" s="69"/>
      <c r="C12" s="70"/>
      <c r="D12" s="70"/>
      <c r="E12" s="70"/>
      <c r="F12" s="69"/>
      <c r="G12" s="76"/>
      <c r="H12" s="69"/>
      <c r="I12" s="69" t="s">
        <v>32</v>
      </c>
      <c r="J12" s="72">
        <v>0.08</v>
      </c>
      <c r="K12" s="73">
        <f t="shared" si="0"/>
        <v>0.08</v>
      </c>
      <c r="L12" s="74">
        <f>+'OptiMaxx plus'!F25</f>
        <v>0</v>
      </c>
      <c r="V12" s="65"/>
      <c r="X12" s="65"/>
      <c r="AA12" s="64"/>
      <c r="AB12" s="64"/>
    </row>
    <row r="13" spans="1:28" s="4" customFormat="1">
      <c r="A13" s="69"/>
      <c r="B13" s="69"/>
      <c r="C13" s="70"/>
      <c r="D13" s="70"/>
      <c r="E13" s="70"/>
      <c r="F13" s="69"/>
      <c r="G13" s="76"/>
      <c r="H13" s="69"/>
      <c r="I13" s="69" t="s">
        <v>36</v>
      </c>
      <c r="J13" s="72">
        <v>0.12</v>
      </c>
      <c r="K13" s="73">
        <f t="shared" si="0"/>
        <v>0.12</v>
      </c>
      <c r="L13" s="74">
        <f>+'OptiMaxx plus'!F27</f>
        <v>0</v>
      </c>
      <c r="V13" s="65"/>
      <c r="X13" s="65"/>
      <c r="AA13" s="64"/>
      <c r="AB13" s="64"/>
    </row>
    <row r="14" spans="1:28" s="4" customFormat="1">
      <c r="A14" s="69"/>
      <c r="B14" s="69"/>
      <c r="C14" s="70"/>
      <c r="D14" s="70"/>
      <c r="E14" s="70"/>
      <c r="F14" s="69"/>
      <c r="G14" s="76"/>
      <c r="H14" s="69"/>
      <c r="I14" s="69" t="s">
        <v>33</v>
      </c>
      <c r="J14" s="72">
        <v>0.12</v>
      </c>
      <c r="K14" s="73">
        <f t="shared" si="0"/>
        <v>0.12</v>
      </c>
      <c r="L14" s="74">
        <f>+'OptiMaxx plus'!N25</f>
        <v>0</v>
      </c>
      <c r="V14" s="65"/>
      <c r="X14" s="65"/>
      <c r="AA14" s="64"/>
      <c r="AB14" s="64"/>
    </row>
    <row r="15" spans="1:28" s="4" customFormat="1">
      <c r="A15" s="69"/>
      <c r="B15" s="69"/>
      <c r="C15" s="70"/>
      <c r="D15" s="70"/>
      <c r="E15" s="70"/>
      <c r="F15" s="69"/>
      <c r="G15" s="76"/>
      <c r="H15" s="69"/>
      <c r="I15" s="69" t="s">
        <v>34</v>
      </c>
      <c r="J15" s="72">
        <v>0.12</v>
      </c>
      <c r="K15" s="73">
        <f t="shared" si="0"/>
        <v>0.12</v>
      </c>
      <c r="L15" s="74">
        <f>+'OptiMaxx plus'!F26</f>
        <v>0</v>
      </c>
      <c r="V15" s="65"/>
      <c r="X15" s="65"/>
      <c r="AA15" s="64"/>
      <c r="AB15" s="64"/>
    </row>
    <row r="16" spans="1:28" s="4" customFormat="1">
      <c r="A16" s="69"/>
      <c r="B16" s="69"/>
      <c r="C16" s="70"/>
      <c r="D16" s="70"/>
      <c r="E16" s="70"/>
      <c r="F16" s="69"/>
      <c r="G16" s="76"/>
      <c r="H16" s="69"/>
      <c r="I16" s="69" t="s">
        <v>35</v>
      </c>
      <c r="J16" s="72">
        <v>0.05</v>
      </c>
      <c r="K16" s="73">
        <f t="shared" si="0"/>
        <v>0.05</v>
      </c>
      <c r="L16" s="74">
        <f>+'OptiMaxx plus'!N27</f>
        <v>0</v>
      </c>
      <c r="V16" s="65"/>
      <c r="X16" s="65"/>
      <c r="AA16" s="64"/>
      <c r="AB16" s="64"/>
    </row>
    <row r="17" spans="1:53" s="4" customFormat="1">
      <c r="A17" s="69"/>
      <c r="B17" s="69"/>
      <c r="C17" s="70"/>
      <c r="D17" s="70"/>
      <c r="E17" s="70"/>
      <c r="F17" s="69" t="s">
        <v>20</v>
      </c>
      <c r="G17" s="71" t="str">
        <f>+'OptiMaxx plus'!K15</f>
        <v>No</v>
      </c>
      <c r="H17" s="69"/>
      <c r="I17" s="69" t="s">
        <v>83</v>
      </c>
      <c r="J17" s="72">
        <v>0.12</v>
      </c>
      <c r="K17" s="73">
        <f t="shared" si="0"/>
        <v>0.12</v>
      </c>
      <c r="L17" s="74">
        <f>+'OptiMaxx plus'!N26</f>
        <v>0</v>
      </c>
      <c r="V17" s="65"/>
      <c r="X17" s="65"/>
      <c r="AA17" s="64"/>
      <c r="AB17" s="64"/>
    </row>
    <row r="18" spans="1:53" s="4" customFormat="1">
      <c r="A18" s="69"/>
      <c r="B18" s="69"/>
      <c r="C18" s="70"/>
      <c r="D18" s="70"/>
      <c r="E18" s="70"/>
      <c r="F18" s="69" t="s">
        <v>21</v>
      </c>
      <c r="G18" s="76">
        <v>0.04</v>
      </c>
      <c r="H18" s="69"/>
      <c r="I18" s="69"/>
      <c r="J18" s="72"/>
      <c r="K18" s="69"/>
      <c r="L18" s="69"/>
      <c r="V18" s="65"/>
      <c r="X18" s="65"/>
      <c r="AA18" s="64"/>
      <c r="AB18" s="64"/>
    </row>
    <row r="19" spans="1:53" s="4" customFormat="1">
      <c r="A19" s="69"/>
      <c r="B19" s="69"/>
      <c r="C19" s="70"/>
      <c r="D19" s="70"/>
      <c r="E19" s="70"/>
      <c r="F19" s="69" t="s">
        <v>23</v>
      </c>
      <c r="G19" s="77">
        <v>5.08</v>
      </c>
      <c r="H19" s="69"/>
      <c r="I19" s="69"/>
      <c r="J19" s="72"/>
      <c r="K19" s="69"/>
      <c r="L19" s="69"/>
      <c r="V19" s="65"/>
      <c r="X19" s="65"/>
      <c r="AA19" s="64"/>
      <c r="AB19" s="64"/>
    </row>
    <row r="20" spans="1:53" s="4" customFormat="1">
      <c r="A20" s="69"/>
      <c r="B20" s="69"/>
      <c r="C20" s="70"/>
      <c r="D20" s="70"/>
      <c r="E20" s="70"/>
      <c r="F20" s="69"/>
      <c r="G20" s="76">
        <f>+G18</f>
        <v>0.04</v>
      </c>
      <c r="H20" s="69"/>
      <c r="I20" s="78" t="s">
        <v>80</v>
      </c>
      <c r="J20" s="80"/>
      <c r="K20" s="78"/>
      <c r="L20" s="81">
        <f>SUMPRODUCT(L3:L17,J3:J17)</f>
        <v>0.1</v>
      </c>
      <c r="V20" s="65"/>
      <c r="X20" s="65"/>
      <c r="AA20" s="64"/>
      <c r="AB20" s="64"/>
    </row>
    <row r="21" spans="1:53">
      <c r="J21" s="313">
        <f>3.6%/4</f>
        <v>9.0000000000000011E-3</v>
      </c>
      <c r="O21" s="1"/>
    </row>
    <row r="22" spans="1:53">
      <c r="C22" s="524" t="s">
        <v>84</v>
      </c>
      <c r="D22" s="524"/>
      <c r="E22" s="524"/>
      <c r="F22" s="524"/>
      <c r="G22" s="524"/>
      <c r="H22" s="524"/>
      <c r="I22" s="524"/>
      <c r="J22" s="524"/>
      <c r="K22" s="524"/>
      <c r="L22" s="524"/>
      <c r="O22" s="524" t="s">
        <v>85</v>
      </c>
      <c r="P22" s="524"/>
      <c r="Q22" s="524"/>
      <c r="R22" s="524"/>
      <c r="S22" s="524"/>
      <c r="T22" s="524"/>
      <c r="U22" s="524"/>
      <c r="V22" s="524"/>
      <c r="W22" s="524"/>
      <c r="X22" s="524"/>
      <c r="Y22" s="524"/>
      <c r="AA22" s="38" t="s">
        <v>6</v>
      </c>
      <c r="AB22" s="9"/>
    </row>
    <row r="23" spans="1:53" ht="36.75" customHeight="1">
      <c r="C23" s="3" t="s">
        <v>0</v>
      </c>
      <c r="D23" s="3" t="s">
        <v>2</v>
      </c>
      <c r="E23" s="3" t="s">
        <v>3</v>
      </c>
      <c r="F23" s="3" t="s">
        <v>4</v>
      </c>
      <c r="G23" s="3" t="s">
        <v>5</v>
      </c>
      <c r="H23" s="3" t="s">
        <v>7</v>
      </c>
      <c r="I23" s="3" t="s">
        <v>8</v>
      </c>
      <c r="J23" s="3" t="s">
        <v>9</v>
      </c>
      <c r="K23" s="3" t="s">
        <v>10</v>
      </c>
      <c r="L23" s="3" t="s">
        <v>22</v>
      </c>
      <c r="O23" s="3" t="s">
        <v>0</v>
      </c>
      <c r="P23" s="3" t="s">
        <v>2</v>
      </c>
      <c r="Q23" s="3" t="s">
        <v>3</v>
      </c>
      <c r="R23" s="3" t="s">
        <v>4</v>
      </c>
      <c r="S23" s="3" t="s">
        <v>5</v>
      </c>
      <c r="T23" s="3" t="s">
        <v>6</v>
      </c>
      <c r="U23" s="3" t="s">
        <v>7</v>
      </c>
      <c r="V23" s="36" t="s">
        <v>8</v>
      </c>
      <c r="W23" s="3" t="s">
        <v>9</v>
      </c>
      <c r="X23" s="36" t="s">
        <v>10</v>
      </c>
      <c r="Y23" s="3" t="s">
        <v>22</v>
      </c>
      <c r="AA23" s="3" t="s">
        <v>22</v>
      </c>
      <c r="AB23" s="43"/>
      <c r="AD23" s="3" t="s">
        <v>95</v>
      </c>
    </row>
    <row r="24" spans="1:53">
      <c r="A24" s="1">
        <f>+B24/12</f>
        <v>8.3333333333333329E-2</v>
      </c>
      <c r="B24" s="1">
        <v>1</v>
      </c>
      <c r="C24" s="2">
        <v>0</v>
      </c>
      <c r="D24" s="2">
        <v>1</v>
      </c>
      <c r="E24" s="2">
        <f>G2</f>
        <v>29</v>
      </c>
      <c r="F24" s="1">
        <v>0</v>
      </c>
      <c r="G24" s="4">
        <f>G3</f>
        <v>10000</v>
      </c>
      <c r="H24" s="1">
        <f t="shared" ref="H24:H87" si="1">SUM(F24:G24)*$G$8</f>
        <v>79.741404289037646</v>
      </c>
      <c r="I24" s="1">
        <v>-500</v>
      </c>
      <c r="J24" s="1">
        <v>0</v>
      </c>
      <c r="K24" s="1">
        <f>-SUM(F24:J24)*0.1%*1.16</f>
        <v>-11.112500028975283</v>
      </c>
      <c r="L24" s="1">
        <f>SUM(F24:K24)</f>
        <v>9568.628904260062</v>
      </c>
      <c r="N24" s="1">
        <v>1</v>
      </c>
      <c r="O24" s="2">
        <v>0</v>
      </c>
      <c r="P24" s="2">
        <v>1</v>
      </c>
      <c r="Q24" s="2">
        <f>S9</f>
        <v>0</v>
      </c>
      <c r="R24" s="1">
        <v>0</v>
      </c>
      <c r="S24" s="4"/>
      <c r="T24" s="1">
        <f t="shared" ref="T24:T35" si="2">S24*$G$9</f>
        <v>0</v>
      </c>
      <c r="U24" s="1">
        <f>SUM(R24:T24)*$G$8</f>
        <v>0</v>
      </c>
      <c r="V24" s="35">
        <v>0</v>
      </c>
      <c r="X24" s="35">
        <f>-SUM(R24:U24)*0.1%</f>
        <v>0</v>
      </c>
      <c r="Y24" s="1">
        <f>SUM(R24:X24)</f>
        <v>0</v>
      </c>
      <c r="AA24" s="2">
        <f>+Bono!J24</f>
        <v>10062.001159928206</v>
      </c>
      <c r="AC24" s="10">
        <f t="shared" ref="AC24:AC87" si="3">+B24/12</f>
        <v>8.3333333333333329E-2</v>
      </c>
      <c r="AD24" s="1">
        <f>+AA24+Y24+L24</f>
        <v>19630.63006418827</v>
      </c>
      <c r="AF24" s="45" t="s">
        <v>3</v>
      </c>
      <c r="AG24" s="45" t="s">
        <v>0</v>
      </c>
      <c r="AH24" s="45" t="s">
        <v>24</v>
      </c>
      <c r="AI24" s="45" t="s">
        <v>115</v>
      </c>
    </row>
    <row r="25" spans="1:53">
      <c r="A25" s="1">
        <f t="shared" ref="A25:A88" si="4">+B25/12</f>
        <v>0.16666666666666666</v>
      </c>
      <c r="B25" s="1">
        <f t="shared" ref="B25:B88" si="5">+B24+1</f>
        <v>2</v>
      </c>
      <c r="C25" s="2">
        <v>0</v>
      </c>
      <c r="D25" s="2">
        <v>2</v>
      </c>
      <c r="E25" s="2">
        <f t="shared" ref="E25:E35" si="6">E24</f>
        <v>29</v>
      </c>
      <c r="F25" s="1">
        <f t="shared" ref="F25:F88" si="7">L24</f>
        <v>9568.628904260062</v>
      </c>
      <c r="G25" s="4">
        <f>IF($G$4="mensual",$G$3,0)</f>
        <v>10000</v>
      </c>
      <c r="H25" s="1">
        <f t="shared" si="1"/>
        <v>156.04299488367494</v>
      </c>
      <c r="I25" s="1">
        <v>0</v>
      </c>
      <c r="J25" s="1">
        <v>0</v>
      </c>
      <c r="K25" s="1">
        <f t="shared" ref="K25:K88" si="8">-SUM(F25:J25)*0.1%*1.16</f>
        <v>-22.880619403006733</v>
      </c>
      <c r="L25" s="1">
        <f t="shared" ref="L25:L87" si="9">SUM(F25:K25)</f>
        <v>19701.79127974073</v>
      </c>
      <c r="N25" s="1">
        <f t="shared" ref="N25:N88" si="10">+N24+1</f>
        <v>2</v>
      </c>
      <c r="O25" s="2">
        <v>0</v>
      </c>
      <c r="P25" s="2">
        <v>2</v>
      </c>
      <c r="Q25" s="2">
        <f t="shared" ref="Q25:Q35" si="11">Q24</f>
        <v>0</v>
      </c>
      <c r="R25" s="1">
        <f t="shared" ref="R25:R88" si="12">Y24</f>
        <v>0</v>
      </c>
      <c r="S25" s="4"/>
      <c r="T25" s="1">
        <f t="shared" si="2"/>
        <v>0</v>
      </c>
      <c r="U25" s="1">
        <v>0</v>
      </c>
      <c r="V25" s="35">
        <v>0</v>
      </c>
      <c r="X25" s="35">
        <f t="shared" ref="X25:X41" si="13">-SUM(R25:U25)*0.1%</f>
        <v>0</v>
      </c>
      <c r="Y25" s="1">
        <f t="shared" ref="Y25:Y87" si="14">SUM(R25:X25)</f>
        <v>0</v>
      </c>
      <c r="AA25" s="2">
        <f>+Bono!J25</f>
        <v>20186.387894167863</v>
      </c>
      <c r="AC25" s="10">
        <f t="shared" si="3"/>
        <v>0.16666666666666666</v>
      </c>
      <c r="AD25" s="1">
        <f t="shared" ref="AD25:AD87" si="15">+AA25+Y25+L25</f>
        <v>39888.179173908589</v>
      </c>
      <c r="AF25" s="1">
        <f>+'OptiMaxx plus'!T7+1</f>
        <v>30</v>
      </c>
      <c r="AG25" s="1">
        <v>1</v>
      </c>
      <c r="AH25" s="1">
        <f>VLOOKUP(G4,$AK$25:$AL$28,2,0)*G3</f>
        <v>120000</v>
      </c>
      <c r="AI25" s="1">
        <f>+AH25</f>
        <v>120000</v>
      </c>
      <c r="AK25" s="84" t="s">
        <v>41</v>
      </c>
      <c r="AL25" s="84">
        <v>12</v>
      </c>
    </row>
    <row r="26" spans="1:53">
      <c r="A26" s="1">
        <f t="shared" si="4"/>
        <v>0.25</v>
      </c>
      <c r="B26" s="1">
        <f t="shared" si="5"/>
        <v>3</v>
      </c>
      <c r="C26" s="2">
        <v>0</v>
      </c>
      <c r="D26" s="2">
        <v>3</v>
      </c>
      <c r="E26" s="2">
        <f t="shared" si="6"/>
        <v>29</v>
      </c>
      <c r="F26" s="1">
        <f t="shared" si="7"/>
        <v>19701.79127974073</v>
      </c>
      <c r="G26" s="4">
        <f>IF($G$4="mensual",$G$3,0)</f>
        <v>10000</v>
      </c>
      <c r="H26" s="1">
        <f t="shared" si="1"/>
        <v>236.84625465464183</v>
      </c>
      <c r="I26" s="1">
        <v>0</v>
      </c>
      <c r="J26" s="69">
        <f>-SUM(F26:H26)*$J$21*1.16</f>
        <v>-312.55937585908777</v>
      </c>
      <c r="K26" s="1">
        <f t="shared" si="8"/>
        <v>-34.366250663902093</v>
      </c>
      <c r="L26" s="1">
        <f t="shared" si="9"/>
        <v>29591.711907872384</v>
      </c>
      <c r="N26" s="1">
        <f t="shared" si="10"/>
        <v>3</v>
      </c>
      <c r="O26" s="2">
        <v>0</v>
      </c>
      <c r="P26" s="2">
        <v>3</v>
      </c>
      <c r="Q26" s="2">
        <f t="shared" si="11"/>
        <v>0</v>
      </c>
      <c r="R26" s="1">
        <f t="shared" si="12"/>
        <v>0</v>
      </c>
      <c r="S26" s="4"/>
      <c r="T26" s="1">
        <f t="shared" si="2"/>
        <v>0</v>
      </c>
      <c r="U26" s="1">
        <v>0</v>
      </c>
      <c r="V26" s="35">
        <v>0</v>
      </c>
      <c r="X26" s="35">
        <f t="shared" si="13"/>
        <v>0</v>
      </c>
      <c r="Y26" s="1">
        <f t="shared" si="14"/>
        <v>0</v>
      </c>
      <c r="AA26" s="2">
        <f>+Bono!J26</f>
        <v>30099.911441952772</v>
      </c>
      <c r="AC26" s="10">
        <f t="shared" si="3"/>
        <v>0.25</v>
      </c>
      <c r="AD26" s="1">
        <f t="shared" si="15"/>
        <v>59691.623349825153</v>
      </c>
      <c r="AF26" s="1">
        <f>+AF25+1</f>
        <v>31</v>
      </c>
      <c r="AG26" s="1">
        <f t="shared" ref="AG26:AG49" si="16">+AG25+1</f>
        <v>2</v>
      </c>
      <c r="AH26" s="1">
        <f t="shared" ref="AH26:AH49" si="17">IF($G$17="Si",(1+$G$20)*AH25,AH25)</f>
        <v>120000</v>
      </c>
      <c r="AI26" s="1">
        <f>+AI25+AH26</f>
        <v>240000</v>
      </c>
      <c r="AK26" s="84" t="s">
        <v>44</v>
      </c>
      <c r="AL26" s="84">
        <v>4</v>
      </c>
      <c r="AP26" s="107" t="s">
        <v>137</v>
      </c>
      <c r="AQ26" s="107" t="s">
        <v>138</v>
      </c>
      <c r="AR26" s="107" t="s">
        <v>139</v>
      </c>
    </row>
    <row r="27" spans="1:53">
      <c r="A27" s="1">
        <f t="shared" si="4"/>
        <v>0.33333333333333331</v>
      </c>
      <c r="B27" s="1">
        <f t="shared" si="5"/>
        <v>4</v>
      </c>
      <c r="C27" s="2">
        <v>0</v>
      </c>
      <c r="D27" s="2">
        <v>4</v>
      </c>
      <c r="E27" s="2">
        <f t="shared" si="6"/>
        <v>29</v>
      </c>
      <c r="F27" s="1">
        <f t="shared" si="7"/>
        <v>29591.711907872384</v>
      </c>
      <c r="G27" s="4">
        <f>IF($G$4="mensual",$G$3,IF($G$4="trimestral",G3,0))</f>
        <v>10000</v>
      </c>
      <c r="H27" s="1">
        <f t="shared" si="1"/>
        <v>315.70987057407575</v>
      </c>
      <c r="I27" s="1">
        <v>0</v>
      </c>
      <c r="J27" s="1">
        <v>0</v>
      </c>
      <c r="K27" s="1">
        <f t="shared" si="8"/>
        <v>-46.292609262997892</v>
      </c>
      <c r="L27" s="1">
        <f t="shared" si="9"/>
        <v>39861.129169183463</v>
      </c>
      <c r="N27" s="1">
        <f t="shared" si="10"/>
        <v>4</v>
      </c>
      <c r="O27" s="2">
        <v>0</v>
      </c>
      <c r="P27" s="2">
        <v>4</v>
      </c>
      <c r="Q27" s="2">
        <f t="shared" si="11"/>
        <v>0</v>
      </c>
      <c r="R27" s="1">
        <f t="shared" si="12"/>
        <v>0</v>
      </c>
      <c r="S27" s="4"/>
      <c r="T27" s="1">
        <f t="shared" si="2"/>
        <v>0</v>
      </c>
      <c r="U27" s="1">
        <f>SUM(R27:T27)*$G$8</f>
        <v>0</v>
      </c>
      <c r="V27" s="35">
        <v>0</v>
      </c>
      <c r="X27" s="35">
        <f t="shared" si="13"/>
        <v>0</v>
      </c>
      <c r="Y27" s="1">
        <f t="shared" si="14"/>
        <v>0</v>
      </c>
      <c r="AA27" s="2">
        <f>+Bono!J27</f>
        <v>40348.535544194718</v>
      </c>
      <c r="AC27" s="10">
        <f t="shared" si="3"/>
        <v>0.33333333333333331</v>
      </c>
      <c r="AD27" s="1">
        <f t="shared" si="15"/>
        <v>80209.664713378181</v>
      </c>
      <c r="AF27" s="1">
        <f t="shared" ref="AF27:AF90" si="18">+AF26+1</f>
        <v>32</v>
      </c>
      <c r="AG27" s="1">
        <f t="shared" si="16"/>
        <v>3</v>
      </c>
      <c r="AH27" s="1">
        <f t="shared" si="17"/>
        <v>120000</v>
      </c>
      <c r="AI27" s="1">
        <f t="shared" ref="AI27:AI90" si="19">+AI26+AH27</f>
        <v>360000</v>
      </c>
      <c r="AK27" s="84" t="s">
        <v>47</v>
      </c>
      <c r="AL27" s="84">
        <v>2</v>
      </c>
      <c r="AP27" s="107">
        <v>67.290000000000006</v>
      </c>
      <c r="AQ27" s="107">
        <f>+AP27*5*365</f>
        <v>122804.25000000001</v>
      </c>
      <c r="AR27" s="107">
        <f>AQ27*3</f>
        <v>368412.75000000006</v>
      </c>
    </row>
    <row r="28" spans="1:53">
      <c r="A28" s="1">
        <f t="shared" si="4"/>
        <v>0.41666666666666669</v>
      </c>
      <c r="B28" s="1">
        <f t="shared" si="5"/>
        <v>5</v>
      </c>
      <c r="C28" s="2">
        <v>0</v>
      </c>
      <c r="D28" s="2">
        <v>5</v>
      </c>
      <c r="E28" s="2">
        <f t="shared" si="6"/>
        <v>29</v>
      </c>
      <c r="F28" s="1">
        <f t="shared" si="7"/>
        <v>39861.129169183463</v>
      </c>
      <c r="G28" s="4">
        <f>IF($G$4="mensual",$G$3,0)</f>
        <v>10000</v>
      </c>
      <c r="H28" s="1">
        <f t="shared" si="1"/>
        <v>397.59964593877862</v>
      </c>
      <c r="I28" s="1">
        <v>0</v>
      </c>
      <c r="J28" s="1">
        <v>0</v>
      </c>
      <c r="K28" s="1">
        <f t="shared" si="8"/>
        <v>-58.300125425541793</v>
      </c>
      <c r="L28" s="1">
        <f t="shared" si="9"/>
        <v>50200.428689696695</v>
      </c>
      <c r="N28" s="1">
        <f t="shared" si="10"/>
        <v>5</v>
      </c>
      <c r="O28" s="2">
        <v>0</v>
      </c>
      <c r="P28" s="2">
        <v>5</v>
      </c>
      <c r="Q28" s="2">
        <f t="shared" si="11"/>
        <v>0</v>
      </c>
      <c r="R28" s="1">
        <f t="shared" si="12"/>
        <v>0</v>
      </c>
      <c r="S28" s="4"/>
      <c r="T28" s="1">
        <f t="shared" si="2"/>
        <v>0</v>
      </c>
      <c r="U28" s="1">
        <v>0</v>
      </c>
      <c r="V28" s="35">
        <v>0</v>
      </c>
      <c r="X28" s="35">
        <f t="shared" si="13"/>
        <v>0</v>
      </c>
      <c r="Y28" s="1">
        <f t="shared" si="14"/>
        <v>0</v>
      </c>
      <c r="AA28" s="2">
        <f>+Bono!J28</f>
        <v>50660.70230463738</v>
      </c>
      <c r="AC28" s="10">
        <f t="shared" si="3"/>
        <v>0.41666666666666669</v>
      </c>
      <c r="AD28" s="1">
        <f t="shared" si="15"/>
        <v>100861.13099433407</v>
      </c>
      <c r="AF28" s="1">
        <f t="shared" si="18"/>
        <v>33</v>
      </c>
      <c r="AG28" s="1">
        <f t="shared" si="16"/>
        <v>4</v>
      </c>
      <c r="AH28" s="1">
        <f t="shared" si="17"/>
        <v>120000</v>
      </c>
      <c r="AI28" s="1">
        <f t="shared" si="19"/>
        <v>480000</v>
      </c>
      <c r="AK28" s="84" t="s">
        <v>49</v>
      </c>
      <c r="AL28" s="84">
        <v>1</v>
      </c>
    </row>
    <row r="29" spans="1:53">
      <c r="A29" s="1">
        <f t="shared" si="4"/>
        <v>0.5</v>
      </c>
      <c r="B29" s="1">
        <f t="shared" si="5"/>
        <v>6</v>
      </c>
      <c r="C29" s="2">
        <v>0</v>
      </c>
      <c r="D29" s="2">
        <v>6</v>
      </c>
      <c r="E29" s="2">
        <f t="shared" si="6"/>
        <v>29</v>
      </c>
      <c r="F29" s="1">
        <f t="shared" si="7"/>
        <v>50200.428689696695</v>
      </c>
      <c r="G29" s="4">
        <f>IF($G$4="mensual",$G$3,0)</f>
        <v>10000</v>
      </c>
      <c r="H29" s="1">
        <f t="shared" si="1"/>
        <v>480.04667225184846</v>
      </c>
      <c r="I29" s="1">
        <v>0</v>
      </c>
      <c r="J29" s="69">
        <f>-SUM(F29:H29)*$J$21*1.16</f>
        <v>-633.50416277874285</v>
      </c>
      <c r="K29" s="1">
        <f t="shared" si="8"/>
        <v>-69.654486591036971</v>
      </c>
      <c r="L29" s="1">
        <f t="shared" si="9"/>
        <v>59977.316712578759</v>
      </c>
      <c r="N29" s="1">
        <f t="shared" si="10"/>
        <v>6</v>
      </c>
      <c r="O29" s="2">
        <v>0</v>
      </c>
      <c r="P29" s="2">
        <v>6</v>
      </c>
      <c r="Q29" s="2">
        <f t="shared" si="11"/>
        <v>0</v>
      </c>
      <c r="R29" s="1">
        <f t="shared" si="12"/>
        <v>0</v>
      </c>
      <c r="S29" s="4"/>
      <c r="T29" s="1">
        <f t="shared" si="2"/>
        <v>0</v>
      </c>
      <c r="U29" s="1">
        <v>0</v>
      </c>
      <c r="V29" s="35">
        <v>0</v>
      </c>
      <c r="X29" s="35">
        <f t="shared" si="13"/>
        <v>0</v>
      </c>
      <c r="Y29" s="1">
        <f t="shared" si="14"/>
        <v>0</v>
      </c>
      <c r="AA29" s="2">
        <f>+Bono!J29</f>
        <v>60486.924562743516</v>
      </c>
      <c r="AC29" s="10">
        <f t="shared" si="3"/>
        <v>0.5</v>
      </c>
      <c r="AD29" s="1">
        <f t="shared" si="15"/>
        <v>120464.24127532227</v>
      </c>
      <c r="AF29" s="1">
        <f t="shared" si="18"/>
        <v>34</v>
      </c>
      <c r="AG29" s="1">
        <f t="shared" si="16"/>
        <v>5</v>
      </c>
      <c r="AH29" s="1">
        <f t="shared" si="17"/>
        <v>120000</v>
      </c>
      <c r="AI29" s="1">
        <f t="shared" si="19"/>
        <v>600000</v>
      </c>
    </row>
    <row r="30" spans="1:53">
      <c r="A30" s="1">
        <f t="shared" si="4"/>
        <v>0.58333333333333337</v>
      </c>
      <c r="B30" s="1">
        <f t="shared" si="5"/>
        <v>7</v>
      </c>
      <c r="C30" s="2">
        <v>0</v>
      </c>
      <c r="D30" s="2">
        <v>7</v>
      </c>
      <c r="E30" s="2">
        <f t="shared" si="6"/>
        <v>29</v>
      </c>
      <c r="F30" s="1">
        <f t="shared" si="7"/>
        <v>59977.316712578759</v>
      </c>
      <c r="G30" s="4">
        <f>IF($G$4="mensual",$G$3,IF($G$4="trimestral",$G$3,IF(G4="semestral",$G$3,0)))</f>
        <v>10000</v>
      </c>
      <c r="H30" s="1">
        <f t="shared" si="1"/>
        <v>558.00895030397737</v>
      </c>
      <c r="I30" s="1">
        <v>0</v>
      </c>
      <c r="J30" s="1">
        <v>0</v>
      </c>
      <c r="K30" s="1">
        <f t="shared" si="8"/>
        <v>-81.820977768943976</v>
      </c>
      <c r="L30" s="1">
        <f t="shared" si="9"/>
        <v>70453.504685113789</v>
      </c>
      <c r="N30" s="1">
        <f t="shared" si="10"/>
        <v>7</v>
      </c>
      <c r="O30" s="2">
        <v>0</v>
      </c>
      <c r="P30" s="2">
        <v>7</v>
      </c>
      <c r="Q30" s="2">
        <f t="shared" si="11"/>
        <v>0</v>
      </c>
      <c r="R30" s="1">
        <f t="shared" si="12"/>
        <v>0</v>
      </c>
      <c r="S30" s="4"/>
      <c r="T30" s="1">
        <f t="shared" si="2"/>
        <v>0</v>
      </c>
      <c r="U30" s="1">
        <f>SUM(R30:T30)*$G$8</f>
        <v>0</v>
      </c>
      <c r="V30" s="35">
        <v>0</v>
      </c>
      <c r="X30" s="35">
        <f t="shared" si="13"/>
        <v>0</v>
      </c>
      <c r="Y30" s="1">
        <f t="shared" si="14"/>
        <v>0</v>
      </c>
      <c r="AA30" s="2">
        <f>+Bono!J30</f>
        <v>70923.951671009709</v>
      </c>
      <c r="AC30" s="10">
        <f t="shared" si="3"/>
        <v>0.58333333333333337</v>
      </c>
      <c r="AD30" s="1">
        <f t="shared" si="15"/>
        <v>141377.4563561235</v>
      </c>
      <c r="AF30" s="1">
        <f t="shared" si="18"/>
        <v>35</v>
      </c>
      <c r="AG30" s="1">
        <f t="shared" si="16"/>
        <v>6</v>
      </c>
      <c r="AH30" s="1">
        <f t="shared" si="17"/>
        <v>120000</v>
      </c>
      <c r="AI30" s="1">
        <f t="shared" si="19"/>
        <v>720000</v>
      </c>
    </row>
    <row r="31" spans="1:53">
      <c r="A31" s="1">
        <f t="shared" si="4"/>
        <v>0.66666666666666663</v>
      </c>
      <c r="B31" s="1">
        <f t="shared" si="5"/>
        <v>8</v>
      </c>
      <c r="C31" s="2">
        <v>0</v>
      </c>
      <c r="D31" s="2">
        <v>8</v>
      </c>
      <c r="E31" s="2">
        <f t="shared" si="6"/>
        <v>29</v>
      </c>
      <c r="F31" s="1">
        <f t="shared" si="7"/>
        <v>70453.504685113789</v>
      </c>
      <c r="G31" s="4">
        <f>IF($G$4="mensual",$G$3,0)</f>
        <v>10000</v>
      </c>
      <c r="H31" s="1">
        <f t="shared" si="1"/>
        <v>641.54754435656423</v>
      </c>
      <c r="I31" s="1">
        <v>0</v>
      </c>
      <c r="J31" s="1">
        <v>0</v>
      </c>
      <c r="K31" s="1">
        <f t="shared" si="8"/>
        <v>-94.070260586185611</v>
      </c>
      <c r="L31" s="1">
        <f t="shared" si="9"/>
        <v>81000.981968884167</v>
      </c>
      <c r="N31" s="1">
        <f t="shared" si="10"/>
        <v>8</v>
      </c>
      <c r="O31" s="2">
        <v>0</v>
      </c>
      <c r="P31" s="2">
        <v>8</v>
      </c>
      <c r="Q31" s="2">
        <f t="shared" si="11"/>
        <v>0</v>
      </c>
      <c r="R31" s="1">
        <f t="shared" si="12"/>
        <v>0</v>
      </c>
      <c r="S31" s="4"/>
      <c r="T31" s="1">
        <f t="shared" si="2"/>
        <v>0</v>
      </c>
      <c r="U31" s="1">
        <v>0</v>
      </c>
      <c r="V31" s="35">
        <v>0</v>
      </c>
      <c r="X31" s="35">
        <f t="shared" si="13"/>
        <v>0</v>
      </c>
      <c r="Y31" s="1">
        <f t="shared" si="14"/>
        <v>0</v>
      </c>
      <c r="AA31" s="2">
        <f>+Bono!J31</f>
        <v>81425.689557967373</v>
      </c>
      <c r="AC31" s="10">
        <f t="shared" si="3"/>
        <v>0.66666666666666663</v>
      </c>
      <c r="AD31" s="1">
        <f t="shared" si="15"/>
        <v>162426.67152685154</v>
      </c>
      <c r="AF31" s="1">
        <f t="shared" si="18"/>
        <v>36</v>
      </c>
      <c r="AG31" s="1">
        <f t="shared" si="16"/>
        <v>7</v>
      </c>
      <c r="AH31" s="1">
        <f t="shared" si="17"/>
        <v>120000</v>
      </c>
      <c r="AI31" s="1">
        <f t="shared" si="19"/>
        <v>840000</v>
      </c>
    </row>
    <row r="32" spans="1:53" ht="11.25" customHeight="1">
      <c r="A32" s="1">
        <f t="shared" si="4"/>
        <v>0.75</v>
      </c>
      <c r="B32" s="1">
        <f t="shared" si="5"/>
        <v>9</v>
      </c>
      <c r="C32" s="2">
        <v>0</v>
      </c>
      <c r="D32" s="2">
        <v>9</v>
      </c>
      <c r="E32" s="2">
        <f t="shared" si="6"/>
        <v>29</v>
      </c>
      <c r="F32" s="1">
        <f t="shared" si="7"/>
        <v>81000.981968884167</v>
      </c>
      <c r="G32" s="4">
        <f>IF($G$4="mensual",$G$3,0)</f>
        <v>10000</v>
      </c>
      <c r="H32" s="1">
        <f t="shared" si="1"/>
        <v>725.65460938802175</v>
      </c>
      <c r="I32" s="1">
        <v>0</v>
      </c>
      <c r="J32" s="69">
        <f>-SUM(F32:H32)*$J$21*1.16</f>
        <v>-957.62608587716159</v>
      </c>
      <c r="K32" s="1">
        <f t="shared" si="8"/>
        <v>-105.29205217117823</v>
      </c>
      <c r="L32" s="1">
        <f t="shared" si="9"/>
        <v>90663.718440223849</v>
      </c>
      <c r="N32" s="1">
        <f t="shared" si="10"/>
        <v>9</v>
      </c>
      <c r="O32" s="2">
        <v>0</v>
      </c>
      <c r="P32" s="2">
        <v>9</v>
      </c>
      <c r="Q32" s="2">
        <f t="shared" si="11"/>
        <v>0</v>
      </c>
      <c r="R32" s="1">
        <f t="shared" si="12"/>
        <v>0</v>
      </c>
      <c r="S32" s="4"/>
      <c r="T32" s="1">
        <f t="shared" si="2"/>
        <v>0</v>
      </c>
      <c r="U32" s="1">
        <v>0</v>
      </c>
      <c r="V32" s="35">
        <v>0</v>
      </c>
      <c r="X32" s="35">
        <f t="shared" si="13"/>
        <v>0</v>
      </c>
      <c r="Y32" s="1">
        <f t="shared" si="14"/>
        <v>0</v>
      </c>
      <c r="AA32" s="2">
        <f>+Bono!J32</f>
        <v>91163.777821392257</v>
      </c>
      <c r="AC32" s="10">
        <f t="shared" si="3"/>
        <v>0.75</v>
      </c>
      <c r="AD32" s="1">
        <f t="shared" si="15"/>
        <v>181827.49626161612</v>
      </c>
      <c r="AF32" s="1">
        <f t="shared" si="18"/>
        <v>37</v>
      </c>
      <c r="AG32" s="1">
        <f t="shared" si="16"/>
        <v>8</v>
      </c>
      <c r="AH32" s="1">
        <f t="shared" si="17"/>
        <v>120000</v>
      </c>
      <c r="AI32" s="1">
        <f t="shared" si="19"/>
        <v>960000</v>
      </c>
      <c r="AK32" s="527" t="s">
        <v>153</v>
      </c>
      <c r="AL32" s="527"/>
      <c r="AM32" s="527"/>
      <c r="AN32" s="527"/>
      <c r="AO32" s="527"/>
      <c r="AP32" s="527"/>
      <c r="AQ32" s="527"/>
      <c r="AR32" s="527"/>
      <c r="AS32" s="527"/>
      <c r="AT32" s="527"/>
      <c r="AU32" s="527"/>
      <c r="AV32" s="527"/>
      <c r="AW32" s="527"/>
      <c r="AX32" s="527"/>
      <c r="AY32" s="527"/>
      <c r="AZ32" s="527"/>
      <c r="BA32" s="527"/>
    </row>
    <row r="33" spans="1:53">
      <c r="A33" s="1">
        <f t="shared" si="4"/>
        <v>0.83333333333333337</v>
      </c>
      <c r="B33" s="1">
        <f t="shared" si="5"/>
        <v>10</v>
      </c>
      <c r="C33" s="2">
        <v>0</v>
      </c>
      <c r="D33" s="2">
        <v>10</v>
      </c>
      <c r="E33" s="2">
        <f t="shared" si="6"/>
        <v>29</v>
      </c>
      <c r="F33" s="1">
        <f t="shared" si="7"/>
        <v>90663.718440223849</v>
      </c>
      <c r="G33" s="4">
        <f>IF($G$4="mensual",$G$3,IF($G$4="trimestral",$G$3,0))</f>
        <v>10000</v>
      </c>
      <c r="H33" s="1">
        <f t="shared" si="1"/>
        <v>802.70662693797442</v>
      </c>
      <c r="I33" s="1">
        <v>0</v>
      </c>
      <c r="J33" s="1">
        <v>0</v>
      </c>
      <c r="K33" s="1">
        <f t="shared" si="8"/>
        <v>-117.7010530779077</v>
      </c>
      <c r="L33" s="1">
        <f t="shared" si="9"/>
        <v>101348.72401408391</v>
      </c>
      <c r="N33" s="1">
        <f t="shared" si="10"/>
        <v>10</v>
      </c>
      <c r="O33" s="2">
        <v>0</v>
      </c>
      <c r="P33" s="2">
        <v>10</v>
      </c>
      <c r="Q33" s="2">
        <f t="shared" si="11"/>
        <v>0</v>
      </c>
      <c r="R33" s="1">
        <f t="shared" si="12"/>
        <v>0</v>
      </c>
      <c r="S33" s="4"/>
      <c r="T33" s="1">
        <f t="shared" si="2"/>
        <v>0</v>
      </c>
      <c r="U33" s="1">
        <f>SUM(R33:T33)*$G$8</f>
        <v>0</v>
      </c>
      <c r="V33" s="35">
        <v>0</v>
      </c>
      <c r="X33" s="35">
        <f t="shared" si="13"/>
        <v>0</v>
      </c>
      <c r="Y33" s="1">
        <f t="shared" si="14"/>
        <v>0</v>
      </c>
      <c r="AA33" s="2">
        <f>+Bono!J33</f>
        <v>101791.00497815681</v>
      </c>
      <c r="AC33" s="10">
        <f t="shared" si="3"/>
        <v>0.83333333333333337</v>
      </c>
      <c r="AD33" s="1">
        <f t="shared" si="15"/>
        <v>203139.72899224074</v>
      </c>
      <c r="AF33" s="1">
        <f t="shared" si="18"/>
        <v>38</v>
      </c>
      <c r="AG33" s="1">
        <f t="shared" si="16"/>
        <v>9</v>
      </c>
      <c r="AH33" s="1">
        <f t="shared" si="17"/>
        <v>120000</v>
      </c>
      <c r="AI33" s="1">
        <f t="shared" si="19"/>
        <v>1080000</v>
      </c>
      <c r="AK33" s="527"/>
      <c r="AL33" s="527"/>
      <c r="AM33" s="527"/>
      <c r="AN33" s="527"/>
      <c r="AO33" s="527"/>
      <c r="AP33" s="527"/>
      <c r="AQ33" s="527"/>
      <c r="AR33" s="527"/>
      <c r="AS33" s="527"/>
      <c r="AT33" s="527"/>
      <c r="AU33" s="527"/>
      <c r="AV33" s="527"/>
      <c r="AW33" s="527"/>
      <c r="AX33" s="527"/>
      <c r="AY33" s="527"/>
      <c r="AZ33" s="527"/>
      <c r="BA33" s="527"/>
    </row>
    <row r="34" spans="1:53">
      <c r="A34" s="1">
        <f t="shared" si="4"/>
        <v>0.91666666666666663</v>
      </c>
      <c r="B34" s="1">
        <f t="shared" si="5"/>
        <v>11</v>
      </c>
      <c r="C34" s="2">
        <v>0</v>
      </c>
      <c r="D34" s="2">
        <v>11</v>
      </c>
      <c r="E34" s="2">
        <f t="shared" si="6"/>
        <v>29</v>
      </c>
      <c r="F34" s="1">
        <f t="shared" si="7"/>
        <v>101348.72401408391</v>
      </c>
      <c r="G34" s="4">
        <f>IF($G$4="mensual",$G$3,0)</f>
        <v>10000</v>
      </c>
      <c r="H34" s="1">
        <f t="shared" si="1"/>
        <v>887.910361867554</v>
      </c>
      <c r="I34" s="1">
        <v>0</v>
      </c>
      <c r="J34" s="1">
        <v>0</v>
      </c>
      <c r="K34" s="1">
        <f t="shared" si="8"/>
        <v>-130.1944958761037</v>
      </c>
      <c r="L34" s="1">
        <f t="shared" si="9"/>
        <v>112106.43988007537</v>
      </c>
      <c r="N34" s="1">
        <f t="shared" si="10"/>
        <v>11</v>
      </c>
      <c r="O34" s="2">
        <v>0</v>
      </c>
      <c r="P34" s="2">
        <v>11</v>
      </c>
      <c r="Q34" s="2">
        <f t="shared" si="11"/>
        <v>0</v>
      </c>
      <c r="R34" s="1">
        <f t="shared" si="12"/>
        <v>0</v>
      </c>
      <c r="S34" s="4"/>
      <c r="T34" s="1">
        <f t="shared" si="2"/>
        <v>0</v>
      </c>
      <c r="U34" s="1">
        <v>0</v>
      </c>
      <c r="V34" s="35">
        <v>0</v>
      </c>
      <c r="X34" s="35">
        <f t="shared" si="13"/>
        <v>0</v>
      </c>
      <c r="Y34" s="1">
        <f t="shared" si="14"/>
        <v>0</v>
      </c>
      <c r="AA34" s="2">
        <f>+Bono!J34</f>
        <v>112484.12217597537</v>
      </c>
      <c r="AC34" s="10">
        <f t="shared" si="3"/>
        <v>0.91666666666666663</v>
      </c>
      <c r="AD34" s="1">
        <f t="shared" si="15"/>
        <v>224590.56205605075</v>
      </c>
      <c r="AF34" s="1">
        <f t="shared" si="18"/>
        <v>39</v>
      </c>
      <c r="AG34" s="1">
        <f t="shared" si="16"/>
        <v>10</v>
      </c>
      <c r="AH34" s="1">
        <f t="shared" si="17"/>
        <v>120000</v>
      </c>
      <c r="AI34" s="1">
        <f t="shared" si="19"/>
        <v>1200000</v>
      </c>
      <c r="AK34" s="527"/>
      <c r="AL34" s="527"/>
      <c r="AM34" s="527"/>
      <c r="AN34" s="527"/>
      <c r="AO34" s="527"/>
      <c r="AP34" s="527"/>
      <c r="AQ34" s="527"/>
      <c r="AR34" s="527"/>
      <c r="AS34" s="527"/>
      <c r="AT34" s="527"/>
      <c r="AU34" s="527"/>
      <c r="AV34" s="527"/>
      <c r="AW34" s="527"/>
      <c r="AX34" s="527"/>
      <c r="AY34" s="527"/>
      <c r="AZ34" s="527"/>
      <c r="BA34" s="527"/>
    </row>
    <row r="35" spans="1:53">
      <c r="A35" s="1">
        <f t="shared" si="4"/>
        <v>1</v>
      </c>
      <c r="B35" s="1">
        <f t="shared" si="5"/>
        <v>12</v>
      </c>
      <c r="C35" s="2">
        <v>0</v>
      </c>
      <c r="D35" s="2">
        <v>12</v>
      </c>
      <c r="E35" s="2">
        <f t="shared" si="6"/>
        <v>29</v>
      </c>
      <c r="F35" s="1">
        <f t="shared" si="7"/>
        <v>112106.43988007537</v>
      </c>
      <c r="G35" s="4">
        <f>IF($G$4="mensual",$G$3,0)</f>
        <v>10000</v>
      </c>
      <c r="H35" s="1">
        <f t="shared" si="1"/>
        <v>973.69389887721593</v>
      </c>
      <c r="I35" s="1">
        <v>0</v>
      </c>
      <c r="J35" s="69">
        <f>-SUM(F35:H35)*$J$21*1.16</f>
        <v>-1284.9565966522653</v>
      </c>
      <c r="K35" s="1">
        <f t="shared" si="8"/>
        <v>-141.28240553146836</v>
      </c>
      <c r="L35" s="1">
        <f t="shared" si="9"/>
        <v>121653.89477676885</v>
      </c>
      <c r="N35" s="1">
        <f t="shared" si="10"/>
        <v>12</v>
      </c>
      <c r="O35" s="2">
        <v>0</v>
      </c>
      <c r="P35" s="2">
        <v>12</v>
      </c>
      <c r="Q35" s="2">
        <f t="shared" si="11"/>
        <v>0</v>
      </c>
      <c r="R35" s="1">
        <f t="shared" si="12"/>
        <v>0</v>
      </c>
      <c r="T35" s="1">
        <f t="shared" si="2"/>
        <v>0</v>
      </c>
      <c r="U35" s="1">
        <v>0</v>
      </c>
      <c r="V35" s="35">
        <v>0</v>
      </c>
      <c r="X35" s="35">
        <f t="shared" si="13"/>
        <v>0</v>
      </c>
      <c r="Y35" s="1">
        <f t="shared" si="14"/>
        <v>0</v>
      </c>
      <c r="AA35" s="2">
        <f>+Bono!J35</f>
        <v>122133.23579713491</v>
      </c>
      <c r="AC35" s="10">
        <f t="shared" si="3"/>
        <v>1</v>
      </c>
      <c r="AD35" s="1">
        <f t="shared" si="15"/>
        <v>243787.13057390376</v>
      </c>
      <c r="AF35" s="1">
        <f t="shared" si="18"/>
        <v>40</v>
      </c>
      <c r="AG35" s="1">
        <f t="shared" si="16"/>
        <v>11</v>
      </c>
      <c r="AH35" s="1">
        <f t="shared" si="17"/>
        <v>120000</v>
      </c>
      <c r="AI35" s="1">
        <f t="shared" si="19"/>
        <v>1320000</v>
      </c>
      <c r="AK35" s="527"/>
      <c r="AL35" s="527"/>
      <c r="AM35" s="527"/>
      <c r="AN35" s="527"/>
      <c r="AO35" s="527"/>
      <c r="AP35" s="527"/>
      <c r="AQ35" s="527"/>
      <c r="AR35" s="527"/>
      <c r="AS35" s="527"/>
      <c r="AT35" s="527"/>
      <c r="AU35" s="527"/>
      <c r="AV35" s="527"/>
      <c r="AW35" s="527"/>
      <c r="AX35" s="527"/>
      <c r="AY35" s="527"/>
      <c r="AZ35" s="527"/>
      <c r="BA35" s="527"/>
    </row>
    <row r="36" spans="1:53">
      <c r="A36" s="1">
        <f t="shared" si="4"/>
        <v>1.0833333333333333</v>
      </c>
      <c r="B36" s="1">
        <f t="shared" si="5"/>
        <v>13</v>
      </c>
      <c r="C36" s="2">
        <f t="shared" ref="C36:C99" si="20">C24+1</f>
        <v>1</v>
      </c>
      <c r="D36" s="2">
        <f t="shared" ref="D36:D99" si="21">D24</f>
        <v>1</v>
      </c>
      <c r="E36" s="2">
        <f t="shared" ref="E36:E99" si="22">E24+1</f>
        <v>30</v>
      </c>
      <c r="F36" s="1">
        <f t="shared" si="7"/>
        <v>121653.89477676885</v>
      </c>
      <c r="G36" s="1">
        <f>IF(AND(G4="Anual",$G$17="si"),G24*(1+$G$20)/2,IF(AND(G4="Anual",$G$17="No"),G24/2,IF(G17="Si",G24*(1+$G$20),G24)))</f>
        <v>10000</v>
      </c>
      <c r="H36" s="1">
        <f t="shared" si="1"/>
        <v>1049.8266449620746</v>
      </c>
      <c r="I36" s="1">
        <v>0</v>
      </c>
      <c r="J36" s="1">
        <v>0</v>
      </c>
      <c r="K36" s="1">
        <f t="shared" si="8"/>
        <v>-153.93631684920788</v>
      </c>
      <c r="L36" s="1">
        <f t="shared" si="9"/>
        <v>132549.78510488174</v>
      </c>
      <c r="N36" s="1">
        <f t="shared" si="10"/>
        <v>13</v>
      </c>
      <c r="O36" s="2">
        <f t="shared" ref="O36:O99" si="23">O24+1</f>
        <v>1</v>
      </c>
      <c r="P36" s="2">
        <f t="shared" ref="P36:P99" si="24">P24</f>
        <v>1</v>
      </c>
      <c r="Q36" s="2">
        <f t="shared" ref="Q36:Q99" si="25">Q24+1</f>
        <v>1</v>
      </c>
      <c r="R36" s="1">
        <f t="shared" si="12"/>
        <v>0</v>
      </c>
      <c r="S36" s="1">
        <f>IF(G4="Anual",G36,0)</f>
        <v>0</v>
      </c>
      <c r="U36" s="1">
        <f t="shared" ref="U36:U99" si="26">SUM(R36:T36)*$G$8</f>
        <v>0</v>
      </c>
      <c r="V36" s="35">
        <v>0</v>
      </c>
      <c r="X36" s="35">
        <f t="shared" si="13"/>
        <v>0</v>
      </c>
      <c r="Y36" s="1">
        <f t="shared" si="14"/>
        <v>0</v>
      </c>
      <c r="AA36" s="2">
        <f>+Bono!J36</f>
        <v>122890.47602565565</v>
      </c>
      <c r="AC36" s="10">
        <f t="shared" si="3"/>
        <v>1.0833333333333333</v>
      </c>
      <c r="AD36" s="1">
        <f t="shared" si="15"/>
        <v>255440.26113053737</v>
      </c>
      <c r="AF36" s="1">
        <f t="shared" si="18"/>
        <v>41</v>
      </c>
      <c r="AG36" s="1">
        <f t="shared" si="16"/>
        <v>12</v>
      </c>
      <c r="AH36" s="1">
        <f t="shared" si="17"/>
        <v>120000</v>
      </c>
      <c r="AI36" s="1">
        <f t="shared" si="19"/>
        <v>1440000</v>
      </c>
      <c r="AK36" s="527"/>
      <c r="AL36" s="527"/>
      <c r="AM36" s="527"/>
      <c r="AN36" s="527"/>
      <c r="AO36" s="527"/>
      <c r="AP36" s="527"/>
      <c r="AQ36" s="527"/>
      <c r="AR36" s="527"/>
      <c r="AS36" s="527"/>
      <c r="AT36" s="527"/>
      <c r="AU36" s="527"/>
      <c r="AV36" s="527"/>
      <c r="AW36" s="527"/>
      <c r="AX36" s="527"/>
      <c r="AY36" s="527"/>
      <c r="AZ36" s="527"/>
      <c r="BA36" s="527"/>
    </row>
    <row r="37" spans="1:53">
      <c r="A37" s="1">
        <f t="shared" si="4"/>
        <v>1.1666666666666667</v>
      </c>
      <c r="B37" s="1">
        <f t="shared" si="5"/>
        <v>14</v>
      </c>
      <c r="C37" s="2">
        <f t="shared" si="20"/>
        <v>1</v>
      </c>
      <c r="D37" s="2">
        <f t="shared" si="21"/>
        <v>2</v>
      </c>
      <c r="E37" s="2">
        <f t="shared" si="22"/>
        <v>30</v>
      </c>
      <c r="F37" s="1">
        <f t="shared" si="7"/>
        <v>132549.78510488174</v>
      </c>
      <c r="G37" s="1">
        <f>+IF($G$4="mensual",G36,0)</f>
        <v>10000</v>
      </c>
      <c r="H37" s="1">
        <f t="shared" si="1"/>
        <v>1136.7120045363811</v>
      </c>
      <c r="I37" s="1">
        <v>0</v>
      </c>
      <c r="J37" s="1">
        <v>0</v>
      </c>
      <c r="K37" s="1">
        <f t="shared" si="8"/>
        <v>-166.67633664692502</v>
      </c>
      <c r="L37" s="1">
        <f t="shared" si="9"/>
        <v>143519.8207727712</v>
      </c>
      <c r="N37" s="1">
        <f t="shared" si="10"/>
        <v>14</v>
      </c>
      <c r="O37" s="2">
        <f t="shared" si="23"/>
        <v>1</v>
      </c>
      <c r="P37" s="2">
        <f t="shared" si="24"/>
        <v>2</v>
      </c>
      <c r="Q37" s="2">
        <f t="shared" si="25"/>
        <v>1</v>
      </c>
      <c r="R37" s="1">
        <f t="shared" si="12"/>
        <v>0</v>
      </c>
      <c r="U37" s="1">
        <f t="shared" si="26"/>
        <v>0</v>
      </c>
      <c r="V37" s="35">
        <v>0</v>
      </c>
      <c r="X37" s="35">
        <f t="shared" si="13"/>
        <v>0</v>
      </c>
      <c r="Y37" s="1">
        <f t="shared" si="14"/>
        <v>0</v>
      </c>
      <c r="AA37" s="2">
        <f>+Bono!J37</f>
        <v>123652.41123142766</v>
      </c>
      <c r="AC37" s="10">
        <f t="shared" si="3"/>
        <v>1.1666666666666667</v>
      </c>
      <c r="AD37" s="1">
        <f t="shared" si="15"/>
        <v>267172.23200419883</v>
      </c>
      <c r="AF37" s="1">
        <f t="shared" si="18"/>
        <v>42</v>
      </c>
      <c r="AG37" s="1">
        <f t="shared" si="16"/>
        <v>13</v>
      </c>
      <c r="AH37" s="1">
        <f t="shared" si="17"/>
        <v>120000</v>
      </c>
      <c r="AI37" s="1">
        <f t="shared" si="19"/>
        <v>1560000</v>
      </c>
      <c r="AK37" s="527" t="s">
        <v>140</v>
      </c>
      <c r="AL37" s="527"/>
      <c r="AM37" s="527"/>
      <c r="AN37" s="527"/>
      <c r="AO37" s="527"/>
      <c r="AP37" s="527"/>
      <c r="AQ37" s="527"/>
      <c r="AR37" s="527"/>
      <c r="AS37" s="527"/>
      <c r="AT37" s="527"/>
      <c r="AU37" s="527"/>
      <c r="AV37" s="527"/>
      <c r="AW37" s="527"/>
      <c r="AX37" s="527"/>
      <c r="AY37" s="527"/>
      <c r="AZ37" s="527"/>
      <c r="BA37" s="527"/>
    </row>
    <row r="38" spans="1:53">
      <c r="A38" s="1">
        <f t="shared" si="4"/>
        <v>1.25</v>
      </c>
      <c r="B38" s="1">
        <f t="shared" si="5"/>
        <v>15</v>
      </c>
      <c r="C38" s="2">
        <f t="shared" si="20"/>
        <v>1</v>
      </c>
      <c r="D38" s="2">
        <f t="shared" si="21"/>
        <v>3</v>
      </c>
      <c r="E38" s="2">
        <f t="shared" si="22"/>
        <v>30</v>
      </c>
      <c r="F38" s="1">
        <f t="shared" si="7"/>
        <v>143519.8207727712</v>
      </c>
      <c r="G38" s="1">
        <f>+G37</f>
        <v>10000</v>
      </c>
      <c r="H38" s="1">
        <f t="shared" si="1"/>
        <v>1224.1886094622148</v>
      </c>
      <c r="I38" s="1">
        <v>0</v>
      </c>
      <c r="J38" s="69">
        <f>-SUM(F38:H38)*$J$21*1.16</f>
        <v>-1615.5274579505167</v>
      </c>
      <c r="K38" s="1">
        <f t="shared" si="8"/>
        <v>-177.62903903216812</v>
      </c>
      <c r="L38" s="1">
        <f t="shared" si="9"/>
        <v>152950.8528852507</v>
      </c>
      <c r="N38" s="1">
        <f t="shared" si="10"/>
        <v>15</v>
      </c>
      <c r="O38" s="2">
        <f t="shared" si="23"/>
        <v>1</v>
      </c>
      <c r="P38" s="2">
        <f t="shared" si="24"/>
        <v>3</v>
      </c>
      <c r="Q38" s="2">
        <f t="shared" si="25"/>
        <v>1</v>
      </c>
      <c r="R38" s="1">
        <f t="shared" si="12"/>
        <v>0</v>
      </c>
      <c r="U38" s="1">
        <f t="shared" si="26"/>
        <v>0</v>
      </c>
      <c r="V38" s="35">
        <v>0</v>
      </c>
      <c r="X38" s="35">
        <f t="shared" si="13"/>
        <v>0</v>
      </c>
      <c r="Y38" s="1">
        <f t="shared" si="14"/>
        <v>0</v>
      </c>
      <c r="AA38" s="2">
        <f>+Bono!J38</f>
        <v>123298.17799661253</v>
      </c>
      <c r="AC38" s="10">
        <f t="shared" si="3"/>
        <v>1.25</v>
      </c>
      <c r="AD38" s="1">
        <f t="shared" si="15"/>
        <v>276249.0308818632</v>
      </c>
      <c r="AF38" s="1">
        <f t="shared" si="18"/>
        <v>43</v>
      </c>
      <c r="AG38" s="1">
        <f t="shared" si="16"/>
        <v>14</v>
      </c>
      <c r="AH38" s="1">
        <f t="shared" si="17"/>
        <v>120000</v>
      </c>
      <c r="AI38" s="1">
        <f t="shared" si="19"/>
        <v>1680000</v>
      </c>
      <c r="AK38" s="527"/>
      <c r="AL38" s="527"/>
      <c r="AM38" s="527"/>
      <c r="AN38" s="527"/>
      <c r="AO38" s="527"/>
      <c r="AP38" s="527"/>
      <c r="AQ38" s="527"/>
      <c r="AR38" s="527"/>
      <c r="AS38" s="527"/>
      <c r="AT38" s="527"/>
      <c r="AU38" s="527"/>
      <c r="AV38" s="527"/>
      <c r="AW38" s="527"/>
      <c r="AX38" s="527"/>
      <c r="AY38" s="527"/>
      <c r="AZ38" s="527"/>
      <c r="BA38" s="527"/>
    </row>
    <row r="39" spans="1:53">
      <c r="A39" s="1">
        <f t="shared" si="4"/>
        <v>1.3333333333333333</v>
      </c>
      <c r="B39" s="1">
        <f t="shared" si="5"/>
        <v>16</v>
      </c>
      <c r="C39" s="2">
        <f t="shared" si="20"/>
        <v>1</v>
      </c>
      <c r="D39" s="2">
        <f t="shared" si="21"/>
        <v>4</v>
      </c>
      <c r="E39" s="2">
        <f t="shared" si="22"/>
        <v>30</v>
      </c>
      <c r="F39" s="1">
        <f t="shared" si="7"/>
        <v>152950.8528852507</v>
      </c>
      <c r="G39" s="1">
        <f>IF($G$4="mensual",G36,IF($G$4="trimestral",G36,0))</f>
        <v>10000</v>
      </c>
      <c r="H39" s="1">
        <f t="shared" si="1"/>
        <v>1299.3929839166271</v>
      </c>
      <c r="I39" s="1">
        <v>0</v>
      </c>
      <c r="J39" s="1">
        <v>0</v>
      </c>
      <c r="K39" s="1">
        <f t="shared" si="8"/>
        <v>-190.53028520823406</v>
      </c>
      <c r="L39" s="1">
        <f t="shared" si="9"/>
        <v>164059.7155839591</v>
      </c>
      <c r="N39" s="1">
        <f t="shared" si="10"/>
        <v>16</v>
      </c>
      <c r="O39" s="2">
        <f t="shared" si="23"/>
        <v>1</v>
      </c>
      <c r="P39" s="2">
        <f t="shared" si="24"/>
        <v>4</v>
      </c>
      <c r="Q39" s="2">
        <f t="shared" si="25"/>
        <v>1</v>
      </c>
      <c r="R39" s="1">
        <f t="shared" si="12"/>
        <v>0</v>
      </c>
      <c r="U39" s="1">
        <f t="shared" si="26"/>
        <v>0</v>
      </c>
      <c r="V39" s="35">
        <v>0</v>
      </c>
      <c r="X39" s="35">
        <f t="shared" si="13"/>
        <v>0</v>
      </c>
      <c r="Y39" s="1">
        <f t="shared" si="14"/>
        <v>0</v>
      </c>
      <c r="AA39" s="2">
        <f>+Bono!J39</f>
        <v>124062.64100189497</v>
      </c>
      <c r="AC39" s="10">
        <f t="shared" si="3"/>
        <v>1.3333333333333333</v>
      </c>
      <c r="AD39" s="1">
        <f t="shared" si="15"/>
        <v>288122.35658585408</v>
      </c>
      <c r="AF39" s="1">
        <f t="shared" si="18"/>
        <v>44</v>
      </c>
      <c r="AG39" s="1">
        <f t="shared" si="16"/>
        <v>15</v>
      </c>
      <c r="AH39" s="1">
        <f t="shared" si="17"/>
        <v>120000</v>
      </c>
      <c r="AI39" s="1">
        <f t="shared" si="19"/>
        <v>1800000</v>
      </c>
      <c r="AK39" s="527"/>
      <c r="AL39" s="527"/>
      <c r="AM39" s="527"/>
      <c r="AN39" s="527"/>
      <c r="AO39" s="527"/>
      <c r="AP39" s="527"/>
      <c r="AQ39" s="527"/>
      <c r="AR39" s="527"/>
      <c r="AS39" s="527"/>
      <c r="AT39" s="527"/>
      <c r="AU39" s="527"/>
      <c r="AV39" s="527"/>
      <c r="AW39" s="527"/>
      <c r="AX39" s="527"/>
      <c r="AY39" s="527"/>
      <c r="AZ39" s="527"/>
      <c r="BA39" s="527"/>
    </row>
    <row r="40" spans="1:53">
      <c r="A40" s="1">
        <f t="shared" si="4"/>
        <v>1.4166666666666667</v>
      </c>
      <c r="B40" s="1">
        <f t="shared" si="5"/>
        <v>17</v>
      </c>
      <c r="C40" s="2">
        <f t="shared" si="20"/>
        <v>1</v>
      </c>
      <c r="D40" s="2">
        <f t="shared" si="21"/>
        <v>5</v>
      </c>
      <c r="E40" s="2">
        <f t="shared" si="22"/>
        <v>30</v>
      </c>
      <c r="F40" s="1">
        <f t="shared" si="7"/>
        <v>164059.7155839591</v>
      </c>
      <c r="G40" s="1">
        <f>+IF($G$4="mensual",G39,0)</f>
        <v>10000</v>
      </c>
      <c r="H40" s="1">
        <f t="shared" si="1"/>
        <v>1387.9766150815387</v>
      </c>
      <c r="I40" s="1">
        <v>0</v>
      </c>
      <c r="J40" s="1">
        <v>0</v>
      </c>
      <c r="K40" s="1">
        <f t="shared" si="8"/>
        <v>-203.51932295088713</v>
      </c>
      <c r="L40" s="1">
        <f t="shared" si="9"/>
        <v>175244.17287608975</v>
      </c>
      <c r="N40" s="1">
        <f t="shared" si="10"/>
        <v>17</v>
      </c>
      <c r="O40" s="2">
        <f t="shared" si="23"/>
        <v>1</v>
      </c>
      <c r="P40" s="2">
        <f t="shared" si="24"/>
        <v>5</v>
      </c>
      <c r="Q40" s="2">
        <f t="shared" si="25"/>
        <v>1</v>
      </c>
      <c r="R40" s="1">
        <f t="shared" si="12"/>
        <v>0</v>
      </c>
      <c r="U40" s="1">
        <f t="shared" si="26"/>
        <v>0</v>
      </c>
      <c r="V40" s="35">
        <v>0</v>
      </c>
      <c r="X40" s="35">
        <f t="shared" si="13"/>
        <v>0</v>
      </c>
      <c r="Y40" s="1">
        <f t="shared" si="14"/>
        <v>0</v>
      </c>
      <c r="AA40" s="2">
        <f>+Bono!J40</f>
        <v>124831.84376648239</v>
      </c>
      <c r="AC40" s="10">
        <f t="shared" si="3"/>
        <v>1.4166666666666667</v>
      </c>
      <c r="AD40" s="1">
        <f t="shared" si="15"/>
        <v>300076.01664257213</v>
      </c>
      <c r="AF40" s="1">
        <f t="shared" si="18"/>
        <v>45</v>
      </c>
      <c r="AG40" s="1">
        <f t="shared" si="16"/>
        <v>16</v>
      </c>
      <c r="AH40" s="1">
        <f t="shared" si="17"/>
        <v>120000</v>
      </c>
      <c r="AI40" s="1">
        <f t="shared" si="19"/>
        <v>1920000</v>
      </c>
      <c r="AK40" s="527"/>
      <c r="AL40" s="527"/>
      <c r="AM40" s="527"/>
      <c r="AN40" s="527"/>
      <c r="AO40" s="527"/>
      <c r="AP40" s="527"/>
      <c r="AQ40" s="527"/>
      <c r="AR40" s="527"/>
      <c r="AS40" s="527"/>
      <c r="AT40" s="527"/>
      <c r="AU40" s="527"/>
      <c r="AV40" s="527"/>
      <c r="AW40" s="527"/>
      <c r="AX40" s="527"/>
      <c r="AY40" s="527"/>
      <c r="AZ40" s="527"/>
      <c r="BA40" s="527"/>
    </row>
    <row r="41" spans="1:53">
      <c r="A41" s="1">
        <f t="shared" si="4"/>
        <v>1.5</v>
      </c>
      <c r="B41" s="1">
        <f t="shared" si="5"/>
        <v>18</v>
      </c>
      <c r="C41" s="2">
        <f t="shared" si="20"/>
        <v>1</v>
      </c>
      <c r="D41" s="2">
        <f t="shared" si="21"/>
        <v>6</v>
      </c>
      <c r="E41" s="2">
        <f t="shared" si="22"/>
        <v>30</v>
      </c>
      <c r="F41" s="1">
        <f t="shared" si="7"/>
        <v>175244.17287608975</v>
      </c>
      <c r="G41" s="1">
        <f>+G40</f>
        <v>10000</v>
      </c>
      <c r="H41" s="1">
        <f t="shared" si="1"/>
        <v>1477.1630481500654</v>
      </c>
      <c r="I41" s="1">
        <v>0</v>
      </c>
      <c r="J41" s="69">
        <f>-SUM(F41:H41)*$J$21*1.16</f>
        <v>-1949.370747049064</v>
      </c>
      <c r="K41" s="1">
        <f t="shared" si="8"/>
        <v>-214.33547960554128</v>
      </c>
      <c r="L41" s="1">
        <f t="shared" si="9"/>
        <v>184557.62969758522</v>
      </c>
      <c r="N41" s="1">
        <f t="shared" si="10"/>
        <v>18</v>
      </c>
      <c r="O41" s="2">
        <f t="shared" si="23"/>
        <v>1</v>
      </c>
      <c r="P41" s="2">
        <f t="shared" si="24"/>
        <v>6</v>
      </c>
      <c r="Q41" s="2">
        <f t="shared" si="25"/>
        <v>1</v>
      </c>
      <c r="R41" s="1">
        <f t="shared" si="12"/>
        <v>0</v>
      </c>
      <c r="S41" s="1">
        <v>0</v>
      </c>
      <c r="U41" s="1">
        <f t="shared" si="26"/>
        <v>0</v>
      </c>
      <c r="V41" s="35">
        <v>0</v>
      </c>
      <c r="X41" s="35">
        <f t="shared" si="13"/>
        <v>0</v>
      </c>
      <c r="Y41" s="1">
        <f t="shared" si="14"/>
        <v>0</v>
      </c>
      <c r="AA41" s="2">
        <f>+Bono!J41</f>
        <v>124474.23175241033</v>
      </c>
      <c r="AC41" s="10">
        <f t="shared" si="3"/>
        <v>1.5</v>
      </c>
      <c r="AD41" s="1">
        <f t="shared" si="15"/>
        <v>309031.86144999554</v>
      </c>
      <c r="AF41" s="1">
        <f t="shared" si="18"/>
        <v>46</v>
      </c>
      <c r="AG41" s="1">
        <f t="shared" si="16"/>
        <v>17</v>
      </c>
      <c r="AH41" s="1">
        <f t="shared" si="17"/>
        <v>120000</v>
      </c>
      <c r="AI41" s="1">
        <f t="shared" si="19"/>
        <v>2040000</v>
      </c>
      <c r="AK41" s="527"/>
      <c r="AL41" s="527"/>
      <c r="AM41" s="527"/>
      <c r="AN41" s="527"/>
      <c r="AO41" s="527"/>
      <c r="AP41" s="527"/>
      <c r="AQ41" s="527"/>
      <c r="AR41" s="527"/>
      <c r="AS41" s="527"/>
      <c r="AT41" s="527"/>
      <c r="AU41" s="527"/>
      <c r="AV41" s="527"/>
      <c r="AW41" s="527"/>
      <c r="AX41" s="527"/>
      <c r="AY41" s="527"/>
      <c r="AZ41" s="527"/>
      <c r="BA41" s="527"/>
    </row>
    <row r="42" spans="1:53">
      <c r="A42" s="1">
        <f t="shared" si="4"/>
        <v>1.5833333333333333</v>
      </c>
      <c r="B42" s="1">
        <f t="shared" si="5"/>
        <v>19</v>
      </c>
      <c r="C42" s="2">
        <f t="shared" si="20"/>
        <v>1</v>
      </c>
      <c r="D42" s="2">
        <f t="shared" si="21"/>
        <v>7</v>
      </c>
      <c r="E42" s="2">
        <f t="shared" si="22"/>
        <v>30</v>
      </c>
      <c r="F42" s="1">
        <f t="shared" si="7"/>
        <v>184557.62969758522</v>
      </c>
      <c r="H42" s="1">
        <f t="shared" si="1"/>
        <v>1471.6884564341642</v>
      </c>
      <c r="I42" s="1">
        <v>0</v>
      </c>
      <c r="J42" s="1">
        <v>0</v>
      </c>
      <c r="K42" s="1">
        <f t="shared" si="8"/>
        <v>-215.79400905866248</v>
      </c>
      <c r="L42" s="1">
        <f t="shared" si="9"/>
        <v>185813.52414496074</v>
      </c>
      <c r="N42" s="1">
        <f t="shared" si="10"/>
        <v>19</v>
      </c>
      <c r="O42" s="2">
        <f t="shared" si="23"/>
        <v>1</v>
      </c>
      <c r="P42" s="2">
        <f t="shared" si="24"/>
        <v>7</v>
      </c>
      <c r="Q42" s="2">
        <f t="shared" si="25"/>
        <v>1</v>
      </c>
      <c r="R42" s="1">
        <f t="shared" si="12"/>
        <v>0</v>
      </c>
      <c r="S42" s="1">
        <f>+IF($G$4="mensual",G36,IF($G$4="trimestral",G36,IF(G4="semestral",G36,0)))</f>
        <v>10000</v>
      </c>
      <c r="U42" s="1">
        <f t="shared" si="26"/>
        <v>79.741404289037646</v>
      </c>
      <c r="V42" s="35">
        <f>-15*G19*(1+$G$20)*1.16</f>
        <v>-91.927679999999995</v>
      </c>
      <c r="X42" s="35">
        <f>-SUM(R42:V42)*0.1%*1.16</f>
        <v>-11.585863920175282</v>
      </c>
      <c r="Y42" s="1">
        <f>SUM(R42:X42)</f>
        <v>9976.227860368861</v>
      </c>
      <c r="AA42" s="2">
        <f>+Bono!J42</f>
        <v>125245.9864273925</v>
      </c>
      <c r="AC42" s="10">
        <f t="shared" si="3"/>
        <v>1.5833333333333333</v>
      </c>
      <c r="AD42" s="1">
        <f t="shared" si="15"/>
        <v>321035.73843272211</v>
      </c>
      <c r="AF42" s="1">
        <f t="shared" si="18"/>
        <v>47</v>
      </c>
      <c r="AG42" s="1">
        <f t="shared" si="16"/>
        <v>18</v>
      </c>
      <c r="AH42" s="1">
        <f t="shared" si="17"/>
        <v>120000</v>
      </c>
      <c r="AI42" s="1">
        <f t="shared" si="19"/>
        <v>2160000</v>
      </c>
      <c r="AK42" s="527" t="s">
        <v>141</v>
      </c>
      <c r="AL42" s="527"/>
      <c r="AM42" s="527"/>
      <c r="AN42" s="527"/>
      <c r="AO42" s="527"/>
      <c r="AP42" s="527"/>
      <c r="AQ42" s="527"/>
      <c r="AR42" s="527"/>
      <c r="AS42" s="527"/>
      <c r="AT42" s="527"/>
      <c r="AU42" s="527"/>
      <c r="AV42" s="527"/>
      <c r="AW42" s="527"/>
      <c r="AX42" s="527"/>
      <c r="AY42" s="527"/>
      <c r="AZ42" s="527"/>
      <c r="BA42" s="527"/>
    </row>
    <row r="43" spans="1:53">
      <c r="A43" s="1">
        <f t="shared" si="4"/>
        <v>1.6666666666666667</v>
      </c>
      <c r="B43" s="1">
        <f t="shared" si="5"/>
        <v>20</v>
      </c>
      <c r="C43" s="2">
        <f t="shared" si="20"/>
        <v>1</v>
      </c>
      <c r="D43" s="2">
        <f t="shared" si="21"/>
        <v>8</v>
      </c>
      <c r="E43" s="2">
        <f t="shared" si="22"/>
        <v>30</v>
      </c>
      <c r="F43" s="1">
        <f t="shared" si="7"/>
        <v>185813.52414496074</v>
      </c>
      <c r="H43" s="1">
        <f t="shared" si="1"/>
        <v>1481.7031351214173</v>
      </c>
      <c r="I43" s="1">
        <v>0</v>
      </c>
      <c r="J43" s="1">
        <v>0</v>
      </c>
      <c r="K43" s="1">
        <f t="shared" si="8"/>
        <v>-217.26246364489526</v>
      </c>
      <c r="L43" s="1">
        <f t="shared" si="9"/>
        <v>187077.96481643725</v>
      </c>
      <c r="N43" s="1">
        <f t="shared" si="10"/>
        <v>20</v>
      </c>
      <c r="O43" s="2">
        <f t="shared" si="23"/>
        <v>1</v>
      </c>
      <c r="P43" s="2">
        <f t="shared" si="24"/>
        <v>8</v>
      </c>
      <c r="Q43" s="2">
        <f t="shared" si="25"/>
        <v>1</v>
      </c>
      <c r="R43" s="1">
        <f t="shared" si="12"/>
        <v>9976.227860368861</v>
      </c>
      <c r="S43" s="4">
        <f>IF($G$4="mensual",G36,0)</f>
        <v>10000</v>
      </c>
      <c r="U43" s="1">
        <f t="shared" si="26"/>
        <v>159.29324619836106</v>
      </c>
      <c r="V43" s="35">
        <f>+V42</f>
        <v>-91.927679999999995</v>
      </c>
      <c r="X43" s="35">
        <f t="shared" ref="X43:X106" si="27">-SUM(R43:V43)*0.1%*1.16</f>
        <v>-23.250568374817977</v>
      </c>
      <c r="Y43" s="1">
        <f t="shared" si="14"/>
        <v>20020.342858192405</v>
      </c>
      <c r="AA43" s="2">
        <f>+Bono!J43</f>
        <v>126022.52607087757</v>
      </c>
      <c r="AC43" s="10">
        <f t="shared" si="3"/>
        <v>1.6666666666666667</v>
      </c>
      <c r="AD43" s="1">
        <f t="shared" si="15"/>
        <v>333120.83374550723</v>
      </c>
      <c r="AF43" s="1">
        <f t="shared" si="18"/>
        <v>48</v>
      </c>
      <c r="AG43" s="1">
        <f t="shared" si="16"/>
        <v>19</v>
      </c>
      <c r="AH43" s="1">
        <f t="shared" si="17"/>
        <v>120000</v>
      </c>
      <c r="AI43" s="1">
        <f t="shared" si="19"/>
        <v>2280000</v>
      </c>
      <c r="AK43" s="527"/>
      <c r="AL43" s="527"/>
      <c r="AM43" s="527"/>
      <c r="AN43" s="527"/>
      <c r="AO43" s="527"/>
      <c r="AP43" s="527"/>
      <c r="AQ43" s="527"/>
      <c r="AR43" s="527"/>
      <c r="AS43" s="527"/>
      <c r="AT43" s="527"/>
      <c r="AU43" s="527"/>
      <c r="AV43" s="527"/>
      <c r="AW43" s="527"/>
      <c r="AX43" s="527"/>
      <c r="AY43" s="527"/>
      <c r="AZ43" s="527"/>
      <c r="BA43" s="527"/>
    </row>
    <row r="44" spans="1:53">
      <c r="A44" s="1">
        <f t="shared" si="4"/>
        <v>1.75</v>
      </c>
      <c r="B44" s="1">
        <f t="shared" si="5"/>
        <v>21</v>
      </c>
      <c r="C44" s="2">
        <f t="shared" si="20"/>
        <v>1</v>
      </c>
      <c r="D44" s="2">
        <f t="shared" si="21"/>
        <v>9</v>
      </c>
      <c r="E44" s="2">
        <f t="shared" si="22"/>
        <v>30</v>
      </c>
      <c r="F44" s="1">
        <f t="shared" si="7"/>
        <v>187077.96481643725</v>
      </c>
      <c r="H44" s="1">
        <f t="shared" si="1"/>
        <v>1491.7859625997883</v>
      </c>
      <c r="I44" s="1">
        <v>0</v>
      </c>
      <c r="J44" s="69">
        <f>-SUM(F44:H44)*$J$21*1.16</f>
        <v>-1968.6681981331469</v>
      </c>
      <c r="K44" s="1">
        <f t="shared" si="8"/>
        <v>-216.4572557938485</v>
      </c>
      <c r="L44" s="1">
        <f t="shared" si="9"/>
        <v>186384.62532511004</v>
      </c>
      <c r="N44" s="1">
        <f t="shared" si="10"/>
        <v>21</v>
      </c>
      <c r="O44" s="2">
        <f t="shared" si="23"/>
        <v>1</v>
      </c>
      <c r="P44" s="2">
        <f t="shared" si="24"/>
        <v>9</v>
      </c>
      <c r="Q44" s="2">
        <f t="shared" si="25"/>
        <v>1</v>
      </c>
      <c r="R44" s="1">
        <f t="shared" si="12"/>
        <v>20020.342858192405</v>
      </c>
      <c r="S44" s="4">
        <f>IF($G$4="mensual",G36,0)</f>
        <v>10000</v>
      </c>
      <c r="U44" s="1">
        <f t="shared" si="26"/>
        <v>239.38642967506445</v>
      </c>
      <c r="V44" s="35">
        <f>+V43</f>
        <v>-91.927679999999995</v>
      </c>
      <c r="X44" s="35">
        <f t="shared" si="27"/>
        <v>-34.994649865126263</v>
      </c>
      <c r="Y44" s="1">
        <f t="shared" si="14"/>
        <v>30132.806958002344</v>
      </c>
      <c r="AA44" s="2">
        <f>+Bono!J44</f>
        <v>125661.50304977279</v>
      </c>
      <c r="AC44" s="10">
        <f t="shared" si="3"/>
        <v>1.75</v>
      </c>
      <c r="AD44" s="1">
        <f t="shared" si="15"/>
        <v>342178.93533288519</v>
      </c>
      <c r="AF44" s="1">
        <f t="shared" si="18"/>
        <v>49</v>
      </c>
      <c r="AG44" s="1">
        <f t="shared" si="16"/>
        <v>20</v>
      </c>
      <c r="AH44" s="1">
        <f t="shared" si="17"/>
        <v>120000</v>
      </c>
      <c r="AI44" s="1">
        <f t="shared" si="19"/>
        <v>2400000</v>
      </c>
      <c r="AK44" s="527"/>
      <c r="AL44" s="527"/>
      <c r="AM44" s="527"/>
      <c r="AN44" s="527"/>
      <c r="AO44" s="527"/>
      <c r="AP44" s="527"/>
      <c r="AQ44" s="527"/>
      <c r="AR44" s="527"/>
      <c r="AS44" s="527"/>
      <c r="AT44" s="527"/>
      <c r="AU44" s="527"/>
      <c r="AV44" s="527"/>
      <c r="AW44" s="527"/>
      <c r="AX44" s="527"/>
      <c r="AY44" s="527"/>
      <c r="AZ44" s="527"/>
      <c r="BA44" s="527"/>
    </row>
    <row r="45" spans="1:53">
      <c r="A45" s="1">
        <f t="shared" si="4"/>
        <v>1.8333333333333333</v>
      </c>
      <c r="B45" s="1">
        <f t="shared" si="5"/>
        <v>22</v>
      </c>
      <c r="C45" s="2">
        <f t="shared" si="20"/>
        <v>1</v>
      </c>
      <c r="D45" s="2">
        <f t="shared" si="21"/>
        <v>10</v>
      </c>
      <c r="E45" s="2">
        <f t="shared" si="22"/>
        <v>30</v>
      </c>
      <c r="F45" s="1">
        <f t="shared" si="7"/>
        <v>186384.62532511004</v>
      </c>
      <c r="H45" s="1">
        <f t="shared" si="1"/>
        <v>1486.2571761310403</v>
      </c>
      <c r="I45" s="1">
        <v>0</v>
      </c>
      <c r="J45" s="1">
        <v>0</v>
      </c>
      <c r="K45" s="1">
        <f t="shared" si="8"/>
        <v>-217.93022370143964</v>
      </c>
      <c r="L45" s="1">
        <f t="shared" si="9"/>
        <v>187652.95227753965</v>
      </c>
      <c r="N45" s="1">
        <f t="shared" si="10"/>
        <v>22</v>
      </c>
      <c r="O45" s="2">
        <f t="shared" si="23"/>
        <v>1</v>
      </c>
      <c r="P45" s="2">
        <f t="shared" si="24"/>
        <v>10</v>
      </c>
      <c r="Q45" s="2">
        <f t="shared" si="25"/>
        <v>1</v>
      </c>
      <c r="R45" s="1">
        <f t="shared" si="12"/>
        <v>30132.806958002344</v>
      </c>
      <c r="S45" s="4">
        <f>IF($G$4="mensual",G36,IF($G$4="trimestral",G36,0))</f>
        <v>10000</v>
      </c>
      <c r="U45" s="1">
        <f t="shared" si="26"/>
        <v>320.02463848919678</v>
      </c>
      <c r="V45" s="35">
        <f>+V44</f>
        <v>-91.927679999999995</v>
      </c>
      <c r="X45" s="35">
        <f t="shared" si="27"/>
        <v>-46.81864854313018</v>
      </c>
      <c r="Y45" s="1">
        <f t="shared" si="14"/>
        <v>40314.085267948409</v>
      </c>
      <c r="AA45" s="2">
        <f>+Bono!J45</f>
        <v>126440.61894451355</v>
      </c>
      <c r="AC45" s="10">
        <f t="shared" si="3"/>
        <v>1.8333333333333333</v>
      </c>
      <c r="AD45" s="1">
        <f t="shared" si="15"/>
        <v>354407.65649000159</v>
      </c>
      <c r="AF45" s="1">
        <f t="shared" si="18"/>
        <v>50</v>
      </c>
      <c r="AG45" s="1">
        <f t="shared" si="16"/>
        <v>21</v>
      </c>
      <c r="AH45" s="1">
        <f t="shared" si="17"/>
        <v>120000</v>
      </c>
      <c r="AI45" s="1">
        <f t="shared" si="19"/>
        <v>2520000</v>
      </c>
      <c r="AK45" s="527"/>
      <c r="AL45" s="527"/>
      <c r="AM45" s="527"/>
      <c r="AN45" s="527"/>
      <c r="AO45" s="527"/>
      <c r="AP45" s="527"/>
      <c r="AQ45" s="527"/>
      <c r="AR45" s="527"/>
      <c r="AS45" s="527"/>
      <c r="AT45" s="527"/>
      <c r="AU45" s="527"/>
      <c r="AV45" s="527"/>
      <c r="AW45" s="527"/>
      <c r="AX45" s="527"/>
      <c r="AY45" s="527"/>
      <c r="AZ45" s="527"/>
      <c r="BA45" s="527"/>
    </row>
    <row r="46" spans="1:53">
      <c r="A46" s="1">
        <f t="shared" si="4"/>
        <v>1.9166666666666667</v>
      </c>
      <c r="B46" s="1">
        <f t="shared" si="5"/>
        <v>23</v>
      </c>
      <c r="C46" s="2">
        <f t="shared" si="20"/>
        <v>1</v>
      </c>
      <c r="D46" s="2">
        <f t="shared" si="21"/>
        <v>11</v>
      </c>
      <c r="E46" s="2">
        <f t="shared" si="22"/>
        <v>30</v>
      </c>
      <c r="F46" s="1">
        <f t="shared" si="7"/>
        <v>187652.95227753965</v>
      </c>
      <c r="H46" s="1">
        <f t="shared" si="1"/>
        <v>1496.3709933594776</v>
      </c>
      <c r="I46" s="1">
        <v>0</v>
      </c>
      <c r="J46" s="1">
        <v>0</v>
      </c>
      <c r="K46" s="1">
        <f t="shared" si="8"/>
        <v>-219.41321499424296</v>
      </c>
      <c r="L46" s="1">
        <f t="shared" si="9"/>
        <v>188929.91005590488</v>
      </c>
      <c r="N46" s="1">
        <f t="shared" si="10"/>
        <v>23</v>
      </c>
      <c r="O46" s="2">
        <f t="shared" si="23"/>
        <v>1</v>
      </c>
      <c r="P46" s="2">
        <f t="shared" si="24"/>
        <v>11</v>
      </c>
      <c r="Q46" s="2">
        <f t="shared" si="25"/>
        <v>1</v>
      </c>
      <c r="R46" s="1">
        <f t="shared" si="12"/>
        <v>40314.085267948409</v>
      </c>
      <c r="S46" s="4">
        <f>IF($G$4="mensual",G36,0)</f>
        <v>10000</v>
      </c>
      <c r="U46" s="1">
        <f t="shared" si="26"/>
        <v>401.2115814784587</v>
      </c>
      <c r="V46" s="35">
        <f>+V45</f>
        <v>-91.927679999999995</v>
      </c>
      <c r="X46" s="35">
        <f t="shared" si="27"/>
        <v>-58.723108236535161</v>
      </c>
      <c r="Y46" s="1">
        <f t="shared" si="14"/>
        <v>50564.646061190331</v>
      </c>
      <c r="AA46" s="2">
        <f>+Bono!J46</f>
        <v>127224.56544817357</v>
      </c>
      <c r="AC46" s="10">
        <f t="shared" si="3"/>
        <v>1.9166666666666667</v>
      </c>
      <c r="AD46" s="1">
        <f t="shared" si="15"/>
        <v>366719.12156526878</v>
      </c>
      <c r="AF46" s="1">
        <f t="shared" si="18"/>
        <v>51</v>
      </c>
      <c r="AG46" s="1">
        <f t="shared" si="16"/>
        <v>22</v>
      </c>
      <c r="AH46" s="1">
        <f t="shared" si="17"/>
        <v>120000</v>
      </c>
      <c r="AI46" s="1">
        <f t="shared" si="19"/>
        <v>2640000</v>
      </c>
      <c r="AK46" s="527"/>
      <c r="AL46" s="527"/>
      <c r="AM46" s="527"/>
      <c r="AN46" s="527"/>
      <c r="AO46" s="527"/>
      <c r="AP46" s="527"/>
      <c r="AQ46" s="527"/>
      <c r="AR46" s="527"/>
      <c r="AS46" s="527"/>
      <c r="AT46" s="527"/>
      <c r="AU46" s="527"/>
      <c r="AV46" s="527"/>
      <c r="AW46" s="527"/>
      <c r="AX46" s="527"/>
      <c r="AY46" s="527"/>
      <c r="AZ46" s="527"/>
      <c r="BA46" s="527"/>
    </row>
    <row r="47" spans="1:53">
      <c r="A47" s="1">
        <f t="shared" si="4"/>
        <v>2</v>
      </c>
      <c r="B47" s="1">
        <f t="shared" si="5"/>
        <v>24</v>
      </c>
      <c r="C47" s="2">
        <f t="shared" si="20"/>
        <v>1</v>
      </c>
      <c r="D47" s="2">
        <f t="shared" si="21"/>
        <v>12</v>
      </c>
      <c r="E47" s="2">
        <f t="shared" si="22"/>
        <v>30</v>
      </c>
      <c r="F47" s="1">
        <f t="shared" si="7"/>
        <v>188929.91005590488</v>
      </c>
      <c r="H47" s="1">
        <f t="shared" si="1"/>
        <v>1506.553634005943</v>
      </c>
      <c r="I47" s="1">
        <v>0</v>
      </c>
      <c r="J47" s="69">
        <f>-SUM(F47:H47)*$J$21*1.16</f>
        <v>-1988.1566809226692</v>
      </c>
      <c r="K47" s="1">
        <f t="shared" si="8"/>
        <v>-218.60003613042625</v>
      </c>
      <c r="L47" s="1">
        <f t="shared" si="9"/>
        <v>188229.70697285773</v>
      </c>
      <c r="N47" s="1">
        <f t="shared" si="10"/>
        <v>24</v>
      </c>
      <c r="O47" s="2">
        <f t="shared" si="23"/>
        <v>1</v>
      </c>
      <c r="P47" s="2">
        <f t="shared" si="24"/>
        <v>12</v>
      </c>
      <c r="Q47" s="2">
        <f t="shared" si="25"/>
        <v>1</v>
      </c>
      <c r="R47" s="1">
        <f t="shared" si="12"/>
        <v>50564.646061190331</v>
      </c>
      <c r="S47" s="4">
        <f>IF($G$4="mensual",G36,0)</f>
        <v>10000</v>
      </c>
      <c r="U47" s="1">
        <f t="shared" si="26"/>
        <v>482.95099271878496</v>
      </c>
      <c r="V47" s="35">
        <f>+V46</f>
        <v>-91.927679999999995</v>
      </c>
      <c r="X47" s="35">
        <f t="shared" si="27"/>
        <v>-70.708576473734567</v>
      </c>
      <c r="Y47" s="1">
        <f t="shared" si="14"/>
        <v>60884.960797435378</v>
      </c>
      <c r="AA47" s="2">
        <f>+Bono!J47</f>
        <v>126860.09888486241</v>
      </c>
      <c r="AC47" s="10">
        <f t="shared" si="3"/>
        <v>2</v>
      </c>
      <c r="AD47" s="1">
        <f t="shared" si="15"/>
        <v>375974.76665515552</v>
      </c>
      <c r="AF47" s="1">
        <f t="shared" si="18"/>
        <v>52</v>
      </c>
      <c r="AG47" s="1">
        <f t="shared" si="16"/>
        <v>23</v>
      </c>
      <c r="AH47" s="1">
        <f t="shared" si="17"/>
        <v>120000</v>
      </c>
      <c r="AI47" s="1">
        <f t="shared" si="19"/>
        <v>2760000</v>
      </c>
    </row>
    <row r="48" spans="1:53">
      <c r="A48" s="1">
        <f t="shared" si="4"/>
        <v>2.0833333333333335</v>
      </c>
      <c r="B48" s="1">
        <f t="shared" si="5"/>
        <v>25</v>
      </c>
      <c r="C48" s="2">
        <f t="shared" si="20"/>
        <v>2</v>
      </c>
      <c r="D48" s="2">
        <f t="shared" si="21"/>
        <v>1</v>
      </c>
      <c r="E48" s="2">
        <f t="shared" si="22"/>
        <v>31</v>
      </c>
      <c r="F48" s="1">
        <f t="shared" si="7"/>
        <v>188229.70697285773</v>
      </c>
      <c r="H48" s="1">
        <f t="shared" si="1"/>
        <v>1500.9701162929737</v>
      </c>
      <c r="I48" s="1">
        <v>0</v>
      </c>
      <c r="J48" s="1">
        <v>0</v>
      </c>
      <c r="K48" s="1">
        <f t="shared" si="8"/>
        <v>-220.08758542341479</v>
      </c>
      <c r="L48" s="1">
        <f t="shared" si="9"/>
        <v>189510.5895037273</v>
      </c>
      <c r="N48" s="1">
        <f t="shared" si="10"/>
        <v>25</v>
      </c>
      <c r="O48" s="2">
        <f t="shared" si="23"/>
        <v>2</v>
      </c>
      <c r="P48" s="2">
        <f t="shared" si="24"/>
        <v>1</v>
      </c>
      <c r="Q48" s="2">
        <f t="shared" si="25"/>
        <v>2</v>
      </c>
      <c r="R48" s="1">
        <f t="shared" si="12"/>
        <v>60884.960797435378</v>
      </c>
      <c r="S48" s="1">
        <f>IF(AND($G$17="si",$G$4="Anual"),G36*(1+$G$20)*2,IF(AND($G$17="no",$G$4="Anual"),G36*2,IF($G$17="si",G36*(1+$G$20),G36)))</f>
        <v>10000</v>
      </c>
      <c r="U48" s="1">
        <f t="shared" si="26"/>
        <v>565.24663169608777</v>
      </c>
      <c r="V48" s="35">
        <f>V47*(1+$G$18)</f>
        <v>-95.604787200000004</v>
      </c>
      <c r="X48" s="35">
        <f t="shared" si="27"/>
        <v>-82.771339064640486</v>
      </c>
      <c r="Y48" s="1">
        <f t="shared" si="14"/>
        <v>71271.83130286682</v>
      </c>
      <c r="AA48" s="2">
        <f>+Bono!J48</f>
        <v>127646.64621280924</v>
      </c>
      <c r="AC48" s="10">
        <f t="shared" si="3"/>
        <v>2.0833333333333335</v>
      </c>
      <c r="AD48" s="1">
        <f t="shared" si="15"/>
        <v>388429.06701940333</v>
      </c>
      <c r="AF48" s="1">
        <f t="shared" si="18"/>
        <v>53</v>
      </c>
      <c r="AG48" s="1">
        <f t="shared" si="16"/>
        <v>24</v>
      </c>
      <c r="AH48" s="1">
        <f t="shared" si="17"/>
        <v>120000</v>
      </c>
      <c r="AI48" s="1">
        <f t="shared" si="19"/>
        <v>2880000</v>
      </c>
    </row>
    <row r="49" spans="1:35">
      <c r="A49" s="1">
        <f t="shared" si="4"/>
        <v>2.1666666666666665</v>
      </c>
      <c r="B49" s="1">
        <f t="shared" si="5"/>
        <v>26</v>
      </c>
      <c r="C49" s="2">
        <f t="shared" si="20"/>
        <v>2</v>
      </c>
      <c r="D49" s="2">
        <f t="shared" si="21"/>
        <v>2</v>
      </c>
      <c r="E49" s="2">
        <f t="shared" si="22"/>
        <v>31</v>
      </c>
      <c r="F49" s="1">
        <f t="shared" si="7"/>
        <v>189510.5895037273</v>
      </c>
      <c r="H49" s="1">
        <f t="shared" si="1"/>
        <v>1511.1840534670573</v>
      </c>
      <c r="I49" s="1">
        <v>0</v>
      </c>
      <c r="J49" s="1">
        <v>0</v>
      </c>
      <c r="K49" s="1">
        <f t="shared" si="8"/>
        <v>-221.58525732634544</v>
      </c>
      <c r="L49" s="1">
        <f t="shared" si="9"/>
        <v>190800.18829986802</v>
      </c>
      <c r="N49" s="1">
        <f t="shared" si="10"/>
        <v>26</v>
      </c>
      <c r="O49" s="2">
        <f t="shared" si="23"/>
        <v>2</v>
      </c>
      <c r="P49" s="2">
        <f t="shared" si="24"/>
        <v>2</v>
      </c>
      <c r="Q49" s="2">
        <f t="shared" si="25"/>
        <v>2</v>
      </c>
      <c r="R49" s="1">
        <f t="shared" si="12"/>
        <v>71271.83130286682</v>
      </c>
      <c r="S49" s="4">
        <f>IF($G$4="mensual",S48,0)</f>
        <v>10000</v>
      </c>
      <c r="U49" s="1">
        <f t="shared" si="26"/>
        <v>648.07299572323677</v>
      </c>
      <c r="V49" s="35">
        <f t="shared" ref="V49:V54" si="28">V48</f>
        <v>-95.604787200000004</v>
      </c>
      <c r="X49" s="35">
        <f t="shared" si="27"/>
        <v>-94.916187433212457</v>
      </c>
      <c r="Y49" s="1">
        <f t="shared" si="14"/>
        <v>81729.383323956848</v>
      </c>
      <c r="AA49" s="2">
        <f>+Bono!J49</f>
        <v>128438.07022542319</v>
      </c>
      <c r="AC49" s="10">
        <f t="shared" si="3"/>
        <v>2.1666666666666665</v>
      </c>
      <c r="AD49" s="1">
        <f t="shared" si="15"/>
        <v>400967.64184924809</v>
      </c>
      <c r="AF49" s="1">
        <f t="shared" si="18"/>
        <v>54</v>
      </c>
      <c r="AG49" s="1">
        <f t="shared" si="16"/>
        <v>25</v>
      </c>
      <c r="AH49" s="1">
        <f t="shared" si="17"/>
        <v>120000</v>
      </c>
      <c r="AI49" s="1">
        <f t="shared" si="19"/>
        <v>3000000</v>
      </c>
    </row>
    <row r="50" spans="1:35">
      <c r="A50" s="1">
        <f t="shared" si="4"/>
        <v>2.25</v>
      </c>
      <c r="B50" s="1">
        <f t="shared" si="5"/>
        <v>27</v>
      </c>
      <c r="C50" s="2">
        <f t="shared" si="20"/>
        <v>2</v>
      </c>
      <c r="D50" s="2">
        <f t="shared" si="21"/>
        <v>3</v>
      </c>
      <c r="E50" s="2">
        <f t="shared" si="22"/>
        <v>31</v>
      </c>
      <c r="F50" s="1">
        <f t="shared" si="7"/>
        <v>190800.18829986802</v>
      </c>
      <c r="H50" s="1">
        <f t="shared" si="1"/>
        <v>1521.4674953644285</v>
      </c>
      <c r="I50" s="1">
        <v>0</v>
      </c>
      <c r="J50" s="69">
        <f>-SUM(F50:H50)*$J$21*1.16</f>
        <v>-2007.8380865022268</v>
      </c>
      <c r="K50" s="1">
        <f t="shared" si="8"/>
        <v>-220.76402854212705</v>
      </c>
      <c r="L50" s="1">
        <f t="shared" si="9"/>
        <v>190093.05368018811</v>
      </c>
      <c r="N50" s="1">
        <f t="shared" si="10"/>
        <v>27</v>
      </c>
      <c r="O50" s="2">
        <f t="shared" si="23"/>
        <v>2</v>
      </c>
      <c r="P50" s="2">
        <f t="shared" si="24"/>
        <v>3</v>
      </c>
      <c r="Q50" s="2">
        <f t="shared" si="25"/>
        <v>2</v>
      </c>
      <c r="R50" s="1">
        <f t="shared" si="12"/>
        <v>81729.383323956848</v>
      </c>
      <c r="S50" s="4">
        <f>IF($G$4="mensual",S49,0)</f>
        <v>10000</v>
      </c>
      <c r="U50" s="1">
        <f t="shared" si="26"/>
        <v>731.46298408197504</v>
      </c>
      <c r="V50" s="35">
        <f t="shared" si="28"/>
        <v>-95.604787200000004</v>
      </c>
      <c r="X50" s="35">
        <f t="shared" si="27"/>
        <v>-107.14368016417301</v>
      </c>
      <c r="Y50" s="1">
        <f t="shared" si="14"/>
        <v>92258.097840674644</v>
      </c>
      <c r="AA50" s="2">
        <f>+Bono!J50</f>
        <v>128070.12727440211</v>
      </c>
      <c r="AC50" s="10">
        <f t="shared" si="3"/>
        <v>2.25</v>
      </c>
      <c r="AD50" s="1">
        <f t="shared" si="15"/>
        <v>410421.27879526489</v>
      </c>
      <c r="AF50" s="1">
        <f t="shared" si="18"/>
        <v>55</v>
      </c>
      <c r="AG50" s="1">
        <f t="shared" ref="AG50:AG91" si="29">+AG49+1</f>
        <v>26</v>
      </c>
      <c r="AH50" s="1">
        <f t="shared" ref="AH50:AH91" si="30">IF($G$17="Si",(1+$G$20)*AH49,AH49)</f>
        <v>120000</v>
      </c>
      <c r="AI50" s="1">
        <f t="shared" si="19"/>
        <v>3120000</v>
      </c>
    </row>
    <row r="51" spans="1:35">
      <c r="A51" s="1">
        <f t="shared" si="4"/>
        <v>2.3333333333333335</v>
      </c>
      <c r="B51" s="1">
        <f t="shared" si="5"/>
        <v>28</v>
      </c>
      <c r="C51" s="2">
        <f t="shared" si="20"/>
        <v>2</v>
      </c>
      <c r="D51" s="2">
        <f t="shared" si="21"/>
        <v>4</v>
      </c>
      <c r="E51" s="2">
        <f t="shared" si="22"/>
        <v>31</v>
      </c>
      <c r="F51" s="1">
        <f t="shared" si="7"/>
        <v>190093.05368018811</v>
      </c>
      <c r="H51" s="1">
        <f t="shared" si="1"/>
        <v>1515.8287046049616</v>
      </c>
      <c r="I51" s="1">
        <v>0</v>
      </c>
      <c r="J51" s="1">
        <v>0</v>
      </c>
      <c r="K51" s="1">
        <f t="shared" si="8"/>
        <v>-222.26630356635997</v>
      </c>
      <c r="L51" s="1">
        <f t="shared" si="9"/>
        <v>191386.6160812267</v>
      </c>
      <c r="N51" s="1">
        <f t="shared" si="10"/>
        <v>28</v>
      </c>
      <c r="O51" s="2">
        <f t="shared" si="23"/>
        <v>2</v>
      </c>
      <c r="P51" s="2">
        <f t="shared" si="24"/>
        <v>4</v>
      </c>
      <c r="Q51" s="2">
        <f t="shared" si="25"/>
        <v>2</v>
      </c>
      <c r="R51" s="1">
        <f t="shared" si="12"/>
        <v>92258.097840674644</v>
      </c>
      <c r="S51" s="4">
        <f>IF($G$4="mensual",S48,IF($G$4="trimestral",S48,0))</f>
        <v>10000</v>
      </c>
      <c r="U51" s="1">
        <f t="shared" si="26"/>
        <v>815.42043217412038</v>
      </c>
      <c r="V51" s="35">
        <f t="shared" si="28"/>
        <v>-95.604787200000004</v>
      </c>
      <c r="X51" s="35">
        <f t="shared" si="27"/>
        <v>-119.45437964335257</v>
      </c>
      <c r="Y51" s="1">
        <f t="shared" si="14"/>
        <v>102858.45910600541</v>
      </c>
      <c r="AA51" s="2">
        <f>+Bono!J51</f>
        <v>128864.1769187187</v>
      </c>
      <c r="AC51" s="10">
        <f t="shared" si="3"/>
        <v>2.3333333333333335</v>
      </c>
      <c r="AD51" s="1">
        <f t="shared" si="15"/>
        <v>423109.25210595084</v>
      </c>
      <c r="AF51" s="1">
        <f t="shared" si="18"/>
        <v>56</v>
      </c>
      <c r="AG51" s="1">
        <f t="shared" si="29"/>
        <v>27</v>
      </c>
      <c r="AH51" s="1">
        <f t="shared" si="30"/>
        <v>120000</v>
      </c>
      <c r="AI51" s="1">
        <f t="shared" si="19"/>
        <v>3240000</v>
      </c>
    </row>
    <row r="52" spans="1:35">
      <c r="A52" s="1">
        <f t="shared" si="4"/>
        <v>2.4166666666666665</v>
      </c>
      <c r="B52" s="1">
        <f t="shared" si="5"/>
        <v>29</v>
      </c>
      <c r="C52" s="2">
        <f t="shared" si="20"/>
        <v>2</v>
      </c>
      <c r="D52" s="2">
        <f t="shared" si="21"/>
        <v>5</v>
      </c>
      <c r="E52" s="2">
        <f t="shared" si="22"/>
        <v>31</v>
      </c>
      <c r="F52" s="1">
        <f t="shared" si="7"/>
        <v>191386.6160812267</v>
      </c>
      <c r="H52" s="1">
        <f t="shared" si="1"/>
        <v>1526.1437528443932</v>
      </c>
      <c r="I52" s="1">
        <v>0</v>
      </c>
      <c r="J52" s="1">
        <v>0</v>
      </c>
      <c r="K52" s="1">
        <f t="shared" si="8"/>
        <v>-223.77880140752245</v>
      </c>
      <c r="L52" s="1">
        <f t="shared" si="9"/>
        <v>192688.98103266358</v>
      </c>
      <c r="N52" s="1">
        <f t="shared" si="10"/>
        <v>29</v>
      </c>
      <c r="O52" s="2">
        <f t="shared" si="23"/>
        <v>2</v>
      </c>
      <c r="P52" s="2">
        <f t="shared" si="24"/>
        <v>5</v>
      </c>
      <c r="Q52" s="2">
        <f t="shared" si="25"/>
        <v>2</v>
      </c>
      <c r="R52" s="1">
        <f t="shared" si="12"/>
        <v>102858.45910600541</v>
      </c>
      <c r="S52" s="4">
        <f>IF($G$4="mensual",S51,0)</f>
        <v>10000</v>
      </c>
      <c r="U52" s="1">
        <f t="shared" si="26"/>
        <v>899.94920150097994</v>
      </c>
      <c r="V52" s="35">
        <f t="shared" si="28"/>
        <v>-95.604787200000004</v>
      </c>
      <c r="X52" s="35">
        <f t="shared" si="27"/>
        <v>-131.84885208355539</v>
      </c>
      <c r="Y52" s="1">
        <f t="shared" si="14"/>
        <v>113530.95466822282</v>
      </c>
      <c r="AA52" s="2">
        <f>+Bono!J52</f>
        <v>129663.14976293412</v>
      </c>
      <c r="AC52" s="10">
        <f t="shared" si="3"/>
        <v>2.4166666666666665</v>
      </c>
      <c r="AD52" s="1">
        <f t="shared" si="15"/>
        <v>435883.08546382049</v>
      </c>
      <c r="AF52" s="1">
        <f t="shared" si="18"/>
        <v>57</v>
      </c>
      <c r="AG52" s="1">
        <f t="shared" si="29"/>
        <v>28</v>
      </c>
      <c r="AH52" s="1">
        <f t="shared" si="30"/>
        <v>120000</v>
      </c>
      <c r="AI52" s="1">
        <f t="shared" si="19"/>
        <v>3360000</v>
      </c>
    </row>
    <row r="53" spans="1:35">
      <c r="A53" s="1">
        <f t="shared" si="4"/>
        <v>2.5</v>
      </c>
      <c r="B53" s="1">
        <f t="shared" si="5"/>
        <v>30</v>
      </c>
      <c r="C53" s="2">
        <f t="shared" si="20"/>
        <v>2</v>
      </c>
      <c r="D53" s="2">
        <f t="shared" si="21"/>
        <v>6</v>
      </c>
      <c r="E53" s="2">
        <f t="shared" si="22"/>
        <v>31</v>
      </c>
      <c r="F53" s="1">
        <f t="shared" si="7"/>
        <v>192688.98103266358</v>
      </c>
      <c r="H53" s="1">
        <f t="shared" si="1"/>
        <v>1536.5289938568333</v>
      </c>
      <c r="I53" s="1">
        <v>0</v>
      </c>
      <c r="J53" s="69">
        <f>-SUM(F53:H53)*$J$21*1.16</f>
        <v>-2027.714324676873</v>
      </c>
      <c r="K53" s="1">
        <f t="shared" si="8"/>
        <v>-222.9494430141385</v>
      </c>
      <c r="L53" s="1">
        <f t="shared" si="9"/>
        <v>191974.84625882941</v>
      </c>
      <c r="N53" s="1">
        <f t="shared" si="10"/>
        <v>30</v>
      </c>
      <c r="O53" s="2">
        <f t="shared" si="23"/>
        <v>2</v>
      </c>
      <c r="P53" s="2">
        <f t="shared" si="24"/>
        <v>6</v>
      </c>
      <c r="Q53" s="2">
        <f t="shared" si="25"/>
        <v>2</v>
      </c>
      <c r="R53" s="1">
        <f t="shared" si="12"/>
        <v>113530.95466822282</v>
      </c>
      <c r="S53" s="4">
        <f>IF($G$4="mensual",S52,0)</f>
        <v>10000</v>
      </c>
      <c r="U53" s="1">
        <f t="shared" si="26"/>
        <v>985.05317984095382</v>
      </c>
      <c r="V53" s="35">
        <f t="shared" si="28"/>
        <v>-95.604787200000004</v>
      </c>
      <c r="X53" s="35">
        <f t="shared" si="27"/>
        <v>-144.32766755060197</v>
      </c>
      <c r="Y53" s="1">
        <f t="shared" si="14"/>
        <v>124276.07539331316</v>
      </c>
      <c r="AA53" s="2">
        <f>+Bono!J53</f>
        <v>129291.6972654096</v>
      </c>
      <c r="AC53" s="10">
        <f t="shared" si="3"/>
        <v>2.5</v>
      </c>
      <c r="AD53" s="1">
        <f t="shared" si="15"/>
        <v>445542.61891755217</v>
      </c>
      <c r="AF53" s="1">
        <f t="shared" si="18"/>
        <v>58</v>
      </c>
      <c r="AG53" s="1">
        <f t="shared" si="29"/>
        <v>29</v>
      </c>
      <c r="AH53" s="1">
        <f t="shared" si="30"/>
        <v>120000</v>
      </c>
      <c r="AI53" s="1">
        <f t="shared" si="19"/>
        <v>3480000</v>
      </c>
    </row>
    <row r="54" spans="1:35">
      <c r="A54" s="1">
        <f t="shared" si="4"/>
        <v>2.5833333333333335</v>
      </c>
      <c r="B54" s="1">
        <f t="shared" si="5"/>
        <v>31</v>
      </c>
      <c r="C54" s="2">
        <f t="shared" si="20"/>
        <v>2</v>
      </c>
      <c r="D54" s="2">
        <f t="shared" si="21"/>
        <v>7</v>
      </c>
      <c r="E54" s="2">
        <f t="shared" si="22"/>
        <v>31</v>
      </c>
      <c r="F54" s="1">
        <f t="shared" si="7"/>
        <v>191974.84625882941</v>
      </c>
      <c r="H54" s="1">
        <f t="shared" si="1"/>
        <v>1530.8343828851162</v>
      </c>
      <c r="I54" s="1">
        <v>0</v>
      </c>
      <c r="J54" s="1">
        <v>0</v>
      </c>
      <c r="K54" s="1">
        <f t="shared" si="8"/>
        <v>-224.46658954438882</v>
      </c>
      <c r="L54" s="1">
        <f t="shared" si="9"/>
        <v>193281.21405217014</v>
      </c>
      <c r="N54" s="1">
        <f t="shared" si="10"/>
        <v>31</v>
      </c>
      <c r="O54" s="2">
        <f t="shared" si="23"/>
        <v>2</v>
      </c>
      <c r="P54" s="2">
        <f t="shared" si="24"/>
        <v>7</v>
      </c>
      <c r="Q54" s="2">
        <f t="shared" si="25"/>
        <v>2</v>
      </c>
      <c r="R54" s="1">
        <f t="shared" si="12"/>
        <v>124276.07539331316</v>
      </c>
      <c r="S54" s="1">
        <f>+IF($G$4="mensual",S48,IF($G$4="trimestral",S48,IF($G$4="semestral",S48,0)))</f>
        <v>10000</v>
      </c>
      <c r="U54" s="1">
        <f t="shared" si="26"/>
        <v>1070.7362814283483</v>
      </c>
      <c r="V54" s="35">
        <f t="shared" si="28"/>
        <v>-95.604787200000004</v>
      </c>
      <c r="X54" s="35">
        <f t="shared" si="27"/>
        <v>-156.89139998954815</v>
      </c>
      <c r="Y54" s="1">
        <f t="shared" si="14"/>
        <v>135094.31548755197</v>
      </c>
      <c r="AA54" s="2">
        <f>+Bono!J54</f>
        <v>130093.32078536379</v>
      </c>
      <c r="AC54" s="10">
        <f t="shared" si="3"/>
        <v>2.5833333333333335</v>
      </c>
      <c r="AD54" s="1">
        <f t="shared" si="15"/>
        <v>458468.85032508592</v>
      </c>
      <c r="AF54" s="1">
        <f t="shared" si="18"/>
        <v>59</v>
      </c>
      <c r="AG54" s="1">
        <f t="shared" si="29"/>
        <v>30</v>
      </c>
      <c r="AH54" s="1">
        <f t="shared" si="30"/>
        <v>120000</v>
      </c>
      <c r="AI54" s="1">
        <f t="shared" si="19"/>
        <v>3600000</v>
      </c>
    </row>
    <row r="55" spans="1:35">
      <c r="A55" s="1">
        <f t="shared" si="4"/>
        <v>2.6666666666666665</v>
      </c>
      <c r="B55" s="1">
        <f t="shared" si="5"/>
        <v>32</v>
      </c>
      <c r="C55" s="2">
        <f t="shared" si="20"/>
        <v>2</v>
      </c>
      <c r="D55" s="2">
        <f t="shared" si="21"/>
        <v>8</v>
      </c>
      <c r="E55" s="2">
        <f t="shared" si="22"/>
        <v>31</v>
      </c>
      <c r="F55" s="1">
        <f t="shared" si="7"/>
        <v>193281.21405217014</v>
      </c>
      <c r="H55" s="1">
        <f t="shared" si="1"/>
        <v>1541.2515431210122</v>
      </c>
      <c r="I55" s="1">
        <v>0</v>
      </c>
      <c r="J55" s="1">
        <v>0</v>
      </c>
      <c r="K55" s="1">
        <f t="shared" si="8"/>
        <v>-225.99406009053769</v>
      </c>
      <c r="L55" s="1">
        <f t="shared" si="9"/>
        <v>194596.4715352006</v>
      </c>
      <c r="N55" s="1">
        <f t="shared" si="10"/>
        <v>32</v>
      </c>
      <c r="O55" s="2">
        <f t="shared" si="23"/>
        <v>2</v>
      </c>
      <c r="P55" s="2">
        <f t="shared" si="24"/>
        <v>8</v>
      </c>
      <c r="Q55" s="2">
        <f t="shared" si="25"/>
        <v>2</v>
      </c>
      <c r="R55" s="1">
        <f t="shared" si="12"/>
        <v>135094.31548755197</v>
      </c>
      <c r="S55" s="4">
        <f>IF($G$4="mensual",S54,0)</f>
        <v>10000</v>
      </c>
      <c r="U55" s="1">
        <f t="shared" si="26"/>
        <v>1157.0024471334057</v>
      </c>
      <c r="V55" s="35">
        <f>V54</f>
        <v>-95.604787200000004</v>
      </c>
      <c r="X55" s="35">
        <f t="shared" si="27"/>
        <v>-169.54062725108304</v>
      </c>
      <c r="Y55" s="1">
        <f t="shared" si="14"/>
        <v>145986.17252023431</v>
      </c>
      <c r="AA55" s="2">
        <f>+Bono!J55</f>
        <v>130899.91446412425</v>
      </c>
      <c r="AC55" s="10">
        <f t="shared" si="3"/>
        <v>2.6666666666666665</v>
      </c>
      <c r="AD55" s="1">
        <f t="shared" si="15"/>
        <v>471482.55851955916</v>
      </c>
      <c r="AF55" s="1">
        <f t="shared" si="18"/>
        <v>60</v>
      </c>
      <c r="AG55" s="1">
        <f t="shared" si="29"/>
        <v>31</v>
      </c>
      <c r="AH55" s="1">
        <f t="shared" si="30"/>
        <v>120000</v>
      </c>
      <c r="AI55" s="1">
        <f t="shared" si="19"/>
        <v>3720000</v>
      </c>
    </row>
    <row r="56" spans="1:35">
      <c r="A56" s="1">
        <f t="shared" si="4"/>
        <v>2.75</v>
      </c>
      <c r="B56" s="1">
        <f t="shared" si="5"/>
        <v>33</v>
      </c>
      <c r="C56" s="2">
        <f t="shared" si="20"/>
        <v>2</v>
      </c>
      <c r="D56" s="2">
        <f t="shared" si="21"/>
        <v>9</v>
      </c>
      <c r="E56" s="2">
        <f t="shared" si="22"/>
        <v>31</v>
      </c>
      <c r="F56" s="1">
        <f t="shared" si="7"/>
        <v>194596.4715352006</v>
      </c>
      <c r="H56" s="1">
        <f t="shared" si="1"/>
        <v>1551.7395909908637</v>
      </c>
      <c r="I56" s="1">
        <v>0</v>
      </c>
      <c r="J56" s="69">
        <f>-SUM(F56:H56)*$J$21*1.16</f>
        <v>-2047.7873241574389</v>
      </c>
      <c r="K56" s="1">
        <f t="shared" si="8"/>
        <v>-225.15649161035947</v>
      </c>
      <c r="L56" s="1">
        <f t="shared" si="9"/>
        <v>193875.26731042366</v>
      </c>
      <c r="N56" s="1">
        <f t="shared" si="10"/>
        <v>33</v>
      </c>
      <c r="O56" s="2">
        <f t="shared" si="23"/>
        <v>2</v>
      </c>
      <c r="P56" s="2">
        <f t="shared" si="24"/>
        <v>9</v>
      </c>
      <c r="Q56" s="2">
        <f t="shared" si="25"/>
        <v>2</v>
      </c>
      <c r="R56" s="1">
        <f t="shared" si="12"/>
        <v>145986.17252023431</v>
      </c>
      <c r="S56" s="4">
        <f>IF($G$4="mensual",S55,0)</f>
        <v>10000</v>
      </c>
      <c r="U56" s="1">
        <f t="shared" si="26"/>
        <v>1243.8556446435578</v>
      </c>
      <c r="V56" s="35">
        <f>V55</f>
        <v>-95.604787200000004</v>
      </c>
      <c r="X56" s="35">
        <f t="shared" si="27"/>
        <v>-182.27593111810631</v>
      </c>
      <c r="Y56" s="1">
        <f t="shared" si="14"/>
        <v>156952.14744655977</v>
      </c>
      <c r="AA56" s="2">
        <f>+Bono!J56</f>
        <v>130524.91894502462</v>
      </c>
      <c r="AC56" s="10">
        <f t="shared" si="3"/>
        <v>2.75</v>
      </c>
      <c r="AD56" s="1">
        <f t="shared" si="15"/>
        <v>481352.33370200807</v>
      </c>
      <c r="AF56" s="1">
        <f t="shared" si="18"/>
        <v>61</v>
      </c>
      <c r="AG56" s="1">
        <f t="shared" si="29"/>
        <v>32</v>
      </c>
      <c r="AH56" s="1">
        <f t="shared" si="30"/>
        <v>120000</v>
      </c>
      <c r="AI56" s="1">
        <f t="shared" si="19"/>
        <v>3840000</v>
      </c>
    </row>
    <row r="57" spans="1:35">
      <c r="A57" s="1">
        <f t="shared" si="4"/>
        <v>2.8333333333333335</v>
      </c>
      <c r="B57" s="1">
        <f t="shared" si="5"/>
        <v>34</v>
      </c>
      <c r="C57" s="2">
        <f t="shared" si="20"/>
        <v>2</v>
      </c>
      <c r="D57" s="2">
        <f t="shared" si="21"/>
        <v>10</v>
      </c>
      <c r="E57" s="2">
        <f t="shared" si="22"/>
        <v>31</v>
      </c>
      <c r="F57" s="1">
        <f t="shared" si="7"/>
        <v>193875.26731042366</v>
      </c>
      <c r="H57" s="1">
        <f t="shared" si="1"/>
        <v>1545.9886072245736</v>
      </c>
      <c r="I57" s="1">
        <v>0</v>
      </c>
      <c r="J57" s="1">
        <v>0</v>
      </c>
      <c r="K57" s="1">
        <f t="shared" si="8"/>
        <v>-226.68865686447194</v>
      </c>
      <c r="L57" s="1">
        <f t="shared" si="9"/>
        <v>195194.56726078375</v>
      </c>
      <c r="N57" s="1">
        <f t="shared" si="10"/>
        <v>34</v>
      </c>
      <c r="O57" s="2">
        <f t="shared" si="23"/>
        <v>2</v>
      </c>
      <c r="P57" s="2">
        <f t="shared" si="24"/>
        <v>10</v>
      </c>
      <c r="Q57" s="2">
        <f t="shared" si="25"/>
        <v>2</v>
      </c>
      <c r="R57" s="1">
        <f t="shared" si="12"/>
        <v>156952.14744655977</v>
      </c>
      <c r="S57" s="4">
        <f>IF($G$4="mensual",S48,IF($G$4="trimestral",S48,0))</f>
        <v>10000</v>
      </c>
      <c r="U57" s="1">
        <f t="shared" si="26"/>
        <v>1331.2998686459146</v>
      </c>
      <c r="V57" s="35">
        <f>V56</f>
        <v>-95.604787200000004</v>
      </c>
      <c r="X57" s="35">
        <f t="shared" si="27"/>
        <v>-195.09789733248658</v>
      </c>
      <c r="Y57" s="1">
        <f t="shared" si="14"/>
        <v>167992.7446306732</v>
      </c>
      <c r="AA57" s="2">
        <f>+Bono!J57</f>
        <v>131334.18858243729</v>
      </c>
      <c r="AC57" s="10">
        <f t="shared" si="3"/>
        <v>2.8333333333333335</v>
      </c>
      <c r="AD57" s="1">
        <f t="shared" si="15"/>
        <v>494521.50047389424</v>
      </c>
      <c r="AF57" s="1">
        <f t="shared" si="18"/>
        <v>62</v>
      </c>
      <c r="AG57" s="1">
        <f t="shared" si="29"/>
        <v>33</v>
      </c>
      <c r="AH57" s="1">
        <f t="shared" si="30"/>
        <v>120000</v>
      </c>
      <c r="AI57" s="1">
        <f t="shared" si="19"/>
        <v>3960000</v>
      </c>
    </row>
    <row r="58" spans="1:35">
      <c r="A58" s="1">
        <f t="shared" si="4"/>
        <v>2.9166666666666665</v>
      </c>
      <c r="B58" s="1">
        <f t="shared" si="5"/>
        <v>35</v>
      </c>
      <c r="C58" s="2">
        <f t="shared" si="20"/>
        <v>2</v>
      </c>
      <c r="D58" s="2">
        <f t="shared" si="21"/>
        <v>11</v>
      </c>
      <c r="E58" s="2">
        <f t="shared" si="22"/>
        <v>31</v>
      </c>
      <c r="F58" s="1">
        <f t="shared" si="7"/>
        <v>195194.56726078375</v>
      </c>
      <c r="H58" s="1">
        <f t="shared" si="1"/>
        <v>1556.5088902965908</v>
      </c>
      <c r="I58" s="1">
        <v>0</v>
      </c>
      <c r="J58" s="1">
        <v>0</v>
      </c>
      <c r="K58" s="1">
        <f t="shared" si="8"/>
        <v>-228.23124833525318</v>
      </c>
      <c r="L58" s="1">
        <f t="shared" si="9"/>
        <v>196522.8449027451</v>
      </c>
      <c r="N58" s="1">
        <f t="shared" si="10"/>
        <v>35</v>
      </c>
      <c r="O58" s="2">
        <f t="shared" si="23"/>
        <v>2</v>
      </c>
      <c r="P58" s="2">
        <f t="shared" si="24"/>
        <v>11</v>
      </c>
      <c r="Q58" s="2">
        <f t="shared" si="25"/>
        <v>2</v>
      </c>
      <c r="R58" s="1">
        <f t="shared" si="12"/>
        <v>167992.7446306732</v>
      </c>
      <c r="S58" s="4">
        <f>IF($G$4="mensual",S57,0)</f>
        <v>10000</v>
      </c>
      <c r="U58" s="1">
        <f t="shared" si="26"/>
        <v>1419.3391410109946</v>
      </c>
      <c r="V58" s="35">
        <f>V57</f>
        <v>-95.604787200000004</v>
      </c>
      <c r="X58" s="35">
        <f t="shared" si="27"/>
        <v>-208.00711562200166</v>
      </c>
      <c r="Y58" s="1">
        <f t="shared" si="14"/>
        <v>179108.47186886222</v>
      </c>
      <c r="AA58" s="2">
        <f>+Bono!J58</f>
        <v>132148.47578547135</v>
      </c>
      <c r="AC58" s="10">
        <f t="shared" si="3"/>
        <v>2.9166666666666665</v>
      </c>
      <c r="AD58" s="1">
        <f t="shared" si="15"/>
        <v>507779.79255707865</v>
      </c>
      <c r="AF58" s="1">
        <f t="shared" si="18"/>
        <v>63</v>
      </c>
      <c r="AG58" s="1">
        <f t="shared" si="29"/>
        <v>34</v>
      </c>
      <c r="AH58" s="1">
        <f t="shared" si="30"/>
        <v>120000</v>
      </c>
      <c r="AI58" s="1">
        <f t="shared" si="19"/>
        <v>4080000</v>
      </c>
    </row>
    <row r="59" spans="1:35">
      <c r="A59" s="1">
        <f t="shared" si="4"/>
        <v>3</v>
      </c>
      <c r="B59" s="1">
        <f t="shared" si="5"/>
        <v>36</v>
      </c>
      <c r="C59" s="2">
        <f t="shared" si="20"/>
        <v>2</v>
      </c>
      <c r="D59" s="2">
        <f t="shared" si="21"/>
        <v>12</v>
      </c>
      <c r="E59" s="2">
        <f t="shared" si="22"/>
        <v>31</v>
      </c>
      <c r="F59" s="1">
        <f t="shared" si="7"/>
        <v>196522.8449027451</v>
      </c>
      <c r="H59" s="1">
        <f t="shared" si="1"/>
        <v>1567.1007627421639</v>
      </c>
      <c r="I59" s="1">
        <v>0</v>
      </c>
      <c r="J59" s="69">
        <f>-SUM(F59:H59)*$J$21*1.16</f>
        <v>-2068.0590327476871</v>
      </c>
      <c r="K59" s="1">
        <f t="shared" si="8"/>
        <v>-227.3853884939779</v>
      </c>
      <c r="L59" s="1">
        <f t="shared" si="9"/>
        <v>195794.50124424559</v>
      </c>
      <c r="N59" s="1">
        <f t="shared" si="10"/>
        <v>36</v>
      </c>
      <c r="O59" s="2">
        <f t="shared" si="23"/>
        <v>2</v>
      </c>
      <c r="P59" s="2">
        <f t="shared" si="24"/>
        <v>12</v>
      </c>
      <c r="Q59" s="2">
        <f t="shared" si="25"/>
        <v>2</v>
      </c>
      <c r="R59" s="1">
        <f t="shared" si="12"/>
        <v>179108.47186886222</v>
      </c>
      <c r="S59" s="4">
        <f>IF($G$4="mensual",S58,0)</f>
        <v>10000</v>
      </c>
      <c r="U59" s="1">
        <f t="shared" si="26"/>
        <v>1507.9775109777045</v>
      </c>
      <c r="V59" s="35">
        <f>V58</f>
        <v>-95.604787200000004</v>
      </c>
      <c r="X59" s="35">
        <f t="shared" si="27"/>
        <v>-221.00417972746231</v>
      </c>
      <c r="Y59" s="1">
        <f t="shared" si="14"/>
        <v>190299.84041291248</v>
      </c>
      <c r="AA59" s="2">
        <f>+Bono!J59</f>
        <v>131769.90345042999</v>
      </c>
      <c r="AC59" s="10">
        <f t="shared" si="3"/>
        <v>3</v>
      </c>
      <c r="AD59" s="1">
        <f t="shared" si="15"/>
        <v>517864.24510758801</v>
      </c>
      <c r="AF59" s="1">
        <f t="shared" si="18"/>
        <v>64</v>
      </c>
      <c r="AG59" s="1">
        <f t="shared" si="29"/>
        <v>35</v>
      </c>
      <c r="AH59" s="1">
        <f t="shared" si="30"/>
        <v>120000</v>
      </c>
      <c r="AI59" s="1">
        <f t="shared" si="19"/>
        <v>4200000</v>
      </c>
    </row>
    <row r="60" spans="1:35">
      <c r="A60" s="1">
        <f t="shared" si="4"/>
        <v>3.0833333333333335</v>
      </c>
      <c r="B60" s="1">
        <f t="shared" si="5"/>
        <v>37</v>
      </c>
      <c r="C60" s="2">
        <f t="shared" si="20"/>
        <v>3</v>
      </c>
      <c r="D60" s="2">
        <f t="shared" si="21"/>
        <v>1</v>
      </c>
      <c r="E60" s="2">
        <f t="shared" si="22"/>
        <v>32</v>
      </c>
      <c r="F60" s="1">
        <f t="shared" si="7"/>
        <v>195794.50124424559</v>
      </c>
      <c r="H60" s="1">
        <f t="shared" si="1"/>
        <v>1561.2928481287872</v>
      </c>
      <c r="I60" s="1">
        <v>0</v>
      </c>
      <c r="J60" s="1">
        <v>0</v>
      </c>
      <c r="K60" s="1">
        <f t="shared" si="8"/>
        <v>-228.9327211471543</v>
      </c>
      <c r="L60" s="1">
        <f t="shared" si="9"/>
        <v>197126.86137122722</v>
      </c>
      <c r="N60" s="1">
        <f t="shared" si="10"/>
        <v>37</v>
      </c>
      <c r="O60" s="2">
        <f t="shared" si="23"/>
        <v>3</v>
      </c>
      <c r="P60" s="2">
        <f t="shared" si="24"/>
        <v>1</v>
      </c>
      <c r="Q60" s="2">
        <f t="shared" si="25"/>
        <v>3</v>
      </c>
      <c r="R60" s="1">
        <f t="shared" si="12"/>
        <v>190299.84041291248</v>
      </c>
      <c r="S60" s="1">
        <f>IF($G$17="si",S48*(1+$G$20),S48)</f>
        <v>10000</v>
      </c>
      <c r="U60" s="1">
        <f t="shared" si="26"/>
        <v>1597.2190553395774</v>
      </c>
      <c r="V60" s="35">
        <f>V59*(1+$G$18)</f>
        <v>-99.428978688000001</v>
      </c>
      <c r="X60" s="35">
        <f t="shared" si="27"/>
        <v>-234.0852513678943</v>
      </c>
      <c r="Y60" s="1">
        <f t="shared" si="14"/>
        <v>201563.54523819618</v>
      </c>
      <c r="AA60" s="2">
        <f>+Bono!J60</f>
        <v>132586.8921361854</v>
      </c>
      <c r="AC60" s="10">
        <f t="shared" si="3"/>
        <v>3.0833333333333335</v>
      </c>
      <c r="AD60" s="1">
        <f t="shared" si="15"/>
        <v>531277.29874560877</v>
      </c>
      <c r="AF60" s="1">
        <f t="shared" si="18"/>
        <v>65</v>
      </c>
      <c r="AG60" s="1">
        <f t="shared" si="29"/>
        <v>36</v>
      </c>
      <c r="AH60" s="1">
        <f t="shared" si="30"/>
        <v>120000</v>
      </c>
      <c r="AI60" s="1">
        <f t="shared" si="19"/>
        <v>4320000</v>
      </c>
    </row>
    <row r="61" spans="1:35">
      <c r="A61" s="1">
        <f t="shared" si="4"/>
        <v>3.1666666666666665</v>
      </c>
      <c r="B61" s="1">
        <f t="shared" si="5"/>
        <v>38</v>
      </c>
      <c r="C61" s="2">
        <f t="shared" si="20"/>
        <v>3</v>
      </c>
      <c r="D61" s="2">
        <f t="shared" si="21"/>
        <v>2</v>
      </c>
      <c r="E61" s="2">
        <f t="shared" si="22"/>
        <v>32</v>
      </c>
      <c r="F61" s="1">
        <f t="shared" si="7"/>
        <v>197126.86137122722</v>
      </c>
      <c r="H61" s="1">
        <f t="shared" si="1"/>
        <v>1571.9172748832107</v>
      </c>
      <c r="I61" s="1">
        <v>0</v>
      </c>
      <c r="J61" s="1">
        <v>0</v>
      </c>
      <c r="K61" s="1">
        <f t="shared" si="8"/>
        <v>-230.4905832294881</v>
      </c>
      <c r="L61" s="1">
        <f t="shared" si="9"/>
        <v>198468.28806288095</v>
      </c>
      <c r="N61" s="1">
        <f t="shared" si="10"/>
        <v>38</v>
      </c>
      <c r="O61" s="2">
        <f t="shared" si="23"/>
        <v>3</v>
      </c>
      <c r="P61" s="2">
        <f t="shared" si="24"/>
        <v>2</v>
      </c>
      <c r="Q61" s="2">
        <f t="shared" si="25"/>
        <v>3</v>
      </c>
      <c r="R61" s="1">
        <f t="shared" si="12"/>
        <v>201563.54523819618</v>
      </c>
      <c r="S61" s="4">
        <f>IF($G$4="mensual",S60,0)</f>
        <v>10000</v>
      </c>
      <c r="U61" s="1">
        <f t="shared" si="26"/>
        <v>1687.0374193661107</v>
      </c>
      <c r="V61" s="35">
        <f t="shared" ref="V61:V124" si="31">V60</f>
        <v>-99.428978688000001</v>
      </c>
      <c r="X61" s="35">
        <f t="shared" si="27"/>
        <v>-247.25533826749415</v>
      </c>
      <c r="Y61" s="1">
        <f t="shared" si="14"/>
        <v>212903.8983406068</v>
      </c>
      <c r="AA61" s="2">
        <f>+Bono!J61</f>
        <v>133408.94624655735</v>
      </c>
      <c r="AC61" s="10">
        <f t="shared" si="3"/>
        <v>3.1666666666666665</v>
      </c>
      <c r="AD61" s="1">
        <f t="shared" si="15"/>
        <v>544781.1326500451</v>
      </c>
      <c r="AF61" s="1">
        <f t="shared" si="18"/>
        <v>66</v>
      </c>
      <c r="AG61" s="1">
        <f t="shared" si="29"/>
        <v>37</v>
      </c>
      <c r="AH61" s="1">
        <f t="shared" si="30"/>
        <v>120000</v>
      </c>
      <c r="AI61" s="1">
        <f t="shared" si="19"/>
        <v>4440000</v>
      </c>
    </row>
    <row r="62" spans="1:35">
      <c r="A62" s="1">
        <f t="shared" si="4"/>
        <v>3.25</v>
      </c>
      <c r="B62" s="1">
        <f t="shared" si="5"/>
        <v>39</v>
      </c>
      <c r="C62" s="2">
        <f t="shared" si="20"/>
        <v>3</v>
      </c>
      <c r="D62" s="2">
        <f t="shared" si="21"/>
        <v>3</v>
      </c>
      <c r="E62" s="2">
        <f t="shared" si="22"/>
        <v>32</v>
      </c>
      <c r="F62" s="1">
        <f t="shared" si="7"/>
        <v>198468.28806288095</v>
      </c>
      <c r="H62" s="1">
        <f t="shared" si="1"/>
        <v>1582.6139996975373</v>
      </c>
      <c r="I62" s="1">
        <v>0</v>
      </c>
      <c r="J62" s="69">
        <f>-SUM(F62:H62)*$J$21*1.16</f>
        <v>-2088.5314175333192</v>
      </c>
      <c r="K62" s="1">
        <f t="shared" si="8"/>
        <v>-229.63634994825236</v>
      </c>
      <c r="L62" s="1">
        <f t="shared" si="9"/>
        <v>197732.73429509692</v>
      </c>
      <c r="N62" s="1">
        <f t="shared" si="10"/>
        <v>39</v>
      </c>
      <c r="O62" s="2">
        <f t="shared" si="23"/>
        <v>3</v>
      </c>
      <c r="P62" s="2">
        <f t="shared" si="24"/>
        <v>3</v>
      </c>
      <c r="Q62" s="2">
        <f t="shared" si="25"/>
        <v>3</v>
      </c>
      <c r="R62" s="1">
        <f t="shared" si="12"/>
        <v>212903.8983406068</v>
      </c>
      <c r="S62" s="4">
        <f>IF($G$4="mensual",S61,0)</f>
        <v>10000</v>
      </c>
      <c r="U62" s="1">
        <f t="shared" si="26"/>
        <v>1777.4669875180873</v>
      </c>
      <c r="V62" s="35">
        <f t="shared" si="31"/>
        <v>-99.428978688000001</v>
      </c>
      <c r="X62" s="35">
        <f t="shared" si="27"/>
        <v>-260.5150461653468</v>
      </c>
      <c r="Y62" s="1">
        <f t="shared" si="14"/>
        <v>224321.42130327155</v>
      </c>
      <c r="AA62" s="2">
        <f>+Bono!J62</f>
        <v>133026.76297886716</v>
      </c>
      <c r="AC62" s="10">
        <f t="shared" si="3"/>
        <v>3.25</v>
      </c>
      <c r="AD62" s="1">
        <f t="shared" si="15"/>
        <v>555080.91857723566</v>
      </c>
      <c r="AF62" s="1">
        <f t="shared" si="18"/>
        <v>67</v>
      </c>
      <c r="AG62" s="1">
        <f t="shared" si="29"/>
        <v>38</v>
      </c>
      <c r="AH62" s="1">
        <f t="shared" si="30"/>
        <v>120000</v>
      </c>
      <c r="AI62" s="1">
        <f t="shared" si="19"/>
        <v>4560000</v>
      </c>
    </row>
    <row r="63" spans="1:35">
      <c r="A63" s="1">
        <f t="shared" si="4"/>
        <v>3.3333333333333335</v>
      </c>
      <c r="B63" s="1">
        <f t="shared" si="5"/>
        <v>40</v>
      </c>
      <c r="C63" s="2">
        <f t="shared" si="20"/>
        <v>3</v>
      </c>
      <c r="D63" s="2">
        <f t="shared" si="21"/>
        <v>4</v>
      </c>
      <c r="E63" s="2">
        <f t="shared" si="22"/>
        <v>32</v>
      </c>
      <c r="F63" s="1">
        <f t="shared" si="7"/>
        <v>197732.73429509692</v>
      </c>
      <c r="H63" s="1">
        <f t="shared" si="1"/>
        <v>1576.7485906602183</v>
      </c>
      <c r="I63" s="1">
        <v>0</v>
      </c>
      <c r="J63" s="1">
        <v>0</v>
      </c>
      <c r="K63" s="1">
        <f t="shared" si="8"/>
        <v>-231.19900014747827</v>
      </c>
      <c r="L63" s="1">
        <f t="shared" si="9"/>
        <v>199078.28388560965</v>
      </c>
      <c r="N63" s="1">
        <f t="shared" si="10"/>
        <v>40</v>
      </c>
      <c r="O63" s="2">
        <f t="shared" si="23"/>
        <v>3</v>
      </c>
      <c r="P63" s="2">
        <f t="shared" si="24"/>
        <v>4</v>
      </c>
      <c r="Q63" s="2">
        <f t="shared" si="25"/>
        <v>3</v>
      </c>
      <c r="R63" s="1">
        <f t="shared" si="12"/>
        <v>224321.42130327155</v>
      </c>
      <c r="S63" s="4">
        <f>IF($G$4="mensual",S60,IF($G$4="trimestral",S60,0))</f>
        <v>10000</v>
      </c>
      <c r="U63" s="1">
        <f t="shared" si="26"/>
        <v>1868.5119189726095</v>
      </c>
      <c r="V63" s="35">
        <f t="shared" si="31"/>
        <v>-99.428978688000001</v>
      </c>
      <c r="X63" s="35">
        <f t="shared" si="27"/>
        <v>-273.86498492252514</v>
      </c>
      <c r="Y63" s="1">
        <f t="shared" si="14"/>
        <v>235816.63925863363</v>
      </c>
      <c r="AA63" s="2">
        <f>+Bono!J63</f>
        <v>133851.54433948558</v>
      </c>
      <c r="AC63" s="10">
        <f t="shared" si="3"/>
        <v>3.3333333333333335</v>
      </c>
      <c r="AD63" s="1">
        <f t="shared" si="15"/>
        <v>568746.46748372889</v>
      </c>
      <c r="AF63" s="1">
        <f t="shared" si="18"/>
        <v>68</v>
      </c>
      <c r="AG63" s="1">
        <f t="shared" si="29"/>
        <v>39</v>
      </c>
      <c r="AH63" s="1">
        <f t="shared" si="30"/>
        <v>120000</v>
      </c>
      <c r="AI63" s="1">
        <f t="shared" si="19"/>
        <v>4680000</v>
      </c>
    </row>
    <row r="64" spans="1:35">
      <c r="A64" s="1">
        <f t="shared" si="4"/>
        <v>3.4166666666666665</v>
      </c>
      <c r="B64" s="1">
        <f t="shared" si="5"/>
        <v>41</v>
      </c>
      <c r="C64" s="2">
        <f t="shared" si="20"/>
        <v>3</v>
      </c>
      <c r="D64" s="2">
        <f t="shared" si="21"/>
        <v>5</v>
      </c>
      <c r="E64" s="2">
        <f t="shared" si="22"/>
        <v>32</v>
      </c>
      <c r="F64" s="1">
        <f t="shared" si="7"/>
        <v>199078.28388560965</v>
      </c>
      <c r="H64" s="1">
        <f t="shared" si="1"/>
        <v>1587.4781920490207</v>
      </c>
      <c r="I64" s="1">
        <v>0</v>
      </c>
      <c r="J64" s="1">
        <v>0</v>
      </c>
      <c r="K64" s="1">
        <f t="shared" si="8"/>
        <v>-232.77228401008406</v>
      </c>
      <c r="L64" s="1">
        <f t="shared" si="9"/>
        <v>200432.98979364859</v>
      </c>
      <c r="N64" s="1">
        <f t="shared" si="10"/>
        <v>41</v>
      </c>
      <c r="O64" s="2">
        <f t="shared" si="23"/>
        <v>3</v>
      </c>
      <c r="P64" s="2">
        <f t="shared" si="24"/>
        <v>5</v>
      </c>
      <c r="Q64" s="2">
        <f t="shared" si="25"/>
        <v>3</v>
      </c>
      <c r="R64" s="1">
        <f t="shared" si="12"/>
        <v>235816.63925863363</v>
      </c>
      <c r="S64" s="4">
        <f>IF($G$4="mensual",S63,0)</f>
        <v>10000</v>
      </c>
      <c r="U64" s="1">
        <f t="shared" si="26"/>
        <v>1960.1764012095227</v>
      </c>
      <c r="V64" s="35">
        <f t="shared" si="31"/>
        <v>-99.428978688000001</v>
      </c>
      <c r="X64" s="35">
        <f t="shared" si="27"/>
        <v>-287.30576855013999</v>
      </c>
      <c r="Y64" s="1">
        <f t="shared" si="14"/>
        <v>247390.08091260502</v>
      </c>
      <c r="AA64" s="2">
        <f>+Bono!J64</f>
        <v>134681.43944020855</v>
      </c>
      <c r="AC64" s="10">
        <f t="shared" si="3"/>
        <v>3.4166666666666665</v>
      </c>
      <c r="AD64" s="1">
        <f t="shared" si="15"/>
        <v>582504.51014646213</v>
      </c>
      <c r="AF64" s="1">
        <f t="shared" si="18"/>
        <v>69</v>
      </c>
      <c r="AG64" s="1">
        <f t="shared" si="29"/>
        <v>40</v>
      </c>
      <c r="AH64" s="1">
        <f t="shared" si="30"/>
        <v>120000</v>
      </c>
      <c r="AI64" s="1">
        <f t="shared" si="19"/>
        <v>4800000</v>
      </c>
    </row>
    <row r="65" spans="1:35">
      <c r="A65" s="1">
        <f t="shared" si="4"/>
        <v>3.5</v>
      </c>
      <c r="B65" s="1">
        <f t="shared" si="5"/>
        <v>42</v>
      </c>
      <c r="C65" s="2">
        <f t="shared" si="20"/>
        <v>3</v>
      </c>
      <c r="D65" s="2">
        <f t="shared" si="21"/>
        <v>6</v>
      </c>
      <c r="E65" s="2">
        <f t="shared" si="22"/>
        <v>32</v>
      </c>
      <c r="F65" s="1">
        <f t="shared" si="7"/>
        <v>200432.98979364859</v>
      </c>
      <c r="H65" s="1">
        <f t="shared" si="1"/>
        <v>1598.2808071995887</v>
      </c>
      <c r="I65" s="1">
        <v>0</v>
      </c>
      <c r="J65" s="69">
        <f>-SUM(F65:H65)*$J$21*1.16</f>
        <v>-2109.2064650728553</v>
      </c>
      <c r="K65" s="1">
        <f t="shared" si="8"/>
        <v>-231.90959439749938</v>
      </c>
      <c r="L65" s="1">
        <f t="shared" si="9"/>
        <v>199690.15454137785</v>
      </c>
      <c r="N65" s="1">
        <f t="shared" si="10"/>
        <v>42</v>
      </c>
      <c r="O65" s="2">
        <f t="shared" si="23"/>
        <v>3</v>
      </c>
      <c r="P65" s="2">
        <f t="shared" si="24"/>
        <v>6</v>
      </c>
      <c r="Q65" s="2">
        <f t="shared" si="25"/>
        <v>3</v>
      </c>
      <c r="R65" s="1">
        <f t="shared" si="12"/>
        <v>247390.08091260502</v>
      </c>
      <c r="S65" s="4">
        <f>IF($G$4="mensual",S64,0)</f>
        <v>10000</v>
      </c>
      <c r="U65" s="1">
        <f t="shared" si="26"/>
        <v>2052.4646502040146</v>
      </c>
      <c r="V65" s="35">
        <f t="shared" si="31"/>
        <v>-99.428978688000001</v>
      </c>
      <c r="X65" s="35">
        <f t="shared" si="27"/>
        <v>-300.83801523758041</v>
      </c>
      <c r="Y65" s="1">
        <f t="shared" si="14"/>
        <v>259042.27856888346</v>
      </c>
      <c r="AA65" s="2">
        <f>+Bono!J65</f>
        <v>134295.61079774745</v>
      </c>
      <c r="AC65" s="10">
        <f t="shared" si="3"/>
        <v>3.5</v>
      </c>
      <c r="AD65" s="1">
        <f t="shared" si="15"/>
        <v>593028.04390800884</v>
      </c>
      <c r="AF65" s="1">
        <f t="shared" si="18"/>
        <v>70</v>
      </c>
      <c r="AG65" s="1">
        <f t="shared" si="29"/>
        <v>41</v>
      </c>
      <c r="AH65" s="1">
        <f t="shared" si="30"/>
        <v>120000</v>
      </c>
      <c r="AI65" s="1">
        <f t="shared" si="19"/>
        <v>4920000</v>
      </c>
    </row>
    <row r="66" spans="1:35">
      <c r="A66" s="1">
        <f t="shared" si="4"/>
        <v>3.5833333333333335</v>
      </c>
      <c r="B66" s="1">
        <f t="shared" si="5"/>
        <v>43</v>
      </c>
      <c r="C66" s="2">
        <f t="shared" si="20"/>
        <v>3</v>
      </c>
      <c r="D66" s="2">
        <f t="shared" si="21"/>
        <v>7</v>
      </c>
      <c r="E66" s="2">
        <f t="shared" si="22"/>
        <v>32</v>
      </c>
      <c r="F66" s="1">
        <f t="shared" si="7"/>
        <v>199690.15454137785</v>
      </c>
      <c r="H66" s="1">
        <f t="shared" si="1"/>
        <v>1592.3573345824418</v>
      </c>
      <c r="I66" s="1">
        <v>0</v>
      </c>
      <c r="J66" s="1">
        <v>0</v>
      </c>
      <c r="K66" s="1">
        <f t="shared" si="8"/>
        <v>-233.48771377611396</v>
      </c>
      <c r="L66" s="1">
        <f t="shared" si="9"/>
        <v>201049.02416218419</v>
      </c>
      <c r="N66" s="1">
        <f t="shared" si="10"/>
        <v>43</v>
      </c>
      <c r="O66" s="2">
        <f t="shared" si="23"/>
        <v>3</v>
      </c>
      <c r="P66" s="2">
        <f t="shared" si="24"/>
        <v>7</v>
      </c>
      <c r="Q66" s="2">
        <f t="shared" si="25"/>
        <v>3</v>
      </c>
      <c r="R66" s="1">
        <f t="shared" si="12"/>
        <v>259042.27856888346</v>
      </c>
      <c r="S66" s="1">
        <f>+IF($G$4="mensual",S60,IF($G$4="trimestral",S60,IF($G$4="semestral",S60,0)))</f>
        <v>10000</v>
      </c>
      <c r="U66" s="1">
        <f t="shared" si="26"/>
        <v>2145.3809106205222</v>
      </c>
      <c r="V66" s="35">
        <f t="shared" si="31"/>
        <v>-99.428978688000001</v>
      </c>
      <c r="X66" s="35">
        <f t="shared" si="27"/>
        <v>-314.46234738094643</v>
      </c>
      <c r="Y66" s="1">
        <f t="shared" si="14"/>
        <v>270773.76815343497</v>
      </c>
      <c r="AA66" s="2">
        <f>+Bono!J66</f>
        <v>135128.25916202017</v>
      </c>
      <c r="AC66" s="10">
        <f t="shared" si="3"/>
        <v>3.5833333333333335</v>
      </c>
      <c r="AD66" s="1">
        <f t="shared" si="15"/>
        <v>606951.05147763935</v>
      </c>
      <c r="AF66" s="1">
        <f t="shared" si="18"/>
        <v>71</v>
      </c>
      <c r="AG66" s="1">
        <f t="shared" si="29"/>
        <v>42</v>
      </c>
      <c r="AH66" s="1">
        <f t="shared" si="30"/>
        <v>120000</v>
      </c>
      <c r="AI66" s="1">
        <f t="shared" si="19"/>
        <v>5040000</v>
      </c>
    </row>
    <row r="67" spans="1:35">
      <c r="A67" s="1">
        <f t="shared" si="4"/>
        <v>3.6666666666666665</v>
      </c>
      <c r="B67" s="1">
        <f t="shared" si="5"/>
        <v>44</v>
      </c>
      <c r="C67" s="2">
        <f t="shared" si="20"/>
        <v>3</v>
      </c>
      <c r="D67" s="2">
        <f t="shared" si="21"/>
        <v>8</v>
      </c>
      <c r="E67" s="2">
        <f t="shared" si="22"/>
        <v>32</v>
      </c>
      <c r="F67" s="1">
        <f t="shared" si="7"/>
        <v>201049.02416218419</v>
      </c>
      <c r="H67" s="1">
        <f t="shared" si="1"/>
        <v>1603.1931517633227</v>
      </c>
      <c r="I67" s="1">
        <v>0</v>
      </c>
      <c r="J67" s="1">
        <v>0</v>
      </c>
      <c r="K67" s="1">
        <f t="shared" si="8"/>
        <v>-235.07657208417911</v>
      </c>
      <c r="L67" s="1">
        <f t="shared" si="9"/>
        <v>202417.14074186332</v>
      </c>
      <c r="N67" s="1">
        <f t="shared" si="10"/>
        <v>44</v>
      </c>
      <c r="O67" s="2">
        <f t="shared" si="23"/>
        <v>3</v>
      </c>
      <c r="P67" s="2">
        <f t="shared" si="24"/>
        <v>8</v>
      </c>
      <c r="Q67" s="2">
        <f t="shared" si="25"/>
        <v>3</v>
      </c>
      <c r="R67" s="1">
        <f t="shared" si="12"/>
        <v>270773.76815343497</v>
      </c>
      <c r="S67" s="4">
        <f>IF($G$4="mensual",S66,0)</f>
        <v>10000</v>
      </c>
      <c r="U67" s="1">
        <f t="shared" si="26"/>
        <v>2238.9294560079579</v>
      </c>
      <c r="V67" s="35">
        <f t="shared" si="31"/>
        <v>-99.428978688000001</v>
      </c>
      <c r="X67" s="35">
        <f t="shared" si="27"/>
        <v>-328.17939161167567</v>
      </c>
      <c r="Y67" s="1">
        <f t="shared" si="14"/>
        <v>282585.08923914324</v>
      </c>
      <c r="AA67" s="2">
        <f>+Bono!J67</f>
        <v>135966.07004273261</v>
      </c>
      <c r="AC67" s="10">
        <f t="shared" si="3"/>
        <v>3.6666666666666665</v>
      </c>
      <c r="AD67" s="1">
        <f t="shared" si="15"/>
        <v>620968.30002373911</v>
      </c>
      <c r="AF67" s="1">
        <f t="shared" si="18"/>
        <v>72</v>
      </c>
      <c r="AG67" s="1">
        <f t="shared" si="29"/>
        <v>43</v>
      </c>
      <c r="AH67" s="1">
        <f t="shared" si="30"/>
        <v>120000</v>
      </c>
      <c r="AI67" s="1">
        <f t="shared" si="19"/>
        <v>5160000</v>
      </c>
    </row>
    <row r="68" spans="1:35">
      <c r="A68" s="1">
        <f t="shared" si="4"/>
        <v>3.75</v>
      </c>
      <c r="B68" s="1">
        <f t="shared" si="5"/>
        <v>45</v>
      </c>
      <c r="C68" s="2">
        <f t="shared" si="20"/>
        <v>3</v>
      </c>
      <c r="D68" s="2">
        <f t="shared" si="21"/>
        <v>9</v>
      </c>
      <c r="E68" s="2">
        <f t="shared" si="22"/>
        <v>32</v>
      </c>
      <c r="F68" s="1">
        <f t="shared" si="7"/>
        <v>202417.14074186332</v>
      </c>
      <c r="H68" s="1">
        <f t="shared" si="1"/>
        <v>1614.1027054927956</v>
      </c>
      <c r="I68" s="1">
        <v>0</v>
      </c>
      <c r="J68" s="69">
        <f>-SUM(F68:H68)*$J$21*1.16</f>
        <v>-2130.0861815903977</v>
      </c>
      <c r="K68" s="1">
        <f t="shared" si="8"/>
        <v>-234.20534242828819</v>
      </c>
      <c r="L68" s="1">
        <f t="shared" si="9"/>
        <v>201666.95192333742</v>
      </c>
      <c r="N68" s="1">
        <f t="shared" si="10"/>
        <v>45</v>
      </c>
      <c r="O68" s="2">
        <f t="shared" si="23"/>
        <v>3</v>
      </c>
      <c r="P68" s="2">
        <f t="shared" si="24"/>
        <v>9</v>
      </c>
      <c r="Q68" s="2">
        <f t="shared" si="25"/>
        <v>3</v>
      </c>
      <c r="R68" s="1">
        <f t="shared" si="12"/>
        <v>282585.08923914324</v>
      </c>
      <c r="S68" s="4">
        <f>IF($G$4="mensual",S67,0)</f>
        <v>10000</v>
      </c>
      <c r="U68" s="1">
        <f t="shared" si="26"/>
        <v>2333.1145889962677</v>
      </c>
      <c r="V68" s="35">
        <f t="shared" si="31"/>
        <v>-99.428978688000001</v>
      </c>
      <c r="X68" s="35">
        <f t="shared" si="27"/>
        <v>-341.98977882536377</v>
      </c>
      <c r="Y68" s="1">
        <f t="shared" si="14"/>
        <v>294476.78507062612</v>
      </c>
      <c r="AA68" s="2">
        <f>+Bono!J68</f>
        <v>135576.56125485952</v>
      </c>
      <c r="AC68" s="10">
        <f t="shared" si="3"/>
        <v>3.75</v>
      </c>
      <c r="AD68" s="1">
        <f t="shared" si="15"/>
        <v>631720.29824882303</v>
      </c>
      <c r="AF68" s="1">
        <f t="shared" si="18"/>
        <v>73</v>
      </c>
      <c r="AG68" s="1">
        <f t="shared" si="29"/>
        <v>44</v>
      </c>
      <c r="AH68" s="1">
        <f t="shared" si="30"/>
        <v>120000</v>
      </c>
      <c r="AI68" s="1">
        <f t="shared" si="19"/>
        <v>5280000</v>
      </c>
    </row>
    <row r="69" spans="1:35">
      <c r="A69" s="1">
        <f t="shared" si="4"/>
        <v>3.8333333333333335</v>
      </c>
      <c r="B69" s="1">
        <f t="shared" si="5"/>
        <v>46</v>
      </c>
      <c r="C69" s="2">
        <f t="shared" si="20"/>
        <v>3</v>
      </c>
      <c r="D69" s="2">
        <f t="shared" si="21"/>
        <v>10</v>
      </c>
      <c r="E69" s="2">
        <f t="shared" si="22"/>
        <v>32</v>
      </c>
      <c r="F69" s="1">
        <f t="shared" si="7"/>
        <v>201666.95192333742</v>
      </c>
      <c r="H69" s="1">
        <f t="shared" si="1"/>
        <v>1608.1205945056765</v>
      </c>
      <c r="I69" s="1">
        <v>0</v>
      </c>
      <c r="J69" s="1">
        <v>0</v>
      </c>
      <c r="K69" s="1">
        <f t="shared" si="8"/>
        <v>-235.79908412069798</v>
      </c>
      <c r="L69" s="1">
        <f t="shared" si="9"/>
        <v>203039.27343372241</v>
      </c>
      <c r="N69" s="1">
        <f t="shared" si="10"/>
        <v>46</v>
      </c>
      <c r="O69" s="2">
        <f t="shared" si="23"/>
        <v>3</v>
      </c>
      <c r="P69" s="2">
        <f t="shared" si="24"/>
        <v>10</v>
      </c>
      <c r="Q69" s="2">
        <f t="shared" si="25"/>
        <v>3</v>
      </c>
      <c r="R69" s="1">
        <f t="shared" si="12"/>
        <v>294476.78507062612</v>
      </c>
      <c r="S69" s="4">
        <f>IF($G$4="mensual",S60,IF($G$4="trimestral",S60,0))</f>
        <v>10000</v>
      </c>
      <c r="U69" s="1">
        <f t="shared" si="26"/>
        <v>2427.9406414943219</v>
      </c>
      <c r="V69" s="35">
        <f t="shared" si="31"/>
        <v>-99.428978688000001</v>
      </c>
      <c r="X69" s="35">
        <f t="shared" si="27"/>
        <v>-355.89414421078152</v>
      </c>
      <c r="Y69" s="1">
        <f t="shared" si="14"/>
        <v>306449.4025892216</v>
      </c>
      <c r="AA69" s="2">
        <f>+Bono!J69</f>
        <v>136417.15166054739</v>
      </c>
      <c r="AC69" s="10">
        <f t="shared" si="3"/>
        <v>3.8333333333333335</v>
      </c>
      <c r="AD69" s="1">
        <f t="shared" si="15"/>
        <v>645905.8276834914</v>
      </c>
      <c r="AF69" s="1">
        <f t="shared" si="18"/>
        <v>74</v>
      </c>
      <c r="AG69" s="1">
        <f t="shared" si="29"/>
        <v>45</v>
      </c>
      <c r="AH69" s="1">
        <f t="shared" si="30"/>
        <v>120000</v>
      </c>
      <c r="AI69" s="1">
        <f t="shared" si="19"/>
        <v>5400000</v>
      </c>
    </row>
    <row r="70" spans="1:35">
      <c r="A70" s="1">
        <f t="shared" si="4"/>
        <v>3.9166666666666665</v>
      </c>
      <c r="B70" s="1">
        <f t="shared" si="5"/>
        <v>47</v>
      </c>
      <c r="C70" s="2">
        <f t="shared" si="20"/>
        <v>3</v>
      </c>
      <c r="D70" s="2">
        <f t="shared" si="21"/>
        <v>11</v>
      </c>
      <c r="E70" s="2">
        <f t="shared" si="22"/>
        <v>32</v>
      </c>
      <c r="F70" s="1">
        <f t="shared" si="7"/>
        <v>203039.27343372241</v>
      </c>
      <c r="H70" s="1">
        <f t="shared" si="1"/>
        <v>1619.0636789430919</v>
      </c>
      <c r="I70" s="1">
        <v>0</v>
      </c>
      <c r="J70" s="1">
        <v>0</v>
      </c>
      <c r="K70" s="1">
        <f t="shared" si="8"/>
        <v>-237.40367105069197</v>
      </c>
      <c r="L70" s="1">
        <f t="shared" si="9"/>
        <v>204420.93344161479</v>
      </c>
      <c r="N70" s="1">
        <f t="shared" si="10"/>
        <v>47</v>
      </c>
      <c r="O70" s="2">
        <f t="shared" si="23"/>
        <v>3</v>
      </c>
      <c r="P70" s="2">
        <f t="shared" si="24"/>
        <v>11</v>
      </c>
      <c r="Q70" s="2">
        <f t="shared" si="25"/>
        <v>3</v>
      </c>
      <c r="R70" s="1">
        <f t="shared" si="12"/>
        <v>306449.4025892216</v>
      </c>
      <c r="S70" s="1">
        <f>IF($G$17="si",S58*(1+$G$20),S58)</f>
        <v>10000</v>
      </c>
      <c r="U70" s="1">
        <f t="shared" si="26"/>
        <v>2523.4119748891553</v>
      </c>
      <c r="V70" s="35">
        <f t="shared" si="31"/>
        <v>-99.428978688000001</v>
      </c>
      <c r="X70" s="35">
        <f t="shared" si="27"/>
        <v>-369.89312727909038</v>
      </c>
      <c r="Y70" s="1">
        <f t="shared" si="14"/>
        <v>318503.49245814368</v>
      </c>
      <c r="AA70" s="2">
        <f>+Bono!J70</f>
        <v>137262.953824253</v>
      </c>
      <c r="AC70" s="10">
        <f t="shared" si="3"/>
        <v>3.9166666666666665</v>
      </c>
      <c r="AD70" s="1">
        <f t="shared" si="15"/>
        <v>660187.37972401152</v>
      </c>
      <c r="AF70" s="1">
        <f t="shared" si="18"/>
        <v>75</v>
      </c>
      <c r="AG70" s="1">
        <f t="shared" si="29"/>
        <v>46</v>
      </c>
      <c r="AH70" s="1">
        <f t="shared" si="30"/>
        <v>120000</v>
      </c>
      <c r="AI70" s="1">
        <f t="shared" si="19"/>
        <v>5520000</v>
      </c>
    </row>
    <row r="71" spans="1:35">
      <c r="A71" s="1">
        <f t="shared" si="4"/>
        <v>4</v>
      </c>
      <c r="B71" s="1">
        <f t="shared" si="5"/>
        <v>48</v>
      </c>
      <c r="C71" s="2">
        <f t="shared" si="20"/>
        <v>3</v>
      </c>
      <c r="D71" s="2">
        <f t="shared" si="21"/>
        <v>12</v>
      </c>
      <c r="E71" s="2">
        <f t="shared" si="22"/>
        <v>32</v>
      </c>
      <c r="F71" s="1">
        <f t="shared" si="7"/>
        <v>204420.93344161479</v>
      </c>
      <c r="H71" s="1">
        <f t="shared" si="1"/>
        <v>1630.0812298710259</v>
      </c>
      <c r="I71" s="1">
        <v>0</v>
      </c>
      <c r="J71" s="69">
        <f>-SUM(F71:H71)*$J$21*1.16</f>
        <v>-2151.1725931703122</v>
      </c>
      <c r="K71" s="1">
        <f t="shared" si="8"/>
        <v>-236.52381681084597</v>
      </c>
      <c r="L71" s="1">
        <f t="shared" si="9"/>
        <v>203663.31826150467</v>
      </c>
      <c r="N71" s="1">
        <f t="shared" si="10"/>
        <v>48</v>
      </c>
      <c r="O71" s="2">
        <f t="shared" si="23"/>
        <v>3</v>
      </c>
      <c r="P71" s="2">
        <f t="shared" si="24"/>
        <v>12</v>
      </c>
      <c r="Q71" s="2">
        <f t="shared" si="25"/>
        <v>3</v>
      </c>
      <c r="R71" s="1">
        <f t="shared" si="12"/>
        <v>318503.49245814368</v>
      </c>
      <c r="S71" s="4">
        <f>IF($G$4="mensual",S70,0)</f>
        <v>10000</v>
      </c>
      <c r="U71" s="1">
        <f t="shared" si="26"/>
        <v>2619.5329802465662</v>
      </c>
      <c r="V71" s="35">
        <f t="shared" si="31"/>
        <v>-99.428978688000001</v>
      </c>
      <c r="X71" s="35">
        <f t="shared" si="27"/>
        <v>-383.98737189325453</v>
      </c>
      <c r="Y71" s="1">
        <f t="shared" si="14"/>
        <v>330639.60908780899</v>
      </c>
      <c r="AA71" s="2">
        <f>+Bono!J71</f>
        <v>136869.72978867442</v>
      </c>
      <c r="AC71" s="10">
        <f t="shared" si="3"/>
        <v>4</v>
      </c>
      <c r="AD71" s="1">
        <f t="shared" si="15"/>
        <v>671172.65713798802</v>
      </c>
      <c r="AF71" s="1">
        <f t="shared" si="18"/>
        <v>76</v>
      </c>
      <c r="AG71" s="1">
        <f t="shared" si="29"/>
        <v>47</v>
      </c>
      <c r="AH71" s="1">
        <f t="shared" si="30"/>
        <v>120000</v>
      </c>
      <c r="AI71" s="1">
        <f t="shared" si="19"/>
        <v>5640000</v>
      </c>
    </row>
    <row r="72" spans="1:35">
      <c r="A72" s="1">
        <f t="shared" si="4"/>
        <v>4.083333333333333</v>
      </c>
      <c r="B72" s="1">
        <f t="shared" si="5"/>
        <v>49</v>
      </c>
      <c r="C72" s="2">
        <f t="shared" si="20"/>
        <v>4</v>
      </c>
      <c r="D72" s="2">
        <f t="shared" si="21"/>
        <v>1</v>
      </c>
      <c r="E72" s="2">
        <f t="shared" si="22"/>
        <v>33</v>
      </c>
      <c r="F72" s="1">
        <f t="shared" si="7"/>
        <v>203663.31826150467</v>
      </c>
      <c r="H72" s="1">
        <f t="shared" si="1"/>
        <v>1624.0399000337586</v>
      </c>
      <c r="I72" s="1">
        <v>0</v>
      </c>
      <c r="J72" s="1">
        <v>0</v>
      </c>
      <c r="K72" s="1">
        <f t="shared" si="8"/>
        <v>-238.13333546738457</v>
      </c>
      <c r="L72" s="1">
        <f t="shared" si="9"/>
        <v>205049.22482607103</v>
      </c>
      <c r="N72" s="1">
        <f t="shared" si="10"/>
        <v>49</v>
      </c>
      <c r="O72" s="2">
        <f t="shared" si="23"/>
        <v>4</v>
      </c>
      <c r="P72" s="2">
        <f t="shared" si="24"/>
        <v>1</v>
      </c>
      <c r="Q72" s="2">
        <f t="shared" si="25"/>
        <v>4</v>
      </c>
      <c r="R72" s="1">
        <f t="shared" si="12"/>
        <v>330639.60908780899</v>
      </c>
      <c r="S72" s="1">
        <f>IF($G$17="si",S60*(1+$G$20),S60)</f>
        <v>10000</v>
      </c>
      <c r="U72" s="1">
        <f t="shared" si="26"/>
        <v>2716.3080785130719</v>
      </c>
      <c r="V72" s="35">
        <f>V71*(1+$G$18)</f>
        <v>-103.40613783552</v>
      </c>
      <c r="X72" s="35">
        <f t="shared" si="27"/>
        <v>-398.17291279304436</v>
      </c>
      <c r="Y72" s="1">
        <f t="shared" si="14"/>
        <v>342854.33811569348</v>
      </c>
      <c r="AA72" s="2">
        <f>+Bono!J72</f>
        <v>137718.33798927019</v>
      </c>
      <c r="AC72" s="10">
        <f t="shared" si="3"/>
        <v>4.083333333333333</v>
      </c>
      <c r="AD72" s="1">
        <f t="shared" si="15"/>
        <v>685621.9009310347</v>
      </c>
      <c r="AF72" s="1">
        <f t="shared" si="18"/>
        <v>77</v>
      </c>
      <c r="AG72" s="1">
        <f t="shared" si="29"/>
        <v>48</v>
      </c>
      <c r="AH72" s="1">
        <f t="shared" si="30"/>
        <v>120000</v>
      </c>
      <c r="AI72" s="1">
        <f t="shared" si="19"/>
        <v>5760000</v>
      </c>
    </row>
    <row r="73" spans="1:35">
      <c r="A73" s="1">
        <f t="shared" si="4"/>
        <v>4.166666666666667</v>
      </c>
      <c r="B73" s="1">
        <f t="shared" si="5"/>
        <v>50</v>
      </c>
      <c r="C73" s="2">
        <f t="shared" si="20"/>
        <v>4</v>
      </c>
      <c r="D73" s="2">
        <f t="shared" si="21"/>
        <v>2</v>
      </c>
      <c r="E73" s="2">
        <f t="shared" si="22"/>
        <v>33</v>
      </c>
      <c r="F73" s="1">
        <f t="shared" si="7"/>
        <v>205049.22482607103</v>
      </c>
      <c r="H73" s="1">
        <f t="shared" si="1"/>
        <v>1635.0913136009506</v>
      </c>
      <c r="I73" s="1">
        <v>0</v>
      </c>
      <c r="J73" s="1">
        <v>0</v>
      </c>
      <c r="K73" s="1">
        <f t="shared" si="8"/>
        <v>-239.75380672201948</v>
      </c>
      <c r="L73" s="1">
        <f t="shared" si="9"/>
        <v>206444.56233294995</v>
      </c>
      <c r="N73" s="1">
        <f t="shared" si="10"/>
        <v>50</v>
      </c>
      <c r="O73" s="2">
        <f t="shared" si="23"/>
        <v>4</v>
      </c>
      <c r="P73" s="2">
        <f t="shared" si="24"/>
        <v>2</v>
      </c>
      <c r="Q73" s="2">
        <f t="shared" si="25"/>
        <v>4</v>
      </c>
      <c r="R73" s="1">
        <f t="shared" si="12"/>
        <v>342854.33811569348</v>
      </c>
      <c r="S73" s="4">
        <f>IF($G$4="mensual",S72,0)</f>
        <v>10000</v>
      </c>
      <c r="U73" s="1">
        <f t="shared" si="26"/>
        <v>2813.7100430824298</v>
      </c>
      <c r="V73" s="35">
        <f t="shared" si="31"/>
        <v>-103.40613783552</v>
      </c>
      <c r="X73" s="35">
        <f t="shared" si="27"/>
        <v>-412.45498474429081</v>
      </c>
      <c r="Y73" s="1">
        <f t="shared" si="14"/>
        <v>355152.18703619606</v>
      </c>
      <c r="AA73" s="2">
        <f>+Bono!J73</f>
        <v>138572.20765914215</v>
      </c>
      <c r="AC73" s="10">
        <f t="shared" si="3"/>
        <v>4.166666666666667</v>
      </c>
      <c r="AD73" s="1">
        <f t="shared" si="15"/>
        <v>700168.95702828816</v>
      </c>
      <c r="AF73" s="1">
        <f t="shared" si="18"/>
        <v>78</v>
      </c>
      <c r="AG73" s="1">
        <f t="shared" si="29"/>
        <v>49</v>
      </c>
      <c r="AH73" s="1">
        <f t="shared" si="30"/>
        <v>120000</v>
      </c>
      <c r="AI73" s="1">
        <f t="shared" si="19"/>
        <v>5880000</v>
      </c>
    </row>
    <row r="74" spans="1:35">
      <c r="A74" s="1">
        <f t="shared" si="4"/>
        <v>4.25</v>
      </c>
      <c r="B74" s="1">
        <f t="shared" si="5"/>
        <v>51</v>
      </c>
      <c r="C74" s="2">
        <f t="shared" si="20"/>
        <v>4</v>
      </c>
      <c r="D74" s="2">
        <f t="shared" si="21"/>
        <v>3</v>
      </c>
      <c r="E74" s="2">
        <f t="shared" si="22"/>
        <v>33</v>
      </c>
      <c r="F74" s="1">
        <f t="shared" si="7"/>
        <v>206444.56233294995</v>
      </c>
      <c r="H74" s="1">
        <f t="shared" si="1"/>
        <v>1646.2179308265195</v>
      </c>
      <c r="I74" s="1">
        <v>0</v>
      </c>
      <c r="J74" s="69">
        <f>-SUM(F74:H74)*$J$21*1.16</f>
        <v>-2172.4677459538266</v>
      </c>
      <c r="K74" s="1">
        <f t="shared" si="8"/>
        <v>-238.86524252067429</v>
      </c>
      <c r="L74" s="1">
        <f t="shared" si="9"/>
        <v>205679.44727530199</v>
      </c>
      <c r="N74" s="1">
        <f t="shared" si="10"/>
        <v>51</v>
      </c>
      <c r="O74" s="2">
        <f t="shared" si="23"/>
        <v>4</v>
      </c>
      <c r="P74" s="2">
        <f t="shared" si="24"/>
        <v>3</v>
      </c>
      <c r="Q74" s="2">
        <f t="shared" si="25"/>
        <v>4</v>
      </c>
      <c r="R74" s="1">
        <f t="shared" si="12"/>
        <v>355152.18703619606</v>
      </c>
      <c r="S74" s="4">
        <f>IF($G$4="mensual",S73,0)</f>
        <v>10000</v>
      </c>
      <c r="U74" s="1">
        <f t="shared" si="26"/>
        <v>2911.7748173479599</v>
      </c>
      <c r="V74" s="35">
        <f t="shared" si="31"/>
        <v>-103.40613783552</v>
      </c>
      <c r="X74" s="35">
        <f t="shared" si="27"/>
        <v>-426.8342446302218</v>
      </c>
      <c r="Y74" s="1">
        <f t="shared" si="14"/>
        <v>367533.72147107823</v>
      </c>
      <c r="AA74" s="2">
        <f>+Bono!J74</f>
        <v>138175.2329387487</v>
      </c>
      <c r="AC74" s="10">
        <f t="shared" si="3"/>
        <v>4.25</v>
      </c>
      <c r="AD74" s="1">
        <f t="shared" si="15"/>
        <v>711388.40168512892</v>
      </c>
      <c r="AF74" s="1">
        <f t="shared" si="18"/>
        <v>79</v>
      </c>
      <c r="AG74" s="1">
        <f t="shared" si="29"/>
        <v>50</v>
      </c>
      <c r="AH74" s="1">
        <f t="shared" si="30"/>
        <v>120000</v>
      </c>
      <c r="AI74" s="1">
        <f t="shared" si="19"/>
        <v>6000000</v>
      </c>
    </row>
    <row r="75" spans="1:35">
      <c r="A75" s="1">
        <f t="shared" si="4"/>
        <v>4.333333333333333</v>
      </c>
      <c r="B75" s="1">
        <f t="shared" si="5"/>
        <v>52</v>
      </c>
      <c r="C75" s="2">
        <f t="shared" si="20"/>
        <v>4</v>
      </c>
      <c r="D75" s="2">
        <f t="shared" si="21"/>
        <v>4</v>
      </c>
      <c r="E75" s="2">
        <f t="shared" si="22"/>
        <v>33</v>
      </c>
      <c r="F75" s="1">
        <f t="shared" si="7"/>
        <v>205679.44727530199</v>
      </c>
      <c r="H75" s="1">
        <f t="shared" si="1"/>
        <v>1640.1167959125657</v>
      </c>
      <c r="I75" s="1">
        <v>0</v>
      </c>
      <c r="J75" s="1">
        <v>0</v>
      </c>
      <c r="K75" s="1">
        <f t="shared" si="8"/>
        <v>-240.49069432260887</v>
      </c>
      <c r="L75" s="1">
        <f t="shared" si="9"/>
        <v>207079.07337689193</v>
      </c>
      <c r="N75" s="1">
        <f t="shared" si="10"/>
        <v>52</v>
      </c>
      <c r="O75" s="2">
        <f t="shared" si="23"/>
        <v>4</v>
      </c>
      <c r="P75" s="2">
        <f t="shared" si="24"/>
        <v>4</v>
      </c>
      <c r="Q75" s="2">
        <f t="shared" si="25"/>
        <v>4</v>
      </c>
      <c r="R75" s="1">
        <f t="shared" si="12"/>
        <v>367533.72147107823</v>
      </c>
      <c r="S75" s="4">
        <f>IF($G$4="mensual",S72,IF($G$4="trimestral",S72,0))</f>
        <v>10000</v>
      </c>
      <c r="U75" s="1">
        <f t="shared" si="26"/>
        <v>3010.506911657018</v>
      </c>
      <c r="V75" s="35">
        <f t="shared" si="31"/>
        <v>-103.40613783552</v>
      </c>
      <c r="X75" s="35">
        <f t="shared" si="27"/>
        <v>-441.31135380408364</v>
      </c>
      <c r="Y75" s="1">
        <f t="shared" si="14"/>
        <v>379999.51089109562</v>
      </c>
      <c r="AA75" s="2">
        <f>+Bono!J75</f>
        <v>139031.93541030394</v>
      </c>
      <c r="AC75" s="10">
        <f t="shared" si="3"/>
        <v>4.333333333333333</v>
      </c>
      <c r="AD75" s="1">
        <f t="shared" si="15"/>
        <v>726110.51967829152</v>
      </c>
      <c r="AF75" s="1">
        <f t="shared" si="18"/>
        <v>80</v>
      </c>
      <c r="AG75" s="1">
        <f t="shared" si="29"/>
        <v>51</v>
      </c>
      <c r="AH75" s="1">
        <f t="shared" si="30"/>
        <v>120000</v>
      </c>
      <c r="AI75" s="1">
        <f t="shared" si="19"/>
        <v>6120000</v>
      </c>
    </row>
    <row r="76" spans="1:35">
      <c r="A76" s="1">
        <f t="shared" si="4"/>
        <v>4.416666666666667</v>
      </c>
      <c r="B76" s="1">
        <f t="shared" si="5"/>
        <v>53</v>
      </c>
      <c r="C76" s="2">
        <f t="shared" si="20"/>
        <v>4</v>
      </c>
      <c r="D76" s="2">
        <f t="shared" si="21"/>
        <v>5</v>
      </c>
      <c r="E76" s="2">
        <f t="shared" si="22"/>
        <v>33</v>
      </c>
      <c r="F76" s="1">
        <f t="shared" si="7"/>
        <v>207079.07337689193</v>
      </c>
      <c r="H76" s="1">
        <f t="shared" si="1"/>
        <v>1651.277610994603</v>
      </c>
      <c r="I76" s="1">
        <v>0</v>
      </c>
      <c r="J76" s="1">
        <v>0</v>
      </c>
      <c r="K76" s="1">
        <f t="shared" si="8"/>
        <v>-242.12720714594838</v>
      </c>
      <c r="L76" s="1">
        <f t="shared" si="9"/>
        <v>208488.22378074061</v>
      </c>
      <c r="N76" s="1">
        <f t="shared" si="10"/>
        <v>53</v>
      </c>
      <c r="O76" s="2">
        <f t="shared" si="23"/>
        <v>4</v>
      </c>
      <c r="P76" s="2">
        <f t="shared" si="24"/>
        <v>5</v>
      </c>
      <c r="Q76" s="2">
        <f t="shared" si="25"/>
        <v>4</v>
      </c>
      <c r="R76" s="1">
        <f t="shared" si="12"/>
        <v>379999.51089109562</v>
      </c>
      <c r="S76" s="4">
        <f>IF($G$4="mensual",S75,0)</f>
        <v>10000</v>
      </c>
      <c r="U76" s="1">
        <f t="shared" si="26"/>
        <v>3109.9108670493797</v>
      </c>
      <c r="V76" s="35">
        <f t="shared" si="31"/>
        <v>-103.40613783552</v>
      </c>
      <c r="X76" s="35">
        <f t="shared" si="27"/>
        <v>-455.88697811955899</v>
      </c>
      <c r="Y76" s="1">
        <f t="shared" si="14"/>
        <v>392550.1286421899</v>
      </c>
      <c r="AA76" s="2">
        <f>+Bono!J76</f>
        <v>139893.94953655414</v>
      </c>
      <c r="AC76" s="10">
        <f t="shared" si="3"/>
        <v>4.416666666666667</v>
      </c>
      <c r="AD76" s="1">
        <f t="shared" si="15"/>
        <v>740932.3019594847</v>
      </c>
      <c r="AF76" s="1">
        <f t="shared" si="18"/>
        <v>81</v>
      </c>
      <c r="AG76" s="1">
        <f t="shared" si="29"/>
        <v>52</v>
      </c>
      <c r="AH76" s="1">
        <f t="shared" si="30"/>
        <v>120000</v>
      </c>
      <c r="AI76" s="1">
        <f t="shared" si="19"/>
        <v>6240000</v>
      </c>
    </row>
    <row r="77" spans="1:35">
      <c r="A77" s="1">
        <f t="shared" si="4"/>
        <v>4.5</v>
      </c>
      <c r="B77" s="1">
        <f t="shared" si="5"/>
        <v>54</v>
      </c>
      <c r="C77" s="2">
        <f t="shared" si="20"/>
        <v>4</v>
      </c>
      <c r="D77" s="2">
        <f t="shared" si="21"/>
        <v>6</v>
      </c>
      <c r="E77" s="2">
        <f t="shared" si="22"/>
        <v>33</v>
      </c>
      <c r="F77" s="1">
        <f t="shared" si="7"/>
        <v>208488.22378074061</v>
      </c>
      <c r="H77" s="1">
        <f t="shared" si="1"/>
        <v>1662.5143742003388</v>
      </c>
      <c r="I77" s="1">
        <v>0</v>
      </c>
      <c r="J77" s="69">
        <f>-SUM(F77:H77)*$J$21*1.16</f>
        <v>-2193.9737063375837</v>
      </c>
      <c r="K77" s="1">
        <f t="shared" si="8"/>
        <v>-241.2298467603799</v>
      </c>
      <c r="L77" s="1">
        <f t="shared" si="9"/>
        <v>207715.53460184298</v>
      </c>
      <c r="N77" s="1">
        <f t="shared" si="10"/>
        <v>54</v>
      </c>
      <c r="O77" s="2">
        <f t="shared" si="23"/>
        <v>4</v>
      </c>
      <c r="P77" s="2">
        <f t="shared" si="24"/>
        <v>6</v>
      </c>
      <c r="Q77" s="2">
        <f t="shared" si="25"/>
        <v>4</v>
      </c>
      <c r="R77" s="1">
        <f t="shared" si="12"/>
        <v>392550.1286421899</v>
      </c>
      <c r="S77" s="4">
        <f>IF($G$4="mensual",S76,0)</f>
        <v>10000</v>
      </c>
      <c r="U77" s="1">
        <f t="shared" si="26"/>
        <v>3209.9912554660978</v>
      </c>
      <c r="V77" s="35">
        <f t="shared" si="31"/>
        <v>-103.40613783552</v>
      </c>
      <c r="X77" s="35">
        <f t="shared" si="27"/>
        <v>-470.56178796139164</v>
      </c>
      <c r="Y77" s="1">
        <f t="shared" si="14"/>
        <v>405186.15197185904</v>
      </c>
      <c r="AA77" s="2">
        <f>+Bono!J77</f>
        <v>139493.18835622704</v>
      </c>
      <c r="AC77" s="10">
        <f t="shared" si="3"/>
        <v>4.5</v>
      </c>
      <c r="AD77" s="1">
        <f t="shared" si="15"/>
        <v>752394.87492992904</v>
      </c>
      <c r="AF77" s="1">
        <f t="shared" si="18"/>
        <v>82</v>
      </c>
      <c r="AG77" s="1">
        <f t="shared" si="29"/>
        <v>53</v>
      </c>
      <c r="AH77" s="1">
        <f t="shared" si="30"/>
        <v>120000</v>
      </c>
      <c r="AI77" s="1">
        <f t="shared" si="19"/>
        <v>6360000</v>
      </c>
    </row>
    <row r="78" spans="1:35">
      <c r="A78" s="1">
        <f t="shared" si="4"/>
        <v>4.583333333333333</v>
      </c>
      <c r="B78" s="1">
        <f t="shared" si="5"/>
        <v>55</v>
      </c>
      <c r="C78" s="2">
        <f t="shared" si="20"/>
        <v>4</v>
      </c>
      <c r="D78" s="2">
        <f t="shared" si="21"/>
        <v>7</v>
      </c>
      <c r="E78" s="2">
        <f t="shared" si="22"/>
        <v>33</v>
      </c>
      <c r="F78" s="1">
        <f t="shared" si="7"/>
        <v>207715.53460184298</v>
      </c>
      <c r="H78" s="1">
        <f t="shared" si="1"/>
        <v>1656.3528421799149</v>
      </c>
      <c r="I78" s="1">
        <v>0</v>
      </c>
      <c r="J78" s="1">
        <v>0</v>
      </c>
      <c r="K78" s="1">
        <f t="shared" si="8"/>
        <v>-242.87138943506653</v>
      </c>
      <c r="L78" s="1">
        <f t="shared" si="9"/>
        <v>209129.01605458782</v>
      </c>
      <c r="N78" s="1">
        <f t="shared" si="10"/>
        <v>55</v>
      </c>
      <c r="O78" s="2">
        <f t="shared" si="23"/>
        <v>4</v>
      </c>
      <c r="P78" s="2">
        <f t="shared" si="24"/>
        <v>7</v>
      </c>
      <c r="Q78" s="2">
        <f t="shared" si="25"/>
        <v>4</v>
      </c>
      <c r="R78" s="1">
        <f t="shared" si="12"/>
        <v>405186.15197185904</v>
      </c>
      <c r="S78" s="1">
        <f>+IF($G$4="mensual",S72,IF($G$4="trimestral",S72,IF($G$4="semestral",S72,0)))</f>
        <v>10000</v>
      </c>
      <c r="U78" s="1">
        <f t="shared" si="26"/>
        <v>3310.7526799597836</v>
      </c>
      <c r="V78" s="35">
        <f t="shared" si="31"/>
        <v>-103.40613783552</v>
      </c>
      <c r="X78" s="35">
        <f t="shared" si="27"/>
        <v>-485.33645827622058</v>
      </c>
      <c r="Y78" s="1">
        <f t="shared" si="14"/>
        <v>417908.16205570707</v>
      </c>
      <c r="AA78" s="2">
        <f>+Bono!J78</f>
        <v>140358.062304244</v>
      </c>
      <c r="AC78" s="10">
        <f t="shared" si="3"/>
        <v>4.583333333333333</v>
      </c>
      <c r="AD78" s="1">
        <f t="shared" si="15"/>
        <v>767395.24041453889</v>
      </c>
      <c r="AF78" s="1">
        <f t="shared" si="18"/>
        <v>83</v>
      </c>
      <c r="AG78" s="1">
        <f t="shared" si="29"/>
        <v>54</v>
      </c>
      <c r="AH78" s="1">
        <f t="shared" si="30"/>
        <v>120000</v>
      </c>
      <c r="AI78" s="1">
        <f t="shared" si="19"/>
        <v>6480000</v>
      </c>
    </row>
    <row r="79" spans="1:35">
      <c r="A79" s="1">
        <f t="shared" si="4"/>
        <v>4.666666666666667</v>
      </c>
      <c r="B79" s="1">
        <f t="shared" si="5"/>
        <v>56</v>
      </c>
      <c r="C79" s="2">
        <f t="shared" si="20"/>
        <v>4</v>
      </c>
      <c r="D79" s="2">
        <f t="shared" si="21"/>
        <v>8</v>
      </c>
      <c r="E79" s="2">
        <f t="shared" si="22"/>
        <v>33</v>
      </c>
      <c r="F79" s="1">
        <f t="shared" si="7"/>
        <v>209129.01605458782</v>
      </c>
      <c r="H79" s="1">
        <f t="shared" si="1"/>
        <v>1667.624141777753</v>
      </c>
      <c r="I79" s="1">
        <v>0</v>
      </c>
      <c r="J79" s="1">
        <v>0</v>
      </c>
      <c r="K79" s="1">
        <f t="shared" si="8"/>
        <v>-244.52410262778403</v>
      </c>
      <c r="L79" s="1">
        <f t="shared" si="9"/>
        <v>210552.11609373777</v>
      </c>
      <c r="N79" s="1">
        <f t="shared" si="10"/>
        <v>56</v>
      </c>
      <c r="O79" s="2">
        <f t="shared" si="23"/>
        <v>4</v>
      </c>
      <c r="P79" s="2">
        <f t="shared" si="24"/>
        <v>8</v>
      </c>
      <c r="Q79" s="2">
        <f t="shared" si="25"/>
        <v>4</v>
      </c>
      <c r="R79" s="1">
        <f t="shared" si="12"/>
        <v>417908.16205570707</v>
      </c>
      <c r="S79" s="4">
        <f>IF($G$4="mensual",S78,0)</f>
        <v>10000</v>
      </c>
      <c r="U79" s="1">
        <f t="shared" si="26"/>
        <v>3412.1997749063175</v>
      </c>
      <c r="V79" s="35">
        <f t="shared" si="31"/>
        <v>-103.40613783552</v>
      </c>
      <c r="X79" s="35">
        <f t="shared" si="27"/>
        <v>-500.21166860362234</v>
      </c>
      <c r="Y79" s="1">
        <f t="shared" si="14"/>
        <v>430716.74402417423</v>
      </c>
      <c r="AA79" s="2">
        <f>+Bono!J79</f>
        <v>141228.29857105785</v>
      </c>
      <c r="AC79" s="10">
        <f t="shared" si="3"/>
        <v>4.666666666666667</v>
      </c>
      <c r="AD79" s="1">
        <f t="shared" si="15"/>
        <v>782497.15868896991</v>
      </c>
      <c r="AF79" s="1">
        <f t="shared" si="18"/>
        <v>84</v>
      </c>
      <c r="AG79" s="1">
        <f t="shared" si="29"/>
        <v>55</v>
      </c>
      <c r="AH79" s="1">
        <f t="shared" si="30"/>
        <v>120000</v>
      </c>
      <c r="AI79" s="1">
        <f t="shared" si="19"/>
        <v>6600000</v>
      </c>
    </row>
    <row r="80" spans="1:35">
      <c r="A80" s="1">
        <f t="shared" si="4"/>
        <v>4.75</v>
      </c>
      <c r="B80" s="1">
        <f t="shared" si="5"/>
        <v>57</v>
      </c>
      <c r="C80" s="2">
        <f t="shared" si="20"/>
        <v>4</v>
      </c>
      <c r="D80" s="2">
        <f t="shared" si="21"/>
        <v>9</v>
      </c>
      <c r="E80" s="2">
        <f t="shared" si="22"/>
        <v>33</v>
      </c>
      <c r="F80" s="1">
        <f t="shared" si="7"/>
        <v>210552.11609373777</v>
      </c>
      <c r="H80" s="1">
        <f t="shared" si="1"/>
        <v>1678.9721413343134</v>
      </c>
      <c r="I80" s="1">
        <v>0</v>
      </c>
      <c r="J80" s="69">
        <f>-SUM(F80:H80)*$J$21*1.16</f>
        <v>-2215.6925611741526</v>
      </c>
      <c r="K80" s="1">
        <f t="shared" si="8"/>
        <v>-243.61785898172158</v>
      </c>
      <c r="L80" s="1">
        <f t="shared" si="9"/>
        <v>209771.77781491622</v>
      </c>
      <c r="N80" s="1">
        <f t="shared" si="10"/>
        <v>57</v>
      </c>
      <c r="O80" s="2">
        <f t="shared" si="23"/>
        <v>4</v>
      </c>
      <c r="P80" s="2">
        <f t="shared" si="24"/>
        <v>9</v>
      </c>
      <c r="Q80" s="2">
        <f t="shared" si="25"/>
        <v>4</v>
      </c>
      <c r="R80" s="1">
        <f t="shared" si="12"/>
        <v>430716.74402417423</v>
      </c>
      <c r="S80" s="4">
        <f>IF($G$4="mensual",S79,0)</f>
        <v>10000</v>
      </c>
      <c r="U80" s="1">
        <f t="shared" si="26"/>
        <v>3514.3372062179992</v>
      </c>
      <c r="V80" s="35">
        <f t="shared" si="31"/>
        <v>-103.40613783552</v>
      </c>
      <c r="X80" s="35">
        <f t="shared" si="27"/>
        <v>-515.18810310736569</v>
      </c>
      <c r="Y80" s="1">
        <f t="shared" si="14"/>
        <v>443612.4869894493</v>
      </c>
      <c r="AA80" s="2">
        <f>+Bono!J80</f>
        <v>140823.71481444486</v>
      </c>
      <c r="AC80" s="10">
        <f t="shared" si="3"/>
        <v>4.75</v>
      </c>
      <c r="AD80" s="1">
        <f t="shared" si="15"/>
        <v>794207.97961881035</v>
      </c>
      <c r="AF80" s="1">
        <f t="shared" si="18"/>
        <v>85</v>
      </c>
      <c r="AG80" s="1">
        <f t="shared" si="29"/>
        <v>56</v>
      </c>
      <c r="AH80" s="1">
        <f t="shared" si="30"/>
        <v>120000</v>
      </c>
      <c r="AI80" s="1">
        <f t="shared" si="19"/>
        <v>6720000</v>
      </c>
    </row>
    <row r="81" spans="1:35">
      <c r="A81" s="1">
        <f t="shared" si="4"/>
        <v>4.833333333333333</v>
      </c>
      <c r="B81" s="1">
        <f t="shared" si="5"/>
        <v>58</v>
      </c>
      <c r="C81" s="2">
        <f t="shared" si="20"/>
        <v>4</v>
      </c>
      <c r="D81" s="2">
        <f t="shared" si="21"/>
        <v>10</v>
      </c>
      <c r="E81" s="2">
        <f t="shared" si="22"/>
        <v>33</v>
      </c>
      <c r="F81" s="1">
        <f t="shared" si="7"/>
        <v>209771.77781491622</v>
      </c>
      <c r="H81" s="1">
        <f t="shared" si="1"/>
        <v>1672.7496143169412</v>
      </c>
      <c r="I81" s="1">
        <v>0</v>
      </c>
      <c r="J81" s="1">
        <v>0</v>
      </c>
      <c r="K81" s="1">
        <f t="shared" si="8"/>
        <v>-245.27565181791047</v>
      </c>
      <c r="L81" s="1">
        <f t="shared" si="9"/>
        <v>211199.25177741525</v>
      </c>
      <c r="N81" s="1">
        <f t="shared" si="10"/>
        <v>58</v>
      </c>
      <c r="O81" s="2">
        <f t="shared" si="23"/>
        <v>4</v>
      </c>
      <c r="P81" s="2">
        <f t="shared" si="24"/>
        <v>10</v>
      </c>
      <c r="Q81" s="2">
        <f t="shared" si="25"/>
        <v>4</v>
      </c>
      <c r="R81" s="1">
        <f t="shared" si="12"/>
        <v>443612.4869894493</v>
      </c>
      <c r="S81" s="4">
        <f>IF($G$4="mensual",S72,IF($G$4="trimestral",S72,0))</f>
        <v>10000</v>
      </c>
      <c r="U81" s="1">
        <f t="shared" si="26"/>
        <v>3617.1696715581506</v>
      </c>
      <c r="V81" s="35">
        <f t="shared" si="31"/>
        <v>-103.40613783552</v>
      </c>
      <c r="X81" s="35">
        <f t="shared" si="27"/>
        <v>-530.2664506068794</v>
      </c>
      <c r="Y81" s="1">
        <f t="shared" si="14"/>
        <v>456595.98407256504</v>
      </c>
      <c r="AA81" s="2">
        <f>+Bono!J81</f>
        <v>141696.83818083428</v>
      </c>
      <c r="AC81" s="10">
        <f t="shared" si="3"/>
        <v>4.833333333333333</v>
      </c>
      <c r="AD81" s="1">
        <f t="shared" si="15"/>
        <v>809492.07403081458</v>
      </c>
      <c r="AF81" s="1">
        <f t="shared" si="18"/>
        <v>86</v>
      </c>
      <c r="AG81" s="1">
        <f t="shared" si="29"/>
        <v>57</v>
      </c>
      <c r="AH81" s="1">
        <f t="shared" si="30"/>
        <v>120000</v>
      </c>
      <c r="AI81" s="1">
        <f t="shared" si="19"/>
        <v>6840000</v>
      </c>
    </row>
    <row r="82" spans="1:35">
      <c r="A82" s="1">
        <f t="shared" si="4"/>
        <v>4.916666666666667</v>
      </c>
      <c r="B82" s="1">
        <f t="shared" si="5"/>
        <v>59</v>
      </c>
      <c r="C82" s="2">
        <f t="shared" si="20"/>
        <v>4</v>
      </c>
      <c r="D82" s="2">
        <f t="shared" si="21"/>
        <v>11</v>
      </c>
      <c r="E82" s="2">
        <f t="shared" si="22"/>
        <v>33</v>
      </c>
      <c r="F82" s="1">
        <f t="shared" si="7"/>
        <v>211199.25177741525</v>
      </c>
      <c r="H82" s="1">
        <f t="shared" si="1"/>
        <v>1684.1324921525122</v>
      </c>
      <c r="I82" s="1">
        <v>0</v>
      </c>
      <c r="J82" s="1">
        <v>0</v>
      </c>
      <c r="K82" s="1">
        <f t="shared" si="8"/>
        <v>-246.94472575269859</v>
      </c>
      <c r="L82" s="1">
        <f t="shared" si="9"/>
        <v>212636.43954381507</v>
      </c>
      <c r="N82" s="1">
        <f t="shared" si="10"/>
        <v>59</v>
      </c>
      <c r="O82" s="2">
        <f t="shared" si="23"/>
        <v>4</v>
      </c>
      <c r="P82" s="2">
        <f t="shared" si="24"/>
        <v>11</v>
      </c>
      <c r="Q82" s="2">
        <f t="shared" si="25"/>
        <v>4</v>
      </c>
      <c r="R82" s="1">
        <f t="shared" si="12"/>
        <v>456595.98407256504</v>
      </c>
      <c r="S82" s="1">
        <f>IF($G$17="si",S70*(1+$G$20),S70)</f>
        <v>10000</v>
      </c>
      <c r="U82" s="1">
        <f t="shared" si="26"/>
        <v>3720.7019005571779</v>
      </c>
      <c r="V82" s="35">
        <f t="shared" si="31"/>
        <v>-103.40613783552</v>
      </c>
      <c r="X82" s="35">
        <f t="shared" si="27"/>
        <v>-545.44740460893252</v>
      </c>
      <c r="Y82" s="1">
        <f t="shared" si="14"/>
        <v>469667.83243067772</v>
      </c>
      <c r="AA82" s="2">
        <f>+Bono!J82</f>
        <v>142575.37501337141</v>
      </c>
      <c r="AC82" s="10">
        <f t="shared" si="3"/>
        <v>4.916666666666667</v>
      </c>
      <c r="AD82" s="1">
        <f t="shared" si="15"/>
        <v>824879.64698786428</v>
      </c>
      <c r="AF82" s="1">
        <f t="shared" si="18"/>
        <v>87</v>
      </c>
      <c r="AG82" s="1">
        <f t="shared" si="29"/>
        <v>58</v>
      </c>
      <c r="AH82" s="1">
        <f t="shared" si="30"/>
        <v>120000</v>
      </c>
      <c r="AI82" s="1">
        <f t="shared" si="19"/>
        <v>6960000</v>
      </c>
    </row>
    <row r="83" spans="1:35">
      <c r="A83" s="1">
        <f t="shared" si="4"/>
        <v>5</v>
      </c>
      <c r="B83" s="1">
        <f t="shared" si="5"/>
        <v>60</v>
      </c>
      <c r="C83" s="2">
        <f t="shared" si="20"/>
        <v>4</v>
      </c>
      <c r="D83" s="2">
        <f t="shared" si="21"/>
        <v>12</v>
      </c>
      <c r="E83" s="2">
        <f t="shared" si="22"/>
        <v>33</v>
      </c>
      <c r="F83" s="1">
        <f t="shared" si="7"/>
        <v>212636.43954381507</v>
      </c>
      <c r="H83" s="1">
        <f t="shared" si="1"/>
        <v>1695.5928292244869</v>
      </c>
      <c r="I83" s="1">
        <v>0</v>
      </c>
      <c r="J83" s="69">
        <f>-SUM(F83:H83)*$J$21*1.16</f>
        <v>-2237.6264179745331</v>
      </c>
      <c r="K83" s="1">
        <f t="shared" si="8"/>
        <v>-246.02951090787539</v>
      </c>
      <c r="L83" s="1">
        <f t="shared" si="9"/>
        <v>211848.37644415713</v>
      </c>
      <c r="N83" s="1">
        <f t="shared" si="10"/>
        <v>60</v>
      </c>
      <c r="O83" s="2">
        <f t="shared" si="23"/>
        <v>4</v>
      </c>
      <c r="P83" s="2">
        <f t="shared" si="24"/>
        <v>12</v>
      </c>
      <c r="Q83" s="2">
        <f t="shared" si="25"/>
        <v>4</v>
      </c>
      <c r="R83" s="1">
        <f t="shared" si="12"/>
        <v>469667.83243067772</v>
      </c>
      <c r="S83" s="4">
        <f>IF($G$4="mensual",S82,0)</f>
        <v>10000</v>
      </c>
      <c r="U83" s="1">
        <f t="shared" si="26"/>
        <v>3824.9386550301033</v>
      </c>
      <c r="V83" s="35">
        <f t="shared" si="31"/>
        <v>-103.40613783552</v>
      </c>
      <c r="X83" s="35">
        <f t="shared" si="27"/>
        <v>-560.73166333953179</v>
      </c>
      <c r="Y83" s="1">
        <f t="shared" si="14"/>
        <v>482828.63328453276</v>
      </c>
      <c r="AA83" s="2">
        <f>+Bono!J83</f>
        <v>142166.93221963209</v>
      </c>
      <c r="AC83" s="10">
        <f t="shared" si="3"/>
        <v>5</v>
      </c>
      <c r="AD83" s="1">
        <f t="shared" si="15"/>
        <v>836843.941948322</v>
      </c>
      <c r="AF83" s="1">
        <f t="shared" si="18"/>
        <v>88</v>
      </c>
      <c r="AG83" s="1">
        <f t="shared" si="29"/>
        <v>59</v>
      </c>
      <c r="AH83" s="1">
        <f t="shared" si="30"/>
        <v>120000</v>
      </c>
      <c r="AI83" s="1">
        <f t="shared" si="19"/>
        <v>7080000</v>
      </c>
    </row>
    <row r="84" spans="1:35">
      <c r="A84" s="1">
        <f t="shared" si="4"/>
        <v>5.083333333333333</v>
      </c>
      <c r="B84" s="1">
        <f t="shared" si="5"/>
        <v>61</v>
      </c>
      <c r="C84" s="2">
        <f t="shared" si="20"/>
        <v>5</v>
      </c>
      <c r="D84" s="2">
        <f t="shared" si="21"/>
        <v>1</v>
      </c>
      <c r="E84" s="2">
        <f t="shared" si="22"/>
        <v>34</v>
      </c>
      <c r="F84" s="1">
        <f t="shared" si="7"/>
        <v>211848.37644415713</v>
      </c>
      <c r="H84" s="1">
        <f t="shared" si="1"/>
        <v>1689.3087034009773</v>
      </c>
      <c r="I84" s="1">
        <v>0</v>
      </c>
      <c r="J84" s="1">
        <v>0</v>
      </c>
      <c r="K84" s="1">
        <f t="shared" si="8"/>
        <v>-247.7037147711674</v>
      </c>
      <c r="L84" s="1">
        <f t="shared" si="9"/>
        <v>213289.98143278694</v>
      </c>
      <c r="N84" s="1">
        <f t="shared" si="10"/>
        <v>61</v>
      </c>
      <c r="O84" s="2">
        <f t="shared" si="23"/>
        <v>5</v>
      </c>
      <c r="P84" s="2">
        <f t="shared" si="24"/>
        <v>1</v>
      </c>
      <c r="Q84" s="2">
        <f t="shared" si="25"/>
        <v>5</v>
      </c>
      <c r="R84" s="1">
        <f t="shared" si="12"/>
        <v>482828.63328453276</v>
      </c>
      <c r="S84" s="1">
        <f>IF($G$17="si",S72*(1+$G$20),S72)</f>
        <v>10000</v>
      </c>
      <c r="U84" s="1">
        <f t="shared" si="26"/>
        <v>3929.8847291955799</v>
      </c>
      <c r="V84" s="35">
        <f>V83*(1+$G$18)</f>
        <v>-107.5423833489408</v>
      </c>
      <c r="X84" s="35">
        <f t="shared" si="27"/>
        <v>-576.11513173124013</v>
      </c>
      <c r="Y84" s="1">
        <f t="shared" si="14"/>
        <v>496074.86049864814</v>
      </c>
      <c r="AA84" s="2">
        <f>+Bono!J84</f>
        <v>143048.38368973727</v>
      </c>
      <c r="AC84" s="10">
        <f t="shared" si="3"/>
        <v>5.083333333333333</v>
      </c>
      <c r="AD84" s="1">
        <f t="shared" si="15"/>
        <v>852413.22562117234</v>
      </c>
      <c r="AF84" s="1">
        <f t="shared" si="18"/>
        <v>89</v>
      </c>
      <c r="AG84" s="1">
        <f t="shared" si="29"/>
        <v>60</v>
      </c>
      <c r="AH84" s="1">
        <f t="shared" si="30"/>
        <v>120000</v>
      </c>
      <c r="AI84" s="1">
        <f t="shared" si="19"/>
        <v>7200000</v>
      </c>
    </row>
    <row r="85" spans="1:35">
      <c r="A85" s="1">
        <f t="shared" si="4"/>
        <v>5.166666666666667</v>
      </c>
      <c r="B85" s="1">
        <f t="shared" si="5"/>
        <v>62</v>
      </c>
      <c r="C85" s="2">
        <f t="shared" si="20"/>
        <v>5</v>
      </c>
      <c r="D85" s="2">
        <f t="shared" si="21"/>
        <v>2</v>
      </c>
      <c r="E85" s="2">
        <f t="shared" si="22"/>
        <v>34</v>
      </c>
      <c r="F85" s="1">
        <f t="shared" si="7"/>
        <v>213289.98143278694</v>
      </c>
      <c r="H85" s="1">
        <f t="shared" si="1"/>
        <v>1700.8042640233195</v>
      </c>
      <c r="I85" s="1">
        <v>0</v>
      </c>
      <c r="J85" s="1">
        <v>0</v>
      </c>
      <c r="K85" s="1">
        <f t="shared" si="8"/>
        <v>-249.38931140829987</v>
      </c>
      <c r="L85" s="1">
        <f t="shared" si="9"/>
        <v>214741.39638540195</v>
      </c>
      <c r="N85" s="1">
        <f t="shared" si="10"/>
        <v>62</v>
      </c>
      <c r="O85" s="2">
        <f t="shared" si="23"/>
        <v>5</v>
      </c>
      <c r="P85" s="2">
        <f t="shared" si="24"/>
        <v>2</v>
      </c>
      <c r="Q85" s="2">
        <f t="shared" si="25"/>
        <v>5</v>
      </c>
      <c r="R85" s="1">
        <f t="shared" si="12"/>
        <v>496074.86049864814</v>
      </c>
      <c r="S85" s="4">
        <f>IF($G$4="mensual",S84,0)</f>
        <v>10000</v>
      </c>
      <c r="U85" s="1">
        <f t="shared" si="26"/>
        <v>4035.5120051541026</v>
      </c>
      <c r="V85" s="35">
        <f t="shared" si="31"/>
        <v>-107.5423833489408</v>
      </c>
      <c r="X85" s="35">
        <f t="shared" si="27"/>
        <v>-591.60328293972577</v>
      </c>
      <c r="Y85" s="1">
        <f t="shared" si="14"/>
        <v>509411.22683751362</v>
      </c>
      <c r="AA85" s="2">
        <f>+Bono!J85</f>
        <v>143935.30026119915</v>
      </c>
      <c r="AC85" s="10">
        <f t="shared" si="3"/>
        <v>5.166666666666667</v>
      </c>
      <c r="AD85" s="1">
        <f t="shared" si="15"/>
        <v>868087.9234841147</v>
      </c>
      <c r="AF85" s="1">
        <f t="shared" si="18"/>
        <v>90</v>
      </c>
      <c r="AG85" s="1">
        <f t="shared" si="29"/>
        <v>61</v>
      </c>
      <c r="AH85" s="1">
        <f t="shared" si="30"/>
        <v>120000</v>
      </c>
      <c r="AI85" s="1">
        <f t="shared" si="19"/>
        <v>7320000</v>
      </c>
    </row>
    <row r="86" spans="1:35">
      <c r="A86" s="1">
        <f t="shared" si="4"/>
        <v>5.25</v>
      </c>
      <c r="B86" s="1">
        <f t="shared" si="5"/>
        <v>63</v>
      </c>
      <c r="C86" s="2">
        <f t="shared" si="20"/>
        <v>5</v>
      </c>
      <c r="D86" s="2">
        <f t="shared" si="21"/>
        <v>3</v>
      </c>
      <c r="E86" s="2">
        <f t="shared" si="22"/>
        <v>34</v>
      </c>
      <c r="F86" s="1">
        <f t="shared" si="7"/>
        <v>214741.39638540195</v>
      </c>
      <c r="H86" s="1">
        <f t="shared" si="1"/>
        <v>1712.3780506760825</v>
      </c>
      <c r="I86" s="1">
        <v>0</v>
      </c>
      <c r="J86" s="69">
        <f>-SUM(F86:H86)*$J$21*1.16</f>
        <v>-2259.7774051126548</v>
      </c>
      <c r="K86" s="1">
        <f t="shared" si="8"/>
        <v>-248.4650365559198</v>
      </c>
      <c r="L86" s="1">
        <f t="shared" si="9"/>
        <v>213945.53199440945</v>
      </c>
      <c r="N86" s="1">
        <f t="shared" si="10"/>
        <v>63</v>
      </c>
      <c r="O86" s="2">
        <f t="shared" si="23"/>
        <v>5</v>
      </c>
      <c r="P86" s="2">
        <f t="shared" si="24"/>
        <v>3</v>
      </c>
      <c r="Q86" s="2">
        <f t="shared" si="25"/>
        <v>5</v>
      </c>
      <c r="R86" s="1">
        <f t="shared" si="12"/>
        <v>509411.22683751362</v>
      </c>
      <c r="S86" s="4">
        <f>IF($G$4="mensual",S85,0)</f>
        <v>10000</v>
      </c>
      <c r="U86" s="1">
        <f t="shared" si="26"/>
        <v>4141.8580631515215</v>
      </c>
      <c r="V86" s="35">
        <f t="shared" si="31"/>
        <v>-107.5423833489408</v>
      </c>
      <c r="X86" s="35">
        <f t="shared" si="27"/>
        <v>-607.19682932008675</v>
      </c>
      <c r="Y86" s="1">
        <f t="shared" si="14"/>
        <v>522838.34568799613</v>
      </c>
      <c r="AA86" s="2">
        <f>+Bono!J86</f>
        <v>143522.96162171895</v>
      </c>
      <c r="AC86" s="10">
        <f t="shared" si="3"/>
        <v>5.25</v>
      </c>
      <c r="AD86" s="1">
        <f t="shared" si="15"/>
        <v>880306.83930412447</v>
      </c>
      <c r="AF86" s="1">
        <f t="shared" si="18"/>
        <v>91</v>
      </c>
      <c r="AG86" s="1">
        <f t="shared" si="29"/>
        <v>62</v>
      </c>
      <c r="AH86" s="1">
        <f t="shared" si="30"/>
        <v>120000</v>
      </c>
      <c r="AI86" s="1">
        <f t="shared" si="19"/>
        <v>7440000</v>
      </c>
    </row>
    <row r="87" spans="1:35">
      <c r="A87" s="1">
        <f t="shared" si="4"/>
        <v>5.333333333333333</v>
      </c>
      <c r="B87" s="1">
        <f t="shared" si="5"/>
        <v>64</v>
      </c>
      <c r="C87" s="2">
        <f t="shared" si="20"/>
        <v>5</v>
      </c>
      <c r="D87" s="2">
        <f t="shared" si="21"/>
        <v>4</v>
      </c>
      <c r="E87" s="2">
        <f t="shared" si="22"/>
        <v>34</v>
      </c>
      <c r="F87" s="1">
        <f t="shared" si="7"/>
        <v>213945.53199440945</v>
      </c>
      <c r="H87" s="1">
        <f t="shared" si="1"/>
        <v>1706.0317162599442</v>
      </c>
      <c r="I87" s="1">
        <v>0</v>
      </c>
      <c r="J87" s="1">
        <v>0</v>
      </c>
      <c r="K87" s="1">
        <f t="shared" si="8"/>
        <v>-250.15581390437652</v>
      </c>
      <c r="L87" s="1">
        <f t="shared" si="9"/>
        <v>215401.40789676504</v>
      </c>
      <c r="N87" s="1">
        <f t="shared" si="10"/>
        <v>64</v>
      </c>
      <c r="O87" s="2">
        <f t="shared" si="23"/>
        <v>5</v>
      </c>
      <c r="P87" s="2">
        <f t="shared" si="24"/>
        <v>4</v>
      </c>
      <c r="Q87" s="2">
        <f t="shared" si="25"/>
        <v>5</v>
      </c>
      <c r="R87" s="1">
        <f t="shared" si="12"/>
        <v>522838.34568799613</v>
      </c>
      <c r="S87" s="4">
        <f>IF($G$4="mensual",S84,IF($G$4="trimestral",S84,0))</f>
        <v>10000</v>
      </c>
      <c r="U87" s="1">
        <f t="shared" si="26"/>
        <v>4248.9277944208498</v>
      </c>
      <c r="V87" s="35">
        <f t="shared" si="31"/>
        <v>-107.5423833489408</v>
      </c>
      <c r="X87" s="35">
        <f t="shared" si="27"/>
        <v>-622.89648807491892</v>
      </c>
      <c r="Y87" s="1">
        <f t="shared" si="14"/>
        <v>536356.83461099316</v>
      </c>
      <c r="AA87" s="2">
        <f>+Bono!J87</f>
        <v>144412.82063140674</v>
      </c>
      <c r="AC87" s="10">
        <f t="shared" si="3"/>
        <v>5.333333333333333</v>
      </c>
      <c r="AD87" s="1">
        <f t="shared" si="15"/>
        <v>896171.06313916494</v>
      </c>
      <c r="AF87" s="1">
        <f t="shared" si="18"/>
        <v>92</v>
      </c>
      <c r="AG87" s="1">
        <f t="shared" si="29"/>
        <v>63</v>
      </c>
      <c r="AH87" s="1">
        <f t="shared" si="30"/>
        <v>120000</v>
      </c>
      <c r="AI87" s="1">
        <f t="shared" si="19"/>
        <v>7560000</v>
      </c>
    </row>
    <row r="88" spans="1:35">
      <c r="A88" s="1">
        <f t="shared" si="4"/>
        <v>5.416666666666667</v>
      </c>
      <c r="B88" s="1">
        <f t="shared" si="5"/>
        <v>65</v>
      </c>
      <c r="C88" s="2">
        <f t="shared" si="20"/>
        <v>5</v>
      </c>
      <c r="D88" s="2">
        <f t="shared" si="21"/>
        <v>5</v>
      </c>
      <c r="E88" s="2">
        <f t="shared" si="22"/>
        <v>34</v>
      </c>
      <c r="F88" s="1">
        <f t="shared" si="7"/>
        <v>215401.40789676504</v>
      </c>
      <c r="H88" s="1">
        <f t="shared" ref="H88:H151" si="32">SUM(F88:G88)*$G$8</f>
        <v>1717.6410751523847</v>
      </c>
      <c r="I88" s="1">
        <v>0</v>
      </c>
      <c r="J88" s="1">
        <v>0</v>
      </c>
      <c r="K88" s="1">
        <f t="shared" si="8"/>
        <v>-251.8580968074242</v>
      </c>
      <c r="L88" s="1">
        <f t="shared" ref="L88:L151" si="33">SUM(F88:K88)</f>
        <v>216867.19087510998</v>
      </c>
      <c r="N88" s="1">
        <f t="shared" si="10"/>
        <v>65</v>
      </c>
      <c r="O88" s="2">
        <f t="shared" si="23"/>
        <v>5</v>
      </c>
      <c r="P88" s="2">
        <f t="shared" si="24"/>
        <v>5</v>
      </c>
      <c r="Q88" s="2">
        <f t="shared" si="25"/>
        <v>5</v>
      </c>
      <c r="R88" s="1">
        <f t="shared" si="12"/>
        <v>536356.83461099316</v>
      </c>
      <c r="S88" s="4">
        <f>IF($G$4="mensual",S87,0)</f>
        <v>10000</v>
      </c>
      <c r="U88" s="1">
        <f t="shared" si="26"/>
        <v>4356.7261234794078</v>
      </c>
      <c r="V88" s="35">
        <f t="shared" si="31"/>
        <v>-107.5423833489408</v>
      </c>
      <c r="X88" s="35">
        <f t="shared" si="27"/>
        <v>-638.70298128730337</v>
      </c>
      <c r="Y88" s="1">
        <f t="shared" ref="Y88:Y151" si="34">SUM(R88:X88)</f>
        <v>549967.3153698364</v>
      </c>
      <c r="AA88" s="2">
        <f>+Bono!J88</f>
        <v>145308.19687017184</v>
      </c>
      <c r="AC88" s="10">
        <f t="shared" ref="AC88:AC151" si="35">+B88/12</f>
        <v>5.416666666666667</v>
      </c>
      <c r="AD88" s="1">
        <f t="shared" ref="AD88:AD151" si="36">+AA88+Y88+L88</f>
        <v>912142.7031151182</v>
      </c>
      <c r="AF88" s="1">
        <f t="shared" si="18"/>
        <v>93</v>
      </c>
      <c r="AG88" s="1">
        <f t="shared" si="29"/>
        <v>64</v>
      </c>
      <c r="AH88" s="1">
        <f t="shared" si="30"/>
        <v>120000</v>
      </c>
      <c r="AI88" s="1">
        <f t="shared" si="19"/>
        <v>7680000</v>
      </c>
    </row>
    <row r="89" spans="1:35">
      <c r="A89" s="1">
        <f t="shared" ref="A89:A152" si="37">+B89/12</f>
        <v>5.5</v>
      </c>
      <c r="B89" s="1">
        <f t="shared" ref="B89:B152" si="38">+B88+1</f>
        <v>66</v>
      </c>
      <c r="C89" s="2">
        <f t="shared" si="20"/>
        <v>5</v>
      </c>
      <c r="D89" s="2">
        <f t="shared" si="21"/>
        <v>6</v>
      </c>
      <c r="E89" s="2">
        <f t="shared" si="22"/>
        <v>34</v>
      </c>
      <c r="F89" s="1">
        <f t="shared" ref="F89:F152" si="39">L88</f>
        <v>216867.19087510998</v>
      </c>
      <c r="H89" s="1">
        <f t="shared" si="32"/>
        <v>1729.329434460004</v>
      </c>
      <c r="I89" s="1">
        <v>0</v>
      </c>
      <c r="J89" s="69">
        <f>-SUM(F89:H89)*$J$21*1.16</f>
        <v>-2282.147672031911</v>
      </c>
      <c r="K89" s="1">
        <f t="shared" ref="K89:K152" si="40">-SUM(F89:J89)*0.1%*1.16</f>
        <v>-250.92467225954414</v>
      </c>
      <c r="L89" s="1">
        <f t="shared" si="33"/>
        <v>216063.44796527852</v>
      </c>
      <c r="N89" s="1">
        <f t="shared" ref="N89:N152" si="41">+N88+1</f>
        <v>66</v>
      </c>
      <c r="O89" s="2">
        <f t="shared" si="23"/>
        <v>5</v>
      </c>
      <c r="P89" s="2">
        <f t="shared" si="24"/>
        <v>6</v>
      </c>
      <c r="Q89" s="2">
        <f t="shared" si="25"/>
        <v>5</v>
      </c>
      <c r="R89" s="1">
        <f t="shared" ref="R89:R152" si="42">Y88</f>
        <v>549967.3153698364</v>
      </c>
      <c r="S89" s="4">
        <f>IF($G$4="mensual",S88,0)</f>
        <v>10000</v>
      </c>
      <c r="U89" s="1">
        <f t="shared" si="26"/>
        <v>4465.2580083553166</v>
      </c>
      <c r="V89" s="35">
        <f t="shared" si="31"/>
        <v>-107.5423833489408</v>
      </c>
      <c r="X89" s="35">
        <f t="shared" si="27"/>
        <v>-654.61703595401764</v>
      </c>
      <c r="Y89" s="1">
        <f t="shared" si="34"/>
        <v>563670.41395888873</v>
      </c>
      <c r="AA89" s="2">
        <f>+Bono!J89</f>
        <v>144891.92522524504</v>
      </c>
      <c r="AC89" s="10">
        <f t="shared" si="35"/>
        <v>5.5</v>
      </c>
      <c r="AD89" s="1">
        <f t="shared" si="36"/>
        <v>924625.78714941232</v>
      </c>
      <c r="AF89" s="1">
        <f t="shared" si="18"/>
        <v>94</v>
      </c>
      <c r="AG89" s="1">
        <f t="shared" si="29"/>
        <v>65</v>
      </c>
      <c r="AH89" s="1">
        <f t="shared" si="30"/>
        <v>120000</v>
      </c>
      <c r="AI89" s="1">
        <f t="shared" si="19"/>
        <v>7800000</v>
      </c>
    </row>
    <row r="90" spans="1:35">
      <c r="A90" s="1">
        <f t="shared" si="37"/>
        <v>5.583333333333333</v>
      </c>
      <c r="B90" s="1">
        <f t="shared" si="38"/>
        <v>67</v>
      </c>
      <c r="C90" s="2">
        <f t="shared" si="20"/>
        <v>5</v>
      </c>
      <c r="D90" s="2">
        <f t="shared" si="21"/>
        <v>7</v>
      </c>
      <c r="E90" s="2">
        <f t="shared" si="22"/>
        <v>34</v>
      </c>
      <c r="F90" s="1">
        <f t="shared" si="39"/>
        <v>216063.44796527852</v>
      </c>
      <c r="H90" s="1">
        <f t="shared" si="32"/>
        <v>1722.9202756282723</v>
      </c>
      <c r="I90" s="1">
        <v>0</v>
      </c>
      <c r="J90" s="1">
        <v>0</v>
      </c>
      <c r="K90" s="1">
        <f t="shared" si="40"/>
        <v>-252.63218715945186</v>
      </c>
      <c r="L90" s="1">
        <f t="shared" si="33"/>
        <v>217533.73605374736</v>
      </c>
      <c r="N90" s="1">
        <f t="shared" si="41"/>
        <v>67</v>
      </c>
      <c r="O90" s="2">
        <f t="shared" si="23"/>
        <v>5</v>
      </c>
      <c r="P90" s="2">
        <f t="shared" si="24"/>
        <v>7</v>
      </c>
      <c r="Q90" s="2">
        <f t="shared" si="25"/>
        <v>5</v>
      </c>
      <c r="R90" s="1">
        <f t="shared" si="42"/>
        <v>563670.41395888873</v>
      </c>
      <c r="S90" s="1">
        <f>+IF($G$4="mensual",S84,IF($G$4="trimestral",S84,IF($G$4="semestral",S84,0)))</f>
        <v>10000</v>
      </c>
      <c r="U90" s="1">
        <f t="shared" si="26"/>
        <v>4574.528440815533</v>
      </c>
      <c r="V90" s="35">
        <f t="shared" si="31"/>
        <v>-107.5423833489408</v>
      </c>
      <c r="X90" s="35">
        <f t="shared" si="27"/>
        <v>-670.63938401897212</v>
      </c>
      <c r="Y90" s="1">
        <f t="shared" si="34"/>
        <v>577466.76063233637</v>
      </c>
      <c r="AA90" s="2">
        <f>+Bono!J90</f>
        <v>145790.27196806463</v>
      </c>
      <c r="AC90" s="10">
        <f t="shared" si="35"/>
        <v>5.583333333333333</v>
      </c>
      <c r="AD90" s="1">
        <f t="shared" si="36"/>
        <v>940790.76865414833</v>
      </c>
      <c r="AF90" s="1">
        <f t="shared" si="18"/>
        <v>95</v>
      </c>
      <c r="AG90" s="1">
        <f t="shared" si="29"/>
        <v>66</v>
      </c>
      <c r="AH90" s="1">
        <f t="shared" si="30"/>
        <v>120000</v>
      </c>
      <c r="AI90" s="1">
        <f t="shared" si="19"/>
        <v>7920000</v>
      </c>
    </row>
    <row r="91" spans="1:35">
      <c r="A91" s="1">
        <f t="shared" si="37"/>
        <v>5.666666666666667</v>
      </c>
      <c r="B91" s="1">
        <f t="shared" si="38"/>
        <v>68</v>
      </c>
      <c r="C91" s="2">
        <f t="shared" si="20"/>
        <v>5</v>
      </c>
      <c r="D91" s="2">
        <f t="shared" si="21"/>
        <v>8</v>
      </c>
      <c r="E91" s="2">
        <f t="shared" si="22"/>
        <v>34</v>
      </c>
      <c r="F91" s="1">
        <f t="shared" si="39"/>
        <v>217533.73605374736</v>
      </c>
      <c r="H91" s="1">
        <f t="shared" si="32"/>
        <v>1734.6445593166673</v>
      </c>
      <c r="I91" s="1">
        <v>0</v>
      </c>
      <c r="J91" s="1">
        <v>0</v>
      </c>
      <c r="K91" s="1">
        <f t="shared" si="40"/>
        <v>-254.35132151115423</v>
      </c>
      <c r="L91" s="1">
        <f t="shared" si="33"/>
        <v>219014.02929155287</v>
      </c>
      <c r="N91" s="1">
        <f t="shared" si="41"/>
        <v>68</v>
      </c>
      <c r="O91" s="2">
        <f t="shared" si="23"/>
        <v>5</v>
      </c>
      <c r="P91" s="2">
        <f t="shared" si="24"/>
        <v>8</v>
      </c>
      <c r="Q91" s="2">
        <f t="shared" si="25"/>
        <v>5</v>
      </c>
      <c r="R91" s="1">
        <f t="shared" si="42"/>
        <v>577466.76063233637</v>
      </c>
      <c r="S91" s="4">
        <f>IF($G$4="mensual",S90,0)</f>
        <v>10000</v>
      </c>
      <c r="U91" s="1">
        <f t="shared" si="26"/>
        <v>4684.5424465954438</v>
      </c>
      <c r="V91" s="35">
        <f t="shared" si="31"/>
        <v>-107.5423833489408</v>
      </c>
      <c r="X91" s="35">
        <f t="shared" si="27"/>
        <v>-686.7707624068762</v>
      </c>
      <c r="Y91" s="1">
        <f t="shared" si="34"/>
        <v>591356.98993317608</v>
      </c>
      <c r="AA91" s="2">
        <f>+Bono!J91</f>
        <v>146694.18856489149</v>
      </c>
      <c r="AC91" s="10">
        <f t="shared" si="35"/>
        <v>5.666666666666667</v>
      </c>
      <c r="AD91" s="1">
        <f t="shared" si="36"/>
        <v>957065.20778962038</v>
      </c>
      <c r="AF91" s="1">
        <f t="shared" ref="AF91:AF104" si="43">+AF90+1</f>
        <v>96</v>
      </c>
      <c r="AG91" s="1">
        <f t="shared" si="29"/>
        <v>67</v>
      </c>
      <c r="AH91" s="1">
        <f t="shared" si="30"/>
        <v>120000</v>
      </c>
      <c r="AI91" s="1">
        <f t="shared" ref="AI91:AI104" si="44">+AI90+AH91</f>
        <v>8040000</v>
      </c>
    </row>
    <row r="92" spans="1:35">
      <c r="A92" s="1">
        <f t="shared" si="37"/>
        <v>5.75</v>
      </c>
      <c r="B92" s="1">
        <f t="shared" si="38"/>
        <v>69</v>
      </c>
      <c r="C92" s="2">
        <f t="shared" si="20"/>
        <v>5</v>
      </c>
      <c r="D92" s="2">
        <f t="shared" si="21"/>
        <v>9</v>
      </c>
      <c r="E92" s="2">
        <f t="shared" si="22"/>
        <v>34</v>
      </c>
      <c r="F92" s="1">
        <f t="shared" si="39"/>
        <v>219014.02929155287</v>
      </c>
      <c r="H92" s="1">
        <f t="shared" si="32"/>
        <v>1746.448625470885</v>
      </c>
      <c r="I92" s="1">
        <v>0</v>
      </c>
      <c r="J92" s="69">
        <f>-SUM(F92:H92)*$J$21*1.16</f>
        <v>-2304.7393894537281</v>
      </c>
      <c r="K92" s="1">
        <f t="shared" si="40"/>
        <v>-253.40865669198124</v>
      </c>
      <c r="L92" s="1">
        <f t="shared" si="33"/>
        <v>218202.32987087805</v>
      </c>
      <c r="N92" s="1">
        <f t="shared" si="41"/>
        <v>69</v>
      </c>
      <c r="O92" s="2">
        <f t="shared" si="23"/>
        <v>5</v>
      </c>
      <c r="P92" s="2">
        <f t="shared" si="24"/>
        <v>9</v>
      </c>
      <c r="Q92" s="2">
        <f t="shared" si="25"/>
        <v>5</v>
      </c>
      <c r="R92" s="1">
        <f t="shared" si="42"/>
        <v>591356.98993317608</v>
      </c>
      <c r="S92" s="4">
        <f>IF($G$4="mensual",S91,0)</f>
        <v>10000</v>
      </c>
      <c r="U92" s="1">
        <f t="shared" si="26"/>
        <v>4795.3050856300133</v>
      </c>
      <c r="V92" s="35">
        <f t="shared" si="31"/>
        <v>-107.5423833489408</v>
      </c>
      <c r="X92" s="35">
        <f t="shared" si="27"/>
        <v>-703.01191305713041</v>
      </c>
      <c r="Y92" s="1">
        <f t="shared" si="34"/>
        <v>605341.74072240002</v>
      </c>
      <c r="AA92" s="2">
        <f>+Bono!J92</f>
        <v>146273.9464003722</v>
      </c>
      <c r="AC92" s="10">
        <f t="shared" si="35"/>
        <v>5.75</v>
      </c>
      <c r="AD92" s="1">
        <f t="shared" si="36"/>
        <v>969818.01699365024</v>
      </c>
      <c r="AF92" s="1">
        <f t="shared" si="43"/>
        <v>97</v>
      </c>
      <c r="AG92" s="1">
        <f t="shared" ref="AG92:AG104" si="45">+AG91+1</f>
        <v>68</v>
      </c>
      <c r="AH92" s="1">
        <f t="shared" ref="AH92:AH104" si="46">IF($G$17="Si",(1+$G$20)*AH91,AH91)</f>
        <v>120000</v>
      </c>
      <c r="AI92" s="1">
        <f t="shared" si="44"/>
        <v>8160000</v>
      </c>
    </row>
    <row r="93" spans="1:35">
      <c r="A93" s="1">
        <f t="shared" si="37"/>
        <v>5.833333333333333</v>
      </c>
      <c r="B93" s="1">
        <f t="shared" si="38"/>
        <v>70</v>
      </c>
      <c r="C93" s="2">
        <f t="shared" si="20"/>
        <v>5</v>
      </c>
      <c r="D93" s="2">
        <f t="shared" si="21"/>
        <v>10</v>
      </c>
      <c r="E93" s="2">
        <f t="shared" si="22"/>
        <v>34</v>
      </c>
      <c r="F93" s="1">
        <f t="shared" si="39"/>
        <v>218202.32987087805</v>
      </c>
      <c r="H93" s="1">
        <f t="shared" si="32"/>
        <v>1739.9760203043641</v>
      </c>
      <c r="I93" s="1">
        <v>0</v>
      </c>
      <c r="J93" s="1">
        <v>0</v>
      </c>
      <c r="K93" s="1">
        <f t="shared" si="40"/>
        <v>-255.13307483377159</v>
      </c>
      <c r="L93" s="1">
        <f t="shared" si="33"/>
        <v>219687.17281634864</v>
      </c>
      <c r="N93" s="1">
        <f t="shared" si="41"/>
        <v>70</v>
      </c>
      <c r="O93" s="2">
        <f t="shared" si="23"/>
        <v>5</v>
      </c>
      <c r="P93" s="2">
        <f t="shared" si="24"/>
        <v>10</v>
      </c>
      <c r="Q93" s="2">
        <f t="shared" si="25"/>
        <v>5</v>
      </c>
      <c r="R93" s="1">
        <f t="shared" si="42"/>
        <v>605341.74072240002</v>
      </c>
      <c r="S93" s="4">
        <f>IF($G$4="mensual",S84,IF($G$4="trimestral",S84,0))</f>
        <v>10000</v>
      </c>
      <c r="U93" s="1">
        <f t="shared" si="26"/>
        <v>4906.8214522865082</v>
      </c>
      <c r="V93" s="35">
        <f t="shared" si="31"/>
        <v>-107.5423833489408</v>
      </c>
      <c r="X93" s="35">
        <f t="shared" si="27"/>
        <v>-719.36358295795173</v>
      </c>
      <c r="Y93" s="1">
        <f t="shared" si="34"/>
        <v>619421.65620837966</v>
      </c>
      <c r="AA93" s="2">
        <f>+Bono!J93</f>
        <v>147180.86183478215</v>
      </c>
      <c r="AC93" s="10">
        <f t="shared" si="35"/>
        <v>5.833333333333333</v>
      </c>
      <c r="AD93" s="1">
        <f t="shared" si="36"/>
        <v>986289.69085951045</v>
      </c>
      <c r="AF93" s="1">
        <f t="shared" si="43"/>
        <v>98</v>
      </c>
      <c r="AG93" s="1">
        <f t="shared" si="45"/>
        <v>69</v>
      </c>
      <c r="AH93" s="1">
        <f t="shared" si="46"/>
        <v>120000</v>
      </c>
      <c r="AI93" s="1">
        <f t="shared" si="44"/>
        <v>8280000</v>
      </c>
    </row>
    <row r="94" spans="1:35">
      <c r="A94" s="1">
        <f t="shared" si="37"/>
        <v>5.916666666666667</v>
      </c>
      <c r="B94" s="1">
        <f t="shared" si="38"/>
        <v>71</v>
      </c>
      <c r="C94" s="2">
        <f t="shared" si="20"/>
        <v>5</v>
      </c>
      <c r="D94" s="2">
        <f t="shared" si="21"/>
        <v>11</v>
      </c>
      <c r="E94" s="2">
        <f t="shared" si="22"/>
        <v>34</v>
      </c>
      <c r="F94" s="1">
        <f t="shared" si="39"/>
        <v>219687.17281634864</v>
      </c>
      <c r="H94" s="1">
        <f t="shared" si="32"/>
        <v>1751.8163664664137</v>
      </c>
      <c r="I94" s="1">
        <v>0</v>
      </c>
      <c r="J94" s="1">
        <v>0</v>
      </c>
      <c r="K94" s="1">
        <f t="shared" si="40"/>
        <v>-256.86922745206545</v>
      </c>
      <c r="L94" s="1">
        <f t="shared" si="33"/>
        <v>221182.11995536298</v>
      </c>
      <c r="N94" s="1">
        <f t="shared" si="41"/>
        <v>71</v>
      </c>
      <c r="O94" s="2">
        <f t="shared" si="23"/>
        <v>5</v>
      </c>
      <c r="P94" s="2">
        <f t="shared" si="24"/>
        <v>11</v>
      </c>
      <c r="Q94" s="2">
        <f t="shared" si="25"/>
        <v>5</v>
      </c>
      <c r="R94" s="1">
        <f t="shared" si="42"/>
        <v>619421.65620837966</v>
      </c>
      <c r="S94" s="1">
        <f>IF($G$17="si",S82*(1+$G$20),S82)</f>
        <v>10000</v>
      </c>
      <c r="U94" s="1">
        <f t="shared" si="26"/>
        <v>5019.0966755988065</v>
      </c>
      <c r="V94" s="35">
        <f t="shared" si="31"/>
        <v>-107.5423833489408</v>
      </c>
      <c r="X94" s="35">
        <f t="shared" si="27"/>
        <v>-735.82652418073019</v>
      </c>
      <c r="Y94" s="1">
        <f t="shared" si="34"/>
        <v>633597.38397644879</v>
      </c>
      <c r="AA94" s="2">
        <f>+Bono!J94</f>
        <v>148093.40025008109</v>
      </c>
      <c r="AC94" s="10">
        <f t="shared" si="35"/>
        <v>5.916666666666667</v>
      </c>
      <c r="AD94" s="1">
        <f t="shared" si="36"/>
        <v>1002872.9041818929</v>
      </c>
      <c r="AF94" s="1">
        <f t="shared" si="43"/>
        <v>99</v>
      </c>
      <c r="AG94" s="1">
        <f t="shared" si="45"/>
        <v>70</v>
      </c>
      <c r="AH94" s="1">
        <f t="shared" si="46"/>
        <v>120000</v>
      </c>
      <c r="AI94" s="1">
        <f t="shared" si="44"/>
        <v>8400000</v>
      </c>
    </row>
    <row r="95" spans="1:35">
      <c r="A95" s="1">
        <f t="shared" si="37"/>
        <v>6</v>
      </c>
      <c r="B95" s="1">
        <f t="shared" si="38"/>
        <v>72</v>
      </c>
      <c r="C95" s="2">
        <f t="shared" si="20"/>
        <v>5</v>
      </c>
      <c r="D95" s="2">
        <f t="shared" si="21"/>
        <v>12</v>
      </c>
      <c r="E95" s="2">
        <f t="shared" si="22"/>
        <v>34</v>
      </c>
      <c r="F95" s="1">
        <f t="shared" si="39"/>
        <v>221182.11995536298</v>
      </c>
      <c r="H95" s="1">
        <f t="shared" si="32"/>
        <v>1763.7372848867021</v>
      </c>
      <c r="I95" s="1">
        <v>0</v>
      </c>
      <c r="J95" s="69">
        <f>-SUM(F95:H95)*$J$21*1.16</f>
        <v>-2327.554749588207</v>
      </c>
      <c r="K95" s="1">
        <f t="shared" si="40"/>
        <v>-255.91723088916729</v>
      </c>
      <c r="L95" s="1">
        <f t="shared" si="33"/>
        <v>220362.3852597723</v>
      </c>
      <c r="N95" s="1">
        <f t="shared" si="41"/>
        <v>72</v>
      </c>
      <c r="O95" s="2">
        <f t="shared" si="23"/>
        <v>5</v>
      </c>
      <c r="P95" s="2">
        <f t="shared" si="24"/>
        <v>12</v>
      </c>
      <c r="Q95" s="2">
        <f t="shared" si="25"/>
        <v>5</v>
      </c>
      <c r="R95" s="1">
        <f t="shared" si="42"/>
        <v>633597.38397644879</v>
      </c>
      <c r="S95" s="4">
        <f>IF($G$4="mensual",S94,0)</f>
        <v>10000</v>
      </c>
      <c r="U95" s="1">
        <f t="shared" si="26"/>
        <v>5132.1359195033001</v>
      </c>
      <c r="V95" s="35">
        <f t="shared" si="31"/>
        <v>-107.5423833489408</v>
      </c>
      <c r="X95" s="35">
        <f t="shared" si="27"/>
        <v>-752.40149391461966</v>
      </c>
      <c r="Y95" s="1">
        <f t="shared" si="34"/>
        <v>647869.5760186885</v>
      </c>
      <c r="AA95" s="2">
        <f>+Bono!J95</f>
        <v>147669.14969400276</v>
      </c>
      <c r="AC95" s="10">
        <f t="shared" si="35"/>
        <v>6</v>
      </c>
      <c r="AD95" s="1">
        <f t="shared" si="36"/>
        <v>1015901.1109724635</v>
      </c>
      <c r="AF95" s="1">
        <f t="shared" si="43"/>
        <v>100</v>
      </c>
      <c r="AG95" s="1">
        <f t="shared" si="45"/>
        <v>71</v>
      </c>
      <c r="AH95" s="1">
        <f t="shared" si="46"/>
        <v>120000</v>
      </c>
      <c r="AI95" s="1">
        <f t="shared" si="44"/>
        <v>8520000</v>
      </c>
    </row>
    <row r="96" spans="1:35">
      <c r="A96" s="1">
        <f t="shared" si="37"/>
        <v>6.083333333333333</v>
      </c>
      <c r="B96" s="1">
        <f t="shared" si="38"/>
        <v>73</v>
      </c>
      <c r="C96" s="2">
        <f t="shared" si="20"/>
        <v>6</v>
      </c>
      <c r="D96" s="2">
        <f t="shared" si="21"/>
        <v>1</v>
      </c>
      <c r="E96" s="2">
        <f t="shared" si="22"/>
        <v>35</v>
      </c>
      <c r="F96" s="1">
        <f t="shared" si="39"/>
        <v>220362.3852597723</v>
      </c>
      <c r="H96" s="1">
        <f t="shared" si="32"/>
        <v>1757.2006053096172</v>
      </c>
      <c r="I96" s="1">
        <v>0</v>
      </c>
      <c r="J96" s="1">
        <v>0</v>
      </c>
      <c r="K96" s="1">
        <f t="shared" si="40"/>
        <v>-257.65871960349506</v>
      </c>
      <c r="L96" s="1">
        <f t="shared" si="33"/>
        <v>221861.92714547843</v>
      </c>
      <c r="N96" s="1">
        <f t="shared" si="41"/>
        <v>73</v>
      </c>
      <c r="O96" s="2">
        <f t="shared" si="23"/>
        <v>6</v>
      </c>
      <c r="P96" s="2">
        <f t="shared" si="24"/>
        <v>1</v>
      </c>
      <c r="Q96" s="2">
        <f t="shared" si="25"/>
        <v>6</v>
      </c>
      <c r="R96" s="1">
        <f t="shared" si="42"/>
        <v>647869.5760186885</v>
      </c>
      <c r="S96" s="1">
        <f>IF($G$17="si",S84*(1+$G$20),S84)</f>
        <v>10000</v>
      </c>
      <c r="U96" s="1">
        <f t="shared" si="26"/>
        <v>5245.9443830764021</v>
      </c>
      <c r="V96" s="35">
        <f>V95*(1+$G$18)</f>
        <v>-111.84407868289844</v>
      </c>
      <c r="X96" s="35">
        <f t="shared" si="27"/>
        <v>-769.08426453477512</v>
      </c>
      <c r="Y96" s="1">
        <f t="shared" si="34"/>
        <v>662234.59205854719</v>
      </c>
      <c r="AA96" s="2">
        <f>+Bono!J96</f>
        <v>148584.71555066676</v>
      </c>
      <c r="AC96" s="10">
        <f t="shared" si="35"/>
        <v>6.083333333333333</v>
      </c>
      <c r="AD96" s="1">
        <f t="shared" si="36"/>
        <v>1032681.2347546924</v>
      </c>
      <c r="AF96" s="1">
        <f t="shared" si="43"/>
        <v>101</v>
      </c>
      <c r="AG96" s="1">
        <f t="shared" si="45"/>
        <v>72</v>
      </c>
      <c r="AH96" s="1">
        <f t="shared" si="46"/>
        <v>120000</v>
      </c>
      <c r="AI96" s="1">
        <f t="shared" si="44"/>
        <v>8640000</v>
      </c>
    </row>
    <row r="97" spans="1:35">
      <c r="A97" s="1">
        <f t="shared" si="37"/>
        <v>6.166666666666667</v>
      </c>
      <c r="B97" s="1">
        <f t="shared" si="38"/>
        <v>74</v>
      </c>
      <c r="C97" s="2">
        <f t="shared" si="20"/>
        <v>6</v>
      </c>
      <c r="D97" s="2">
        <f t="shared" si="21"/>
        <v>2</v>
      </c>
      <c r="E97" s="2">
        <f t="shared" si="22"/>
        <v>35</v>
      </c>
      <c r="F97" s="1">
        <f t="shared" si="39"/>
        <v>221861.92714547843</v>
      </c>
      <c r="H97" s="1">
        <f t="shared" si="32"/>
        <v>1769.1581628852612</v>
      </c>
      <c r="I97" s="1">
        <v>0</v>
      </c>
      <c r="J97" s="1">
        <v>0</v>
      </c>
      <c r="K97" s="1">
        <f t="shared" si="40"/>
        <v>-259.4120589577019</v>
      </c>
      <c r="L97" s="1">
        <f t="shared" si="33"/>
        <v>223371.67324940598</v>
      </c>
      <c r="N97" s="1">
        <f t="shared" si="41"/>
        <v>74</v>
      </c>
      <c r="O97" s="2">
        <f t="shared" si="23"/>
        <v>6</v>
      </c>
      <c r="P97" s="2">
        <f t="shared" si="24"/>
        <v>2</v>
      </c>
      <c r="Q97" s="2">
        <f t="shared" si="25"/>
        <v>6</v>
      </c>
      <c r="R97" s="1">
        <f t="shared" si="42"/>
        <v>662234.59205854719</v>
      </c>
      <c r="S97" s="4">
        <f>IF($G$4="mensual",S96,0)</f>
        <v>10000</v>
      </c>
      <c r="U97" s="1">
        <f t="shared" si="26"/>
        <v>5360.4930382416906</v>
      </c>
      <c r="V97" s="35">
        <f t="shared" si="31"/>
        <v>-111.84407868289844</v>
      </c>
      <c r="X97" s="35">
        <f t="shared" si="27"/>
        <v>-785.88055958100279</v>
      </c>
      <c r="Y97" s="1">
        <f t="shared" si="34"/>
        <v>676697.3604585249</v>
      </c>
      <c r="AA97" s="2">
        <f>+Bono!J97</f>
        <v>149505.95802184116</v>
      </c>
      <c r="AC97" s="10">
        <f t="shared" si="35"/>
        <v>6.166666666666667</v>
      </c>
      <c r="AD97" s="1">
        <f t="shared" si="36"/>
        <v>1049574.991729772</v>
      </c>
      <c r="AF97" s="1">
        <f t="shared" si="43"/>
        <v>102</v>
      </c>
      <c r="AG97" s="1">
        <f t="shared" si="45"/>
        <v>73</v>
      </c>
      <c r="AH97" s="1">
        <f t="shared" si="46"/>
        <v>120000</v>
      </c>
      <c r="AI97" s="1">
        <f t="shared" si="44"/>
        <v>8760000</v>
      </c>
    </row>
    <row r="98" spans="1:35">
      <c r="A98" s="1">
        <f t="shared" si="37"/>
        <v>6.25</v>
      </c>
      <c r="B98" s="1">
        <f t="shared" si="38"/>
        <v>75</v>
      </c>
      <c r="C98" s="2">
        <f t="shared" si="20"/>
        <v>6</v>
      </c>
      <c r="D98" s="2">
        <f t="shared" si="21"/>
        <v>3</v>
      </c>
      <c r="E98" s="2">
        <f t="shared" si="22"/>
        <v>35</v>
      </c>
      <c r="F98" s="1">
        <f t="shared" si="39"/>
        <v>223371.67324940598</v>
      </c>
      <c r="H98" s="1">
        <f t="shared" si="32"/>
        <v>1781.1970903299698</v>
      </c>
      <c r="I98" s="1">
        <v>0</v>
      </c>
      <c r="J98" s="69">
        <f>-SUM(F98:H98)*$J$21*1.16</f>
        <v>-2350.5959663468434</v>
      </c>
      <c r="K98" s="1">
        <f t="shared" si="40"/>
        <v>-258.45063827313135</v>
      </c>
      <c r="L98" s="1">
        <f t="shared" si="33"/>
        <v>222543.82373511599</v>
      </c>
      <c r="N98" s="1">
        <f t="shared" si="41"/>
        <v>75</v>
      </c>
      <c r="O98" s="2">
        <f t="shared" si="23"/>
        <v>6</v>
      </c>
      <c r="P98" s="2">
        <f t="shared" si="24"/>
        <v>3</v>
      </c>
      <c r="Q98" s="2">
        <f t="shared" si="25"/>
        <v>6</v>
      </c>
      <c r="R98" s="1">
        <f t="shared" si="42"/>
        <v>676697.3604585249</v>
      </c>
      <c r="S98" s="4">
        <f>IF($G$4="mensual",S97,0)</f>
        <v>10000</v>
      </c>
      <c r="U98" s="1">
        <f t="shared" si="26"/>
        <v>5475.8211844538246</v>
      </c>
      <c r="V98" s="35">
        <f t="shared" si="31"/>
        <v>-111.84407868289844</v>
      </c>
      <c r="X98" s="35">
        <f t="shared" si="27"/>
        <v>-802.79115157458295</v>
      </c>
      <c r="Y98" s="1">
        <f t="shared" si="34"/>
        <v>691258.54641272116</v>
      </c>
      <c r="AA98" s="2">
        <f>+Bono!J98</f>
        <v>149077.66084100341</v>
      </c>
      <c r="AC98" s="10">
        <f t="shared" si="35"/>
        <v>6.25</v>
      </c>
      <c r="AD98" s="1">
        <f t="shared" si="36"/>
        <v>1062880.0309888406</v>
      </c>
      <c r="AF98" s="1">
        <f t="shared" si="43"/>
        <v>103</v>
      </c>
      <c r="AG98" s="1">
        <f t="shared" si="45"/>
        <v>74</v>
      </c>
      <c r="AH98" s="1">
        <f t="shared" si="46"/>
        <v>120000</v>
      </c>
      <c r="AI98" s="1">
        <f t="shared" si="44"/>
        <v>8880000</v>
      </c>
    </row>
    <row r="99" spans="1:35">
      <c r="A99" s="1">
        <f t="shared" si="37"/>
        <v>6.333333333333333</v>
      </c>
      <c r="B99" s="1">
        <f t="shared" si="38"/>
        <v>76</v>
      </c>
      <c r="C99" s="2">
        <f t="shared" si="20"/>
        <v>6</v>
      </c>
      <c r="D99" s="2">
        <f t="shared" si="21"/>
        <v>4</v>
      </c>
      <c r="E99" s="2">
        <f t="shared" si="22"/>
        <v>35</v>
      </c>
      <c r="F99" s="1">
        <f t="shared" si="39"/>
        <v>222543.82373511599</v>
      </c>
      <c r="H99" s="1">
        <f t="shared" si="32"/>
        <v>1774.5957020490216</v>
      </c>
      <c r="I99" s="1">
        <v>0</v>
      </c>
      <c r="J99" s="1">
        <v>0</v>
      </c>
      <c r="K99" s="1">
        <f t="shared" si="40"/>
        <v>-260.20936654711142</v>
      </c>
      <c r="L99" s="1">
        <f t="shared" si="33"/>
        <v>224058.2100706179</v>
      </c>
      <c r="N99" s="1">
        <f t="shared" si="41"/>
        <v>76</v>
      </c>
      <c r="O99" s="2">
        <f t="shared" si="23"/>
        <v>6</v>
      </c>
      <c r="P99" s="2">
        <f t="shared" si="24"/>
        <v>4</v>
      </c>
      <c r="Q99" s="2">
        <f t="shared" si="25"/>
        <v>6</v>
      </c>
      <c r="R99" s="1">
        <f t="shared" si="42"/>
        <v>691258.54641272116</v>
      </c>
      <c r="S99" s="4">
        <f>IF($G$4="mensual",S96,IF($G$4="trimestral",S96,0))</f>
        <v>10000</v>
      </c>
      <c r="U99" s="1">
        <f t="shared" si="26"/>
        <v>5591.9341260639667</v>
      </c>
      <c r="V99" s="35">
        <f t="shared" si="31"/>
        <v>-111.84407868289844</v>
      </c>
      <c r="X99" s="35">
        <f t="shared" si="27"/>
        <v>-819.81681829371848</v>
      </c>
      <c r="Y99" s="1">
        <f t="shared" si="34"/>
        <v>705918.8196418084</v>
      </c>
      <c r="AA99" s="2">
        <f>+Bono!J99</f>
        <v>150001.95963015599</v>
      </c>
      <c r="AC99" s="10">
        <f t="shared" si="35"/>
        <v>6.333333333333333</v>
      </c>
      <c r="AD99" s="1">
        <f t="shared" si="36"/>
        <v>1079978.9893425824</v>
      </c>
      <c r="AF99" s="1">
        <f t="shared" si="43"/>
        <v>104</v>
      </c>
      <c r="AG99" s="1">
        <f t="shared" si="45"/>
        <v>75</v>
      </c>
      <c r="AH99" s="1">
        <f t="shared" si="46"/>
        <v>120000</v>
      </c>
      <c r="AI99" s="1">
        <f t="shared" si="44"/>
        <v>9000000</v>
      </c>
    </row>
    <row r="100" spans="1:35">
      <c r="A100" s="1">
        <f t="shared" si="37"/>
        <v>6.416666666666667</v>
      </c>
      <c r="B100" s="1">
        <f t="shared" si="38"/>
        <v>77</v>
      </c>
      <c r="C100" s="2">
        <f t="shared" ref="C100:C163" si="47">C88+1</f>
        <v>6</v>
      </c>
      <c r="D100" s="2">
        <f t="shared" ref="D100:D163" si="48">D88</f>
        <v>5</v>
      </c>
      <c r="E100" s="2">
        <f t="shared" ref="E100:E163" si="49">E88+1</f>
        <v>35</v>
      </c>
      <c r="F100" s="1">
        <f t="shared" si="39"/>
        <v>224058.2100706179</v>
      </c>
      <c r="H100" s="1">
        <f t="shared" si="32"/>
        <v>1786.6716313519269</v>
      </c>
      <c r="I100" s="1">
        <v>0</v>
      </c>
      <c r="J100" s="1">
        <v>0</v>
      </c>
      <c r="K100" s="1">
        <f t="shared" si="40"/>
        <v>-261.98006277428499</v>
      </c>
      <c r="L100" s="1">
        <f t="shared" si="33"/>
        <v>225582.90163919554</v>
      </c>
      <c r="N100" s="1">
        <f t="shared" si="41"/>
        <v>77</v>
      </c>
      <c r="O100" s="2">
        <f t="shared" ref="O100:O163" si="50">O88+1</f>
        <v>6</v>
      </c>
      <c r="P100" s="2">
        <f t="shared" ref="P100:P163" si="51">P88</f>
        <v>5</v>
      </c>
      <c r="Q100" s="2">
        <f t="shared" ref="Q100:Q163" si="52">Q88+1</f>
        <v>6</v>
      </c>
      <c r="R100" s="1">
        <f t="shared" si="42"/>
        <v>705918.8196418084</v>
      </c>
      <c r="S100" s="4">
        <f>IF($G$4="mensual",S99,0)</f>
        <v>10000</v>
      </c>
      <c r="U100" s="1">
        <f t="shared" ref="U100:U163" si="53">SUM(R100:T100)*$G$8</f>
        <v>5708.8372035188067</v>
      </c>
      <c r="V100" s="35">
        <f t="shared" si="31"/>
        <v>-111.84407868289844</v>
      </c>
      <c r="X100" s="35">
        <f t="shared" si="27"/>
        <v>-836.9583428093074</v>
      </c>
      <c r="Y100" s="1">
        <f t="shared" si="34"/>
        <v>720678.85442383494</v>
      </c>
      <c r="AA100" s="2">
        <f>+Bono!J100</f>
        <v>150931.98917901336</v>
      </c>
      <c r="AC100" s="10">
        <f t="shared" si="35"/>
        <v>6.416666666666667</v>
      </c>
      <c r="AD100" s="1">
        <f t="shared" si="36"/>
        <v>1097193.7452420439</v>
      </c>
      <c r="AF100" s="1">
        <f t="shared" si="43"/>
        <v>105</v>
      </c>
      <c r="AG100" s="1">
        <f t="shared" si="45"/>
        <v>76</v>
      </c>
      <c r="AH100" s="1">
        <f t="shared" si="46"/>
        <v>120000</v>
      </c>
      <c r="AI100" s="1">
        <f t="shared" si="44"/>
        <v>9120000</v>
      </c>
    </row>
    <row r="101" spans="1:35">
      <c r="A101" s="1">
        <f t="shared" si="37"/>
        <v>6.5</v>
      </c>
      <c r="B101" s="1">
        <f t="shared" si="38"/>
        <v>78</v>
      </c>
      <c r="C101" s="2">
        <f t="shared" si="47"/>
        <v>6</v>
      </c>
      <c r="D101" s="2">
        <f t="shared" si="48"/>
        <v>6</v>
      </c>
      <c r="E101" s="2">
        <f t="shared" si="49"/>
        <v>35</v>
      </c>
      <c r="F101" s="1">
        <f t="shared" si="39"/>
        <v>225582.90163919554</v>
      </c>
      <c r="H101" s="1">
        <f t="shared" si="32"/>
        <v>1798.8297360305303</v>
      </c>
      <c r="I101" s="1">
        <v>0</v>
      </c>
      <c r="J101" s="69">
        <f>-SUM(F101:H101)*$J$21*1.16</f>
        <v>-2373.8652755573603</v>
      </c>
      <c r="K101" s="1">
        <f t="shared" si="40"/>
        <v>-261.00912467561568</v>
      </c>
      <c r="L101" s="1">
        <f t="shared" si="33"/>
        <v>224746.8569749931</v>
      </c>
      <c r="N101" s="1">
        <f t="shared" si="41"/>
        <v>78</v>
      </c>
      <c r="O101" s="2">
        <f t="shared" si="50"/>
        <v>6</v>
      </c>
      <c r="P101" s="2">
        <f t="shared" si="51"/>
        <v>6</v>
      </c>
      <c r="Q101" s="2">
        <f t="shared" si="52"/>
        <v>6</v>
      </c>
      <c r="R101" s="1">
        <f t="shared" si="42"/>
        <v>720678.85442383494</v>
      </c>
      <c r="S101" s="4">
        <f>IF($G$4="mensual",S100,0)</f>
        <v>10000</v>
      </c>
      <c r="U101" s="1">
        <f t="shared" si="53"/>
        <v>5826.5357936061901</v>
      </c>
      <c r="V101" s="35">
        <f t="shared" si="31"/>
        <v>-111.84407868289844</v>
      </c>
      <c r="X101" s="35">
        <f t="shared" si="27"/>
        <v>-854.21651352095944</v>
      </c>
      <c r="Y101" s="1">
        <f t="shared" si="34"/>
        <v>735539.32962523727</v>
      </c>
      <c r="AA101" s="2">
        <f>+Bono!J101</f>
        <v>150499.60677553641</v>
      </c>
      <c r="AC101" s="10">
        <f t="shared" si="35"/>
        <v>6.5</v>
      </c>
      <c r="AD101" s="1">
        <f t="shared" si="36"/>
        <v>1110785.7933757668</v>
      </c>
      <c r="AF101" s="1">
        <f t="shared" si="43"/>
        <v>106</v>
      </c>
      <c r="AG101" s="1">
        <f t="shared" si="45"/>
        <v>77</v>
      </c>
      <c r="AH101" s="1">
        <f t="shared" si="46"/>
        <v>120000</v>
      </c>
      <c r="AI101" s="1">
        <f t="shared" si="44"/>
        <v>9240000</v>
      </c>
    </row>
    <row r="102" spans="1:35">
      <c r="A102" s="1">
        <f t="shared" si="37"/>
        <v>6.583333333333333</v>
      </c>
      <c r="B102" s="1">
        <f t="shared" si="38"/>
        <v>79</v>
      </c>
      <c r="C102" s="2">
        <f t="shared" si="47"/>
        <v>6</v>
      </c>
      <c r="D102" s="2">
        <f t="shared" si="48"/>
        <v>7</v>
      </c>
      <c r="E102" s="2">
        <f t="shared" si="49"/>
        <v>35</v>
      </c>
      <c r="F102" s="1">
        <f t="shared" si="39"/>
        <v>224746.8569749931</v>
      </c>
      <c r="H102" s="1">
        <f t="shared" si="32"/>
        <v>1792.1629984733445</v>
      </c>
      <c r="I102" s="1">
        <v>0</v>
      </c>
      <c r="J102" s="1">
        <v>0</v>
      </c>
      <c r="K102" s="1">
        <f t="shared" si="40"/>
        <v>-262.78526316922108</v>
      </c>
      <c r="L102" s="1">
        <f t="shared" si="33"/>
        <v>226276.23471029726</v>
      </c>
      <c r="N102" s="1">
        <f t="shared" si="41"/>
        <v>79</v>
      </c>
      <c r="O102" s="2">
        <f t="shared" si="50"/>
        <v>6</v>
      </c>
      <c r="P102" s="2">
        <f t="shared" si="51"/>
        <v>7</v>
      </c>
      <c r="Q102" s="2">
        <f t="shared" si="52"/>
        <v>6</v>
      </c>
      <c r="R102" s="1">
        <f t="shared" si="42"/>
        <v>735539.32962523727</v>
      </c>
      <c r="S102" s="1">
        <f>+IF($G$4="mensual",S96,IF($G$4="trimestral",S96,IF($G$4="semestral",S96,0)))</f>
        <v>10000</v>
      </c>
      <c r="U102" s="1">
        <f t="shared" si="53"/>
        <v>5945.0353097024145</v>
      </c>
      <c r="V102" s="35">
        <f t="shared" si="31"/>
        <v>-111.84407868289844</v>
      </c>
      <c r="X102" s="35">
        <f t="shared" si="27"/>
        <v>-871.59212419325775</v>
      </c>
      <c r="Y102" s="1">
        <f t="shared" si="34"/>
        <v>750500.9287320635</v>
      </c>
      <c r="AA102" s="2">
        <f>+Bono!J102</f>
        <v>151432.72179441861</v>
      </c>
      <c r="AC102" s="10">
        <f t="shared" si="35"/>
        <v>6.583333333333333</v>
      </c>
      <c r="AD102" s="1">
        <f t="shared" si="36"/>
        <v>1128209.8852367795</v>
      </c>
      <c r="AF102" s="1">
        <f t="shared" si="43"/>
        <v>107</v>
      </c>
      <c r="AG102" s="1">
        <f t="shared" si="45"/>
        <v>78</v>
      </c>
      <c r="AH102" s="1">
        <f t="shared" si="46"/>
        <v>120000</v>
      </c>
      <c r="AI102" s="1">
        <f t="shared" si="44"/>
        <v>9360000</v>
      </c>
    </row>
    <row r="103" spans="1:35">
      <c r="A103" s="1">
        <f t="shared" si="37"/>
        <v>6.666666666666667</v>
      </c>
      <c r="B103" s="1">
        <f t="shared" si="38"/>
        <v>80</v>
      </c>
      <c r="C103" s="2">
        <f t="shared" si="47"/>
        <v>6</v>
      </c>
      <c r="D103" s="2">
        <f t="shared" si="48"/>
        <v>8</v>
      </c>
      <c r="E103" s="2">
        <f t="shared" si="49"/>
        <v>35</v>
      </c>
      <c r="F103" s="1">
        <f t="shared" si="39"/>
        <v>226276.23471029726</v>
      </c>
      <c r="H103" s="1">
        <f t="shared" si="32"/>
        <v>1804.3584713034986</v>
      </c>
      <c r="I103" s="1">
        <v>0</v>
      </c>
      <c r="J103" s="1">
        <v>0</v>
      </c>
      <c r="K103" s="1">
        <f t="shared" si="40"/>
        <v>-264.57348809065684</v>
      </c>
      <c r="L103" s="1">
        <f t="shared" si="33"/>
        <v>227816.01969351011</v>
      </c>
      <c r="N103" s="1">
        <f t="shared" si="41"/>
        <v>80</v>
      </c>
      <c r="O103" s="2">
        <f t="shared" si="50"/>
        <v>6</v>
      </c>
      <c r="P103" s="2">
        <f t="shared" si="51"/>
        <v>8</v>
      </c>
      <c r="Q103" s="2">
        <f t="shared" si="52"/>
        <v>6</v>
      </c>
      <c r="R103" s="1">
        <f t="shared" si="42"/>
        <v>750500.9287320635</v>
      </c>
      <c r="S103" s="4">
        <f>IF($G$4="mensual",S102,0)</f>
        <v>10000</v>
      </c>
      <c r="U103" s="1">
        <f t="shared" si="53"/>
        <v>6064.3412020212081</v>
      </c>
      <c r="V103" s="35">
        <f t="shared" si="31"/>
        <v>-111.84407868289844</v>
      </c>
      <c r="X103" s="35">
        <f t="shared" si="27"/>
        <v>-889.08597399226596</v>
      </c>
      <c r="Y103" s="1">
        <f t="shared" si="34"/>
        <v>765564.33988140954</v>
      </c>
      <c r="AA103" s="2">
        <f>+Bono!J103</f>
        <v>152371.62223465255</v>
      </c>
      <c r="AC103" s="10">
        <f t="shared" si="35"/>
        <v>6.666666666666667</v>
      </c>
      <c r="AD103" s="1">
        <f t="shared" si="36"/>
        <v>1145751.9818095721</v>
      </c>
      <c r="AF103" s="1">
        <f t="shared" si="43"/>
        <v>108</v>
      </c>
      <c r="AG103" s="1">
        <f t="shared" si="45"/>
        <v>79</v>
      </c>
      <c r="AH103" s="1">
        <f t="shared" si="46"/>
        <v>120000</v>
      </c>
      <c r="AI103" s="1">
        <f t="shared" si="44"/>
        <v>9480000</v>
      </c>
    </row>
    <row r="104" spans="1:35">
      <c r="A104" s="1">
        <f t="shared" si="37"/>
        <v>6.75</v>
      </c>
      <c r="B104" s="1">
        <f t="shared" si="38"/>
        <v>81</v>
      </c>
      <c r="C104" s="2">
        <f t="shared" si="47"/>
        <v>6</v>
      </c>
      <c r="D104" s="2">
        <f t="shared" si="48"/>
        <v>9</v>
      </c>
      <c r="E104" s="2">
        <f t="shared" si="49"/>
        <v>35</v>
      </c>
      <c r="F104" s="1">
        <f t="shared" si="39"/>
        <v>227816.01969351011</v>
      </c>
      <c r="H104" s="1">
        <f t="shared" si="32"/>
        <v>1816.6369329899551</v>
      </c>
      <c r="I104" s="1">
        <v>0</v>
      </c>
      <c r="J104" s="69">
        <f>-SUM(F104:H104)*$J$21*1.16</f>
        <v>-2397.3649351806607</v>
      </c>
      <c r="K104" s="1">
        <f t="shared" si="40"/>
        <v>-263.59293836193052</v>
      </c>
      <c r="L104" s="1">
        <f t="shared" si="33"/>
        <v>226971.69875295748</v>
      </c>
      <c r="N104" s="1">
        <f t="shared" si="41"/>
        <v>81</v>
      </c>
      <c r="O104" s="2">
        <f t="shared" si="50"/>
        <v>6</v>
      </c>
      <c r="P104" s="2">
        <f t="shared" si="51"/>
        <v>9</v>
      </c>
      <c r="Q104" s="2">
        <f t="shared" si="52"/>
        <v>6</v>
      </c>
      <c r="R104" s="1">
        <f t="shared" si="42"/>
        <v>765564.33988140954</v>
      </c>
      <c r="S104" s="4">
        <f>IF($G$4="mensual",S103,0)</f>
        <v>10000</v>
      </c>
      <c r="U104" s="1">
        <f t="shared" si="53"/>
        <v>6184.4589578644081</v>
      </c>
      <c r="V104" s="35">
        <f t="shared" si="31"/>
        <v>-111.84407868289844</v>
      </c>
      <c r="X104" s="35">
        <f t="shared" si="27"/>
        <v>-906.69886752228558</v>
      </c>
      <c r="Y104" s="1">
        <f t="shared" si="34"/>
        <v>780730.25589306874</v>
      </c>
      <c r="AA104" s="2">
        <f>+Bono!J104</f>
        <v>151935.11564249889</v>
      </c>
      <c r="AC104" s="10">
        <f t="shared" si="35"/>
        <v>6.75</v>
      </c>
      <c r="AD104" s="1">
        <f t="shared" si="36"/>
        <v>1159637.070288525</v>
      </c>
      <c r="AF104" s="1">
        <f t="shared" si="43"/>
        <v>109</v>
      </c>
      <c r="AG104" s="1">
        <f t="shared" si="45"/>
        <v>80</v>
      </c>
      <c r="AH104" s="1">
        <f t="shared" si="46"/>
        <v>120000</v>
      </c>
      <c r="AI104" s="1">
        <f t="shared" si="44"/>
        <v>9600000</v>
      </c>
    </row>
    <row r="105" spans="1:35">
      <c r="A105" s="1">
        <f t="shared" si="37"/>
        <v>6.833333333333333</v>
      </c>
      <c r="B105" s="1">
        <f t="shared" si="38"/>
        <v>82</v>
      </c>
      <c r="C105" s="2">
        <f t="shared" si="47"/>
        <v>6</v>
      </c>
      <c r="D105" s="2">
        <f t="shared" si="48"/>
        <v>10</v>
      </c>
      <c r="E105" s="2">
        <f t="shared" si="49"/>
        <v>35</v>
      </c>
      <c r="F105" s="1">
        <f t="shared" si="39"/>
        <v>226971.69875295748</v>
      </c>
      <c r="H105" s="1">
        <f t="shared" si="32"/>
        <v>1809.9041992429243</v>
      </c>
      <c r="I105" s="1">
        <v>0</v>
      </c>
      <c r="J105" s="1">
        <v>0</v>
      </c>
      <c r="K105" s="1">
        <f t="shared" si="40"/>
        <v>-265.38665942455242</v>
      </c>
      <c r="L105" s="1">
        <f t="shared" si="33"/>
        <v>228516.21629277585</v>
      </c>
      <c r="N105" s="1">
        <f t="shared" si="41"/>
        <v>82</v>
      </c>
      <c r="O105" s="2">
        <f t="shared" si="50"/>
        <v>6</v>
      </c>
      <c r="P105" s="2">
        <f t="shared" si="51"/>
        <v>10</v>
      </c>
      <c r="Q105" s="2">
        <f t="shared" si="52"/>
        <v>6</v>
      </c>
      <c r="R105" s="1">
        <f t="shared" si="42"/>
        <v>780730.25589306874</v>
      </c>
      <c r="S105" s="4">
        <f>IF($G$4="mensual",S96,IF($G$4="trimestral",S96,0))</f>
        <v>10000</v>
      </c>
      <c r="U105" s="1">
        <f t="shared" si="53"/>
        <v>6305.394101874338</v>
      </c>
      <c r="V105" s="35">
        <f t="shared" si="31"/>
        <v>-111.84407868289844</v>
      </c>
      <c r="X105" s="35">
        <f t="shared" si="27"/>
        <v>-924.43161486286169</v>
      </c>
      <c r="Y105" s="1">
        <f t="shared" si="34"/>
        <v>795999.37430139724</v>
      </c>
      <c r="AA105" s="2">
        <f>+Bono!J105</f>
        <v>152877.130982865</v>
      </c>
      <c r="AC105" s="10">
        <f t="shared" si="35"/>
        <v>6.833333333333333</v>
      </c>
      <c r="AD105" s="1">
        <f t="shared" si="36"/>
        <v>1177392.7215770381</v>
      </c>
    </row>
    <row r="106" spans="1:35">
      <c r="A106" s="1">
        <f t="shared" si="37"/>
        <v>6.916666666666667</v>
      </c>
      <c r="B106" s="1">
        <f t="shared" si="38"/>
        <v>83</v>
      </c>
      <c r="C106" s="2">
        <f t="shared" si="47"/>
        <v>6</v>
      </c>
      <c r="D106" s="2">
        <f t="shared" si="48"/>
        <v>11</v>
      </c>
      <c r="E106" s="2">
        <f t="shared" si="49"/>
        <v>35</v>
      </c>
      <c r="F106" s="1">
        <f t="shared" si="39"/>
        <v>228516.21629277585</v>
      </c>
      <c r="H106" s="1">
        <f t="shared" si="32"/>
        <v>1822.2203990003409</v>
      </c>
      <c r="I106" s="1">
        <v>0</v>
      </c>
      <c r="J106" s="1">
        <v>0</v>
      </c>
      <c r="K106" s="1">
        <f t="shared" si="40"/>
        <v>-267.19258656246035</v>
      </c>
      <c r="L106" s="1">
        <f t="shared" si="33"/>
        <v>230071.24410521373</v>
      </c>
      <c r="N106" s="1">
        <f t="shared" si="41"/>
        <v>83</v>
      </c>
      <c r="O106" s="2">
        <f t="shared" si="50"/>
        <v>6</v>
      </c>
      <c r="P106" s="2">
        <f t="shared" si="51"/>
        <v>11</v>
      </c>
      <c r="Q106" s="2">
        <f t="shared" si="52"/>
        <v>6</v>
      </c>
      <c r="R106" s="1">
        <f t="shared" si="42"/>
        <v>795999.37430139724</v>
      </c>
      <c r="S106" s="1">
        <f>IF($G$17="si",S94*(1+$G$20),S94)</f>
        <v>10000</v>
      </c>
      <c r="U106" s="1">
        <f t="shared" si="53"/>
        <v>6427.1521962879096</v>
      </c>
      <c r="V106" s="35">
        <f t="shared" si="31"/>
        <v>-111.84407868289844</v>
      </c>
      <c r="X106" s="35">
        <f t="shared" si="27"/>
        <v>-942.28503160604248</v>
      </c>
      <c r="Y106" s="1">
        <f t="shared" si="34"/>
        <v>811372.39738739608</v>
      </c>
      <c r="AA106" s="2">
        <f>+Bono!J106</f>
        <v>153824.98692760838</v>
      </c>
      <c r="AC106" s="10">
        <f t="shared" si="35"/>
        <v>6.916666666666667</v>
      </c>
      <c r="AD106" s="1">
        <f t="shared" si="36"/>
        <v>1195268.6284202181</v>
      </c>
    </row>
    <row r="107" spans="1:35">
      <c r="A107" s="1">
        <f t="shared" si="37"/>
        <v>7</v>
      </c>
      <c r="B107" s="1">
        <f t="shared" si="38"/>
        <v>84</v>
      </c>
      <c r="C107" s="2">
        <f t="shared" si="47"/>
        <v>6</v>
      </c>
      <c r="D107" s="2">
        <f t="shared" si="48"/>
        <v>12</v>
      </c>
      <c r="E107" s="2">
        <f t="shared" si="49"/>
        <v>35</v>
      </c>
      <c r="F107" s="1">
        <f t="shared" si="39"/>
        <v>230071.24410521373</v>
      </c>
      <c r="H107" s="1">
        <f t="shared" si="32"/>
        <v>1834.6204091475718</v>
      </c>
      <c r="I107" s="1">
        <v>0</v>
      </c>
      <c r="J107" s="69">
        <f>-SUM(F107:H107)*$J$21*1.16</f>
        <v>-2421.0972255299321</v>
      </c>
      <c r="K107" s="1">
        <f t="shared" si="40"/>
        <v>-266.2023300550444</v>
      </c>
      <c r="L107" s="1">
        <f t="shared" si="33"/>
        <v>229218.56495877635</v>
      </c>
      <c r="N107" s="1">
        <f t="shared" si="41"/>
        <v>84</v>
      </c>
      <c r="O107" s="2">
        <f t="shared" si="50"/>
        <v>6</v>
      </c>
      <c r="P107" s="2">
        <f t="shared" si="51"/>
        <v>12</v>
      </c>
      <c r="Q107" s="2">
        <f t="shared" si="52"/>
        <v>6</v>
      </c>
      <c r="R107" s="1">
        <f t="shared" si="42"/>
        <v>811372.39738739608</v>
      </c>
      <c r="S107" s="4">
        <f>IF($G$4="mensual",S106,0)</f>
        <v>10000</v>
      </c>
      <c r="U107" s="1">
        <f t="shared" si="53"/>
        <v>6549.7388411924439</v>
      </c>
      <c r="V107" s="35">
        <f t="shared" si="31"/>
        <v>-111.84407868289844</v>
      </c>
      <c r="X107" s="35">
        <f t="shared" ref="X107:X170" si="54">-SUM(R107:V107)*0.1%*1.16</f>
        <v>-960.25993889389053</v>
      </c>
      <c r="Y107" s="1">
        <f t="shared" si="34"/>
        <v>826850.03221101174</v>
      </c>
      <c r="AA107" s="2">
        <f>+Bono!J107</f>
        <v>153384.3168090712</v>
      </c>
      <c r="AC107" s="10">
        <f t="shared" si="35"/>
        <v>7</v>
      </c>
      <c r="AD107" s="1">
        <f t="shared" si="36"/>
        <v>1209452.9139788593</v>
      </c>
    </row>
    <row r="108" spans="1:35">
      <c r="A108" s="1">
        <f t="shared" si="37"/>
        <v>7.083333333333333</v>
      </c>
      <c r="B108" s="1">
        <f t="shared" si="38"/>
        <v>85</v>
      </c>
      <c r="C108" s="2">
        <f t="shared" si="47"/>
        <v>7</v>
      </c>
      <c r="D108" s="2">
        <f t="shared" si="48"/>
        <v>1</v>
      </c>
      <c r="E108" s="2">
        <f t="shared" si="49"/>
        <v>36</v>
      </c>
      <c r="F108" s="1">
        <f t="shared" si="39"/>
        <v>229218.56495877635</v>
      </c>
      <c r="H108" s="1">
        <f t="shared" si="32"/>
        <v>1827.8210258930822</v>
      </c>
      <c r="I108" s="1">
        <v>0</v>
      </c>
      <c r="J108" s="1">
        <v>0</v>
      </c>
      <c r="K108" s="1">
        <f t="shared" si="40"/>
        <v>-268.01380774221656</v>
      </c>
      <c r="L108" s="1">
        <f t="shared" si="33"/>
        <v>230778.37217692722</v>
      </c>
      <c r="N108" s="1">
        <f t="shared" si="41"/>
        <v>85</v>
      </c>
      <c r="O108" s="2">
        <f t="shared" si="50"/>
        <v>7</v>
      </c>
      <c r="P108" s="2">
        <f t="shared" si="51"/>
        <v>1</v>
      </c>
      <c r="Q108" s="2">
        <f t="shared" si="52"/>
        <v>7</v>
      </c>
      <c r="R108" s="1">
        <f t="shared" si="42"/>
        <v>826850.03221101174</v>
      </c>
      <c r="S108" s="1">
        <f>IF($G$17="si",S96*(1+$G$20),S96)</f>
        <v>10000</v>
      </c>
      <c r="U108" s="1">
        <f t="shared" si="53"/>
        <v>6673.1596747832464</v>
      </c>
      <c r="V108" s="35">
        <f>V107*(1+$G$18)</f>
        <v>-116.31784183021438</v>
      </c>
      <c r="X108" s="35">
        <f t="shared" si="54"/>
        <v>-978.35197389099903</v>
      </c>
      <c r="Y108" s="1">
        <f t="shared" si="34"/>
        <v>842428.52207007376</v>
      </c>
      <c r="AA108" s="2">
        <f>+Bono!J108</f>
        <v>154335.31736476696</v>
      </c>
      <c r="AC108" s="10">
        <f t="shared" si="35"/>
        <v>7.083333333333333</v>
      </c>
      <c r="AD108" s="1">
        <f t="shared" si="36"/>
        <v>1227542.211611768</v>
      </c>
    </row>
    <row r="109" spans="1:35">
      <c r="A109" s="1">
        <f t="shared" si="37"/>
        <v>7.166666666666667</v>
      </c>
      <c r="B109" s="1">
        <f t="shared" si="38"/>
        <v>86</v>
      </c>
      <c r="C109" s="2">
        <f t="shared" si="47"/>
        <v>7</v>
      </c>
      <c r="D109" s="2">
        <f t="shared" si="48"/>
        <v>2</v>
      </c>
      <c r="E109" s="2">
        <f t="shared" si="49"/>
        <v>36</v>
      </c>
      <c r="F109" s="1">
        <f t="shared" si="39"/>
        <v>230778.37217692722</v>
      </c>
      <c r="H109" s="1">
        <f t="shared" si="32"/>
        <v>1840.259147692635</v>
      </c>
      <c r="I109" s="1">
        <v>0</v>
      </c>
      <c r="J109" s="1">
        <v>0</v>
      </c>
      <c r="K109" s="1">
        <f t="shared" si="40"/>
        <v>-269.83761233655906</v>
      </c>
      <c r="L109" s="1">
        <f t="shared" si="33"/>
        <v>232348.79371228331</v>
      </c>
      <c r="N109" s="1">
        <f t="shared" si="41"/>
        <v>86</v>
      </c>
      <c r="O109" s="2">
        <f t="shared" si="50"/>
        <v>7</v>
      </c>
      <c r="P109" s="2">
        <f t="shared" si="51"/>
        <v>2</v>
      </c>
      <c r="Q109" s="2">
        <f t="shared" si="52"/>
        <v>7</v>
      </c>
      <c r="R109" s="1">
        <f t="shared" si="42"/>
        <v>842428.52207007376</v>
      </c>
      <c r="S109" s="4">
        <f>IF($G$4="mensual",S108,0)</f>
        <v>10000</v>
      </c>
      <c r="U109" s="1">
        <f t="shared" si="53"/>
        <v>6797.3847405896595</v>
      </c>
      <c r="V109" s="35">
        <f t="shared" si="31"/>
        <v>-116.31784183021438</v>
      </c>
      <c r="X109" s="35">
        <f t="shared" si="54"/>
        <v>-996.56712320384645</v>
      </c>
      <c r="Y109" s="1">
        <f t="shared" si="34"/>
        <v>858113.02184562932</v>
      </c>
      <c r="AA109" s="2">
        <f>+Bono!J109</f>
        <v>155292.21423421727</v>
      </c>
      <c r="AC109" s="10">
        <f t="shared" si="35"/>
        <v>7.166666666666667</v>
      </c>
      <c r="AD109" s="1">
        <f t="shared" si="36"/>
        <v>1245754.02979213</v>
      </c>
    </row>
    <row r="110" spans="1:35">
      <c r="A110" s="1">
        <f t="shared" si="37"/>
        <v>7.25</v>
      </c>
      <c r="B110" s="1">
        <f t="shared" si="38"/>
        <v>87</v>
      </c>
      <c r="C110" s="2">
        <f t="shared" si="47"/>
        <v>7</v>
      </c>
      <c r="D110" s="2">
        <f t="shared" si="48"/>
        <v>3</v>
      </c>
      <c r="E110" s="2">
        <f t="shared" si="49"/>
        <v>36</v>
      </c>
      <c r="F110" s="1">
        <f t="shared" si="39"/>
        <v>232348.79371228331</v>
      </c>
      <c r="H110" s="1">
        <f t="shared" si="32"/>
        <v>1852.7819095481391</v>
      </c>
      <c r="I110" s="1">
        <v>0</v>
      </c>
      <c r="J110" s="69">
        <f>-SUM(F110:H110)*$J$21*1.16</f>
        <v>-2445.0644494919206</v>
      </c>
      <c r="K110" s="1">
        <f t="shared" si="40"/>
        <v>-268.83755295991386</v>
      </c>
      <c r="L110" s="1">
        <f t="shared" si="33"/>
        <v>231487.67361937964</v>
      </c>
      <c r="N110" s="1">
        <f t="shared" si="41"/>
        <v>87</v>
      </c>
      <c r="O110" s="2">
        <f t="shared" si="50"/>
        <v>7</v>
      </c>
      <c r="P110" s="2">
        <f t="shared" si="51"/>
        <v>3</v>
      </c>
      <c r="Q110" s="2">
        <f t="shared" si="52"/>
        <v>7</v>
      </c>
      <c r="R110" s="1">
        <f t="shared" si="42"/>
        <v>858113.02184562932</v>
      </c>
      <c r="S110" s="4">
        <f>IF($G$4="mensual",S109,0)</f>
        <v>10000</v>
      </c>
      <c r="U110" s="1">
        <f t="shared" si="53"/>
        <v>6922.4551443570499</v>
      </c>
      <c r="V110" s="35">
        <f t="shared" si="31"/>
        <v>-116.31784183021438</v>
      </c>
      <c r="X110" s="35">
        <f t="shared" si="54"/>
        <v>-1014.906224611861</v>
      </c>
      <c r="Y110" s="1">
        <f t="shared" si="34"/>
        <v>873904.25292354426</v>
      </c>
      <c r="AA110" s="2">
        <f>+Bono!J110</f>
        <v>154847.34087637524</v>
      </c>
      <c r="AC110" s="10">
        <f t="shared" si="35"/>
        <v>7.25</v>
      </c>
      <c r="AD110" s="1">
        <f t="shared" si="36"/>
        <v>1260239.2674192991</v>
      </c>
    </row>
    <row r="111" spans="1:35">
      <c r="A111" s="1">
        <f t="shared" si="37"/>
        <v>7.333333333333333</v>
      </c>
      <c r="B111" s="1">
        <f t="shared" si="38"/>
        <v>88</v>
      </c>
      <c r="C111" s="2">
        <f t="shared" si="47"/>
        <v>7</v>
      </c>
      <c r="D111" s="2">
        <f t="shared" si="48"/>
        <v>4</v>
      </c>
      <c r="E111" s="2">
        <f t="shared" si="49"/>
        <v>36</v>
      </c>
      <c r="F111" s="1">
        <f t="shared" si="39"/>
        <v>231487.67361937964</v>
      </c>
      <c r="H111" s="1">
        <f t="shared" si="32"/>
        <v>1845.9152170011746</v>
      </c>
      <c r="I111" s="1">
        <v>0</v>
      </c>
      <c r="J111" s="1">
        <v>0</v>
      </c>
      <c r="K111" s="1">
        <f t="shared" si="40"/>
        <v>-270.66696305020173</v>
      </c>
      <c r="L111" s="1">
        <f t="shared" si="33"/>
        <v>233062.9218733306</v>
      </c>
      <c r="N111" s="1">
        <f t="shared" si="41"/>
        <v>88</v>
      </c>
      <c r="O111" s="2">
        <f t="shared" si="50"/>
        <v>7</v>
      </c>
      <c r="P111" s="2">
        <f t="shared" si="51"/>
        <v>4</v>
      </c>
      <c r="Q111" s="2">
        <f t="shared" si="52"/>
        <v>7</v>
      </c>
      <c r="R111" s="1">
        <f t="shared" si="42"/>
        <v>873904.25292354426</v>
      </c>
      <c r="S111" s="4">
        <f>IF($G$4="mensual",S108,IF($G$4="trimestral",S108,0))</f>
        <v>10000</v>
      </c>
      <c r="U111" s="1">
        <f t="shared" si="53"/>
        <v>7048.3766385176123</v>
      </c>
      <c r="V111" s="35">
        <f t="shared" si="31"/>
        <v>-116.31784183021438</v>
      </c>
      <c r="X111" s="35">
        <f t="shared" si="54"/>
        <v>-1033.3701215954686</v>
      </c>
      <c r="Y111" s="1">
        <f t="shared" si="34"/>
        <v>889802.94159863621</v>
      </c>
      <c r="AA111" s="2">
        <f>+Bono!J111</f>
        <v>155807.4123509886</v>
      </c>
      <c r="AC111" s="10">
        <f t="shared" si="35"/>
        <v>7.333333333333333</v>
      </c>
      <c r="AD111" s="1">
        <f t="shared" si="36"/>
        <v>1278673.2758229554</v>
      </c>
    </row>
    <row r="112" spans="1:35">
      <c r="A112" s="1">
        <f t="shared" si="37"/>
        <v>7.416666666666667</v>
      </c>
      <c r="B112" s="1">
        <f t="shared" si="38"/>
        <v>89</v>
      </c>
      <c r="C112" s="2">
        <f t="shared" si="47"/>
        <v>7</v>
      </c>
      <c r="D112" s="2">
        <f t="shared" si="48"/>
        <v>5</v>
      </c>
      <c r="E112" s="2">
        <f t="shared" si="49"/>
        <v>36</v>
      </c>
      <c r="F112" s="1">
        <f t="shared" si="39"/>
        <v>233062.9218733306</v>
      </c>
      <c r="H112" s="1">
        <f t="shared" si="32"/>
        <v>1858.4764677885651</v>
      </c>
      <c r="I112" s="1">
        <v>0</v>
      </c>
      <c r="J112" s="1">
        <v>0</v>
      </c>
      <c r="K112" s="1">
        <f t="shared" si="40"/>
        <v>-272.50882207569822</v>
      </c>
      <c r="L112" s="1">
        <f t="shared" si="33"/>
        <v>234648.88951904347</v>
      </c>
      <c r="N112" s="1">
        <f t="shared" si="41"/>
        <v>89</v>
      </c>
      <c r="O112" s="2">
        <f t="shared" si="50"/>
        <v>7</v>
      </c>
      <c r="P112" s="2">
        <f t="shared" si="51"/>
        <v>5</v>
      </c>
      <c r="Q112" s="2">
        <f t="shared" si="52"/>
        <v>7</v>
      </c>
      <c r="R112" s="1">
        <f t="shared" si="42"/>
        <v>889802.94159863621</v>
      </c>
      <c r="S112" s="4">
        <f>IF($G$4="mensual",S111,0)</f>
        <v>10000</v>
      </c>
      <c r="U112" s="1">
        <f t="shared" si="53"/>
        <v>7175.1550146482177</v>
      </c>
      <c r="V112" s="35">
        <f t="shared" si="31"/>
        <v>-116.31784183021438</v>
      </c>
      <c r="X112" s="35">
        <f t="shared" si="54"/>
        <v>-1051.959663374887</v>
      </c>
      <c r="Y112" s="1">
        <f t="shared" si="34"/>
        <v>905809.8191080793</v>
      </c>
      <c r="AA112" s="2">
        <f>+Bono!J112</f>
        <v>156773.43638010597</v>
      </c>
      <c r="AC112" s="10">
        <f t="shared" si="35"/>
        <v>7.416666666666667</v>
      </c>
      <c r="AD112" s="1">
        <f t="shared" si="36"/>
        <v>1297232.1450072287</v>
      </c>
    </row>
    <row r="113" spans="1:30">
      <c r="A113" s="1">
        <f t="shared" si="37"/>
        <v>7.5</v>
      </c>
      <c r="B113" s="1">
        <f t="shared" si="38"/>
        <v>90</v>
      </c>
      <c r="C113" s="2">
        <f t="shared" si="47"/>
        <v>7</v>
      </c>
      <c r="D113" s="2">
        <f t="shared" si="48"/>
        <v>6</v>
      </c>
      <c r="E113" s="2">
        <f t="shared" si="49"/>
        <v>36</v>
      </c>
      <c r="F113" s="1">
        <f t="shared" si="39"/>
        <v>234648.88951904347</v>
      </c>
      <c r="H113" s="1">
        <f t="shared" si="32"/>
        <v>1871.1231965111774</v>
      </c>
      <c r="I113" s="1">
        <v>0</v>
      </c>
      <c r="J113" s="69">
        <f>-SUM(F113:H113)*$J$21*1.16</f>
        <v>-2469.2689327503904</v>
      </c>
      <c r="K113" s="1">
        <f t="shared" si="40"/>
        <v>-271.49886278805292</v>
      </c>
      <c r="L113" s="1">
        <f t="shared" si="33"/>
        <v>233779.24492001621</v>
      </c>
      <c r="N113" s="1">
        <f t="shared" si="41"/>
        <v>90</v>
      </c>
      <c r="O113" s="2">
        <f t="shared" si="50"/>
        <v>7</v>
      </c>
      <c r="P113" s="2">
        <f t="shared" si="51"/>
        <v>6</v>
      </c>
      <c r="Q113" s="2">
        <f t="shared" si="52"/>
        <v>7</v>
      </c>
      <c r="R113" s="1">
        <f t="shared" si="42"/>
        <v>905809.8191080793</v>
      </c>
      <c r="S113" s="4">
        <f>IF($G$4="mensual",S112,0)</f>
        <v>10000</v>
      </c>
      <c r="U113" s="1">
        <f t="shared" si="53"/>
        <v>7302.7961037367786</v>
      </c>
      <c r="V113" s="35">
        <f t="shared" si="31"/>
        <v>-116.31784183021438</v>
      </c>
      <c r="X113" s="35">
        <f t="shared" si="54"/>
        <v>-1070.6757049491835</v>
      </c>
      <c r="Y113" s="1">
        <f t="shared" si="34"/>
        <v>921925.62166503666</v>
      </c>
      <c r="AA113" s="2">
        <f>+Bono!J113</f>
        <v>156324.31969124437</v>
      </c>
      <c r="AC113" s="10">
        <f t="shared" si="35"/>
        <v>7.5</v>
      </c>
      <c r="AD113" s="1">
        <f t="shared" si="36"/>
        <v>1312029.1862762973</v>
      </c>
    </row>
    <row r="114" spans="1:30">
      <c r="A114" s="1">
        <f t="shared" si="37"/>
        <v>7.583333333333333</v>
      </c>
      <c r="B114" s="1">
        <f t="shared" si="38"/>
        <v>91</v>
      </c>
      <c r="C114" s="2">
        <f t="shared" si="47"/>
        <v>7</v>
      </c>
      <c r="D114" s="2">
        <f t="shared" si="48"/>
        <v>7</v>
      </c>
      <c r="E114" s="2">
        <f t="shared" si="49"/>
        <v>36</v>
      </c>
      <c r="F114" s="1">
        <f t="shared" si="39"/>
        <v>233779.24492001621</v>
      </c>
      <c r="H114" s="1">
        <f t="shared" si="32"/>
        <v>1864.1885283552963</v>
      </c>
      <c r="I114" s="1">
        <v>0</v>
      </c>
      <c r="J114" s="1">
        <v>0</v>
      </c>
      <c r="K114" s="1">
        <f t="shared" si="40"/>
        <v>-273.34638280011097</v>
      </c>
      <c r="L114" s="1">
        <f t="shared" si="33"/>
        <v>235370.0870655714</v>
      </c>
      <c r="N114" s="1">
        <f t="shared" si="41"/>
        <v>91</v>
      </c>
      <c r="O114" s="2">
        <f t="shared" si="50"/>
        <v>7</v>
      </c>
      <c r="P114" s="2">
        <f t="shared" si="51"/>
        <v>7</v>
      </c>
      <c r="Q114" s="2">
        <f t="shared" si="52"/>
        <v>7</v>
      </c>
      <c r="R114" s="1">
        <f t="shared" si="42"/>
        <v>921925.62166503666</v>
      </c>
      <c r="S114" s="1">
        <f>+IF($G$4="mensual",S108,IF($G$4="trimestral",S108,IF($G$4="semestral",S108,0)))</f>
        <v>10000</v>
      </c>
      <c r="U114" s="1">
        <f t="shared" si="53"/>
        <v>7431.3057764504429</v>
      </c>
      <c r="V114" s="35">
        <f t="shared" si="31"/>
        <v>-116.31784183021438</v>
      </c>
      <c r="X114" s="35">
        <f t="shared" si="54"/>
        <v>-1089.5191071356019</v>
      </c>
      <c r="Y114" s="1">
        <f t="shared" si="34"/>
        <v>938151.0904925213</v>
      </c>
      <c r="AA114" s="2">
        <f>+Bono!J114</f>
        <v>157293.54860582884</v>
      </c>
      <c r="AC114" s="10">
        <f t="shared" si="35"/>
        <v>7.583333333333333</v>
      </c>
      <c r="AD114" s="1">
        <f t="shared" si="36"/>
        <v>1330814.7261639216</v>
      </c>
    </row>
    <row r="115" spans="1:30">
      <c r="A115" s="1">
        <f t="shared" si="37"/>
        <v>7.666666666666667</v>
      </c>
      <c r="B115" s="1">
        <f t="shared" si="38"/>
        <v>92</v>
      </c>
      <c r="C115" s="2">
        <f t="shared" si="47"/>
        <v>7</v>
      </c>
      <c r="D115" s="2">
        <f t="shared" si="48"/>
        <v>8</v>
      </c>
      <c r="E115" s="2">
        <f t="shared" si="49"/>
        <v>36</v>
      </c>
      <c r="F115" s="1">
        <f t="shared" si="39"/>
        <v>235370.0870655714</v>
      </c>
      <c r="H115" s="1">
        <f t="shared" si="32"/>
        <v>1876.8741270241719</v>
      </c>
      <c r="I115" s="1">
        <v>0</v>
      </c>
      <c r="J115" s="1">
        <v>0</v>
      </c>
      <c r="K115" s="1">
        <f t="shared" si="40"/>
        <v>-275.20647498341083</v>
      </c>
      <c r="L115" s="1">
        <f t="shared" si="33"/>
        <v>236971.75471761214</v>
      </c>
      <c r="N115" s="1">
        <f t="shared" si="41"/>
        <v>92</v>
      </c>
      <c r="O115" s="2">
        <f t="shared" si="50"/>
        <v>7</v>
      </c>
      <c r="P115" s="2">
        <f t="shared" si="51"/>
        <v>8</v>
      </c>
      <c r="Q115" s="2">
        <f t="shared" si="52"/>
        <v>7</v>
      </c>
      <c r="R115" s="1">
        <f t="shared" si="42"/>
        <v>938151.0904925213</v>
      </c>
      <c r="S115" s="4">
        <f>IF($G$4="mensual",S114,0)</f>
        <v>10000</v>
      </c>
      <c r="U115" s="1">
        <f t="shared" si="53"/>
        <v>7560.6899434056058</v>
      </c>
      <c r="V115" s="35">
        <f t="shared" si="31"/>
        <v>-116.31784183021438</v>
      </c>
      <c r="X115" s="35">
        <f t="shared" si="54"/>
        <v>-1108.490736609152</v>
      </c>
      <c r="Y115" s="1">
        <f t="shared" si="34"/>
        <v>954486.97185748746</v>
      </c>
      <c r="AA115" s="2">
        <f>+Bono!J115</f>
        <v>158268.78685210733</v>
      </c>
      <c r="AC115" s="10">
        <f t="shared" si="35"/>
        <v>7.666666666666667</v>
      </c>
      <c r="AD115" s="1">
        <f t="shared" si="36"/>
        <v>1349727.513427207</v>
      </c>
    </row>
    <row r="116" spans="1:30">
      <c r="A116" s="1">
        <f t="shared" si="37"/>
        <v>7.75</v>
      </c>
      <c r="B116" s="1">
        <f t="shared" si="38"/>
        <v>93</v>
      </c>
      <c r="C116" s="2">
        <f t="shared" si="47"/>
        <v>7</v>
      </c>
      <c r="D116" s="2">
        <f t="shared" si="48"/>
        <v>9</v>
      </c>
      <c r="E116" s="2">
        <f t="shared" si="49"/>
        <v>36</v>
      </c>
      <c r="F116" s="1">
        <f t="shared" si="39"/>
        <v>236971.75471761214</v>
      </c>
      <c r="H116" s="1">
        <f t="shared" si="32"/>
        <v>1889.6460498019774</v>
      </c>
      <c r="I116" s="1">
        <v>0</v>
      </c>
      <c r="J116" s="69">
        <f>-SUM(F116:H116)*$J$21*1.16</f>
        <v>-2493.713024011804</v>
      </c>
      <c r="K116" s="1">
        <f t="shared" si="40"/>
        <v>-274.18651778234664</v>
      </c>
      <c r="L116" s="1">
        <f t="shared" si="33"/>
        <v>236093.50122561998</v>
      </c>
      <c r="N116" s="1">
        <f t="shared" si="41"/>
        <v>93</v>
      </c>
      <c r="O116" s="2">
        <f t="shared" si="50"/>
        <v>7</v>
      </c>
      <c r="P116" s="2">
        <f t="shared" si="51"/>
        <v>9</v>
      </c>
      <c r="Q116" s="2">
        <f t="shared" si="52"/>
        <v>7</v>
      </c>
      <c r="R116" s="1">
        <f t="shared" si="42"/>
        <v>954486.97185748746</v>
      </c>
      <c r="S116" s="4">
        <f>IF($G$4="mensual",S115,0)</f>
        <v>10000</v>
      </c>
      <c r="U116" s="1">
        <f t="shared" si="53"/>
        <v>7690.9545554397582</v>
      </c>
      <c r="V116" s="35">
        <f t="shared" si="31"/>
        <v>-116.31784183021438</v>
      </c>
      <c r="X116" s="35">
        <f t="shared" si="54"/>
        <v>-1127.5914659424725</v>
      </c>
      <c r="Y116" s="1">
        <f t="shared" si="34"/>
        <v>970934.01710515458</v>
      </c>
      <c r="AA116" s="2">
        <f>+Bono!J116</f>
        <v>157815.38635810514</v>
      </c>
      <c r="AC116" s="10">
        <f t="shared" si="35"/>
        <v>7.75</v>
      </c>
      <c r="AD116" s="1">
        <f t="shared" si="36"/>
        <v>1364842.9046888798</v>
      </c>
    </row>
    <row r="117" spans="1:30">
      <c r="A117" s="1">
        <f t="shared" si="37"/>
        <v>7.833333333333333</v>
      </c>
      <c r="B117" s="1">
        <f t="shared" si="38"/>
        <v>94</v>
      </c>
      <c r="C117" s="2">
        <f t="shared" si="47"/>
        <v>7</v>
      </c>
      <c r="D117" s="2">
        <f t="shared" si="48"/>
        <v>10</v>
      </c>
      <c r="E117" s="2">
        <f t="shared" si="49"/>
        <v>36</v>
      </c>
      <c r="F117" s="1">
        <f t="shared" si="39"/>
        <v>236093.50122561998</v>
      </c>
      <c r="H117" s="1">
        <f t="shared" si="32"/>
        <v>1882.6427331246568</v>
      </c>
      <c r="I117" s="1">
        <v>0</v>
      </c>
      <c r="J117" s="1">
        <v>0</v>
      </c>
      <c r="K117" s="1">
        <f t="shared" si="40"/>
        <v>-276.05232699214378</v>
      </c>
      <c r="L117" s="1">
        <f t="shared" si="33"/>
        <v>237700.0916317525</v>
      </c>
      <c r="N117" s="1">
        <f t="shared" si="41"/>
        <v>94</v>
      </c>
      <c r="O117" s="2">
        <f t="shared" si="50"/>
        <v>7</v>
      </c>
      <c r="P117" s="2">
        <f t="shared" si="51"/>
        <v>10</v>
      </c>
      <c r="Q117" s="2">
        <f t="shared" si="52"/>
        <v>7</v>
      </c>
      <c r="R117" s="1">
        <f t="shared" si="42"/>
        <v>970934.01710515458</v>
      </c>
      <c r="S117" s="4">
        <f>IF($G$4="mensual",S108,IF($G$4="trimestral",S108,0))</f>
        <v>10000</v>
      </c>
      <c r="U117" s="1">
        <f t="shared" si="53"/>
        <v>7822.1056038851893</v>
      </c>
      <c r="V117" s="35">
        <f t="shared" si="31"/>
        <v>-116.31784183021438</v>
      </c>
      <c r="X117" s="35">
        <f t="shared" si="54"/>
        <v>-1146.8221736459629</v>
      </c>
      <c r="Y117" s="1">
        <f t="shared" si="34"/>
        <v>987492.98269356356</v>
      </c>
      <c r="AA117" s="2">
        <f>+Bono!J117</f>
        <v>158793.86005897721</v>
      </c>
      <c r="AC117" s="10">
        <f t="shared" si="35"/>
        <v>7.833333333333333</v>
      </c>
      <c r="AD117" s="1">
        <f t="shared" si="36"/>
        <v>1383986.9343842932</v>
      </c>
    </row>
    <row r="118" spans="1:30">
      <c r="A118" s="1">
        <f t="shared" si="37"/>
        <v>7.916666666666667</v>
      </c>
      <c r="B118" s="1">
        <f t="shared" si="38"/>
        <v>95</v>
      </c>
      <c r="C118" s="2">
        <f t="shared" si="47"/>
        <v>7</v>
      </c>
      <c r="D118" s="2">
        <f t="shared" si="48"/>
        <v>11</v>
      </c>
      <c r="E118" s="2">
        <f t="shared" si="49"/>
        <v>36</v>
      </c>
      <c r="F118" s="1">
        <f t="shared" si="39"/>
        <v>237700.0916317525</v>
      </c>
      <c r="H118" s="1">
        <f t="shared" si="32"/>
        <v>1895.4539106348868</v>
      </c>
      <c r="I118" s="1">
        <v>0</v>
      </c>
      <c r="J118" s="1">
        <v>0</v>
      </c>
      <c r="K118" s="1">
        <f t="shared" si="40"/>
        <v>-277.93083282916933</v>
      </c>
      <c r="L118" s="1">
        <f t="shared" si="33"/>
        <v>239317.6147095582</v>
      </c>
      <c r="N118" s="1">
        <f t="shared" si="41"/>
        <v>95</v>
      </c>
      <c r="O118" s="2">
        <f t="shared" si="50"/>
        <v>7</v>
      </c>
      <c r="P118" s="2">
        <f t="shared" si="51"/>
        <v>11</v>
      </c>
      <c r="Q118" s="2">
        <f t="shared" si="52"/>
        <v>7</v>
      </c>
      <c r="R118" s="1">
        <f t="shared" si="42"/>
        <v>987492.98269356356</v>
      </c>
      <c r="S118" s="1">
        <f>IF($G$17="si",S106*(1+$G$20),S106)</f>
        <v>10000</v>
      </c>
      <c r="U118" s="1">
        <f t="shared" si="53"/>
        <v>7954.1491208445477</v>
      </c>
      <c r="V118" s="35">
        <f t="shared" si="31"/>
        <v>-116.31784183021438</v>
      </c>
      <c r="X118" s="35">
        <f t="shared" si="54"/>
        <v>-1166.1837442081903</v>
      </c>
      <c r="Y118" s="1">
        <f t="shared" si="34"/>
        <v>1004164.6302283697</v>
      </c>
      <c r="AA118" s="2">
        <f>+Bono!J118</f>
        <v>159778.40041029057</v>
      </c>
      <c r="AC118" s="10">
        <f t="shared" si="35"/>
        <v>7.916666666666667</v>
      </c>
      <c r="AD118" s="1">
        <f t="shared" si="36"/>
        <v>1403260.6453482185</v>
      </c>
    </row>
    <row r="119" spans="1:30">
      <c r="A119" s="1">
        <f t="shared" si="37"/>
        <v>8</v>
      </c>
      <c r="B119" s="1">
        <f t="shared" si="38"/>
        <v>96</v>
      </c>
      <c r="C119" s="2">
        <f t="shared" si="47"/>
        <v>7</v>
      </c>
      <c r="D119" s="2">
        <f t="shared" si="48"/>
        <v>12</v>
      </c>
      <c r="E119" s="2">
        <f t="shared" si="49"/>
        <v>36</v>
      </c>
      <c r="F119" s="1">
        <f t="shared" si="39"/>
        <v>239317.6147095582</v>
      </c>
      <c r="H119" s="1">
        <f t="shared" si="32"/>
        <v>1908.3522668043022</v>
      </c>
      <c r="I119" s="1">
        <v>0</v>
      </c>
      <c r="J119" s="69">
        <f>-SUM(F119:H119)*$J$21*1.16</f>
        <v>-2518.3990952332247</v>
      </c>
      <c r="K119" s="1">
        <f t="shared" si="40"/>
        <v>-276.90077874210994</v>
      </c>
      <c r="L119" s="1">
        <f t="shared" si="33"/>
        <v>238430.66710238717</v>
      </c>
      <c r="N119" s="1">
        <f t="shared" si="41"/>
        <v>96</v>
      </c>
      <c r="O119" s="2">
        <f t="shared" si="50"/>
        <v>7</v>
      </c>
      <c r="P119" s="2">
        <f t="shared" si="51"/>
        <v>12</v>
      </c>
      <c r="Q119" s="2">
        <f t="shared" si="52"/>
        <v>7</v>
      </c>
      <c r="R119" s="1">
        <f t="shared" si="42"/>
        <v>1004164.6302283697</v>
      </c>
      <c r="S119" s="4">
        <f>IF($G$4="mensual",S118,0)</f>
        <v>10000</v>
      </c>
      <c r="U119" s="1">
        <f t="shared" si="53"/>
        <v>8087.0911794682797</v>
      </c>
      <c r="V119" s="35">
        <f t="shared" si="31"/>
        <v>-116.31784183021438</v>
      </c>
      <c r="X119" s="35">
        <f t="shared" si="54"/>
        <v>-1185.677068136569</v>
      </c>
      <c r="Y119" s="1">
        <f t="shared" si="34"/>
        <v>1020949.7264978713</v>
      </c>
      <c r="AA119" s="2">
        <f>+Bono!J119</f>
        <v>159320.67525097285</v>
      </c>
      <c r="AC119" s="10">
        <f t="shared" si="35"/>
        <v>8</v>
      </c>
      <c r="AD119" s="1">
        <f t="shared" si="36"/>
        <v>1418701.0688512314</v>
      </c>
    </row>
    <row r="120" spans="1:30">
      <c r="A120" s="1">
        <f t="shared" si="37"/>
        <v>8.0833333333333339</v>
      </c>
      <c r="B120" s="1">
        <f t="shared" si="38"/>
        <v>97</v>
      </c>
      <c r="C120" s="2">
        <f t="shared" si="47"/>
        <v>8</v>
      </c>
      <c r="D120" s="2">
        <f t="shared" si="48"/>
        <v>1</v>
      </c>
      <c r="E120" s="2">
        <f t="shared" si="49"/>
        <v>37</v>
      </c>
      <c r="F120" s="1">
        <f t="shared" si="39"/>
        <v>238430.66710238717</v>
      </c>
      <c r="H120" s="1">
        <f t="shared" si="32"/>
        <v>1901.2796220316402</v>
      </c>
      <c r="I120" s="1">
        <v>0</v>
      </c>
      <c r="J120" s="1">
        <v>0</v>
      </c>
      <c r="K120" s="1">
        <f t="shared" si="40"/>
        <v>-278.78505820032581</v>
      </c>
      <c r="L120" s="1">
        <f t="shared" si="33"/>
        <v>240053.16166621848</v>
      </c>
      <c r="N120" s="1">
        <f t="shared" si="41"/>
        <v>97</v>
      </c>
      <c r="O120" s="2">
        <f t="shared" si="50"/>
        <v>8</v>
      </c>
      <c r="P120" s="2">
        <f t="shared" si="51"/>
        <v>1</v>
      </c>
      <c r="Q120" s="2">
        <f t="shared" si="52"/>
        <v>8</v>
      </c>
      <c r="R120" s="1">
        <f t="shared" si="42"/>
        <v>1020949.7264978713</v>
      </c>
      <c r="S120" s="1">
        <f>IF($G$17="si",S108*(1+$G$20),S108)</f>
        <v>10000</v>
      </c>
      <c r="U120" s="1">
        <f t="shared" si="53"/>
        <v>8220.9378942339536</v>
      </c>
      <c r="V120" s="35">
        <f>V119*(1+$G$18)</f>
        <v>-120.97055550342296</v>
      </c>
      <c r="X120" s="35">
        <f t="shared" si="54"/>
        <v>-1205.2976448504583</v>
      </c>
      <c r="Y120" s="1">
        <f t="shared" si="34"/>
        <v>1037844.3961917515</v>
      </c>
      <c r="AA120" s="2">
        <f>+Bono!J120</f>
        <v>160308.48191758338</v>
      </c>
      <c r="AC120" s="10">
        <f t="shared" si="35"/>
        <v>8.0833333333333339</v>
      </c>
      <c r="AD120" s="1">
        <f t="shared" si="36"/>
        <v>1438206.0397755534</v>
      </c>
    </row>
    <row r="121" spans="1:30">
      <c r="A121" s="1">
        <f t="shared" si="37"/>
        <v>8.1666666666666661</v>
      </c>
      <c r="B121" s="1">
        <f t="shared" si="38"/>
        <v>98</v>
      </c>
      <c r="C121" s="2">
        <f t="shared" si="47"/>
        <v>8</v>
      </c>
      <c r="D121" s="2">
        <f t="shared" si="48"/>
        <v>2</v>
      </c>
      <c r="E121" s="2">
        <f t="shared" si="49"/>
        <v>37</v>
      </c>
      <c r="F121" s="1">
        <f t="shared" si="39"/>
        <v>240053.16166621848</v>
      </c>
      <c r="H121" s="1">
        <f t="shared" si="32"/>
        <v>1914.2176215287641</v>
      </c>
      <c r="I121" s="1">
        <v>0</v>
      </c>
      <c r="J121" s="1">
        <v>0</v>
      </c>
      <c r="K121" s="1">
        <f t="shared" si="40"/>
        <v>-280.68215997378678</v>
      </c>
      <c r="L121" s="1">
        <f t="shared" si="33"/>
        <v>241686.69712777348</v>
      </c>
      <c r="N121" s="1">
        <f t="shared" si="41"/>
        <v>98</v>
      </c>
      <c r="O121" s="2">
        <f t="shared" si="50"/>
        <v>8</v>
      </c>
      <c r="P121" s="2">
        <f t="shared" si="51"/>
        <v>2</v>
      </c>
      <c r="Q121" s="2">
        <f t="shared" si="52"/>
        <v>8</v>
      </c>
      <c r="R121" s="1">
        <f t="shared" si="42"/>
        <v>1037844.3961917515</v>
      </c>
      <c r="S121" s="4">
        <f>IF($G$4="mensual",S120,0)</f>
        <v>10000</v>
      </c>
      <c r="U121" s="1">
        <f t="shared" si="53"/>
        <v>8355.6583628728986</v>
      </c>
      <c r="V121" s="35">
        <f t="shared" si="31"/>
        <v>-120.97055550342296</v>
      </c>
      <c r="X121" s="35">
        <f t="shared" si="54"/>
        <v>-1225.0517374389806</v>
      </c>
      <c r="Y121" s="1">
        <f t="shared" si="34"/>
        <v>1054854.0322616822</v>
      </c>
      <c r="AA121" s="2">
        <f>+Bono!J121</f>
        <v>161302.41310010539</v>
      </c>
      <c r="AC121" s="10">
        <f t="shared" si="35"/>
        <v>8.1666666666666661</v>
      </c>
      <c r="AD121" s="1">
        <f t="shared" si="36"/>
        <v>1457843.1424895611</v>
      </c>
    </row>
    <row r="122" spans="1:30">
      <c r="A122" s="1">
        <f t="shared" si="37"/>
        <v>8.25</v>
      </c>
      <c r="B122" s="1">
        <f t="shared" si="38"/>
        <v>99</v>
      </c>
      <c r="C122" s="2">
        <f t="shared" si="47"/>
        <v>8</v>
      </c>
      <c r="D122" s="2">
        <f t="shared" si="48"/>
        <v>3</v>
      </c>
      <c r="E122" s="2">
        <f t="shared" si="49"/>
        <v>37</v>
      </c>
      <c r="F122" s="1">
        <f t="shared" si="39"/>
        <v>241686.69712777348</v>
      </c>
      <c r="H122" s="1">
        <f t="shared" si="32"/>
        <v>1927.2436626947979</v>
      </c>
      <c r="I122" s="1">
        <v>0</v>
      </c>
      <c r="J122" s="69">
        <f>-SUM(F122:H122)*$J$21*1.16</f>
        <v>-2543.329541852489</v>
      </c>
      <c r="K122" s="1">
        <f t="shared" si="40"/>
        <v>-279.64190904839433</v>
      </c>
      <c r="L122" s="1">
        <f t="shared" si="33"/>
        <v>240790.96933956738</v>
      </c>
      <c r="N122" s="1">
        <f t="shared" si="41"/>
        <v>99</v>
      </c>
      <c r="O122" s="2">
        <f t="shared" si="50"/>
        <v>8</v>
      </c>
      <c r="P122" s="2">
        <f t="shared" si="51"/>
        <v>3</v>
      </c>
      <c r="Q122" s="2">
        <f t="shared" si="52"/>
        <v>8</v>
      </c>
      <c r="R122" s="1">
        <f t="shared" si="42"/>
        <v>1054854.0322616822</v>
      </c>
      <c r="S122" s="4">
        <f>IF($G$4="mensual",S121,0)</f>
        <v>10000</v>
      </c>
      <c r="U122" s="1">
        <f t="shared" si="53"/>
        <v>8491.2955895390733</v>
      </c>
      <c r="V122" s="35">
        <f t="shared" si="31"/>
        <v>-120.97055550342296</v>
      </c>
      <c r="X122" s="35">
        <f t="shared" si="54"/>
        <v>-1244.9402544630327</v>
      </c>
      <c r="Y122" s="1">
        <f t="shared" si="34"/>
        <v>1071979.4170412547</v>
      </c>
      <c r="AA122" s="2">
        <f>+Bono!J122</f>
        <v>160840.32202556098</v>
      </c>
      <c r="AC122" s="10">
        <f t="shared" si="35"/>
        <v>8.25</v>
      </c>
      <c r="AD122" s="1">
        <f t="shared" si="36"/>
        <v>1473610.7084063832</v>
      </c>
    </row>
    <row r="123" spans="1:30">
      <c r="A123" s="1">
        <f t="shared" si="37"/>
        <v>8.3333333333333339</v>
      </c>
      <c r="B123" s="1">
        <f t="shared" si="38"/>
        <v>100</v>
      </c>
      <c r="C123" s="2">
        <f t="shared" si="47"/>
        <v>8</v>
      </c>
      <c r="D123" s="2">
        <f t="shared" si="48"/>
        <v>4</v>
      </c>
      <c r="E123" s="2">
        <f t="shared" si="49"/>
        <v>37</v>
      </c>
      <c r="F123" s="1">
        <f t="shared" si="39"/>
        <v>240790.96933956738</v>
      </c>
      <c r="H123" s="1">
        <f t="shared" si="32"/>
        <v>1920.1010035255711</v>
      </c>
      <c r="I123" s="1">
        <v>0</v>
      </c>
      <c r="J123" s="1">
        <v>0</v>
      </c>
      <c r="K123" s="1">
        <f t="shared" si="40"/>
        <v>-281.54484159798778</v>
      </c>
      <c r="L123" s="1">
        <f t="shared" si="33"/>
        <v>242429.52550149497</v>
      </c>
      <c r="N123" s="1">
        <f t="shared" si="41"/>
        <v>100</v>
      </c>
      <c r="O123" s="2">
        <f t="shared" si="50"/>
        <v>8</v>
      </c>
      <c r="P123" s="2">
        <f t="shared" si="51"/>
        <v>4</v>
      </c>
      <c r="Q123" s="2">
        <f t="shared" si="52"/>
        <v>8</v>
      </c>
      <c r="R123" s="1">
        <f t="shared" si="42"/>
        <v>1071979.4170412547</v>
      </c>
      <c r="S123" s="4">
        <f>IF($G$4="mensual",S120,IF($G$4="trimestral",S120,0))</f>
        <v>10000</v>
      </c>
      <c r="U123" s="1">
        <f t="shared" si="53"/>
        <v>8627.8558126703956</v>
      </c>
      <c r="V123" s="35">
        <f t="shared" si="31"/>
        <v>-120.97055550342296</v>
      </c>
      <c r="X123" s="35">
        <f t="shared" si="54"/>
        <v>-1264.9641106661693</v>
      </c>
      <c r="Y123" s="1">
        <f t="shared" si="34"/>
        <v>1089221.3381877556</v>
      </c>
      <c r="AA123" s="2">
        <f>+Bono!J123</f>
        <v>161837.55067844206</v>
      </c>
      <c r="AC123" s="10">
        <f t="shared" si="35"/>
        <v>8.3333333333333339</v>
      </c>
      <c r="AD123" s="1">
        <f t="shared" si="36"/>
        <v>1493488.4143676925</v>
      </c>
    </row>
    <row r="124" spans="1:30">
      <c r="A124" s="1">
        <f t="shared" si="37"/>
        <v>8.4166666666666661</v>
      </c>
      <c r="B124" s="1">
        <f t="shared" si="38"/>
        <v>101</v>
      </c>
      <c r="C124" s="2">
        <f t="shared" si="47"/>
        <v>8</v>
      </c>
      <c r="D124" s="2">
        <f t="shared" si="48"/>
        <v>5</v>
      </c>
      <c r="E124" s="2">
        <f t="shared" si="49"/>
        <v>37</v>
      </c>
      <c r="F124" s="1">
        <f t="shared" si="39"/>
        <v>242429.52550149497</v>
      </c>
      <c r="H124" s="1">
        <f t="shared" si="32"/>
        <v>1933.1670804614271</v>
      </c>
      <c r="I124" s="1">
        <v>0</v>
      </c>
      <c r="J124" s="1">
        <v>0</v>
      </c>
      <c r="K124" s="1">
        <f t="shared" si="40"/>
        <v>-283.46072339506941</v>
      </c>
      <c r="L124" s="1">
        <f t="shared" si="33"/>
        <v>244079.23185856131</v>
      </c>
      <c r="N124" s="1">
        <f t="shared" si="41"/>
        <v>101</v>
      </c>
      <c r="O124" s="2">
        <f t="shared" si="50"/>
        <v>8</v>
      </c>
      <c r="P124" s="2">
        <f t="shared" si="51"/>
        <v>5</v>
      </c>
      <c r="Q124" s="2">
        <f t="shared" si="52"/>
        <v>8</v>
      </c>
      <c r="R124" s="1">
        <f t="shared" si="42"/>
        <v>1089221.3381877556</v>
      </c>
      <c r="S124" s="4">
        <f>IF($G$4="mensual",S123,0)</f>
        <v>10000</v>
      </c>
      <c r="U124" s="1">
        <f t="shared" si="53"/>
        <v>8765.3453131566785</v>
      </c>
      <c r="V124" s="35">
        <f t="shared" si="31"/>
        <v>-120.97055550342296</v>
      </c>
      <c r="X124" s="35">
        <f t="shared" si="54"/>
        <v>-1285.1242270166742</v>
      </c>
      <c r="Y124" s="1">
        <f t="shared" si="34"/>
        <v>1106580.5887183922</v>
      </c>
      <c r="AA124" s="2">
        <f>+Bono!J124</f>
        <v>162840.96226464238</v>
      </c>
      <c r="AC124" s="10">
        <f t="shared" si="35"/>
        <v>8.4166666666666661</v>
      </c>
      <c r="AD124" s="1">
        <f t="shared" si="36"/>
        <v>1513500.7828415958</v>
      </c>
    </row>
    <row r="125" spans="1:30">
      <c r="A125" s="1">
        <f t="shared" si="37"/>
        <v>8.5</v>
      </c>
      <c r="B125" s="1">
        <f t="shared" si="38"/>
        <v>102</v>
      </c>
      <c r="C125" s="2">
        <f t="shared" si="47"/>
        <v>8</v>
      </c>
      <c r="D125" s="2">
        <f t="shared" si="48"/>
        <v>6</v>
      </c>
      <c r="E125" s="2">
        <f t="shared" si="49"/>
        <v>37</v>
      </c>
      <c r="F125" s="1">
        <f t="shared" si="39"/>
        <v>244079.23185856131</v>
      </c>
      <c r="H125" s="1">
        <f t="shared" si="32"/>
        <v>1946.3220706191294</v>
      </c>
      <c r="I125" s="1">
        <v>0</v>
      </c>
      <c r="J125" s="69">
        <f>-SUM(F125:H125)*$J$21*1.16</f>
        <v>-2568.506783020644</v>
      </c>
      <c r="K125" s="1">
        <f t="shared" si="40"/>
        <v>-282.41017468954533</v>
      </c>
      <c r="L125" s="1">
        <f t="shared" si="33"/>
        <v>243174.63697147023</v>
      </c>
      <c r="N125" s="1">
        <f t="shared" si="41"/>
        <v>102</v>
      </c>
      <c r="O125" s="2">
        <f t="shared" si="50"/>
        <v>8</v>
      </c>
      <c r="P125" s="2">
        <f t="shared" si="51"/>
        <v>6</v>
      </c>
      <c r="Q125" s="2">
        <f t="shared" si="52"/>
        <v>8</v>
      </c>
      <c r="R125" s="1">
        <f t="shared" si="42"/>
        <v>1106580.5887183922</v>
      </c>
      <c r="S125" s="4">
        <f>IF($G$4="mensual",S124,0)</f>
        <v>10000</v>
      </c>
      <c r="U125" s="1">
        <f t="shared" si="53"/>
        <v>8903.7704146284977</v>
      </c>
      <c r="V125" s="35">
        <f t="shared" ref="V125:V188" si="55">V124</f>
        <v>-120.97055550342296</v>
      </c>
      <c r="X125" s="35">
        <f t="shared" si="54"/>
        <v>-1305.4215307499201</v>
      </c>
      <c r="Y125" s="1">
        <f t="shared" si="34"/>
        <v>1124057.9670467675</v>
      </c>
      <c r="AA125" s="2">
        <f>+Bono!J125</f>
        <v>162374.46363150654</v>
      </c>
      <c r="AC125" s="10">
        <f t="shared" si="35"/>
        <v>8.5</v>
      </c>
      <c r="AD125" s="1">
        <f t="shared" si="36"/>
        <v>1529607.0676497442</v>
      </c>
    </row>
    <row r="126" spans="1:30">
      <c r="A126" s="1">
        <f t="shared" si="37"/>
        <v>8.5833333333333339</v>
      </c>
      <c r="B126" s="1">
        <f t="shared" si="38"/>
        <v>103</v>
      </c>
      <c r="C126" s="2">
        <f t="shared" si="47"/>
        <v>8</v>
      </c>
      <c r="D126" s="2">
        <f t="shared" si="48"/>
        <v>7</v>
      </c>
      <c r="E126" s="2">
        <f t="shared" si="49"/>
        <v>37</v>
      </c>
      <c r="F126" s="1">
        <f t="shared" si="39"/>
        <v>243174.63697147023</v>
      </c>
      <c r="H126" s="1">
        <f t="shared" si="32"/>
        <v>1939.1087039581969</v>
      </c>
      <c r="I126" s="1">
        <v>0</v>
      </c>
      <c r="J126" s="1">
        <v>0</v>
      </c>
      <c r="K126" s="1">
        <f t="shared" si="40"/>
        <v>-284.33194498349695</v>
      </c>
      <c r="L126" s="1">
        <f t="shared" si="33"/>
        <v>244829.41373044491</v>
      </c>
      <c r="N126" s="1">
        <f t="shared" si="41"/>
        <v>103</v>
      </c>
      <c r="O126" s="2">
        <f t="shared" si="50"/>
        <v>8</v>
      </c>
      <c r="P126" s="2">
        <f t="shared" si="51"/>
        <v>7</v>
      </c>
      <c r="Q126" s="2">
        <f t="shared" si="52"/>
        <v>8</v>
      </c>
      <c r="R126" s="1">
        <f t="shared" si="42"/>
        <v>1124057.9670467675</v>
      </c>
      <c r="S126" s="1">
        <f>+IF($G$4="mensual",S120,IF($G$4="trimestral",S120,IF($G$4="semestral",S120,0)))</f>
        <v>10000</v>
      </c>
      <c r="U126" s="1">
        <f t="shared" si="53"/>
        <v>9043.1374837480416</v>
      </c>
      <c r="V126" s="35">
        <f t="shared" si="55"/>
        <v>-120.97055550342296</v>
      </c>
      <c r="X126" s="35">
        <f t="shared" si="54"/>
        <v>-1325.856955411014</v>
      </c>
      <c r="Y126" s="1">
        <f t="shared" si="34"/>
        <v>1141654.2770196013</v>
      </c>
      <c r="AA126" s="2">
        <f>+Bono!J126</f>
        <v>163381.20414029391</v>
      </c>
      <c r="AC126" s="10">
        <f t="shared" si="35"/>
        <v>8.5833333333333339</v>
      </c>
      <c r="AD126" s="1">
        <f t="shared" si="36"/>
        <v>1549864.89489034</v>
      </c>
    </row>
    <row r="127" spans="1:30">
      <c r="A127" s="1">
        <f t="shared" si="37"/>
        <v>8.6666666666666661</v>
      </c>
      <c r="B127" s="1">
        <f t="shared" si="38"/>
        <v>104</v>
      </c>
      <c r="C127" s="2">
        <f t="shared" si="47"/>
        <v>8</v>
      </c>
      <c r="D127" s="2">
        <f t="shared" si="48"/>
        <v>8</v>
      </c>
      <c r="E127" s="2">
        <f t="shared" si="49"/>
        <v>37</v>
      </c>
      <c r="F127" s="1">
        <f t="shared" si="39"/>
        <v>244829.41373044491</v>
      </c>
      <c r="H127" s="1">
        <f t="shared" si="32"/>
        <v>1952.3041262127472</v>
      </c>
      <c r="I127" s="1">
        <v>0</v>
      </c>
      <c r="J127" s="1">
        <v>0</v>
      </c>
      <c r="K127" s="1">
        <f t="shared" si="40"/>
        <v>-286.26679271372291</v>
      </c>
      <c r="L127" s="1">
        <f t="shared" si="33"/>
        <v>246495.45106394394</v>
      </c>
      <c r="N127" s="1">
        <f t="shared" si="41"/>
        <v>104</v>
      </c>
      <c r="O127" s="2">
        <f t="shared" si="50"/>
        <v>8</v>
      </c>
      <c r="P127" s="2">
        <f t="shared" si="51"/>
        <v>8</v>
      </c>
      <c r="Q127" s="2">
        <f t="shared" si="52"/>
        <v>8</v>
      </c>
      <c r="R127" s="1">
        <f t="shared" si="42"/>
        <v>1141654.2770196013</v>
      </c>
      <c r="S127" s="4">
        <f>IF($G$4="mensual",S126,0)</f>
        <v>10000</v>
      </c>
      <c r="U127" s="1">
        <f t="shared" si="53"/>
        <v>9183.4529305019387</v>
      </c>
      <c r="V127" s="35">
        <f t="shared" si="55"/>
        <v>-120.97055550342296</v>
      </c>
      <c r="X127" s="35">
        <f t="shared" si="54"/>
        <v>-1346.4314408977357</v>
      </c>
      <c r="Y127" s="1">
        <f t="shared" si="34"/>
        <v>1159370.3279537021</v>
      </c>
      <c r="AA127" s="2">
        <f>+Bono!J127</f>
        <v>164394.18655701043</v>
      </c>
      <c r="AC127" s="10">
        <f t="shared" si="35"/>
        <v>8.6666666666666661</v>
      </c>
      <c r="AD127" s="1">
        <f t="shared" si="36"/>
        <v>1570259.9655746566</v>
      </c>
    </row>
    <row r="128" spans="1:30">
      <c r="A128" s="1">
        <f t="shared" si="37"/>
        <v>8.75</v>
      </c>
      <c r="B128" s="1">
        <f t="shared" si="38"/>
        <v>105</v>
      </c>
      <c r="C128" s="2">
        <f t="shared" si="47"/>
        <v>8</v>
      </c>
      <c r="D128" s="2">
        <f t="shared" si="48"/>
        <v>9</v>
      </c>
      <c r="E128" s="2">
        <f t="shared" si="49"/>
        <v>37</v>
      </c>
      <c r="F128" s="1">
        <f t="shared" si="39"/>
        <v>246495.45106394394</v>
      </c>
      <c r="H128" s="1">
        <f t="shared" si="32"/>
        <v>1965.5893418698647</v>
      </c>
      <c r="I128" s="1">
        <v>0</v>
      </c>
      <c r="J128" s="69">
        <f>-SUM(F128:H128)*$J$21*1.16</f>
        <v>-2593.9332618366961</v>
      </c>
      <c r="K128" s="1">
        <f t="shared" si="40"/>
        <v>-285.20584428701341</v>
      </c>
      <c r="L128" s="1">
        <f t="shared" si="33"/>
        <v>245581.9012996901</v>
      </c>
      <c r="N128" s="1">
        <f t="shared" si="41"/>
        <v>105</v>
      </c>
      <c r="O128" s="2">
        <f t="shared" si="50"/>
        <v>8</v>
      </c>
      <c r="P128" s="2">
        <f t="shared" si="51"/>
        <v>9</v>
      </c>
      <c r="Q128" s="2">
        <f t="shared" si="52"/>
        <v>8</v>
      </c>
      <c r="R128" s="1">
        <f t="shared" si="42"/>
        <v>1159370.3279537021</v>
      </c>
      <c r="S128" s="4">
        <f>IF($G$4="mensual",S127,0)</f>
        <v>10000</v>
      </c>
      <c r="U128" s="1">
        <f t="shared" si="53"/>
        <v>9324.7232084960688</v>
      </c>
      <c r="V128" s="35">
        <f t="shared" si="55"/>
        <v>-120.97055550342296</v>
      </c>
      <c r="X128" s="35">
        <f t="shared" si="54"/>
        <v>-1367.1459335037659</v>
      </c>
      <c r="Y128" s="1">
        <f t="shared" si="34"/>
        <v>1177206.934673191</v>
      </c>
      <c r="AA128" s="2">
        <f>+Bono!J128</f>
        <v>163923.23832471191</v>
      </c>
      <c r="AC128" s="10">
        <f t="shared" si="35"/>
        <v>8.75</v>
      </c>
      <c r="AD128" s="1">
        <f t="shared" si="36"/>
        <v>1586712.0742975932</v>
      </c>
    </row>
    <row r="129" spans="1:30">
      <c r="A129" s="1">
        <f t="shared" si="37"/>
        <v>8.8333333333333339</v>
      </c>
      <c r="B129" s="1">
        <f t="shared" si="38"/>
        <v>106</v>
      </c>
      <c r="C129" s="2">
        <f t="shared" si="47"/>
        <v>8</v>
      </c>
      <c r="D129" s="2">
        <f t="shared" si="48"/>
        <v>10</v>
      </c>
      <c r="E129" s="2">
        <f t="shared" si="49"/>
        <v>37</v>
      </c>
      <c r="F129" s="1">
        <f t="shared" si="39"/>
        <v>245581.9012996901</v>
      </c>
      <c r="H129" s="1">
        <f t="shared" si="32"/>
        <v>1958.3045677609127</v>
      </c>
      <c r="I129" s="1">
        <v>0</v>
      </c>
      <c r="J129" s="1">
        <v>0</v>
      </c>
      <c r="K129" s="1">
        <f t="shared" si="40"/>
        <v>-287.14663880624317</v>
      </c>
      <c r="L129" s="1">
        <f t="shared" si="33"/>
        <v>247253.05922864476</v>
      </c>
      <c r="N129" s="1">
        <f t="shared" si="41"/>
        <v>106</v>
      </c>
      <c r="O129" s="2">
        <f t="shared" si="50"/>
        <v>8</v>
      </c>
      <c r="P129" s="2">
        <f t="shared" si="51"/>
        <v>10</v>
      </c>
      <c r="Q129" s="2">
        <f t="shared" si="52"/>
        <v>8</v>
      </c>
      <c r="R129" s="1">
        <f t="shared" si="42"/>
        <v>1177206.934673191</v>
      </c>
      <c r="S129" s="4">
        <f>IF($G$4="mensual",S120,IF($G$4="trimestral",S120,0))</f>
        <v>10000</v>
      </c>
      <c r="U129" s="1">
        <f t="shared" si="53"/>
        <v>9466.9548152524021</v>
      </c>
      <c r="V129" s="35">
        <f t="shared" si="55"/>
        <v>-120.97055550342296</v>
      </c>
      <c r="X129" s="35">
        <f t="shared" si="54"/>
        <v>-1388.0013859622106</v>
      </c>
      <c r="Y129" s="1">
        <f t="shared" si="34"/>
        <v>1195164.917546978</v>
      </c>
      <c r="AA129" s="2">
        <f>+Bono!J129</f>
        <v>164939.58141624392</v>
      </c>
      <c r="AC129" s="10">
        <f t="shared" si="35"/>
        <v>8.8333333333333339</v>
      </c>
      <c r="AD129" s="1">
        <f t="shared" si="36"/>
        <v>1607357.5581918666</v>
      </c>
    </row>
    <row r="130" spans="1:30">
      <c r="A130" s="1">
        <f t="shared" si="37"/>
        <v>8.9166666666666661</v>
      </c>
      <c r="B130" s="1">
        <f t="shared" si="38"/>
        <v>107</v>
      </c>
      <c r="C130" s="2">
        <f t="shared" si="47"/>
        <v>8</v>
      </c>
      <c r="D130" s="2">
        <f t="shared" si="48"/>
        <v>11</v>
      </c>
      <c r="E130" s="2">
        <f t="shared" si="49"/>
        <v>37</v>
      </c>
      <c r="F130" s="1">
        <f t="shared" si="39"/>
        <v>247253.05922864476</v>
      </c>
      <c r="H130" s="1">
        <f t="shared" si="32"/>
        <v>1971.6306157652732</v>
      </c>
      <c r="I130" s="1">
        <v>0</v>
      </c>
      <c r="J130" s="1">
        <v>0</v>
      </c>
      <c r="K130" s="1">
        <f t="shared" si="40"/>
        <v>-289.10064021951564</v>
      </c>
      <c r="L130" s="1">
        <f t="shared" si="33"/>
        <v>248935.58920419053</v>
      </c>
      <c r="N130" s="1">
        <f t="shared" si="41"/>
        <v>107</v>
      </c>
      <c r="O130" s="2">
        <f t="shared" si="50"/>
        <v>8</v>
      </c>
      <c r="P130" s="2">
        <f t="shared" si="51"/>
        <v>11</v>
      </c>
      <c r="Q130" s="2">
        <f t="shared" si="52"/>
        <v>8</v>
      </c>
      <c r="R130" s="1">
        <f t="shared" si="42"/>
        <v>1195164.917546978</v>
      </c>
      <c r="S130" s="1">
        <f>IF($G$17="si",S118*(1+$G$20),S118)</f>
        <v>10000</v>
      </c>
      <c r="U130" s="1">
        <f t="shared" si="53"/>
        <v>9610.1542925078284</v>
      </c>
      <c r="V130" s="35">
        <f t="shared" si="55"/>
        <v>-120.97055550342296</v>
      </c>
      <c r="X130" s="35">
        <f t="shared" si="54"/>
        <v>-1408.9987574894196</v>
      </c>
      <c r="Y130" s="1">
        <f t="shared" si="34"/>
        <v>1213245.1025264929</v>
      </c>
      <c r="AA130" s="2">
        <f>+Bono!J130</f>
        <v>165962.22595283191</v>
      </c>
      <c r="AC130" s="10">
        <f t="shared" si="35"/>
        <v>8.9166666666666661</v>
      </c>
      <c r="AD130" s="1">
        <f t="shared" si="36"/>
        <v>1628142.9176835155</v>
      </c>
    </row>
    <row r="131" spans="1:30">
      <c r="A131" s="1">
        <f t="shared" si="37"/>
        <v>9</v>
      </c>
      <c r="B131" s="1">
        <f t="shared" si="38"/>
        <v>108</v>
      </c>
      <c r="C131" s="2">
        <f t="shared" si="47"/>
        <v>8</v>
      </c>
      <c r="D131" s="2">
        <f t="shared" si="48"/>
        <v>12</v>
      </c>
      <c r="E131" s="2">
        <f t="shared" si="49"/>
        <v>37</v>
      </c>
      <c r="F131" s="1">
        <f t="shared" si="39"/>
        <v>248935.58920419053</v>
      </c>
      <c r="H131" s="1">
        <f t="shared" si="32"/>
        <v>1985.0473460661151</v>
      </c>
      <c r="I131" s="1">
        <v>0</v>
      </c>
      <c r="J131" s="69">
        <f>-SUM(F131:H131)*$J$21*1.16</f>
        <v>-2619.6114455846791</v>
      </c>
      <c r="K131" s="1">
        <f t="shared" si="40"/>
        <v>-288.02918912141945</v>
      </c>
      <c r="L131" s="1">
        <f t="shared" si="33"/>
        <v>248012.99591555053</v>
      </c>
      <c r="N131" s="1">
        <f t="shared" si="41"/>
        <v>108</v>
      </c>
      <c r="O131" s="2">
        <f t="shared" si="50"/>
        <v>8</v>
      </c>
      <c r="P131" s="2">
        <f t="shared" si="51"/>
        <v>12</v>
      </c>
      <c r="Q131" s="2">
        <f t="shared" si="52"/>
        <v>8</v>
      </c>
      <c r="R131" s="1">
        <f t="shared" si="42"/>
        <v>1213245.1025264929</v>
      </c>
      <c r="S131" s="4">
        <f>IF($G$4="mensual",S130,0)</f>
        <v>10000</v>
      </c>
      <c r="U131" s="1">
        <f t="shared" si="53"/>
        <v>9754.3282265150374</v>
      </c>
      <c r="V131" s="35">
        <f t="shared" si="55"/>
        <v>-120.97055550342296</v>
      </c>
      <c r="X131" s="35">
        <f t="shared" si="54"/>
        <v>-1430.1390138291054</v>
      </c>
      <c r="Y131" s="1">
        <f t="shared" si="34"/>
        <v>1231448.3211836754</v>
      </c>
      <c r="AA131" s="2">
        <f>+Bono!J131</f>
        <v>165486.78567980431</v>
      </c>
      <c r="AC131" s="10">
        <f t="shared" si="35"/>
        <v>9</v>
      </c>
      <c r="AD131" s="1">
        <f t="shared" si="36"/>
        <v>1644948.1027790303</v>
      </c>
    </row>
    <row r="132" spans="1:30">
      <c r="A132" s="1">
        <f t="shared" si="37"/>
        <v>9.0833333333333339</v>
      </c>
      <c r="B132" s="1">
        <f t="shared" si="38"/>
        <v>109</v>
      </c>
      <c r="C132" s="2">
        <f t="shared" si="47"/>
        <v>9</v>
      </c>
      <c r="D132" s="2">
        <f t="shared" si="48"/>
        <v>1</v>
      </c>
      <c r="E132" s="2">
        <f t="shared" si="49"/>
        <v>38</v>
      </c>
      <c r="F132" s="1">
        <f t="shared" si="39"/>
        <v>248012.99591555053</v>
      </c>
      <c r="H132" s="1">
        <f t="shared" si="32"/>
        <v>1977.6904576237357</v>
      </c>
      <c r="I132" s="1">
        <v>0</v>
      </c>
      <c r="J132" s="1">
        <v>0</v>
      </c>
      <c r="K132" s="1">
        <f t="shared" si="40"/>
        <v>-289.98919619288216</v>
      </c>
      <c r="L132" s="1">
        <f t="shared" si="33"/>
        <v>249700.6971769814</v>
      </c>
      <c r="N132" s="1">
        <f t="shared" si="41"/>
        <v>109</v>
      </c>
      <c r="O132" s="2">
        <f t="shared" si="50"/>
        <v>9</v>
      </c>
      <c r="P132" s="2">
        <f t="shared" si="51"/>
        <v>1</v>
      </c>
      <c r="Q132" s="2">
        <f t="shared" si="52"/>
        <v>9</v>
      </c>
      <c r="R132" s="1">
        <f t="shared" si="42"/>
        <v>1231448.3211836754</v>
      </c>
      <c r="S132" s="1">
        <f>IF($G$17="si",S120*(1+$G$20),S120)</f>
        <v>10000</v>
      </c>
      <c r="U132" s="1">
        <f t="shared" si="53"/>
        <v>9899.483248345452</v>
      </c>
      <c r="V132" s="35">
        <f>V131*(1+$G$18)</f>
        <v>-125.80937772355988</v>
      </c>
      <c r="X132" s="35">
        <f t="shared" si="54"/>
        <v>-1451.4175142629849</v>
      </c>
      <c r="Y132" s="1">
        <f t="shared" si="34"/>
        <v>1249770.5775400344</v>
      </c>
      <c r="AA132" s="2">
        <f>+Bono!J132</f>
        <v>166512.82294629814</v>
      </c>
      <c r="AC132" s="10">
        <f t="shared" si="35"/>
        <v>9.0833333333333339</v>
      </c>
      <c r="AD132" s="1">
        <f t="shared" si="36"/>
        <v>1665984.0976633141</v>
      </c>
    </row>
    <row r="133" spans="1:30">
      <c r="A133" s="1">
        <f t="shared" si="37"/>
        <v>9.1666666666666661</v>
      </c>
      <c r="B133" s="1">
        <f t="shared" si="38"/>
        <v>110</v>
      </c>
      <c r="C133" s="2">
        <f t="shared" si="47"/>
        <v>9</v>
      </c>
      <c r="D133" s="2">
        <f t="shared" si="48"/>
        <v>2</v>
      </c>
      <c r="E133" s="2">
        <f t="shared" si="49"/>
        <v>38</v>
      </c>
      <c r="F133" s="1">
        <f t="shared" si="39"/>
        <v>249700.6971769814</v>
      </c>
      <c r="H133" s="1">
        <f t="shared" si="32"/>
        <v>1991.1484244844235</v>
      </c>
      <c r="I133" s="1">
        <v>0</v>
      </c>
      <c r="J133" s="1">
        <v>0</v>
      </c>
      <c r="K133" s="1">
        <f t="shared" si="40"/>
        <v>-291.96254089770031</v>
      </c>
      <c r="L133" s="1">
        <f t="shared" si="33"/>
        <v>251399.88306056813</v>
      </c>
      <c r="N133" s="1">
        <f t="shared" si="41"/>
        <v>110</v>
      </c>
      <c r="O133" s="2">
        <f t="shared" si="50"/>
        <v>9</v>
      </c>
      <c r="P133" s="2">
        <f t="shared" si="51"/>
        <v>2</v>
      </c>
      <c r="Q133" s="2">
        <f t="shared" si="52"/>
        <v>9</v>
      </c>
      <c r="R133" s="1">
        <f t="shared" si="42"/>
        <v>1249770.5775400344</v>
      </c>
      <c r="S133" s="4">
        <f>IF($G$4="mensual",S132,0)</f>
        <v>10000</v>
      </c>
      <c r="U133" s="1">
        <f t="shared" si="53"/>
        <v>10045.587493505433</v>
      </c>
      <c r="V133" s="35">
        <f t="shared" si="55"/>
        <v>-125.80937772355988</v>
      </c>
      <c r="X133" s="35">
        <f t="shared" si="54"/>
        <v>-1472.8408125607466</v>
      </c>
      <c r="Y133" s="1">
        <f t="shared" si="34"/>
        <v>1268217.5148432555</v>
      </c>
      <c r="AA133" s="2">
        <f>+Bono!J133</f>
        <v>167545.2217628572</v>
      </c>
      <c r="AC133" s="10">
        <f t="shared" si="35"/>
        <v>9.1666666666666661</v>
      </c>
      <c r="AD133" s="1">
        <f t="shared" si="36"/>
        <v>1687162.6196666807</v>
      </c>
    </row>
    <row r="134" spans="1:30">
      <c r="A134" s="1">
        <f t="shared" si="37"/>
        <v>9.25</v>
      </c>
      <c r="B134" s="1">
        <f t="shared" si="38"/>
        <v>111</v>
      </c>
      <c r="C134" s="2">
        <f t="shared" si="47"/>
        <v>9</v>
      </c>
      <c r="D134" s="2">
        <f t="shared" si="48"/>
        <v>3</v>
      </c>
      <c r="E134" s="2">
        <f t="shared" si="49"/>
        <v>38</v>
      </c>
      <c r="F134" s="1">
        <f t="shared" si="39"/>
        <v>251399.88306056813</v>
      </c>
      <c r="H134" s="1">
        <f t="shared" si="32"/>
        <v>2004.6979713349549</v>
      </c>
      <c r="I134" s="1">
        <v>0</v>
      </c>
      <c r="J134" s="69">
        <f>-SUM(F134:H134)*$J$21*1.16</f>
        <v>-2645.5438259730681</v>
      </c>
      <c r="K134" s="1">
        <f t="shared" si="40"/>
        <v>-290.8804831588788</v>
      </c>
      <c r="L134" s="1">
        <f t="shared" si="33"/>
        <v>250468.15672277112</v>
      </c>
      <c r="N134" s="1">
        <f t="shared" si="41"/>
        <v>111</v>
      </c>
      <c r="O134" s="2">
        <f t="shared" si="50"/>
        <v>9</v>
      </c>
      <c r="P134" s="2">
        <f t="shared" si="51"/>
        <v>3</v>
      </c>
      <c r="Q134" s="2">
        <f t="shared" si="52"/>
        <v>9</v>
      </c>
      <c r="R134" s="1">
        <f t="shared" si="42"/>
        <v>1268217.5148432555</v>
      </c>
      <c r="S134" s="4">
        <f>IF($G$4="mensual",S133,0)</f>
        <v>10000</v>
      </c>
      <c r="U134" s="1">
        <f t="shared" si="53"/>
        <v>10192.685962044501</v>
      </c>
      <c r="V134" s="35">
        <f t="shared" si="55"/>
        <v>-125.80937772355988</v>
      </c>
      <c r="X134" s="35">
        <f t="shared" si="54"/>
        <v>-1494.4098940559884</v>
      </c>
      <c r="Y134" s="1">
        <f t="shared" si="34"/>
        <v>1286789.9815335204</v>
      </c>
      <c r="AA134" s="2">
        <f>+Bono!J134</f>
        <v>167065.24660271415</v>
      </c>
      <c r="AC134" s="10">
        <f t="shared" si="35"/>
        <v>9.25</v>
      </c>
      <c r="AD134" s="1">
        <f t="shared" si="36"/>
        <v>1704323.3848590055</v>
      </c>
    </row>
    <row r="135" spans="1:30">
      <c r="A135" s="1">
        <f t="shared" si="37"/>
        <v>9.3333333333333339</v>
      </c>
      <c r="B135" s="1">
        <f t="shared" si="38"/>
        <v>112</v>
      </c>
      <c r="C135" s="2">
        <f t="shared" si="47"/>
        <v>9</v>
      </c>
      <c r="D135" s="2">
        <f t="shared" si="48"/>
        <v>4</v>
      </c>
      <c r="E135" s="2">
        <f t="shared" si="49"/>
        <v>38</v>
      </c>
      <c r="F135" s="1">
        <f t="shared" si="39"/>
        <v>250468.15672277112</v>
      </c>
      <c r="H135" s="1">
        <f t="shared" si="32"/>
        <v>1997.2682546760534</v>
      </c>
      <c r="I135" s="1">
        <v>0</v>
      </c>
      <c r="J135" s="1">
        <v>0</v>
      </c>
      <c r="K135" s="1">
        <f t="shared" si="40"/>
        <v>-292.85989297383873</v>
      </c>
      <c r="L135" s="1">
        <f t="shared" si="33"/>
        <v>252172.56508447332</v>
      </c>
      <c r="N135" s="1">
        <f t="shared" si="41"/>
        <v>112</v>
      </c>
      <c r="O135" s="2">
        <f t="shared" si="50"/>
        <v>9</v>
      </c>
      <c r="P135" s="2">
        <f t="shared" si="51"/>
        <v>4</v>
      </c>
      <c r="Q135" s="2">
        <f t="shared" si="52"/>
        <v>9</v>
      </c>
      <c r="R135" s="1">
        <f t="shared" si="42"/>
        <v>1286789.9815335204</v>
      </c>
      <c r="S135" s="4">
        <f>IF($G$4="mensual",S132,IF($G$4="trimestral",S132,0))</f>
        <v>10000</v>
      </c>
      <c r="U135" s="1">
        <f t="shared" si="53"/>
        <v>10340.78541954381</v>
      </c>
      <c r="V135" s="35">
        <f t="shared" si="55"/>
        <v>-125.80937772355988</v>
      </c>
      <c r="X135" s="35">
        <f t="shared" si="54"/>
        <v>-1516.125750787395</v>
      </c>
      <c r="Y135" s="1">
        <f t="shared" si="34"/>
        <v>1305488.8318245532</v>
      </c>
      <c r="AA135" s="2">
        <f>+Bono!J135</f>
        <v>168101.07051002013</v>
      </c>
      <c r="AC135" s="10">
        <f t="shared" si="35"/>
        <v>9.3333333333333339</v>
      </c>
      <c r="AD135" s="1">
        <f t="shared" si="36"/>
        <v>1725762.4674190464</v>
      </c>
    </row>
    <row r="136" spans="1:30">
      <c r="A136" s="1">
        <f t="shared" si="37"/>
        <v>9.4166666666666661</v>
      </c>
      <c r="B136" s="1">
        <f t="shared" si="38"/>
        <v>113</v>
      </c>
      <c r="C136" s="2">
        <f t="shared" si="47"/>
        <v>9</v>
      </c>
      <c r="D136" s="2">
        <f t="shared" si="48"/>
        <v>5</v>
      </c>
      <c r="E136" s="2">
        <f t="shared" si="49"/>
        <v>38</v>
      </c>
      <c r="F136" s="1">
        <f t="shared" si="39"/>
        <v>252172.56508447332</v>
      </c>
      <c r="H136" s="1">
        <f t="shared" si="32"/>
        <v>2010.8594463004645</v>
      </c>
      <c r="I136" s="1">
        <v>0</v>
      </c>
      <c r="J136" s="1">
        <v>0</v>
      </c>
      <c r="K136" s="1">
        <f t="shared" si="40"/>
        <v>-294.85277245569756</v>
      </c>
      <c r="L136" s="1">
        <f t="shared" si="33"/>
        <v>253888.57175831808</v>
      </c>
      <c r="N136" s="1">
        <f t="shared" si="41"/>
        <v>113</v>
      </c>
      <c r="O136" s="2">
        <f t="shared" si="50"/>
        <v>9</v>
      </c>
      <c r="P136" s="2">
        <f t="shared" si="51"/>
        <v>5</v>
      </c>
      <c r="Q136" s="2">
        <f t="shared" si="52"/>
        <v>9</v>
      </c>
      <c r="R136" s="1">
        <f t="shared" si="42"/>
        <v>1305488.8318245532</v>
      </c>
      <c r="S136" s="4">
        <f>IF($G$4="mensual",S135,0)</f>
        <v>10000</v>
      </c>
      <c r="U136" s="1">
        <f t="shared" si="53"/>
        <v>10489.892677623555</v>
      </c>
      <c r="V136" s="35">
        <f t="shared" si="55"/>
        <v>-125.80937772355988</v>
      </c>
      <c r="X136" s="35">
        <f t="shared" si="54"/>
        <v>-1537.9893815443656</v>
      </c>
      <c r="Y136" s="1">
        <f t="shared" si="34"/>
        <v>1324314.9257429088</v>
      </c>
      <c r="AA136" s="2">
        <f>+Bono!J136</f>
        <v>169143.31664569958</v>
      </c>
      <c r="AC136" s="10">
        <f t="shared" si="35"/>
        <v>9.4166666666666661</v>
      </c>
      <c r="AD136" s="1">
        <f t="shared" si="36"/>
        <v>1747346.8141469264</v>
      </c>
    </row>
    <row r="137" spans="1:30">
      <c r="A137" s="1">
        <f t="shared" si="37"/>
        <v>9.5</v>
      </c>
      <c r="B137" s="1">
        <f t="shared" si="38"/>
        <v>114</v>
      </c>
      <c r="C137" s="2">
        <f t="shared" si="47"/>
        <v>9</v>
      </c>
      <c r="D137" s="2">
        <f t="shared" si="48"/>
        <v>6</v>
      </c>
      <c r="E137" s="2">
        <f t="shared" si="49"/>
        <v>38</v>
      </c>
      <c r="F137" s="1">
        <f t="shared" si="39"/>
        <v>253888.57175831808</v>
      </c>
      <c r="H137" s="1">
        <f t="shared" si="32"/>
        <v>2024.5431244946387</v>
      </c>
      <c r="I137" s="1">
        <v>0</v>
      </c>
      <c r="J137" s="69">
        <f>-SUM(F137:H137)*$J$21*1.16</f>
        <v>-2671.732919376565</v>
      </c>
      <c r="K137" s="1">
        <f t="shared" si="40"/>
        <v>-293.76000307758591</v>
      </c>
      <c r="L137" s="1">
        <f t="shared" si="33"/>
        <v>252947.62196035855</v>
      </c>
      <c r="N137" s="1">
        <f t="shared" si="41"/>
        <v>114</v>
      </c>
      <c r="O137" s="2">
        <f t="shared" si="50"/>
        <v>9</v>
      </c>
      <c r="P137" s="2">
        <f t="shared" si="51"/>
        <v>6</v>
      </c>
      <c r="Q137" s="2">
        <f t="shared" si="52"/>
        <v>9</v>
      </c>
      <c r="R137" s="1">
        <f t="shared" si="42"/>
        <v>1324314.9257429088</v>
      </c>
      <c r="S137" s="4">
        <f>IF($G$4="mensual",S136,0)</f>
        <v>10000</v>
      </c>
      <c r="U137" s="1">
        <f t="shared" si="53"/>
        <v>10640.014594256254</v>
      </c>
      <c r="V137" s="35">
        <f t="shared" si="55"/>
        <v>-125.80937772355988</v>
      </c>
      <c r="X137" s="35">
        <f t="shared" si="54"/>
        <v>-1560.0017919129521</v>
      </c>
      <c r="Y137" s="1">
        <f t="shared" si="34"/>
        <v>1343269.1291675284</v>
      </c>
      <c r="AA137" s="2">
        <f>+Bono!J137</f>
        <v>168658.76334337358</v>
      </c>
      <c r="AC137" s="10">
        <f t="shared" si="35"/>
        <v>9.5</v>
      </c>
      <c r="AD137" s="1">
        <f t="shared" si="36"/>
        <v>1764875.5144712604</v>
      </c>
    </row>
    <row r="138" spans="1:30">
      <c r="A138" s="1">
        <f t="shared" si="37"/>
        <v>9.5833333333333339</v>
      </c>
      <c r="B138" s="1">
        <f t="shared" si="38"/>
        <v>115</v>
      </c>
      <c r="C138" s="2">
        <f t="shared" si="47"/>
        <v>9</v>
      </c>
      <c r="D138" s="2">
        <f t="shared" si="48"/>
        <v>7</v>
      </c>
      <c r="E138" s="2">
        <f t="shared" si="49"/>
        <v>38</v>
      </c>
      <c r="F138" s="1">
        <f t="shared" si="39"/>
        <v>252947.62196035855</v>
      </c>
      <c r="H138" s="1">
        <f t="shared" si="32"/>
        <v>2017.0398586691608</v>
      </c>
      <c r="I138" s="1">
        <v>0</v>
      </c>
      <c r="J138" s="1">
        <v>0</v>
      </c>
      <c r="K138" s="1">
        <f t="shared" si="40"/>
        <v>-295.75900771007213</v>
      </c>
      <c r="L138" s="1">
        <f t="shared" si="33"/>
        <v>254668.90281131765</v>
      </c>
      <c r="N138" s="1">
        <f t="shared" si="41"/>
        <v>115</v>
      </c>
      <c r="O138" s="2">
        <f t="shared" si="50"/>
        <v>9</v>
      </c>
      <c r="P138" s="2">
        <f t="shared" si="51"/>
        <v>7</v>
      </c>
      <c r="Q138" s="2">
        <f t="shared" si="52"/>
        <v>9</v>
      </c>
      <c r="R138" s="1">
        <f t="shared" si="42"/>
        <v>1343269.1291675284</v>
      </c>
      <c r="S138" s="1">
        <f>+IF($G$4="mensual",S132,IF($G$4="trimestral",S132,IF($G$4="semestral",S132,0)))</f>
        <v>10000</v>
      </c>
      <c r="U138" s="1">
        <f t="shared" si="53"/>
        <v>10791.158074082177</v>
      </c>
      <c r="V138" s="35">
        <f t="shared" si="55"/>
        <v>-125.80937772355988</v>
      </c>
      <c r="X138" s="35">
        <f t="shared" si="54"/>
        <v>-1582.1639943221087</v>
      </c>
      <c r="Y138" s="1">
        <f t="shared" si="34"/>
        <v>1362352.3138695648</v>
      </c>
      <c r="AA138" s="2">
        <f>+Bono!J138</f>
        <v>169704.46723930814</v>
      </c>
      <c r="AC138" s="10">
        <f t="shared" si="35"/>
        <v>9.5833333333333339</v>
      </c>
      <c r="AD138" s="1">
        <f t="shared" si="36"/>
        <v>1786725.6839201907</v>
      </c>
    </row>
    <row r="139" spans="1:30">
      <c r="A139" s="1">
        <f t="shared" si="37"/>
        <v>9.6666666666666661</v>
      </c>
      <c r="B139" s="1">
        <f t="shared" si="38"/>
        <v>116</v>
      </c>
      <c r="C139" s="2">
        <f t="shared" si="47"/>
        <v>9</v>
      </c>
      <c r="D139" s="2">
        <f t="shared" si="48"/>
        <v>8</v>
      </c>
      <c r="E139" s="2">
        <f t="shared" si="49"/>
        <v>38</v>
      </c>
      <c r="F139" s="1">
        <f t="shared" si="39"/>
        <v>254668.90281131765</v>
      </c>
      <c r="H139" s="1">
        <f t="shared" si="32"/>
        <v>2030.7655938922915</v>
      </c>
      <c r="I139" s="1">
        <v>0</v>
      </c>
      <c r="J139" s="1">
        <v>0</v>
      </c>
      <c r="K139" s="1">
        <f t="shared" si="40"/>
        <v>-297.77161535004348</v>
      </c>
      <c r="L139" s="1">
        <f t="shared" si="33"/>
        <v>256401.89678985989</v>
      </c>
      <c r="N139" s="1">
        <f t="shared" si="41"/>
        <v>116</v>
      </c>
      <c r="O139" s="2">
        <f t="shared" si="50"/>
        <v>9</v>
      </c>
      <c r="P139" s="2">
        <f t="shared" si="51"/>
        <v>8</v>
      </c>
      <c r="Q139" s="2">
        <f t="shared" si="52"/>
        <v>9</v>
      </c>
      <c r="R139" s="1">
        <f t="shared" si="42"/>
        <v>1362352.3138695648</v>
      </c>
      <c r="S139" s="4">
        <f>IF($G$4="mensual",S138,0)</f>
        <v>10000</v>
      </c>
      <c r="U139" s="1">
        <f t="shared" si="53"/>
        <v>10943.330068726924</v>
      </c>
      <c r="V139" s="35">
        <f t="shared" si="55"/>
        <v>-125.80937772355988</v>
      </c>
      <c r="X139" s="35">
        <f t="shared" si="54"/>
        <v>-1604.477008090259</v>
      </c>
      <c r="Y139" s="1">
        <f t="shared" si="34"/>
        <v>1381565.3575524779</v>
      </c>
      <c r="AA139" s="2">
        <f>+Bono!J139</f>
        <v>170756.65462069167</v>
      </c>
      <c r="AC139" s="10">
        <f t="shared" si="35"/>
        <v>9.6666666666666661</v>
      </c>
      <c r="AD139" s="1">
        <f t="shared" si="36"/>
        <v>1808723.9089630295</v>
      </c>
    </row>
    <row r="140" spans="1:30">
      <c r="A140" s="1">
        <f t="shared" si="37"/>
        <v>9.75</v>
      </c>
      <c r="B140" s="1">
        <f t="shared" si="38"/>
        <v>117</v>
      </c>
      <c r="C140" s="2">
        <f t="shared" si="47"/>
        <v>9</v>
      </c>
      <c r="D140" s="2">
        <f t="shared" si="48"/>
        <v>9</v>
      </c>
      <c r="E140" s="2">
        <f t="shared" si="49"/>
        <v>38</v>
      </c>
      <c r="F140" s="1">
        <f t="shared" si="39"/>
        <v>256401.89678985989</v>
      </c>
      <c r="H140" s="1">
        <f t="shared" si="32"/>
        <v>2044.584731239632</v>
      </c>
      <c r="I140" s="1">
        <v>0</v>
      </c>
      <c r="J140" s="69">
        <f>-SUM(F140:H140)*$J$21*1.16</f>
        <v>-2698.1812670802788</v>
      </c>
      <c r="K140" s="1">
        <f t="shared" si="40"/>
        <v>-296.66802829466229</v>
      </c>
      <c r="L140" s="1">
        <f t="shared" si="33"/>
        <v>255451.63222572458</v>
      </c>
      <c r="N140" s="1">
        <f t="shared" si="41"/>
        <v>117</v>
      </c>
      <c r="O140" s="2">
        <f t="shared" si="50"/>
        <v>9</v>
      </c>
      <c r="P140" s="2">
        <f t="shared" si="51"/>
        <v>9</v>
      </c>
      <c r="Q140" s="2">
        <f t="shared" si="52"/>
        <v>9</v>
      </c>
      <c r="R140" s="1">
        <f t="shared" si="42"/>
        <v>1381565.3575524779</v>
      </c>
      <c r="S140" s="4">
        <f>IF($G$4="mensual",S139,0)</f>
        <v>10000</v>
      </c>
      <c r="U140" s="1">
        <f t="shared" si="53"/>
        <v>11096.537577121137</v>
      </c>
      <c r="V140" s="35">
        <f t="shared" si="55"/>
        <v>-125.80937772355988</v>
      </c>
      <c r="X140" s="35">
        <f t="shared" si="54"/>
        <v>-1626.9418594721753</v>
      </c>
      <c r="Y140" s="1">
        <f t="shared" si="34"/>
        <v>1400909.1438924032</v>
      </c>
      <c r="AA140" s="2">
        <f>+Bono!J140</f>
        <v>170267.47950853565</v>
      </c>
      <c r="AC140" s="10">
        <f t="shared" si="35"/>
        <v>9.75</v>
      </c>
      <c r="AD140" s="1">
        <f t="shared" si="36"/>
        <v>1826628.2556266636</v>
      </c>
    </row>
    <row r="141" spans="1:30">
      <c r="A141" s="1">
        <f t="shared" si="37"/>
        <v>9.8333333333333339</v>
      </c>
      <c r="B141" s="1">
        <f t="shared" si="38"/>
        <v>118</v>
      </c>
      <c r="C141" s="2">
        <f t="shared" si="47"/>
        <v>9</v>
      </c>
      <c r="D141" s="2">
        <f t="shared" si="48"/>
        <v>10</v>
      </c>
      <c r="E141" s="2">
        <f t="shared" si="49"/>
        <v>38</v>
      </c>
      <c r="F141" s="1">
        <f t="shared" si="39"/>
        <v>255451.63222572458</v>
      </c>
      <c r="H141" s="1">
        <f t="shared" si="32"/>
        <v>2037.0071881606061</v>
      </c>
      <c r="I141" s="1">
        <v>0</v>
      </c>
      <c r="J141" s="1">
        <v>0</v>
      </c>
      <c r="K141" s="1">
        <f t="shared" si="40"/>
        <v>-298.68682172010682</v>
      </c>
      <c r="L141" s="1">
        <f t="shared" si="33"/>
        <v>257189.95259216509</v>
      </c>
      <c r="N141" s="1">
        <f t="shared" si="41"/>
        <v>118</v>
      </c>
      <c r="O141" s="2">
        <f t="shared" si="50"/>
        <v>9</v>
      </c>
      <c r="P141" s="2">
        <f t="shared" si="51"/>
        <v>10</v>
      </c>
      <c r="Q141" s="2">
        <f t="shared" si="52"/>
        <v>9</v>
      </c>
      <c r="R141" s="1">
        <f t="shared" si="42"/>
        <v>1400909.1438924032</v>
      </c>
      <c r="S141" s="4">
        <f>IF($G$4="mensual",S132,IF($G$4="trimestral",S132,0))</f>
        <v>10000</v>
      </c>
      <c r="U141" s="1">
        <f t="shared" si="53"/>
        <v>11250.787645822411</v>
      </c>
      <c r="V141" s="35">
        <f t="shared" si="55"/>
        <v>-125.80937772355988</v>
      </c>
      <c r="X141" s="35">
        <f t="shared" si="54"/>
        <v>-1649.5595817061821</v>
      </c>
      <c r="Y141" s="1">
        <f t="shared" si="34"/>
        <v>1420384.5625787959</v>
      </c>
      <c r="AA141" s="2">
        <f>+Bono!J141</f>
        <v>171323.15763129375</v>
      </c>
      <c r="AC141" s="10">
        <f t="shared" si="35"/>
        <v>9.8333333333333339</v>
      </c>
      <c r="AD141" s="1">
        <f t="shared" si="36"/>
        <v>1848897.672802255</v>
      </c>
    </row>
    <row r="142" spans="1:30">
      <c r="A142" s="1">
        <f t="shared" si="37"/>
        <v>9.9166666666666661</v>
      </c>
      <c r="B142" s="1">
        <f t="shared" si="38"/>
        <v>119</v>
      </c>
      <c r="C142" s="2">
        <f t="shared" si="47"/>
        <v>9</v>
      </c>
      <c r="D142" s="2">
        <f t="shared" si="48"/>
        <v>11</v>
      </c>
      <c r="E142" s="2">
        <f t="shared" si="49"/>
        <v>38</v>
      </c>
      <c r="F142" s="1">
        <f t="shared" si="39"/>
        <v>257189.95259216509</v>
      </c>
      <c r="H142" s="1">
        <f t="shared" si="32"/>
        <v>2050.8687988730262</v>
      </c>
      <c r="I142" s="1">
        <v>0</v>
      </c>
      <c r="J142" s="1">
        <v>0</v>
      </c>
      <c r="K142" s="1">
        <f t="shared" si="40"/>
        <v>-300.71935281360425</v>
      </c>
      <c r="L142" s="1">
        <f t="shared" si="33"/>
        <v>258940.10203822452</v>
      </c>
      <c r="N142" s="1">
        <f t="shared" si="41"/>
        <v>119</v>
      </c>
      <c r="O142" s="2">
        <f t="shared" si="50"/>
        <v>9</v>
      </c>
      <c r="P142" s="2">
        <f t="shared" si="51"/>
        <v>11</v>
      </c>
      <c r="Q142" s="2">
        <f t="shared" si="52"/>
        <v>9</v>
      </c>
      <c r="R142" s="1">
        <f t="shared" si="42"/>
        <v>1420384.5625787959</v>
      </c>
      <c r="S142" s="1">
        <f>IF($G$17="si",S130*(1+$G$20),S130)</f>
        <v>10000</v>
      </c>
      <c r="U142" s="1">
        <f t="shared" si="53"/>
        <v>11406.087369339402</v>
      </c>
      <c r="V142" s="35">
        <f t="shared" si="55"/>
        <v>-125.80937772355988</v>
      </c>
      <c r="X142" s="35">
        <f t="shared" si="54"/>
        <v>-1672.3312150616773</v>
      </c>
      <c r="Y142" s="1">
        <f t="shared" si="34"/>
        <v>1439992.5093553499</v>
      </c>
      <c r="AA142" s="2">
        <f>+Bono!J142</f>
        <v>172385.38108086406</v>
      </c>
      <c r="AC142" s="10">
        <f t="shared" si="35"/>
        <v>9.9166666666666661</v>
      </c>
      <c r="AD142" s="1">
        <f t="shared" si="36"/>
        <v>1871317.9924744384</v>
      </c>
    </row>
    <row r="143" spans="1:30">
      <c r="A143" s="1">
        <f t="shared" si="37"/>
        <v>10</v>
      </c>
      <c r="B143" s="1">
        <f t="shared" si="38"/>
        <v>120</v>
      </c>
      <c r="C143" s="2">
        <f t="shared" si="47"/>
        <v>9</v>
      </c>
      <c r="D143" s="2">
        <f t="shared" si="48"/>
        <v>12</v>
      </c>
      <c r="E143" s="2">
        <f t="shared" si="49"/>
        <v>38</v>
      </c>
      <c r="F143" s="1">
        <f t="shared" si="39"/>
        <v>258940.10203822452</v>
      </c>
      <c r="H143" s="1">
        <f t="shared" si="32"/>
        <v>2064.8247363274722</v>
      </c>
      <c r="I143" s="1">
        <v>0</v>
      </c>
      <c r="J143" s="69">
        <f>-SUM(F143:H143)*$J$21*1.16</f>
        <v>-2724.8914355263232</v>
      </c>
      <c r="K143" s="1">
        <f t="shared" si="40"/>
        <v>-299.60484099326976</v>
      </c>
      <c r="L143" s="1">
        <f t="shared" si="33"/>
        <v>257980.43049803242</v>
      </c>
      <c r="N143" s="1">
        <f t="shared" si="41"/>
        <v>120</v>
      </c>
      <c r="O143" s="2">
        <f t="shared" si="50"/>
        <v>9</v>
      </c>
      <c r="P143" s="2">
        <f t="shared" si="51"/>
        <v>12</v>
      </c>
      <c r="Q143" s="2">
        <f t="shared" si="52"/>
        <v>9</v>
      </c>
      <c r="R143" s="1">
        <f t="shared" si="42"/>
        <v>1439992.5093553499</v>
      </c>
      <c r="S143" s="4">
        <f>IF($G$4="mensual",S142,0)</f>
        <v>10000</v>
      </c>
      <c r="U143" s="1">
        <f t="shared" si="53"/>
        <v>11562.443890458115</v>
      </c>
      <c r="V143" s="35">
        <f t="shared" si="55"/>
        <v>-125.80937772355988</v>
      </c>
      <c r="X143" s="35">
        <f t="shared" si="54"/>
        <v>-1695.257806886978</v>
      </c>
      <c r="Y143" s="1">
        <f t="shared" si="34"/>
        <v>1459733.8860611976</v>
      </c>
      <c r="AA143" s="2">
        <f>+Bono!J143</f>
        <v>171891.54007471638</v>
      </c>
      <c r="AC143" s="10">
        <f t="shared" si="35"/>
        <v>10</v>
      </c>
      <c r="AD143" s="1">
        <f t="shared" si="36"/>
        <v>1889605.8566339463</v>
      </c>
    </row>
    <row r="144" spans="1:30">
      <c r="A144" s="1">
        <f t="shared" si="37"/>
        <v>10.083333333333334</v>
      </c>
      <c r="B144" s="1">
        <f t="shared" si="38"/>
        <v>121</v>
      </c>
      <c r="C144" s="2">
        <f t="shared" si="47"/>
        <v>10</v>
      </c>
      <c r="D144" s="2">
        <f t="shared" si="48"/>
        <v>1</v>
      </c>
      <c r="E144" s="2">
        <f t="shared" si="49"/>
        <v>39</v>
      </c>
      <c r="F144" s="1">
        <f t="shared" si="39"/>
        <v>257980.43049803242</v>
      </c>
      <c r="H144" s="1">
        <f t="shared" si="32"/>
        <v>2057.1721807003582</v>
      </c>
      <c r="I144" s="1">
        <v>0</v>
      </c>
      <c r="J144" s="1">
        <v>0</v>
      </c>
      <c r="K144" s="1">
        <f t="shared" si="40"/>
        <v>-301.64361910732998</v>
      </c>
      <c r="L144" s="1">
        <f t="shared" si="33"/>
        <v>259735.95905962543</v>
      </c>
      <c r="N144" s="1">
        <f t="shared" si="41"/>
        <v>121</v>
      </c>
      <c r="O144" s="2">
        <f t="shared" si="50"/>
        <v>10</v>
      </c>
      <c r="P144" s="2">
        <f t="shared" si="51"/>
        <v>1</v>
      </c>
      <c r="Q144" s="2">
        <f t="shared" si="52"/>
        <v>10</v>
      </c>
      <c r="R144" s="1">
        <f t="shared" si="42"/>
        <v>1459733.8860611976</v>
      </c>
      <c r="S144" s="1">
        <f>IF($G$17="si",S132*(1+$G$20),S132)</f>
        <v>10000</v>
      </c>
      <c r="U144" s="1">
        <f t="shared" si="53"/>
        <v>11719.864400570435</v>
      </c>
      <c r="V144" s="35">
        <f>V143*(1+$G$18)</f>
        <v>-130.84175283250227</v>
      </c>
      <c r="X144" s="35">
        <f t="shared" si="54"/>
        <v>-1718.3345741023652</v>
      </c>
      <c r="Y144" s="1">
        <f t="shared" si="34"/>
        <v>1479604.5741348332</v>
      </c>
      <c r="AA144" s="2">
        <f>+Bono!J144</f>
        <v>172957.28756136418</v>
      </c>
      <c r="AC144" s="10">
        <f t="shared" si="35"/>
        <v>10.083333333333334</v>
      </c>
      <c r="AD144" s="1">
        <f t="shared" si="36"/>
        <v>1912297.8207558228</v>
      </c>
    </row>
    <row r="145" spans="1:30">
      <c r="A145" s="1">
        <f t="shared" si="37"/>
        <v>10.166666666666666</v>
      </c>
      <c r="B145" s="1">
        <f t="shared" si="38"/>
        <v>122</v>
      </c>
      <c r="C145" s="2">
        <f t="shared" si="47"/>
        <v>10</v>
      </c>
      <c r="D145" s="2">
        <f t="shared" si="48"/>
        <v>2</v>
      </c>
      <c r="E145" s="2">
        <f t="shared" si="49"/>
        <v>39</v>
      </c>
      <c r="F145" s="1">
        <f t="shared" si="39"/>
        <v>259735.95905962543</v>
      </c>
      <c r="H145" s="1">
        <f t="shared" si="32"/>
        <v>2071.1710119774521</v>
      </c>
      <c r="I145" s="1">
        <v>0</v>
      </c>
      <c r="J145" s="1">
        <v>0</v>
      </c>
      <c r="K145" s="1">
        <f t="shared" si="40"/>
        <v>-303.69627088305936</v>
      </c>
      <c r="L145" s="1">
        <f t="shared" si="33"/>
        <v>261503.43380071982</v>
      </c>
      <c r="N145" s="1">
        <f t="shared" si="41"/>
        <v>122</v>
      </c>
      <c r="O145" s="2">
        <f t="shared" si="50"/>
        <v>10</v>
      </c>
      <c r="P145" s="2">
        <f t="shared" si="51"/>
        <v>2</v>
      </c>
      <c r="Q145" s="2">
        <f t="shared" si="52"/>
        <v>10</v>
      </c>
      <c r="R145" s="1">
        <f t="shared" si="42"/>
        <v>1479604.5741348332</v>
      </c>
      <c r="S145" s="4">
        <f>IF($G$4="mensual",S144,0)</f>
        <v>10000</v>
      </c>
      <c r="U145" s="1">
        <f t="shared" si="53"/>
        <v>11878.316057688548</v>
      </c>
      <c r="V145" s="35">
        <f t="shared" si="55"/>
        <v>-130.84175283250227</v>
      </c>
      <c r="X145" s="35">
        <f t="shared" si="54"/>
        <v>-1741.5683761900395</v>
      </c>
      <c r="Y145" s="1">
        <f t="shared" si="34"/>
        <v>1499610.4800634992</v>
      </c>
      <c r="AA145" s="2">
        <f>+Bono!J145</f>
        <v>174029.64280604827</v>
      </c>
      <c r="AC145" s="10">
        <f t="shared" si="35"/>
        <v>10.166666666666666</v>
      </c>
      <c r="AD145" s="1">
        <f t="shared" si="36"/>
        <v>1935143.5566702674</v>
      </c>
    </row>
    <row r="146" spans="1:30">
      <c r="A146" s="1">
        <f t="shared" si="37"/>
        <v>10.25</v>
      </c>
      <c r="B146" s="1">
        <f t="shared" si="38"/>
        <v>123</v>
      </c>
      <c r="C146" s="2">
        <f t="shared" si="47"/>
        <v>10</v>
      </c>
      <c r="D146" s="2">
        <f t="shared" si="48"/>
        <v>3</v>
      </c>
      <c r="E146" s="2">
        <f t="shared" si="49"/>
        <v>39</v>
      </c>
      <c r="F146" s="1">
        <f t="shared" si="39"/>
        <v>261503.43380071982</v>
      </c>
      <c r="H146" s="1">
        <f t="shared" si="32"/>
        <v>2085.2651037674791</v>
      </c>
      <c r="I146" s="1">
        <v>0</v>
      </c>
      <c r="J146" s="69">
        <f>-SUM(F146:H146)*$J$21*1.16</f>
        <v>-2751.8660165628476</v>
      </c>
      <c r="K146" s="1">
        <f t="shared" si="40"/>
        <v>-302.57072614999237</v>
      </c>
      <c r="L146" s="1">
        <f t="shared" si="33"/>
        <v>260534.26216177444</v>
      </c>
      <c r="N146" s="1">
        <f t="shared" si="41"/>
        <v>123</v>
      </c>
      <c r="O146" s="2">
        <f t="shared" si="50"/>
        <v>10</v>
      </c>
      <c r="P146" s="2">
        <f t="shared" si="51"/>
        <v>3</v>
      </c>
      <c r="Q146" s="2">
        <f t="shared" si="52"/>
        <v>10</v>
      </c>
      <c r="R146" s="1">
        <f t="shared" si="42"/>
        <v>1499610.4800634992</v>
      </c>
      <c r="S146" s="4">
        <f>IF($G$4="mensual",S145,0)</f>
        <v>10000</v>
      </c>
      <c r="U146" s="1">
        <f t="shared" si="53"/>
        <v>12037.845960971168</v>
      </c>
      <c r="V146" s="35">
        <f t="shared" si="55"/>
        <v>-130.84175283250227</v>
      </c>
      <c r="X146" s="35">
        <f t="shared" si="54"/>
        <v>-1764.9602817550997</v>
      </c>
      <c r="Y146" s="1">
        <f t="shared" si="34"/>
        <v>1519752.5239898828</v>
      </c>
      <c r="AA146" s="2">
        <f>+Bono!J146</f>
        <v>173531.09140125982</v>
      </c>
      <c r="AC146" s="10">
        <f t="shared" si="35"/>
        <v>10.25</v>
      </c>
      <c r="AD146" s="1">
        <f t="shared" si="36"/>
        <v>1953817.8775529172</v>
      </c>
    </row>
    <row r="147" spans="1:30">
      <c r="A147" s="1">
        <f t="shared" si="37"/>
        <v>10.333333333333334</v>
      </c>
      <c r="B147" s="1">
        <f t="shared" si="38"/>
        <v>124</v>
      </c>
      <c r="C147" s="2">
        <f t="shared" si="47"/>
        <v>10</v>
      </c>
      <c r="D147" s="2">
        <f t="shared" si="48"/>
        <v>4</v>
      </c>
      <c r="E147" s="2">
        <f t="shared" si="49"/>
        <v>39</v>
      </c>
      <c r="F147" s="1">
        <f t="shared" si="39"/>
        <v>260534.26216177444</v>
      </c>
      <c r="H147" s="1">
        <f t="shared" si="32"/>
        <v>2077.5367930188177</v>
      </c>
      <c r="I147" s="1">
        <v>0</v>
      </c>
      <c r="J147" s="1">
        <v>0</v>
      </c>
      <c r="K147" s="1">
        <f t="shared" si="40"/>
        <v>-304.62968678756016</v>
      </c>
      <c r="L147" s="1">
        <f t="shared" si="33"/>
        <v>262307.1692680057</v>
      </c>
      <c r="N147" s="1">
        <f t="shared" si="41"/>
        <v>124</v>
      </c>
      <c r="O147" s="2">
        <f t="shared" si="50"/>
        <v>10</v>
      </c>
      <c r="P147" s="2">
        <f t="shared" si="51"/>
        <v>4</v>
      </c>
      <c r="Q147" s="2">
        <f t="shared" si="52"/>
        <v>10</v>
      </c>
      <c r="R147" s="1">
        <f t="shared" si="42"/>
        <v>1519752.5239898828</v>
      </c>
      <c r="S147" s="4">
        <f>IF($G$4="mensual",S144,IF($G$4="trimestral",S144,0))</f>
        <v>10000</v>
      </c>
      <c r="U147" s="1">
        <f t="shared" si="53"/>
        <v>12198.461447765299</v>
      </c>
      <c r="V147" s="35">
        <f t="shared" si="55"/>
        <v>-130.84175283250227</v>
      </c>
      <c r="X147" s="35">
        <f t="shared" si="54"/>
        <v>-1788.511366674386</v>
      </c>
      <c r="Y147" s="1">
        <f t="shared" si="34"/>
        <v>1540031.6323181412</v>
      </c>
      <c r="AA147" s="2">
        <f>+Bono!J147</f>
        <v>174607.00429630838</v>
      </c>
      <c r="AC147" s="10">
        <f t="shared" si="35"/>
        <v>10.333333333333334</v>
      </c>
      <c r="AD147" s="1">
        <f t="shared" si="36"/>
        <v>1976945.8058824553</v>
      </c>
    </row>
    <row r="148" spans="1:30">
      <c r="A148" s="1">
        <f t="shared" si="37"/>
        <v>10.416666666666666</v>
      </c>
      <c r="B148" s="1">
        <f t="shared" si="38"/>
        <v>125</v>
      </c>
      <c r="C148" s="2">
        <f t="shared" si="47"/>
        <v>10</v>
      </c>
      <c r="D148" s="2">
        <f t="shared" si="48"/>
        <v>5</v>
      </c>
      <c r="E148" s="2">
        <f t="shared" si="49"/>
        <v>39</v>
      </c>
      <c r="F148" s="1">
        <f t="shared" si="39"/>
        <v>262307.1692680057</v>
      </c>
      <c r="H148" s="1">
        <f t="shared" si="32"/>
        <v>2091.6742032513071</v>
      </c>
      <c r="I148" s="1">
        <v>0</v>
      </c>
      <c r="J148" s="1">
        <v>0</v>
      </c>
      <c r="K148" s="1">
        <f t="shared" si="40"/>
        <v>-306.7026584266581</v>
      </c>
      <c r="L148" s="1">
        <f t="shared" si="33"/>
        <v>264092.14081283036</v>
      </c>
      <c r="N148" s="1">
        <f t="shared" si="41"/>
        <v>125</v>
      </c>
      <c r="O148" s="2">
        <f t="shared" si="50"/>
        <v>10</v>
      </c>
      <c r="P148" s="2">
        <f t="shared" si="51"/>
        <v>5</v>
      </c>
      <c r="Q148" s="2">
        <f t="shared" si="52"/>
        <v>10</v>
      </c>
      <c r="R148" s="1">
        <f t="shared" si="42"/>
        <v>1540031.6323181412</v>
      </c>
      <c r="S148" s="4">
        <f>IF($G$4="mensual",S147,0)</f>
        <v>10000</v>
      </c>
      <c r="U148" s="1">
        <f t="shared" si="53"/>
        <v>12360.169905347784</v>
      </c>
      <c r="V148" s="35">
        <f t="shared" si="55"/>
        <v>-130.84175283250227</v>
      </c>
      <c r="X148" s="35">
        <f t="shared" si="54"/>
        <v>-1812.2227141459614</v>
      </c>
      <c r="Y148" s="1">
        <f t="shared" si="34"/>
        <v>1560448.7377565105</v>
      </c>
      <c r="AA148" s="2">
        <f>+Bono!J148</f>
        <v>175689.58797610443</v>
      </c>
      <c r="AC148" s="10">
        <f t="shared" si="35"/>
        <v>10.416666666666666</v>
      </c>
      <c r="AD148" s="1">
        <f t="shared" si="36"/>
        <v>2000230.4665454451</v>
      </c>
    </row>
    <row r="149" spans="1:30">
      <c r="A149" s="1">
        <f t="shared" si="37"/>
        <v>10.5</v>
      </c>
      <c r="B149" s="1">
        <f t="shared" si="38"/>
        <v>126</v>
      </c>
      <c r="C149" s="2">
        <f t="shared" si="47"/>
        <v>10</v>
      </c>
      <c r="D149" s="2">
        <f t="shared" si="48"/>
        <v>6</v>
      </c>
      <c r="E149" s="2">
        <f t="shared" si="49"/>
        <v>39</v>
      </c>
      <c r="F149" s="1">
        <f t="shared" si="39"/>
        <v>264092.14081283036</v>
      </c>
      <c r="H149" s="1">
        <f t="shared" si="32"/>
        <v>2105.9078170113362</v>
      </c>
      <c r="I149" s="1">
        <v>0</v>
      </c>
      <c r="J149" s="69">
        <f>-SUM(F149:H149)*$J$21*1.16</f>
        <v>-2779.1076276955478</v>
      </c>
      <c r="K149" s="1">
        <f t="shared" si="40"/>
        <v>-305.56597156248955</v>
      </c>
      <c r="L149" s="1">
        <f t="shared" si="33"/>
        <v>263113.3750305837</v>
      </c>
      <c r="N149" s="1">
        <f t="shared" si="41"/>
        <v>126</v>
      </c>
      <c r="O149" s="2">
        <f t="shared" si="50"/>
        <v>10</v>
      </c>
      <c r="P149" s="2">
        <f t="shared" si="51"/>
        <v>6</v>
      </c>
      <c r="Q149" s="2">
        <f t="shared" si="52"/>
        <v>10</v>
      </c>
      <c r="R149" s="1">
        <f t="shared" si="42"/>
        <v>1560448.7377565105</v>
      </c>
      <c r="S149" s="4">
        <f>IF($G$4="mensual",S148,0)</f>
        <v>10000</v>
      </c>
      <c r="U149" s="1">
        <f t="shared" si="53"/>
        <v>12522.978771265076</v>
      </c>
      <c r="V149" s="35">
        <f t="shared" si="55"/>
        <v>-130.84175283250227</v>
      </c>
      <c r="X149" s="35">
        <f t="shared" si="54"/>
        <v>-1836.0954147389339</v>
      </c>
      <c r="Y149" s="1">
        <f t="shared" si="34"/>
        <v>1581004.7793602042</v>
      </c>
      <c r="AA149" s="2">
        <f>+Bono!J149</f>
        <v>175186.28124352777</v>
      </c>
      <c r="AC149" s="10">
        <f t="shared" si="35"/>
        <v>10.5</v>
      </c>
      <c r="AD149" s="1">
        <f t="shared" si="36"/>
        <v>2019304.4356343157</v>
      </c>
    </row>
    <row r="150" spans="1:30">
      <c r="A150" s="1">
        <f t="shared" si="37"/>
        <v>10.583333333333334</v>
      </c>
      <c r="B150" s="1">
        <f t="shared" si="38"/>
        <v>127</v>
      </c>
      <c r="C150" s="2">
        <f t="shared" si="47"/>
        <v>10</v>
      </c>
      <c r="D150" s="2">
        <f t="shared" si="48"/>
        <v>7</v>
      </c>
      <c r="E150" s="2">
        <f t="shared" si="49"/>
        <v>39</v>
      </c>
      <c r="F150" s="1">
        <f t="shared" si="39"/>
        <v>263113.3750305837</v>
      </c>
      <c r="H150" s="1">
        <f t="shared" si="32"/>
        <v>2098.1030012166957</v>
      </c>
      <c r="I150" s="1">
        <v>0</v>
      </c>
      <c r="J150" s="1">
        <v>0</v>
      </c>
      <c r="K150" s="1">
        <f t="shared" si="40"/>
        <v>-307.64531451688845</v>
      </c>
      <c r="L150" s="1">
        <f t="shared" si="33"/>
        <v>264903.83271728351</v>
      </c>
      <c r="N150" s="1">
        <f t="shared" si="41"/>
        <v>127</v>
      </c>
      <c r="O150" s="2">
        <f t="shared" si="50"/>
        <v>10</v>
      </c>
      <c r="P150" s="2">
        <f t="shared" si="51"/>
        <v>7</v>
      </c>
      <c r="Q150" s="2">
        <f t="shared" si="52"/>
        <v>10</v>
      </c>
      <c r="R150" s="1">
        <f t="shared" si="42"/>
        <v>1581004.7793602042</v>
      </c>
      <c r="S150" s="1">
        <f>+IF($G$4="mensual",S144,IF($G$4="trimestral",S144,IF($G$4="semestral",S144,0)))</f>
        <v>10000</v>
      </c>
      <c r="U150" s="1">
        <f t="shared" si="53"/>
        <v>12686.895533675317</v>
      </c>
      <c r="V150" s="35">
        <f t="shared" si="55"/>
        <v>-130.84175283250227</v>
      </c>
      <c r="X150" s="35">
        <f t="shared" si="54"/>
        <v>-1860.1305664436145</v>
      </c>
      <c r="Y150" s="1">
        <f t="shared" si="34"/>
        <v>1601700.7025746035</v>
      </c>
      <c r="AA150" s="2">
        <f>+Bono!J150</f>
        <v>176272.45650758853</v>
      </c>
      <c r="AC150" s="10">
        <f t="shared" si="35"/>
        <v>10.583333333333334</v>
      </c>
      <c r="AD150" s="1">
        <f t="shared" si="36"/>
        <v>2042876.9917994756</v>
      </c>
    </row>
    <row r="151" spans="1:30">
      <c r="A151" s="1">
        <f t="shared" si="37"/>
        <v>10.666666666666666</v>
      </c>
      <c r="B151" s="1">
        <f t="shared" si="38"/>
        <v>128</v>
      </c>
      <c r="C151" s="2">
        <f t="shared" si="47"/>
        <v>10</v>
      </c>
      <c r="D151" s="2">
        <f t="shared" si="48"/>
        <v>8</v>
      </c>
      <c r="E151" s="2">
        <f t="shared" si="49"/>
        <v>39</v>
      </c>
      <c r="F151" s="1">
        <f t="shared" si="39"/>
        <v>264903.83271728351</v>
      </c>
      <c r="H151" s="1">
        <f t="shared" si="32"/>
        <v>2112.3803622424502</v>
      </c>
      <c r="I151" s="1">
        <v>0</v>
      </c>
      <c r="J151" s="1">
        <v>0</v>
      </c>
      <c r="K151" s="1">
        <f t="shared" si="40"/>
        <v>-309.73880717225012</v>
      </c>
      <c r="L151" s="1">
        <f t="shared" si="33"/>
        <v>266706.47427235375</v>
      </c>
      <c r="N151" s="1">
        <f t="shared" si="41"/>
        <v>128</v>
      </c>
      <c r="O151" s="2">
        <f t="shared" si="50"/>
        <v>10</v>
      </c>
      <c r="P151" s="2">
        <f t="shared" si="51"/>
        <v>8</v>
      </c>
      <c r="Q151" s="2">
        <f t="shared" si="52"/>
        <v>10</v>
      </c>
      <c r="R151" s="1">
        <f t="shared" si="42"/>
        <v>1601700.7025746035</v>
      </c>
      <c r="S151" s="4">
        <f>IF($G$4="mensual",S150,0)</f>
        <v>10000</v>
      </c>
      <c r="U151" s="1">
        <f t="shared" si="53"/>
        <v>12851.927731692747</v>
      </c>
      <c r="V151" s="35">
        <f t="shared" si="55"/>
        <v>-130.84175283250227</v>
      </c>
      <c r="X151" s="35">
        <f t="shared" si="54"/>
        <v>-1884.3292747220178</v>
      </c>
      <c r="Y151" s="1">
        <f t="shared" si="34"/>
        <v>1622537.4592787419</v>
      </c>
      <c r="AA151" s="2">
        <f>+Bono!J151</f>
        <v>177365.36618427499</v>
      </c>
      <c r="AC151" s="10">
        <f t="shared" si="35"/>
        <v>10.666666666666666</v>
      </c>
      <c r="AD151" s="1">
        <f t="shared" si="36"/>
        <v>2066609.2997353706</v>
      </c>
    </row>
    <row r="152" spans="1:30">
      <c r="A152" s="1">
        <f t="shared" si="37"/>
        <v>10.75</v>
      </c>
      <c r="B152" s="1">
        <f t="shared" si="38"/>
        <v>129</v>
      </c>
      <c r="C152" s="2">
        <f t="shared" si="47"/>
        <v>10</v>
      </c>
      <c r="D152" s="2">
        <f t="shared" si="48"/>
        <v>9</v>
      </c>
      <c r="E152" s="2">
        <f t="shared" si="49"/>
        <v>39</v>
      </c>
      <c r="F152" s="1">
        <f t="shared" si="39"/>
        <v>266706.47427235375</v>
      </c>
      <c r="H152" s="1">
        <f t="shared" ref="H152:H215" si="56">SUM(F152:G152)*$G$8</f>
        <v>2126.7548791455579</v>
      </c>
      <c r="I152" s="1">
        <v>0</v>
      </c>
      <c r="J152" s="69">
        <f>-SUM(F152:H152)*$J$21*1.16</f>
        <v>-2806.618912341653</v>
      </c>
      <c r="K152" s="1">
        <f t="shared" si="40"/>
        <v>-308.5908678774228</v>
      </c>
      <c r="L152" s="1">
        <f t="shared" ref="L152:L215" si="57">SUM(F152:K152)</f>
        <v>265718.01937128021</v>
      </c>
      <c r="N152" s="1">
        <f t="shared" si="41"/>
        <v>129</v>
      </c>
      <c r="O152" s="2">
        <f t="shared" si="50"/>
        <v>10</v>
      </c>
      <c r="P152" s="2">
        <f t="shared" si="51"/>
        <v>9</v>
      </c>
      <c r="Q152" s="2">
        <f t="shared" si="52"/>
        <v>10</v>
      </c>
      <c r="R152" s="1">
        <f t="shared" si="42"/>
        <v>1622537.4592787419</v>
      </c>
      <c r="S152" s="4">
        <f>IF($G$4="mensual",S151,0)</f>
        <v>10000</v>
      </c>
      <c r="U152" s="1">
        <f t="shared" si="53"/>
        <v>13018.082955734448</v>
      </c>
      <c r="V152" s="35">
        <f t="shared" si="55"/>
        <v>-130.84175283250227</v>
      </c>
      <c r="X152" s="35">
        <f t="shared" si="54"/>
        <v>-1908.6926525587064</v>
      </c>
      <c r="Y152" s="1">
        <f t="shared" ref="Y152:Y215" si="58">SUM(R152:X152)</f>
        <v>1643516.007829085</v>
      </c>
      <c r="AA152" s="2">
        <f>+Bono!J152</f>
        <v>176857.25876621556</v>
      </c>
      <c r="AC152" s="10">
        <f t="shared" ref="AC152:AC215" si="59">+B152/12</f>
        <v>10.75</v>
      </c>
      <c r="AD152" s="1">
        <f t="shared" ref="AD152:AD215" si="60">+AA152+Y152+L152</f>
        <v>2086091.2859665807</v>
      </c>
    </row>
    <row r="153" spans="1:30">
      <c r="A153" s="1">
        <f t="shared" ref="A153:A216" si="61">+B153/12</f>
        <v>10.833333333333334</v>
      </c>
      <c r="B153" s="1">
        <f t="shared" ref="B153:B216" si="62">+B152+1</f>
        <v>130</v>
      </c>
      <c r="C153" s="2">
        <f t="shared" si="47"/>
        <v>10</v>
      </c>
      <c r="D153" s="2">
        <f t="shared" si="48"/>
        <v>10</v>
      </c>
      <c r="E153" s="2">
        <f t="shared" si="49"/>
        <v>39</v>
      </c>
      <c r="F153" s="1">
        <f t="shared" ref="F153:F216" si="63">L152</f>
        <v>265718.01937128021</v>
      </c>
      <c r="H153" s="1">
        <f t="shared" si="56"/>
        <v>2118.872800956759</v>
      </c>
      <c r="I153" s="1">
        <v>0</v>
      </c>
      <c r="J153" s="1">
        <v>0</v>
      </c>
      <c r="K153" s="1">
        <f t="shared" ref="K153:K216" si="64">-SUM(F153:J153)*0.1%*1.16</f>
        <v>-310.69079491979494</v>
      </c>
      <c r="L153" s="1">
        <f t="shared" si="57"/>
        <v>267526.20137731719</v>
      </c>
      <c r="N153" s="1">
        <f t="shared" ref="N153:N216" si="65">+N152+1</f>
        <v>130</v>
      </c>
      <c r="O153" s="2">
        <f t="shared" si="50"/>
        <v>10</v>
      </c>
      <c r="P153" s="2">
        <f t="shared" si="51"/>
        <v>10</v>
      </c>
      <c r="Q153" s="2">
        <f t="shared" si="52"/>
        <v>10</v>
      </c>
      <c r="R153" s="1">
        <f t="shared" ref="R153:R216" si="66">Y152</f>
        <v>1643516.007829085</v>
      </c>
      <c r="S153" s="4">
        <f>IF($G$4="mensual",S144,IF($G$4="trimestral",S144,0))</f>
        <v>10000</v>
      </c>
      <c r="U153" s="1">
        <f t="shared" si="53"/>
        <v>13185.36884786946</v>
      </c>
      <c r="V153" s="35">
        <f t="shared" si="55"/>
        <v>-130.84175283250227</v>
      </c>
      <c r="X153" s="35">
        <f t="shared" si="54"/>
        <v>-1933.2218205119814</v>
      </c>
      <c r="Y153" s="1">
        <f t="shared" si="58"/>
        <v>1664637.31310361</v>
      </c>
      <c r="AA153" s="2">
        <f>+Bono!J153</f>
        <v>177953.79428473837</v>
      </c>
      <c r="AC153" s="10">
        <f t="shared" si="59"/>
        <v>10.833333333333334</v>
      </c>
      <c r="AD153" s="1">
        <f t="shared" si="60"/>
        <v>2110117.3087656656</v>
      </c>
    </row>
    <row r="154" spans="1:30">
      <c r="A154" s="1">
        <f t="shared" si="61"/>
        <v>10.916666666666666</v>
      </c>
      <c r="B154" s="1">
        <f t="shared" si="62"/>
        <v>131</v>
      </c>
      <c r="C154" s="2">
        <f t="shared" si="47"/>
        <v>10</v>
      </c>
      <c r="D154" s="2">
        <f t="shared" si="48"/>
        <v>11</v>
      </c>
      <c r="E154" s="2">
        <f t="shared" si="49"/>
        <v>39</v>
      </c>
      <c r="F154" s="1">
        <f t="shared" si="63"/>
        <v>267526.20137731719</v>
      </c>
      <c r="H154" s="1">
        <f t="shared" si="56"/>
        <v>2133.2914981939148</v>
      </c>
      <c r="I154" s="1">
        <v>0</v>
      </c>
      <c r="J154" s="1">
        <v>0</v>
      </c>
      <c r="K154" s="1">
        <f t="shared" si="64"/>
        <v>-312.80501173559293</v>
      </c>
      <c r="L154" s="1">
        <f t="shared" si="57"/>
        <v>269346.68786377553</v>
      </c>
      <c r="N154" s="1">
        <f t="shared" si="65"/>
        <v>131</v>
      </c>
      <c r="O154" s="2">
        <f t="shared" si="50"/>
        <v>10</v>
      </c>
      <c r="P154" s="2">
        <f t="shared" si="51"/>
        <v>11</v>
      </c>
      <c r="Q154" s="2">
        <f t="shared" si="52"/>
        <v>10</v>
      </c>
      <c r="R154" s="1">
        <f t="shared" si="66"/>
        <v>1664637.31310361</v>
      </c>
      <c r="S154" s="1">
        <f>IF($G$17="si",S142*(1+$G$20),S142)</f>
        <v>10000</v>
      </c>
      <c r="U154" s="1">
        <f t="shared" si="53"/>
        <v>13353.793102170268</v>
      </c>
      <c r="V154" s="35">
        <f t="shared" si="55"/>
        <v>-130.84175283250227</v>
      </c>
      <c r="X154" s="35">
        <f t="shared" si="54"/>
        <v>-1957.9179067654193</v>
      </c>
      <c r="Y154" s="1">
        <f t="shared" si="58"/>
        <v>1685902.3465461824</v>
      </c>
      <c r="AA154" s="2">
        <f>+Bono!J154</f>
        <v>179057.12845066629</v>
      </c>
      <c r="AC154" s="10">
        <f t="shared" si="59"/>
        <v>10.916666666666666</v>
      </c>
      <c r="AD154" s="1">
        <f t="shared" si="60"/>
        <v>2134306.1628606245</v>
      </c>
    </row>
    <row r="155" spans="1:30">
      <c r="A155" s="1">
        <f t="shared" si="61"/>
        <v>11</v>
      </c>
      <c r="B155" s="1">
        <f t="shared" si="62"/>
        <v>132</v>
      </c>
      <c r="C155" s="2">
        <f t="shared" si="47"/>
        <v>10</v>
      </c>
      <c r="D155" s="2">
        <f t="shared" si="48"/>
        <v>12</v>
      </c>
      <c r="E155" s="2">
        <f t="shared" si="49"/>
        <v>39</v>
      </c>
      <c r="F155" s="1">
        <f t="shared" si="63"/>
        <v>269346.68786377553</v>
      </c>
      <c r="H155" s="1">
        <f t="shared" si="56"/>
        <v>2147.8083130858554</v>
      </c>
      <c r="I155" s="1">
        <v>0</v>
      </c>
      <c r="J155" s="69">
        <f>-SUM(F155:H155)*$J$21*1.16</f>
        <v>-2834.4025400864334</v>
      </c>
      <c r="K155" s="1">
        <f t="shared" si="64"/>
        <v>-311.645708618659</v>
      </c>
      <c r="L155" s="1">
        <f t="shared" si="57"/>
        <v>268348.4479281563</v>
      </c>
      <c r="N155" s="1">
        <f t="shared" si="65"/>
        <v>132</v>
      </c>
      <c r="O155" s="2">
        <f t="shared" si="50"/>
        <v>10</v>
      </c>
      <c r="P155" s="2">
        <f t="shared" si="51"/>
        <v>12</v>
      </c>
      <c r="Q155" s="2">
        <f t="shared" si="52"/>
        <v>10</v>
      </c>
      <c r="R155" s="1">
        <f t="shared" si="66"/>
        <v>1685902.3465461824</v>
      </c>
      <c r="S155" s="4">
        <f>IF($G$4="mensual",S154,0)</f>
        <v>10000</v>
      </c>
      <c r="U155" s="1">
        <f t="shared" si="53"/>
        <v>13523.363465066675</v>
      </c>
      <c r="V155" s="35">
        <f t="shared" si="55"/>
        <v>-130.84175283250227</v>
      </c>
      <c r="X155" s="35">
        <f t="shared" si="54"/>
        <v>-1982.7820471797634</v>
      </c>
      <c r="Y155" s="1">
        <f t="shared" si="58"/>
        <v>1707312.0862112369</v>
      </c>
      <c r="AA155" s="2">
        <f>+Bono!J155</f>
        <v>178544.17455679458</v>
      </c>
      <c r="AC155" s="10">
        <f t="shared" si="59"/>
        <v>11</v>
      </c>
      <c r="AD155" s="1">
        <f t="shared" si="60"/>
        <v>2154204.7086961879</v>
      </c>
    </row>
    <row r="156" spans="1:30">
      <c r="A156" s="1">
        <f t="shared" si="61"/>
        <v>11.083333333333334</v>
      </c>
      <c r="B156" s="1">
        <f t="shared" si="62"/>
        <v>133</v>
      </c>
      <c r="C156" s="2">
        <f t="shared" si="47"/>
        <v>11</v>
      </c>
      <c r="D156" s="2">
        <f t="shared" si="48"/>
        <v>1</v>
      </c>
      <c r="E156" s="2">
        <f t="shared" si="49"/>
        <v>40</v>
      </c>
      <c r="F156" s="1">
        <f t="shared" si="63"/>
        <v>268348.4479281563</v>
      </c>
      <c r="H156" s="1">
        <f t="shared" si="56"/>
        <v>2139.8482076574878</v>
      </c>
      <c r="I156" s="1">
        <v>0</v>
      </c>
      <c r="J156" s="1">
        <v>0</v>
      </c>
      <c r="K156" s="1">
        <f t="shared" si="64"/>
        <v>-313.76642351754401</v>
      </c>
      <c r="L156" s="1">
        <f t="shared" si="57"/>
        <v>270174.52971229627</v>
      </c>
      <c r="N156" s="1">
        <f t="shared" si="65"/>
        <v>133</v>
      </c>
      <c r="O156" s="2">
        <f t="shared" si="50"/>
        <v>11</v>
      </c>
      <c r="P156" s="2">
        <f t="shared" si="51"/>
        <v>1</v>
      </c>
      <c r="Q156" s="2">
        <f t="shared" si="52"/>
        <v>11</v>
      </c>
      <c r="R156" s="1">
        <f t="shared" si="66"/>
        <v>1707312.0862112369</v>
      </c>
      <c r="S156" s="1">
        <f>IF($G$17="si",S144*(1+$G$20),S144)</f>
        <v>10000</v>
      </c>
      <c r="U156" s="1">
        <f t="shared" si="53"/>
        <v>13694.087735702091</v>
      </c>
      <c r="V156" s="35">
        <f>V155*(1+$G$18)</f>
        <v>-136.07542294580236</v>
      </c>
      <c r="X156" s="35">
        <f t="shared" si="54"/>
        <v>-2007.809314287832</v>
      </c>
      <c r="Y156" s="1">
        <f t="shared" si="58"/>
        <v>1728862.2892097053</v>
      </c>
      <c r="AA156" s="2">
        <f>+Bono!J156</f>
        <v>179651.16914888911</v>
      </c>
      <c r="AC156" s="10">
        <f t="shared" si="59"/>
        <v>11.083333333333334</v>
      </c>
      <c r="AD156" s="1">
        <f t="shared" si="60"/>
        <v>2178687.9880708908</v>
      </c>
    </row>
    <row r="157" spans="1:30">
      <c r="A157" s="1">
        <f t="shared" si="61"/>
        <v>11.166666666666666</v>
      </c>
      <c r="B157" s="1">
        <f t="shared" si="62"/>
        <v>134</v>
      </c>
      <c r="C157" s="2">
        <f t="shared" si="47"/>
        <v>11</v>
      </c>
      <c r="D157" s="2">
        <f t="shared" si="48"/>
        <v>2</v>
      </c>
      <c r="E157" s="2">
        <f t="shared" si="49"/>
        <v>40</v>
      </c>
      <c r="F157" s="1">
        <f t="shared" si="63"/>
        <v>270174.52971229627</v>
      </c>
      <c r="H157" s="1">
        <f t="shared" si="56"/>
        <v>2154.4096402388827</v>
      </c>
      <c r="I157" s="1">
        <v>0</v>
      </c>
      <c r="J157" s="1">
        <v>0</v>
      </c>
      <c r="K157" s="1">
        <f t="shared" si="64"/>
        <v>-315.90156964894084</v>
      </c>
      <c r="L157" s="1">
        <f t="shared" si="57"/>
        <v>272013.03778288624</v>
      </c>
      <c r="N157" s="1">
        <f t="shared" si="65"/>
        <v>134</v>
      </c>
      <c r="O157" s="2">
        <f t="shared" si="50"/>
        <v>11</v>
      </c>
      <c r="P157" s="2">
        <f t="shared" si="51"/>
        <v>2</v>
      </c>
      <c r="Q157" s="2">
        <f t="shared" si="52"/>
        <v>11</v>
      </c>
      <c r="R157" s="1">
        <f t="shared" si="66"/>
        <v>1728862.2892097053</v>
      </c>
      <c r="S157" s="4">
        <f>IF($G$4="mensual",S156,0)</f>
        <v>10000</v>
      </c>
      <c r="U157" s="1">
        <f t="shared" si="53"/>
        <v>13865.93208068326</v>
      </c>
      <c r="V157" s="35">
        <f t="shared" si="55"/>
        <v>-136.07542294580236</v>
      </c>
      <c r="X157" s="35">
        <f t="shared" si="54"/>
        <v>-2033.0068892062334</v>
      </c>
      <c r="Y157" s="1">
        <f t="shared" si="58"/>
        <v>1750559.1389782366</v>
      </c>
      <c r="AA157" s="2">
        <f>+Bono!J157</f>
        <v>180765.02723585806</v>
      </c>
      <c r="AC157" s="10">
        <f t="shared" si="59"/>
        <v>11.166666666666666</v>
      </c>
      <c r="AD157" s="1">
        <f t="shared" si="60"/>
        <v>2203337.203996981</v>
      </c>
    </row>
    <row r="158" spans="1:30">
      <c r="A158" s="1">
        <f t="shared" si="61"/>
        <v>11.25</v>
      </c>
      <c r="B158" s="1">
        <f t="shared" si="62"/>
        <v>135</v>
      </c>
      <c r="C158" s="2">
        <f t="shared" si="47"/>
        <v>11</v>
      </c>
      <c r="D158" s="2">
        <f t="shared" si="48"/>
        <v>3</v>
      </c>
      <c r="E158" s="2">
        <f t="shared" si="49"/>
        <v>40</v>
      </c>
      <c r="F158" s="1">
        <f t="shared" si="63"/>
        <v>272013.03778288624</v>
      </c>
      <c r="H158" s="1">
        <f t="shared" si="56"/>
        <v>2169.0701617734403</v>
      </c>
      <c r="I158" s="1">
        <v>0</v>
      </c>
      <c r="J158" s="69">
        <f>-SUM(F158:H158)*$J$21*1.16</f>
        <v>-2862.4612069422469</v>
      </c>
      <c r="K158" s="1">
        <f t="shared" si="64"/>
        <v>-314.73079021575217</v>
      </c>
      <c r="L158" s="1">
        <f t="shared" si="57"/>
        <v>271004.91594750161</v>
      </c>
      <c r="N158" s="1">
        <f t="shared" si="65"/>
        <v>135</v>
      </c>
      <c r="O158" s="2">
        <f t="shared" si="50"/>
        <v>11</v>
      </c>
      <c r="P158" s="2">
        <f t="shared" si="51"/>
        <v>3</v>
      </c>
      <c r="Q158" s="2">
        <f t="shared" si="52"/>
        <v>11</v>
      </c>
      <c r="R158" s="1">
        <f t="shared" si="66"/>
        <v>1750559.1389782366</v>
      </c>
      <c r="S158" s="4">
        <f>IF($G$4="mensual",S157,0)</f>
        <v>10000</v>
      </c>
      <c r="U158" s="1">
        <f t="shared" si="53"/>
        <v>14038.945807602357</v>
      </c>
      <c r="V158" s="35">
        <f t="shared" si="55"/>
        <v>-136.07542294580236</v>
      </c>
      <c r="X158" s="35">
        <f t="shared" si="54"/>
        <v>-2058.3759308609556</v>
      </c>
      <c r="Y158" s="1">
        <f t="shared" si="58"/>
        <v>1772403.6334320321</v>
      </c>
      <c r="AA158" s="2">
        <f>+Bono!J158</f>
        <v>180247.18063908315</v>
      </c>
      <c r="AC158" s="10">
        <f t="shared" si="59"/>
        <v>11.25</v>
      </c>
      <c r="AD158" s="1">
        <f t="shared" si="60"/>
        <v>2223655.7300186167</v>
      </c>
    </row>
    <row r="159" spans="1:30">
      <c r="A159" s="1">
        <f t="shared" si="61"/>
        <v>11.333333333333334</v>
      </c>
      <c r="B159" s="1">
        <f t="shared" si="62"/>
        <v>136</v>
      </c>
      <c r="C159" s="2">
        <f t="shared" si="47"/>
        <v>11</v>
      </c>
      <c r="D159" s="2">
        <f t="shared" si="48"/>
        <v>4</v>
      </c>
      <c r="E159" s="2">
        <f t="shared" si="49"/>
        <v>40</v>
      </c>
      <c r="F159" s="1">
        <f t="shared" si="63"/>
        <v>271004.91594750161</v>
      </c>
      <c r="H159" s="1">
        <f t="shared" si="56"/>
        <v>2161.0312566886391</v>
      </c>
      <c r="I159" s="1">
        <v>0</v>
      </c>
      <c r="J159" s="1">
        <v>0</v>
      </c>
      <c r="K159" s="1">
        <f t="shared" si="64"/>
        <v>-316.87249875686069</v>
      </c>
      <c r="L159" s="1">
        <f t="shared" si="57"/>
        <v>272849.07470543339</v>
      </c>
      <c r="N159" s="1">
        <f t="shared" si="65"/>
        <v>136</v>
      </c>
      <c r="O159" s="2">
        <f t="shared" si="50"/>
        <v>11</v>
      </c>
      <c r="P159" s="2">
        <f t="shared" si="51"/>
        <v>4</v>
      </c>
      <c r="Q159" s="2">
        <f t="shared" si="52"/>
        <v>11</v>
      </c>
      <c r="R159" s="1">
        <f t="shared" si="66"/>
        <v>1772403.6334320321</v>
      </c>
      <c r="S159" s="4">
        <f>IF($G$4="mensual",S156,IF($G$4="trimestral",S156,0))</f>
        <v>10000</v>
      </c>
      <c r="U159" s="1">
        <f t="shared" si="53"/>
        <v>14213.136873975332</v>
      </c>
      <c r="V159" s="35">
        <f t="shared" si="55"/>
        <v>-136.07542294580236</v>
      </c>
      <c r="X159" s="35">
        <f t="shared" si="54"/>
        <v>-2083.9176060643513</v>
      </c>
      <c r="Y159" s="1">
        <f t="shared" si="58"/>
        <v>1794396.7772769972</v>
      </c>
      <c r="AA159" s="2">
        <f>+Bono!J159</f>
        <v>181364.73406642434</v>
      </c>
      <c r="AC159" s="10">
        <f t="shared" si="59"/>
        <v>11.333333333333334</v>
      </c>
      <c r="AD159" s="1">
        <f t="shared" si="60"/>
        <v>2248610.586048855</v>
      </c>
    </row>
    <row r="160" spans="1:30">
      <c r="A160" s="1">
        <f t="shared" si="61"/>
        <v>11.416666666666666</v>
      </c>
      <c r="B160" s="1">
        <f t="shared" si="62"/>
        <v>137</v>
      </c>
      <c r="C160" s="2">
        <f t="shared" si="47"/>
        <v>11</v>
      </c>
      <c r="D160" s="2">
        <f t="shared" si="48"/>
        <v>5</v>
      </c>
      <c r="E160" s="2">
        <f t="shared" si="49"/>
        <v>40</v>
      </c>
      <c r="F160" s="1">
        <f t="shared" si="63"/>
        <v>272849.07470543339</v>
      </c>
      <c r="H160" s="1">
        <f t="shared" si="56"/>
        <v>2175.7368375975798</v>
      </c>
      <c r="I160" s="1">
        <v>0</v>
      </c>
      <c r="J160" s="1">
        <v>0</v>
      </c>
      <c r="K160" s="1">
        <f t="shared" si="64"/>
        <v>-319.02878138991593</v>
      </c>
      <c r="L160" s="1">
        <f t="shared" si="57"/>
        <v>274705.78276164102</v>
      </c>
      <c r="N160" s="1">
        <f t="shared" si="65"/>
        <v>137</v>
      </c>
      <c r="O160" s="2">
        <f t="shared" si="50"/>
        <v>11</v>
      </c>
      <c r="P160" s="2">
        <f t="shared" si="51"/>
        <v>5</v>
      </c>
      <c r="Q160" s="2">
        <f t="shared" si="52"/>
        <v>11</v>
      </c>
      <c r="R160" s="1">
        <f t="shared" si="66"/>
        <v>1794396.7772769972</v>
      </c>
      <c r="S160" s="4">
        <f>IF($G$4="mensual",S159,0)</f>
        <v>10000</v>
      </c>
      <c r="U160" s="1">
        <f t="shared" si="53"/>
        <v>14388.513291468165</v>
      </c>
      <c r="V160" s="35">
        <f t="shared" si="55"/>
        <v>-136.07542294580236</v>
      </c>
      <c r="X160" s="35">
        <f t="shared" si="54"/>
        <v>-2109.6330895688025</v>
      </c>
      <c r="Y160" s="1">
        <f t="shared" si="58"/>
        <v>1816539.5820559508</v>
      </c>
      <c r="AA160" s="2">
        <f>+Bono!J160</f>
        <v>182489.2164546432</v>
      </c>
      <c r="AC160" s="10">
        <f t="shared" si="59"/>
        <v>11.416666666666666</v>
      </c>
      <c r="AD160" s="1">
        <f t="shared" si="60"/>
        <v>2273734.5812722351</v>
      </c>
    </row>
    <row r="161" spans="1:30">
      <c r="A161" s="1">
        <f t="shared" si="61"/>
        <v>11.5</v>
      </c>
      <c r="B161" s="1">
        <f t="shared" si="62"/>
        <v>138</v>
      </c>
      <c r="C161" s="2">
        <f t="shared" si="47"/>
        <v>11</v>
      </c>
      <c r="D161" s="2">
        <f t="shared" si="48"/>
        <v>6</v>
      </c>
      <c r="E161" s="2">
        <f t="shared" si="49"/>
        <v>40</v>
      </c>
      <c r="F161" s="1">
        <f t="shared" si="63"/>
        <v>274705.78276164102</v>
      </c>
      <c r="H161" s="1">
        <f t="shared" si="56"/>
        <v>2190.5424883732562</v>
      </c>
      <c r="I161" s="1">
        <v>0</v>
      </c>
      <c r="J161" s="69">
        <f>-SUM(F161:H161)*$J$21*1.16</f>
        <v>-2890.797635610149</v>
      </c>
      <c r="K161" s="1">
        <f t="shared" si="64"/>
        <v>-317.84641203270877</v>
      </c>
      <c r="L161" s="1">
        <f t="shared" si="57"/>
        <v>273687.68120237137</v>
      </c>
      <c r="N161" s="1">
        <f t="shared" si="65"/>
        <v>138</v>
      </c>
      <c r="O161" s="2">
        <f t="shared" si="50"/>
        <v>11</v>
      </c>
      <c r="P161" s="2">
        <f t="shared" si="51"/>
        <v>6</v>
      </c>
      <c r="Q161" s="2">
        <f t="shared" si="52"/>
        <v>11</v>
      </c>
      <c r="R161" s="1">
        <f t="shared" si="66"/>
        <v>1816539.5820559508</v>
      </c>
      <c r="S161" s="4">
        <f>IF($G$4="mensual",S160,0)</f>
        <v>10000</v>
      </c>
      <c r="U161" s="1">
        <f t="shared" si="53"/>
        <v>14565.083126265341</v>
      </c>
      <c r="V161" s="35">
        <f t="shared" si="55"/>
        <v>-136.07542294580236</v>
      </c>
      <c r="X161" s="35">
        <f t="shared" si="54"/>
        <v>-2135.5235641207532</v>
      </c>
      <c r="Y161" s="1">
        <f t="shared" si="58"/>
        <v>1838833.0661951494</v>
      </c>
      <c r="AA161" s="2">
        <f>+Bono!J161</f>
        <v>181966.43048694689</v>
      </c>
      <c r="AC161" s="10">
        <f t="shared" si="59"/>
        <v>11.5</v>
      </c>
      <c r="AD161" s="1">
        <f t="shared" si="60"/>
        <v>2294487.1778844679</v>
      </c>
    </row>
    <row r="162" spans="1:30">
      <c r="A162" s="1">
        <f t="shared" si="61"/>
        <v>11.583333333333334</v>
      </c>
      <c r="B162" s="1">
        <f t="shared" si="62"/>
        <v>139</v>
      </c>
      <c r="C162" s="2">
        <f t="shared" si="47"/>
        <v>11</v>
      </c>
      <c r="D162" s="2">
        <f t="shared" si="48"/>
        <v>7</v>
      </c>
      <c r="E162" s="2">
        <f t="shared" si="49"/>
        <v>40</v>
      </c>
      <c r="F162" s="1">
        <f t="shared" si="63"/>
        <v>273687.68120237137</v>
      </c>
      <c r="H162" s="1">
        <f t="shared" si="56"/>
        <v>2182.4240035687544</v>
      </c>
      <c r="I162" s="1">
        <v>0</v>
      </c>
      <c r="J162" s="1">
        <v>0</v>
      </c>
      <c r="K162" s="1">
        <f t="shared" si="64"/>
        <v>-320.00932203889056</v>
      </c>
      <c r="L162" s="1">
        <f t="shared" si="57"/>
        <v>275550.09588390123</v>
      </c>
      <c r="N162" s="1">
        <f t="shared" si="65"/>
        <v>139</v>
      </c>
      <c r="O162" s="2">
        <f t="shared" si="50"/>
        <v>11</v>
      </c>
      <c r="P162" s="2">
        <f t="shared" si="51"/>
        <v>7</v>
      </c>
      <c r="Q162" s="2">
        <f t="shared" si="52"/>
        <v>11</v>
      </c>
      <c r="R162" s="1">
        <f t="shared" si="66"/>
        <v>1838833.0661951494</v>
      </c>
      <c r="S162" s="1">
        <f>+IF($G$4="mensual",S156,IF($G$4="trimestral",S156,IF($G$4="semestral",S156,0)))</f>
        <v>10000</v>
      </c>
      <c r="U162" s="1">
        <f t="shared" si="53"/>
        <v>14742.854499440851</v>
      </c>
      <c r="V162" s="35">
        <f t="shared" si="55"/>
        <v>-136.07542294580236</v>
      </c>
      <c r="X162" s="35">
        <f t="shared" si="54"/>
        <v>-2161.5902205151074</v>
      </c>
      <c r="Y162" s="1">
        <f t="shared" si="58"/>
        <v>1861278.2550511293</v>
      </c>
      <c r="AA162" s="2">
        <f>+Bono!J162</f>
        <v>183094.6434627655</v>
      </c>
      <c r="AC162" s="10">
        <f t="shared" si="59"/>
        <v>11.583333333333334</v>
      </c>
      <c r="AD162" s="1">
        <f t="shared" si="60"/>
        <v>2319922.9943977958</v>
      </c>
    </row>
    <row r="163" spans="1:30">
      <c r="A163" s="1">
        <f t="shared" si="61"/>
        <v>11.666666666666666</v>
      </c>
      <c r="B163" s="1">
        <f t="shared" si="62"/>
        <v>140</v>
      </c>
      <c r="C163" s="2">
        <f t="shared" si="47"/>
        <v>11</v>
      </c>
      <c r="D163" s="2">
        <f t="shared" si="48"/>
        <v>8</v>
      </c>
      <c r="E163" s="2">
        <f t="shared" si="49"/>
        <v>40</v>
      </c>
      <c r="F163" s="1">
        <f t="shared" si="63"/>
        <v>275550.09588390123</v>
      </c>
      <c r="H163" s="1">
        <f t="shared" si="56"/>
        <v>2197.2751597761257</v>
      </c>
      <c r="I163" s="1">
        <v>0</v>
      </c>
      <c r="J163" s="1">
        <v>0</v>
      </c>
      <c r="K163" s="1">
        <f t="shared" si="64"/>
        <v>-322.18695041066576</v>
      </c>
      <c r="L163" s="1">
        <f t="shared" si="57"/>
        <v>277425.18409326673</v>
      </c>
      <c r="N163" s="1">
        <f t="shared" si="65"/>
        <v>140</v>
      </c>
      <c r="O163" s="2">
        <f t="shared" si="50"/>
        <v>11</v>
      </c>
      <c r="P163" s="2">
        <f t="shared" si="51"/>
        <v>8</v>
      </c>
      <c r="Q163" s="2">
        <f t="shared" si="52"/>
        <v>11</v>
      </c>
      <c r="R163" s="1">
        <f t="shared" si="66"/>
        <v>1861278.2550511293</v>
      </c>
      <c r="S163" s="4">
        <f>IF($G$4="mensual",S162,0)</f>
        <v>10000</v>
      </c>
      <c r="U163" s="1">
        <f t="shared" si="53"/>
        <v>14921.8355873317</v>
      </c>
      <c r="V163" s="35">
        <f t="shared" si="55"/>
        <v>-136.07542294580236</v>
      </c>
      <c r="X163" s="35">
        <f t="shared" si="54"/>
        <v>-2187.8342576499977</v>
      </c>
      <c r="Y163" s="1">
        <f t="shared" si="58"/>
        <v>1883876.1809578652</v>
      </c>
      <c r="AA163" s="2">
        <f>+Bono!J163</f>
        <v>184229.85148989878</v>
      </c>
      <c r="AC163" s="10">
        <f t="shared" si="59"/>
        <v>11.666666666666666</v>
      </c>
      <c r="AD163" s="1">
        <f t="shared" si="60"/>
        <v>2345531.2165410304</v>
      </c>
    </row>
    <row r="164" spans="1:30">
      <c r="A164" s="1">
        <f t="shared" si="61"/>
        <v>11.75</v>
      </c>
      <c r="B164" s="1">
        <f t="shared" si="62"/>
        <v>141</v>
      </c>
      <c r="C164" s="2">
        <f t="shared" ref="C164:C227" si="67">C152+1</f>
        <v>11</v>
      </c>
      <c r="D164" s="2">
        <f t="shared" ref="D164:D227" si="68">D152</f>
        <v>9</v>
      </c>
      <c r="E164" s="2">
        <f t="shared" ref="E164:E227" si="69">E152+1</f>
        <v>40</v>
      </c>
      <c r="F164" s="1">
        <f t="shared" si="63"/>
        <v>277425.18409326673</v>
      </c>
      <c r="H164" s="1">
        <f t="shared" si="56"/>
        <v>2212.2273764741876</v>
      </c>
      <c r="I164" s="1">
        <v>0</v>
      </c>
      <c r="J164" s="69">
        <f>-SUM(F164:H164)*$J$21*1.16</f>
        <v>-2919.4145757440951</v>
      </c>
      <c r="K164" s="1">
        <f t="shared" si="64"/>
        <v>-320.9928763970363</v>
      </c>
      <c r="L164" s="1">
        <f t="shared" si="57"/>
        <v>276397.0040175998</v>
      </c>
      <c r="N164" s="1">
        <f t="shared" si="65"/>
        <v>141</v>
      </c>
      <c r="O164" s="2">
        <f t="shared" ref="O164:O227" si="70">O152+1</f>
        <v>11</v>
      </c>
      <c r="P164" s="2">
        <f t="shared" ref="P164:P227" si="71">P152</f>
        <v>9</v>
      </c>
      <c r="Q164" s="2">
        <f t="shared" ref="Q164:Q227" si="72">Q152+1</f>
        <v>11</v>
      </c>
      <c r="R164" s="1">
        <f t="shared" si="66"/>
        <v>1883876.1809578652</v>
      </c>
      <c r="S164" s="4">
        <f>IF($G$4="mensual",S163,0)</f>
        <v>10000</v>
      </c>
      <c r="U164" s="1">
        <f t="shared" ref="U164:U227" si="73">SUM(R164:T164)*$G$8</f>
        <v>15102.034621913974</v>
      </c>
      <c r="V164" s="35">
        <f t="shared" si="55"/>
        <v>-136.07542294580236</v>
      </c>
      <c r="X164" s="35">
        <f t="shared" si="54"/>
        <v>-2214.2568825819262</v>
      </c>
      <c r="Y164" s="1">
        <f t="shared" si="58"/>
        <v>1906627.8832742514</v>
      </c>
      <c r="AA164" s="2">
        <f>+Bono!J164</f>
        <v>183702.07903812962</v>
      </c>
      <c r="AC164" s="10">
        <f t="shared" si="59"/>
        <v>11.75</v>
      </c>
      <c r="AD164" s="1">
        <f t="shared" si="60"/>
        <v>2366726.9663299806</v>
      </c>
    </row>
    <row r="165" spans="1:30">
      <c r="A165" s="1">
        <f t="shared" si="61"/>
        <v>11.833333333333334</v>
      </c>
      <c r="B165" s="1">
        <f t="shared" si="62"/>
        <v>142</v>
      </c>
      <c r="C165" s="2">
        <f t="shared" si="67"/>
        <v>11</v>
      </c>
      <c r="D165" s="2">
        <f t="shared" si="68"/>
        <v>10</v>
      </c>
      <c r="E165" s="2">
        <f t="shared" si="69"/>
        <v>40</v>
      </c>
      <c r="F165" s="1">
        <f t="shared" si="63"/>
        <v>276397.0040175998</v>
      </c>
      <c r="H165" s="1">
        <f t="shared" si="56"/>
        <v>2204.0285241646188</v>
      </c>
      <c r="I165" s="1">
        <v>0</v>
      </c>
      <c r="J165" s="1">
        <v>0</v>
      </c>
      <c r="K165" s="1">
        <f t="shared" si="64"/>
        <v>-323.1771977484467</v>
      </c>
      <c r="L165" s="1">
        <f t="shared" si="57"/>
        <v>278277.85534401599</v>
      </c>
      <c r="N165" s="1">
        <f t="shared" si="65"/>
        <v>142</v>
      </c>
      <c r="O165" s="2">
        <f t="shared" si="70"/>
        <v>11</v>
      </c>
      <c r="P165" s="2">
        <f t="shared" si="71"/>
        <v>10</v>
      </c>
      <c r="Q165" s="2">
        <f t="shared" si="72"/>
        <v>11</v>
      </c>
      <c r="R165" s="1">
        <f t="shared" si="66"/>
        <v>1906627.8832742514</v>
      </c>
      <c r="S165" s="4">
        <f>IF($G$4="mensual",S156,IF($G$4="trimestral",S156,0))</f>
        <v>10000</v>
      </c>
      <c r="U165" s="1">
        <f t="shared" si="73"/>
        <v>15283.459891181452</v>
      </c>
      <c r="V165" s="35">
        <f t="shared" si="55"/>
        <v>-136.07542294580236</v>
      </c>
      <c r="X165" s="35">
        <f t="shared" si="54"/>
        <v>-2240.8593105812847</v>
      </c>
      <c r="Y165" s="1">
        <f t="shared" si="58"/>
        <v>1929534.4084319056</v>
      </c>
      <c r="AA165" s="2">
        <f>+Bono!J165</f>
        <v>184841.05323628831</v>
      </c>
      <c r="AC165" s="10">
        <f t="shared" si="59"/>
        <v>11.833333333333334</v>
      </c>
      <c r="AD165" s="1">
        <f t="shared" si="60"/>
        <v>2392653.3170122099</v>
      </c>
    </row>
    <row r="166" spans="1:30">
      <c r="A166" s="1">
        <f t="shared" si="61"/>
        <v>11.916666666666666</v>
      </c>
      <c r="B166" s="1">
        <f t="shared" si="62"/>
        <v>143</v>
      </c>
      <c r="C166" s="2">
        <f t="shared" si="67"/>
        <v>11</v>
      </c>
      <c r="D166" s="2">
        <f t="shared" si="68"/>
        <v>11</v>
      </c>
      <c r="E166" s="2">
        <f t="shared" si="69"/>
        <v>40</v>
      </c>
      <c r="F166" s="1">
        <f t="shared" si="63"/>
        <v>278277.85534401599</v>
      </c>
      <c r="H166" s="1">
        <f t="shared" si="56"/>
        <v>2219.0266967673515</v>
      </c>
      <c r="I166" s="1">
        <v>0</v>
      </c>
      <c r="J166" s="1">
        <v>0</v>
      </c>
      <c r="K166" s="1">
        <f t="shared" si="64"/>
        <v>-325.37638316730869</v>
      </c>
      <c r="L166" s="1">
        <f t="shared" si="57"/>
        <v>280171.50565761607</v>
      </c>
      <c r="N166" s="1">
        <f t="shared" si="65"/>
        <v>143</v>
      </c>
      <c r="O166" s="2">
        <f t="shared" si="70"/>
        <v>11</v>
      </c>
      <c r="P166" s="2">
        <f t="shared" si="71"/>
        <v>11</v>
      </c>
      <c r="Q166" s="2">
        <f t="shared" si="72"/>
        <v>11</v>
      </c>
      <c r="R166" s="1">
        <f t="shared" si="66"/>
        <v>1929534.4084319056</v>
      </c>
      <c r="S166" s="1">
        <f>IF($G$17="si",S154*(1+$G$20),S154)</f>
        <v>10000</v>
      </c>
      <c r="U166" s="1">
        <f t="shared" si="73"/>
        <v>15466.119739526805</v>
      </c>
      <c r="V166" s="35">
        <f t="shared" si="55"/>
        <v>-136.07542294580236</v>
      </c>
      <c r="X166" s="35">
        <f t="shared" si="54"/>
        <v>-2267.6427651882445</v>
      </c>
      <c r="Y166" s="1">
        <f t="shared" si="58"/>
        <v>1952596.8099832982</v>
      </c>
      <c r="AA166" s="2">
        <f>+Bono!J166</f>
        <v>185987.08920658843</v>
      </c>
      <c r="AC166" s="10">
        <f t="shared" si="59"/>
        <v>11.916666666666666</v>
      </c>
      <c r="AD166" s="1">
        <f t="shared" si="60"/>
        <v>2418755.4048475027</v>
      </c>
    </row>
    <row r="167" spans="1:30">
      <c r="A167" s="1">
        <f t="shared" si="61"/>
        <v>12</v>
      </c>
      <c r="B167" s="1">
        <f t="shared" si="62"/>
        <v>144</v>
      </c>
      <c r="C167" s="2">
        <f t="shared" si="67"/>
        <v>11</v>
      </c>
      <c r="D167" s="2">
        <f t="shared" si="68"/>
        <v>12</v>
      </c>
      <c r="E167" s="2">
        <f t="shared" si="69"/>
        <v>40</v>
      </c>
      <c r="F167" s="1">
        <f t="shared" si="63"/>
        <v>280171.50565761607</v>
      </c>
      <c r="H167" s="1">
        <f t="shared" si="56"/>
        <v>2234.126930291236</v>
      </c>
      <c r="I167" s="1">
        <v>0</v>
      </c>
      <c r="J167" s="69">
        <f>-SUM(F167:H167)*$J$21*1.16</f>
        <v>-2948.3148042177527</v>
      </c>
      <c r="K167" s="1">
        <f t="shared" si="64"/>
        <v>-324.17048862907984</v>
      </c>
      <c r="L167" s="1">
        <f t="shared" si="57"/>
        <v>279133.14729506045</v>
      </c>
      <c r="N167" s="1">
        <f t="shared" si="65"/>
        <v>144</v>
      </c>
      <c r="O167" s="2">
        <f t="shared" si="70"/>
        <v>11</v>
      </c>
      <c r="P167" s="2">
        <f t="shared" si="71"/>
        <v>12</v>
      </c>
      <c r="Q167" s="2">
        <f t="shared" si="72"/>
        <v>11</v>
      </c>
      <c r="R167" s="1">
        <f t="shared" si="66"/>
        <v>1952596.8099832982</v>
      </c>
      <c r="S167" s="4">
        <f>IF($G$4="mensual",S166,0)</f>
        <v>10000</v>
      </c>
      <c r="U167" s="1">
        <f t="shared" si="73"/>
        <v>15650.022568125378</v>
      </c>
      <c r="V167" s="35">
        <f t="shared" si="55"/>
        <v>-136.07542294580236</v>
      </c>
      <c r="X167" s="35">
        <f t="shared" si="54"/>
        <v>-2294.6084782690341</v>
      </c>
      <c r="Y167" s="1">
        <f t="shared" si="58"/>
        <v>1975816.1486502085</v>
      </c>
      <c r="AA167" s="2">
        <f>+Bono!J167</f>
        <v>185454.2827082162</v>
      </c>
      <c r="AC167" s="10">
        <f t="shared" si="59"/>
        <v>12</v>
      </c>
      <c r="AD167" s="1">
        <f t="shared" si="60"/>
        <v>2440403.578653485</v>
      </c>
    </row>
    <row r="168" spans="1:30">
      <c r="A168" s="1">
        <f t="shared" si="61"/>
        <v>12.083333333333334</v>
      </c>
      <c r="B168" s="1">
        <f t="shared" si="62"/>
        <v>145</v>
      </c>
      <c r="C168" s="2">
        <f t="shared" si="67"/>
        <v>12</v>
      </c>
      <c r="D168" s="2">
        <f t="shared" si="68"/>
        <v>1</v>
      </c>
      <c r="E168" s="2">
        <f t="shared" si="69"/>
        <v>41</v>
      </c>
      <c r="F168" s="1">
        <f t="shared" si="63"/>
        <v>279133.14729506045</v>
      </c>
      <c r="H168" s="1">
        <f t="shared" si="56"/>
        <v>2225.8469148926911</v>
      </c>
      <c r="I168" s="1">
        <v>0</v>
      </c>
      <c r="J168" s="1">
        <v>0</v>
      </c>
      <c r="K168" s="1">
        <f t="shared" si="64"/>
        <v>-326.37643328354557</v>
      </c>
      <c r="L168" s="1">
        <f t="shared" si="57"/>
        <v>281032.61777666956</v>
      </c>
      <c r="N168" s="1">
        <f t="shared" si="65"/>
        <v>145</v>
      </c>
      <c r="O168" s="2">
        <f t="shared" si="70"/>
        <v>12</v>
      </c>
      <c r="P168" s="2">
        <f t="shared" si="71"/>
        <v>1</v>
      </c>
      <c r="Q168" s="2">
        <f t="shared" si="72"/>
        <v>12</v>
      </c>
      <c r="R168" s="1">
        <f t="shared" si="66"/>
        <v>1975816.1486502085</v>
      </c>
      <c r="S168" s="1">
        <f>IF($G$17="si",S156*(1+$G$20),S156)</f>
        <v>10000</v>
      </c>
      <c r="U168" s="1">
        <f t="shared" si="73"/>
        <v>15835.176835321596</v>
      </c>
      <c r="V168" s="35">
        <f>V167*(1+$G$18)</f>
        <v>-141.51843986363446</v>
      </c>
      <c r="X168" s="35">
        <f t="shared" si="54"/>
        <v>-2321.7513761729729</v>
      </c>
      <c r="Y168" s="1">
        <f t="shared" si="58"/>
        <v>1999188.0556694935</v>
      </c>
      <c r="AA168" s="2">
        <f>+Bono!J168</f>
        <v>186604.12077237249</v>
      </c>
      <c r="AC168" s="10">
        <f t="shared" si="59"/>
        <v>12.083333333333334</v>
      </c>
      <c r="AD168" s="1">
        <f t="shared" si="60"/>
        <v>2466824.7942185355</v>
      </c>
    </row>
    <row r="169" spans="1:30">
      <c r="A169" s="1">
        <f t="shared" si="61"/>
        <v>12.166666666666666</v>
      </c>
      <c r="B169" s="1">
        <f t="shared" si="62"/>
        <v>146</v>
      </c>
      <c r="C169" s="2">
        <f t="shared" si="67"/>
        <v>12</v>
      </c>
      <c r="D169" s="2">
        <f t="shared" si="68"/>
        <v>2</v>
      </c>
      <c r="E169" s="2">
        <f t="shared" si="69"/>
        <v>41</v>
      </c>
      <c r="F169" s="1">
        <f t="shared" si="63"/>
        <v>281032.61777666956</v>
      </c>
      <c r="H169" s="1">
        <f t="shared" si="56"/>
        <v>2240.9935592535994</v>
      </c>
      <c r="I169" s="1">
        <v>0</v>
      </c>
      <c r="J169" s="1">
        <v>0</v>
      </c>
      <c r="K169" s="1">
        <f t="shared" si="64"/>
        <v>-328.59738914967079</v>
      </c>
      <c r="L169" s="1">
        <f t="shared" si="57"/>
        <v>282945.01394677348</v>
      </c>
      <c r="N169" s="1">
        <f t="shared" si="65"/>
        <v>146</v>
      </c>
      <c r="O169" s="2">
        <f t="shared" si="70"/>
        <v>12</v>
      </c>
      <c r="P169" s="2">
        <f t="shared" si="71"/>
        <v>2</v>
      </c>
      <c r="Q169" s="2">
        <f t="shared" si="72"/>
        <v>12</v>
      </c>
      <c r="R169" s="1">
        <f t="shared" si="66"/>
        <v>1999188.0556694935</v>
      </c>
      <c r="S169" s="4">
        <f>IF($G$4="mensual",S168,0)</f>
        <v>10000</v>
      </c>
      <c r="U169" s="1">
        <f t="shared" si="73"/>
        <v>16021.547703984656</v>
      </c>
      <c r="V169" s="35">
        <f t="shared" si="55"/>
        <v>-141.51843986363446</v>
      </c>
      <c r="X169" s="35">
        <f t="shared" si="54"/>
        <v>-2349.0789785229931</v>
      </c>
      <c r="Y169" s="1">
        <f t="shared" si="58"/>
        <v>2022719.0059550917</v>
      </c>
      <c r="AA169" s="2">
        <f>+Bono!J169</f>
        <v>187761.08796589953</v>
      </c>
      <c r="AC169" s="10">
        <f t="shared" si="59"/>
        <v>12.166666666666666</v>
      </c>
      <c r="AD169" s="1">
        <f t="shared" si="60"/>
        <v>2493425.1078677648</v>
      </c>
    </row>
    <row r="170" spans="1:30">
      <c r="A170" s="1">
        <f t="shared" si="61"/>
        <v>12.25</v>
      </c>
      <c r="B170" s="1">
        <f t="shared" si="62"/>
        <v>147</v>
      </c>
      <c r="C170" s="2">
        <f t="shared" si="67"/>
        <v>12</v>
      </c>
      <c r="D170" s="2">
        <f t="shared" si="68"/>
        <v>3</v>
      </c>
      <c r="E170" s="2">
        <f t="shared" si="69"/>
        <v>41</v>
      </c>
      <c r="F170" s="1">
        <f t="shared" si="63"/>
        <v>282945.01394677348</v>
      </c>
      <c r="H170" s="1">
        <f t="shared" si="56"/>
        <v>2256.2432748697061</v>
      </c>
      <c r="I170" s="1">
        <v>0</v>
      </c>
      <c r="J170" s="69">
        <f>-SUM(F170:H170)*$J$21*1.16</f>
        <v>-2977.5011253939551</v>
      </c>
      <c r="K170" s="1">
        <f t="shared" si="64"/>
        <v>-327.37955707164912</v>
      </c>
      <c r="L170" s="1">
        <f t="shared" si="57"/>
        <v>281896.37653917755</v>
      </c>
      <c r="N170" s="1">
        <f t="shared" si="65"/>
        <v>147</v>
      </c>
      <c r="O170" s="2">
        <f t="shared" si="70"/>
        <v>12</v>
      </c>
      <c r="P170" s="2">
        <f t="shared" si="71"/>
        <v>3</v>
      </c>
      <c r="Q170" s="2">
        <f t="shared" si="72"/>
        <v>12</v>
      </c>
      <c r="R170" s="1">
        <f t="shared" si="66"/>
        <v>2022719.0059550917</v>
      </c>
      <c r="S170" s="4">
        <f>IF($G$4="mensual",S169,0)</f>
        <v>10000</v>
      </c>
      <c r="U170" s="1">
        <f t="shared" si="73"/>
        <v>16209.186805987569</v>
      </c>
      <c r="V170" s="35">
        <f t="shared" si="55"/>
        <v>-141.51843986363446</v>
      </c>
      <c r="X170" s="35">
        <f t="shared" si="54"/>
        <v>-2376.5925422126102</v>
      </c>
      <c r="Y170" s="1">
        <f t="shared" si="58"/>
        <v>2046410.0817790029</v>
      </c>
      <c r="AA170" s="2">
        <f>+Bono!J170</f>
        <v>187223.19940472874</v>
      </c>
      <c r="AC170" s="10">
        <f t="shared" si="59"/>
        <v>12.25</v>
      </c>
      <c r="AD170" s="1">
        <f t="shared" si="60"/>
        <v>2515529.6577229095</v>
      </c>
    </row>
    <row r="171" spans="1:30">
      <c r="A171" s="1">
        <f t="shared" si="61"/>
        <v>12.333333333333334</v>
      </c>
      <c r="B171" s="1">
        <f t="shared" si="62"/>
        <v>148</v>
      </c>
      <c r="C171" s="2">
        <f t="shared" si="67"/>
        <v>12</v>
      </c>
      <c r="D171" s="2">
        <f t="shared" si="68"/>
        <v>4</v>
      </c>
      <c r="E171" s="2">
        <f t="shared" si="69"/>
        <v>41</v>
      </c>
      <c r="F171" s="1">
        <f t="shared" si="63"/>
        <v>281896.37653917755</v>
      </c>
      <c r="H171" s="1">
        <f t="shared" si="56"/>
        <v>2247.8812929225342</v>
      </c>
      <c r="I171" s="1">
        <v>0</v>
      </c>
      <c r="J171" s="1">
        <v>0</v>
      </c>
      <c r="K171" s="1">
        <f t="shared" si="64"/>
        <v>-329.60733908523611</v>
      </c>
      <c r="L171" s="1">
        <f t="shared" si="57"/>
        <v>283814.65049301484</v>
      </c>
      <c r="N171" s="1">
        <f t="shared" si="65"/>
        <v>148</v>
      </c>
      <c r="O171" s="2">
        <f t="shared" si="70"/>
        <v>12</v>
      </c>
      <c r="P171" s="2">
        <f t="shared" si="71"/>
        <v>4</v>
      </c>
      <c r="Q171" s="2">
        <f t="shared" si="72"/>
        <v>12</v>
      </c>
      <c r="R171" s="1">
        <f t="shared" si="66"/>
        <v>2046410.0817790029</v>
      </c>
      <c r="S171" s="4">
        <f>IF($G$4="mensual",S168,IF($G$4="trimestral",S168,0))</f>
        <v>10000</v>
      </c>
      <c r="U171" s="1">
        <f t="shared" si="73"/>
        <v>16398.102771519243</v>
      </c>
      <c r="V171" s="35">
        <f t="shared" si="55"/>
        <v>-141.51843986363446</v>
      </c>
      <c r="X171" s="35">
        <f t="shared" ref="X171:X234" si="74">-SUM(R171:V171)*0.1%*1.16</f>
        <v>-2404.293332688364</v>
      </c>
      <c r="Y171" s="1">
        <f t="shared" si="58"/>
        <v>2070262.3727779703</v>
      </c>
      <c r="AA171" s="2">
        <f>+Bono!J171</f>
        <v>188384.00495758504</v>
      </c>
      <c r="AC171" s="10">
        <f t="shared" si="59"/>
        <v>12.333333333333334</v>
      </c>
      <c r="AD171" s="1">
        <f t="shared" si="60"/>
        <v>2542461.0282285698</v>
      </c>
    </row>
    <row r="172" spans="1:30">
      <c r="A172" s="1">
        <f t="shared" si="61"/>
        <v>12.416666666666666</v>
      </c>
      <c r="B172" s="1">
        <f t="shared" si="62"/>
        <v>149</v>
      </c>
      <c r="C172" s="2">
        <f t="shared" si="67"/>
        <v>12</v>
      </c>
      <c r="D172" s="2">
        <f t="shared" si="68"/>
        <v>5</v>
      </c>
      <c r="E172" s="2">
        <f t="shared" si="69"/>
        <v>41</v>
      </c>
      <c r="F172" s="1">
        <f t="shared" si="63"/>
        <v>283814.65049301484</v>
      </c>
      <c r="H172" s="1">
        <f t="shared" si="56"/>
        <v>2263.1778788115412</v>
      </c>
      <c r="I172" s="1">
        <v>0</v>
      </c>
      <c r="J172" s="1">
        <v>0</v>
      </c>
      <c r="K172" s="1">
        <f t="shared" si="64"/>
        <v>-331.85028091131858</v>
      </c>
      <c r="L172" s="1">
        <f t="shared" si="57"/>
        <v>285745.97809091507</v>
      </c>
      <c r="N172" s="1">
        <f t="shared" si="65"/>
        <v>149</v>
      </c>
      <c r="O172" s="2">
        <f t="shared" si="70"/>
        <v>12</v>
      </c>
      <c r="P172" s="2">
        <f t="shared" si="71"/>
        <v>5</v>
      </c>
      <c r="Q172" s="2">
        <f t="shared" si="72"/>
        <v>12</v>
      </c>
      <c r="R172" s="1">
        <f t="shared" si="66"/>
        <v>2070262.3727779703</v>
      </c>
      <c r="S172" s="4">
        <f>IF($G$4="mensual",S171,0)</f>
        <v>10000</v>
      </c>
      <c r="U172" s="1">
        <f t="shared" si="73"/>
        <v>16588.304289496085</v>
      </c>
      <c r="V172" s="35">
        <f t="shared" si="55"/>
        <v>-141.51843986363446</v>
      </c>
      <c r="X172" s="35">
        <f t="shared" si="74"/>
        <v>-2432.182624008019</v>
      </c>
      <c r="Y172" s="1">
        <f t="shared" si="58"/>
        <v>2094276.9760035947</v>
      </c>
      <c r="AA172" s="2">
        <f>+Bono!J172</f>
        <v>189552.00763951417</v>
      </c>
      <c r="AC172" s="10">
        <f t="shared" si="59"/>
        <v>12.416666666666666</v>
      </c>
      <c r="AD172" s="1">
        <f t="shared" si="60"/>
        <v>2569574.9617340239</v>
      </c>
    </row>
    <row r="173" spans="1:30">
      <c r="A173" s="1">
        <f t="shared" si="61"/>
        <v>12.5</v>
      </c>
      <c r="B173" s="1">
        <f t="shared" si="62"/>
        <v>150</v>
      </c>
      <c r="C173" s="2">
        <f t="shared" si="67"/>
        <v>12</v>
      </c>
      <c r="D173" s="2">
        <f t="shared" si="68"/>
        <v>6</v>
      </c>
      <c r="E173" s="2">
        <f t="shared" si="69"/>
        <v>41</v>
      </c>
      <c r="F173" s="1">
        <f t="shared" si="63"/>
        <v>285745.97809091507</v>
      </c>
      <c r="H173" s="1">
        <f t="shared" si="56"/>
        <v>2278.5785562914152</v>
      </c>
      <c r="I173" s="1">
        <v>0</v>
      </c>
      <c r="J173" s="69">
        <f>-SUM(F173:H173)*$J$21*1.16</f>
        <v>-3006.9763713968359</v>
      </c>
      <c r="K173" s="1">
        <f t="shared" si="64"/>
        <v>-330.62039311993914</v>
      </c>
      <c r="L173" s="1">
        <f t="shared" si="57"/>
        <v>284686.9598826897</v>
      </c>
      <c r="N173" s="1">
        <f t="shared" si="65"/>
        <v>150</v>
      </c>
      <c r="O173" s="2">
        <f t="shared" si="70"/>
        <v>12</v>
      </c>
      <c r="P173" s="2">
        <f t="shared" si="71"/>
        <v>6</v>
      </c>
      <c r="Q173" s="2">
        <f t="shared" si="72"/>
        <v>12</v>
      </c>
      <c r="R173" s="1">
        <f t="shared" si="66"/>
        <v>2094276.9760035947</v>
      </c>
      <c r="S173" s="4">
        <f>IF($G$4="mensual",S172,0)</f>
        <v>10000</v>
      </c>
      <c r="U173" s="1">
        <f t="shared" si="73"/>
        <v>16779.800107961622</v>
      </c>
      <c r="V173" s="35">
        <f t="shared" si="55"/>
        <v>-141.51843986363446</v>
      </c>
      <c r="X173" s="35">
        <f t="shared" si="74"/>
        <v>-2460.2616988991631</v>
      </c>
      <c r="Y173" s="1">
        <f t="shared" si="58"/>
        <v>2118454.9959727931</v>
      </c>
      <c r="AA173" s="2">
        <f>+Bono!J173</f>
        <v>189008.98854135702</v>
      </c>
      <c r="AC173" s="10">
        <f t="shared" si="59"/>
        <v>12.5</v>
      </c>
      <c r="AD173" s="1">
        <f t="shared" si="60"/>
        <v>2592150.9443968399</v>
      </c>
    </row>
    <row r="174" spans="1:30">
      <c r="A174" s="1">
        <f t="shared" si="61"/>
        <v>12.583333333333334</v>
      </c>
      <c r="B174" s="1">
        <f t="shared" si="62"/>
        <v>151</v>
      </c>
      <c r="C174" s="2">
        <f t="shared" si="67"/>
        <v>12</v>
      </c>
      <c r="D174" s="2">
        <f t="shared" si="68"/>
        <v>7</v>
      </c>
      <c r="E174" s="2">
        <f t="shared" si="69"/>
        <v>41</v>
      </c>
      <c r="F174" s="1">
        <f t="shared" si="63"/>
        <v>284686.9598826897</v>
      </c>
      <c r="H174" s="1">
        <f t="shared" si="56"/>
        <v>2270.1337963822598</v>
      </c>
      <c r="I174" s="1">
        <v>0</v>
      </c>
      <c r="J174" s="1">
        <v>0</v>
      </c>
      <c r="K174" s="1">
        <f t="shared" si="64"/>
        <v>-332.8702286677235</v>
      </c>
      <c r="L174" s="1">
        <f t="shared" si="57"/>
        <v>286624.22345040424</v>
      </c>
      <c r="N174" s="1">
        <f t="shared" si="65"/>
        <v>151</v>
      </c>
      <c r="O174" s="2">
        <f t="shared" si="70"/>
        <v>12</v>
      </c>
      <c r="P174" s="2">
        <f t="shared" si="71"/>
        <v>7</v>
      </c>
      <c r="Q174" s="2">
        <f t="shared" si="72"/>
        <v>12</v>
      </c>
      <c r="R174" s="1">
        <f t="shared" si="66"/>
        <v>2118454.9959727931</v>
      </c>
      <c r="S174" s="1">
        <f>+IF($G$4="mensual",S168,IF($G$4="trimestral",S168,IF($G$4="semestral",S168,0)))</f>
        <v>10000</v>
      </c>
      <c r="U174" s="1">
        <f t="shared" si="73"/>
        <v>16972.599034488849</v>
      </c>
      <c r="V174" s="35">
        <f t="shared" si="55"/>
        <v>-141.51843986363446</v>
      </c>
      <c r="X174" s="35">
        <f t="shared" si="74"/>
        <v>-2488.5318488182047</v>
      </c>
      <c r="Y174" s="1">
        <f t="shared" si="58"/>
        <v>2142797.5447185999</v>
      </c>
      <c r="AA174" s="2">
        <f>+Bono!J174</f>
        <v>190180.86619399913</v>
      </c>
      <c r="AC174" s="10">
        <f t="shared" si="59"/>
        <v>12.583333333333334</v>
      </c>
      <c r="AD174" s="1">
        <f t="shared" si="60"/>
        <v>2619602.6343630031</v>
      </c>
    </row>
    <row r="175" spans="1:30">
      <c r="A175" s="1">
        <f t="shared" si="61"/>
        <v>12.666666666666666</v>
      </c>
      <c r="B175" s="1">
        <f t="shared" si="62"/>
        <v>152</v>
      </c>
      <c r="C175" s="2">
        <f t="shared" si="67"/>
        <v>12</v>
      </c>
      <c r="D175" s="2">
        <f t="shared" si="68"/>
        <v>8</v>
      </c>
      <c r="E175" s="2">
        <f t="shared" si="69"/>
        <v>41</v>
      </c>
      <c r="F175" s="1">
        <f t="shared" si="63"/>
        <v>286624.22345040424</v>
      </c>
      <c r="H175" s="1">
        <f t="shared" si="56"/>
        <v>2285.581808119015</v>
      </c>
      <c r="I175" s="1">
        <v>0</v>
      </c>
      <c r="J175" s="1">
        <v>0</v>
      </c>
      <c r="K175" s="1">
        <f t="shared" si="64"/>
        <v>-335.13537409988697</v>
      </c>
      <c r="L175" s="1">
        <f t="shared" si="57"/>
        <v>288574.66988442338</v>
      </c>
      <c r="N175" s="1">
        <f t="shared" si="65"/>
        <v>152</v>
      </c>
      <c r="O175" s="2">
        <f t="shared" si="70"/>
        <v>12</v>
      </c>
      <c r="P175" s="2">
        <f t="shared" si="71"/>
        <v>8</v>
      </c>
      <c r="Q175" s="2">
        <f t="shared" si="72"/>
        <v>12</v>
      </c>
      <c r="R175" s="1">
        <f t="shared" si="66"/>
        <v>2142797.5447185999</v>
      </c>
      <c r="S175" s="4">
        <f>IF($G$4="mensual",S174,0)</f>
        <v>10000</v>
      </c>
      <c r="U175" s="1">
        <f t="shared" si="73"/>
        <v>17166.709936585346</v>
      </c>
      <c r="V175" s="35">
        <f t="shared" si="55"/>
        <v>-141.51843986363446</v>
      </c>
      <c r="X175" s="35">
        <f t="shared" si="74"/>
        <v>-2516.9943740097729</v>
      </c>
      <c r="Y175" s="1">
        <f t="shared" si="58"/>
        <v>2167305.7418413116</v>
      </c>
      <c r="AA175" s="2">
        <f>+Bono!J175</f>
        <v>191360.00962401702</v>
      </c>
      <c r="AC175" s="10">
        <f t="shared" si="59"/>
        <v>12.666666666666666</v>
      </c>
      <c r="AD175" s="1">
        <f t="shared" si="60"/>
        <v>2647240.4213497518</v>
      </c>
    </row>
    <row r="176" spans="1:30">
      <c r="A176" s="1">
        <f t="shared" si="61"/>
        <v>12.75</v>
      </c>
      <c r="B176" s="1">
        <f t="shared" si="62"/>
        <v>153</v>
      </c>
      <c r="C176" s="2">
        <f t="shared" si="67"/>
        <v>12</v>
      </c>
      <c r="D176" s="2">
        <f t="shared" si="68"/>
        <v>9</v>
      </c>
      <c r="E176" s="2">
        <f t="shared" si="69"/>
        <v>41</v>
      </c>
      <c r="F176" s="1">
        <f t="shared" si="63"/>
        <v>288574.66988442338</v>
      </c>
      <c r="H176" s="1">
        <f t="shared" si="56"/>
        <v>2301.1349418829382</v>
      </c>
      <c r="I176" s="1">
        <v>0</v>
      </c>
      <c r="J176" s="69">
        <f>-SUM(F176:H176)*$J$21*1.16</f>
        <v>-3036.7434023866381</v>
      </c>
      <c r="K176" s="1">
        <f t="shared" si="64"/>
        <v>-333.89331125174675</v>
      </c>
      <c r="L176" s="1">
        <f t="shared" si="57"/>
        <v>287505.16811266786</v>
      </c>
      <c r="N176" s="1">
        <f t="shared" si="65"/>
        <v>153</v>
      </c>
      <c r="O176" s="2">
        <f t="shared" si="70"/>
        <v>12</v>
      </c>
      <c r="P176" s="2">
        <f t="shared" si="71"/>
        <v>9</v>
      </c>
      <c r="Q176" s="2">
        <f t="shared" si="72"/>
        <v>12</v>
      </c>
      <c r="R176" s="1">
        <f t="shared" si="66"/>
        <v>2167305.7418413116</v>
      </c>
      <c r="S176" s="4">
        <f>IF($G$4="mensual",S175,0)</f>
        <v>10000</v>
      </c>
      <c r="U176" s="1">
        <f t="shared" si="73"/>
        <v>17362.141742101107</v>
      </c>
      <c r="V176" s="35">
        <f t="shared" si="55"/>
        <v>-141.51843986363446</v>
      </c>
      <c r="X176" s="35">
        <f t="shared" si="74"/>
        <v>-2545.6505835665166</v>
      </c>
      <c r="Y176" s="1">
        <f t="shared" si="58"/>
        <v>2191980.7145599821</v>
      </c>
      <c r="AA176" s="2">
        <f>+Bono!J176</f>
        <v>190811.81105232477</v>
      </c>
      <c r="AC176" s="10">
        <f t="shared" si="59"/>
        <v>12.75</v>
      </c>
      <c r="AD176" s="1">
        <f t="shared" si="60"/>
        <v>2670297.6937249745</v>
      </c>
    </row>
    <row r="177" spans="1:30">
      <c r="A177" s="1">
        <f t="shared" si="61"/>
        <v>12.833333333333334</v>
      </c>
      <c r="B177" s="1">
        <f t="shared" si="62"/>
        <v>154</v>
      </c>
      <c r="C177" s="2">
        <f t="shared" si="67"/>
        <v>12</v>
      </c>
      <c r="D177" s="2">
        <f t="shared" si="68"/>
        <v>10</v>
      </c>
      <c r="E177" s="2">
        <f t="shared" si="69"/>
        <v>41</v>
      </c>
      <c r="F177" s="1">
        <f t="shared" si="63"/>
        <v>287505.16811266786</v>
      </c>
      <c r="H177" s="1">
        <f t="shared" si="56"/>
        <v>2292.6065845659982</v>
      </c>
      <c r="I177" s="1">
        <v>0</v>
      </c>
      <c r="J177" s="1">
        <v>0</v>
      </c>
      <c r="K177" s="1">
        <f t="shared" si="64"/>
        <v>-336.16541864879127</v>
      </c>
      <c r="L177" s="1">
        <f t="shared" si="57"/>
        <v>289461.60927858506</v>
      </c>
      <c r="N177" s="1">
        <f t="shared" si="65"/>
        <v>154</v>
      </c>
      <c r="O177" s="2">
        <f t="shared" si="70"/>
        <v>12</v>
      </c>
      <c r="P177" s="2">
        <f t="shared" si="71"/>
        <v>10</v>
      </c>
      <c r="Q177" s="2">
        <f t="shared" si="72"/>
        <v>12</v>
      </c>
      <c r="R177" s="1">
        <f t="shared" si="66"/>
        <v>2191980.7145599821</v>
      </c>
      <c r="S177" s="4">
        <f>IF($G$4="mensual",S168,IF($G$4="trimestral",S168,0))</f>
        <v>10000</v>
      </c>
      <c r="U177" s="1">
        <f t="shared" si="73"/>
        <v>17558.903439639154</v>
      </c>
      <c r="V177" s="35">
        <f t="shared" si="55"/>
        <v>-141.51843986363446</v>
      </c>
      <c r="X177" s="35">
        <f t="shared" si="74"/>
        <v>-2574.5017954893187</v>
      </c>
      <c r="Y177" s="1">
        <f t="shared" si="58"/>
        <v>2216823.5977642681</v>
      </c>
      <c r="AA177" s="2">
        <f>+Bono!J177</f>
        <v>191994.86641364935</v>
      </c>
      <c r="AC177" s="10">
        <f t="shared" si="59"/>
        <v>12.833333333333334</v>
      </c>
      <c r="AD177" s="1">
        <f t="shared" si="60"/>
        <v>2698280.0734565025</v>
      </c>
    </row>
    <row r="178" spans="1:30">
      <c r="A178" s="1">
        <f t="shared" si="61"/>
        <v>12.916666666666666</v>
      </c>
      <c r="B178" s="1">
        <f t="shared" si="62"/>
        <v>155</v>
      </c>
      <c r="C178" s="2">
        <f t="shared" si="67"/>
        <v>12</v>
      </c>
      <c r="D178" s="2">
        <f t="shared" si="68"/>
        <v>11</v>
      </c>
      <c r="E178" s="2">
        <f t="shared" si="69"/>
        <v>41</v>
      </c>
      <c r="F178" s="1">
        <f t="shared" si="63"/>
        <v>289461.60927858506</v>
      </c>
      <c r="H178" s="1">
        <f t="shared" si="56"/>
        <v>2308.2075211639103</v>
      </c>
      <c r="I178" s="1">
        <v>0</v>
      </c>
      <c r="J178" s="1">
        <v>0</v>
      </c>
      <c r="K178" s="1">
        <f t="shared" si="64"/>
        <v>-338.45298748770881</v>
      </c>
      <c r="L178" s="1">
        <f t="shared" si="57"/>
        <v>291431.36381226126</v>
      </c>
      <c r="N178" s="1">
        <f t="shared" si="65"/>
        <v>155</v>
      </c>
      <c r="O178" s="2">
        <f t="shared" si="70"/>
        <v>12</v>
      </c>
      <c r="P178" s="2">
        <f t="shared" si="71"/>
        <v>11</v>
      </c>
      <c r="Q178" s="2">
        <f t="shared" si="72"/>
        <v>12</v>
      </c>
      <c r="R178" s="1">
        <f t="shared" si="66"/>
        <v>2216823.5977642681</v>
      </c>
      <c r="S178" s="1">
        <f>IF($G$17="si",S166*(1+$G$20),S166)</f>
        <v>10000</v>
      </c>
      <c r="U178" s="1">
        <f t="shared" si="73"/>
        <v>17757.004078968985</v>
      </c>
      <c r="V178" s="35">
        <f t="shared" si="55"/>
        <v>-141.51843986363446</v>
      </c>
      <c r="X178" s="35">
        <f t="shared" si="74"/>
        <v>-2603.549336747913</v>
      </c>
      <c r="Y178" s="1">
        <f t="shared" si="58"/>
        <v>2241835.5340666254</v>
      </c>
      <c r="AA178" s="2">
        <f>+Bono!J178</f>
        <v>193185.25685544006</v>
      </c>
      <c r="AC178" s="10">
        <f t="shared" si="59"/>
        <v>12.916666666666666</v>
      </c>
      <c r="AD178" s="1">
        <f t="shared" si="60"/>
        <v>2726452.1547343265</v>
      </c>
    </row>
    <row r="179" spans="1:30">
      <c r="A179" s="1">
        <f t="shared" si="61"/>
        <v>13</v>
      </c>
      <c r="B179" s="1">
        <f t="shared" si="62"/>
        <v>156</v>
      </c>
      <c r="C179" s="2">
        <f t="shared" si="67"/>
        <v>12</v>
      </c>
      <c r="D179" s="2">
        <f t="shared" si="68"/>
        <v>12</v>
      </c>
      <c r="E179" s="2">
        <f t="shared" si="69"/>
        <v>41</v>
      </c>
      <c r="F179" s="1">
        <f t="shared" si="63"/>
        <v>291431.36381226126</v>
      </c>
      <c r="H179" s="1">
        <f t="shared" si="56"/>
        <v>2323.9146204259141</v>
      </c>
      <c r="I179" s="1">
        <v>0</v>
      </c>
      <c r="J179" s="69">
        <f>-SUM(F179:H179)*$J$21*1.16</f>
        <v>-3066.8051068372542</v>
      </c>
      <c r="K179" s="1">
        <f t="shared" si="64"/>
        <v>-337.1986290579859</v>
      </c>
      <c r="L179" s="1">
        <f t="shared" si="57"/>
        <v>290351.27469679195</v>
      </c>
      <c r="N179" s="1">
        <f t="shared" si="65"/>
        <v>156</v>
      </c>
      <c r="O179" s="2">
        <f t="shared" si="70"/>
        <v>12</v>
      </c>
      <c r="P179" s="2">
        <f t="shared" si="71"/>
        <v>12</v>
      </c>
      <c r="Q179" s="2">
        <f t="shared" si="72"/>
        <v>12</v>
      </c>
      <c r="R179" s="1">
        <f t="shared" si="66"/>
        <v>2241835.5340666254</v>
      </c>
      <c r="S179" s="4">
        <f>IF($G$4="mensual",S178,0)</f>
        <v>10000</v>
      </c>
      <c r="U179" s="1">
        <f t="shared" si="73"/>
        <v>17956.452771442779</v>
      </c>
      <c r="V179" s="35">
        <f t="shared" si="55"/>
        <v>-141.51843986363446</v>
      </c>
      <c r="X179" s="35">
        <f t="shared" si="74"/>
        <v>-2632.7945433419172</v>
      </c>
      <c r="Y179" s="1">
        <f t="shared" si="58"/>
        <v>2267017.6738548628</v>
      </c>
      <c r="AA179" s="2">
        <f>+Bono!J179</f>
        <v>192631.82940689308</v>
      </c>
      <c r="AC179" s="10">
        <f t="shared" si="59"/>
        <v>13</v>
      </c>
      <c r="AD179" s="1">
        <f t="shared" si="60"/>
        <v>2750000.7779585477</v>
      </c>
    </row>
    <row r="180" spans="1:30">
      <c r="A180" s="1">
        <f t="shared" si="61"/>
        <v>13.083333333333334</v>
      </c>
      <c r="B180" s="1">
        <f t="shared" si="62"/>
        <v>157</v>
      </c>
      <c r="C180" s="2">
        <f t="shared" si="67"/>
        <v>13</v>
      </c>
      <c r="D180" s="2">
        <f t="shared" si="68"/>
        <v>1</v>
      </c>
      <c r="E180" s="2">
        <f t="shared" si="69"/>
        <v>42</v>
      </c>
      <c r="F180" s="1">
        <f t="shared" si="63"/>
        <v>290351.27469679195</v>
      </c>
      <c r="H180" s="1">
        <f t="shared" si="56"/>
        <v>2315.3018381434313</v>
      </c>
      <c r="I180" s="1">
        <v>0</v>
      </c>
      <c r="J180" s="1">
        <v>0</v>
      </c>
      <c r="K180" s="1">
        <f t="shared" si="64"/>
        <v>-339.49322878052504</v>
      </c>
      <c r="L180" s="1">
        <f t="shared" si="57"/>
        <v>292327.08330615488</v>
      </c>
      <c r="N180" s="1">
        <f t="shared" si="65"/>
        <v>157</v>
      </c>
      <c r="O180" s="2">
        <f t="shared" si="70"/>
        <v>13</v>
      </c>
      <c r="P180" s="2">
        <f t="shared" si="71"/>
        <v>1</v>
      </c>
      <c r="Q180" s="2">
        <f t="shared" si="72"/>
        <v>13</v>
      </c>
      <c r="R180" s="1">
        <f t="shared" si="66"/>
        <v>2267017.6738548628</v>
      </c>
      <c r="S180" s="1">
        <f>IF($G$17="si",S168*(1+$G$20),S168)</f>
        <v>10000</v>
      </c>
      <c r="U180" s="1">
        <f t="shared" si="73"/>
        <v>18157.258690414466</v>
      </c>
      <c r="V180" s="35">
        <f>V179*(1+$G$18)</f>
        <v>-147.17917745817985</v>
      </c>
      <c r="X180" s="35">
        <f t="shared" si="74"/>
        <v>-2662.2321939066701</v>
      </c>
      <c r="Y180" s="1">
        <f t="shared" si="58"/>
        <v>2292365.5211739121</v>
      </c>
      <c r="AA180" s="2">
        <f>+Bono!J180</f>
        <v>193826.16909312506</v>
      </c>
      <c r="AC180" s="10">
        <f t="shared" si="59"/>
        <v>13.083333333333334</v>
      </c>
      <c r="AD180" s="1">
        <f t="shared" si="60"/>
        <v>2778518.7735731918</v>
      </c>
    </row>
    <row r="181" spans="1:30">
      <c r="A181" s="1">
        <f t="shared" si="61"/>
        <v>13.166666666666666</v>
      </c>
      <c r="B181" s="1">
        <f t="shared" si="62"/>
        <v>158</v>
      </c>
      <c r="C181" s="2">
        <f t="shared" si="67"/>
        <v>13</v>
      </c>
      <c r="D181" s="2">
        <f t="shared" si="68"/>
        <v>2</v>
      </c>
      <c r="E181" s="2">
        <f t="shared" si="69"/>
        <v>42</v>
      </c>
      <c r="F181" s="1">
        <f t="shared" si="63"/>
        <v>292327.08330615488</v>
      </c>
      <c r="H181" s="1">
        <f t="shared" si="56"/>
        <v>2331.0572134551285</v>
      </c>
      <c r="I181" s="1">
        <v>0</v>
      </c>
      <c r="J181" s="1">
        <v>0</v>
      </c>
      <c r="K181" s="1">
        <f t="shared" si="64"/>
        <v>-341.8034430027476</v>
      </c>
      <c r="L181" s="1">
        <f t="shared" si="57"/>
        <v>294316.33707660728</v>
      </c>
      <c r="N181" s="1">
        <f t="shared" si="65"/>
        <v>158</v>
      </c>
      <c r="O181" s="2">
        <f t="shared" si="70"/>
        <v>13</v>
      </c>
      <c r="P181" s="2">
        <f t="shared" si="71"/>
        <v>2</v>
      </c>
      <c r="Q181" s="2">
        <f t="shared" si="72"/>
        <v>13</v>
      </c>
      <c r="R181" s="1">
        <f t="shared" si="66"/>
        <v>2292365.5211739121</v>
      </c>
      <c r="S181" s="4">
        <f>IF($G$4="mensual",S180,0)</f>
        <v>10000</v>
      </c>
      <c r="U181" s="1">
        <f t="shared" si="73"/>
        <v>18359.385984506978</v>
      </c>
      <c r="V181" s="35">
        <f t="shared" si="55"/>
        <v>-147.17917745817985</v>
      </c>
      <c r="X181" s="35">
        <f t="shared" si="74"/>
        <v>-2691.8701644579146</v>
      </c>
      <c r="Y181" s="1">
        <f t="shared" si="58"/>
        <v>2317885.8578165029</v>
      </c>
      <c r="AA181" s="2">
        <f>+Bono!J181</f>
        <v>195027.9138239465</v>
      </c>
      <c r="AC181" s="10">
        <f t="shared" si="59"/>
        <v>13.166666666666666</v>
      </c>
      <c r="AD181" s="1">
        <f t="shared" si="60"/>
        <v>2807230.1087170565</v>
      </c>
    </row>
    <row r="182" spans="1:30">
      <c r="A182" s="1">
        <f t="shared" si="61"/>
        <v>13.25</v>
      </c>
      <c r="B182" s="1">
        <f t="shared" si="62"/>
        <v>159</v>
      </c>
      <c r="C182" s="2">
        <f t="shared" si="67"/>
        <v>13</v>
      </c>
      <c r="D182" s="2">
        <f t="shared" si="68"/>
        <v>3</v>
      </c>
      <c r="E182" s="2">
        <f t="shared" si="69"/>
        <v>42</v>
      </c>
      <c r="F182" s="1">
        <f t="shared" si="63"/>
        <v>294316.33707660728</v>
      </c>
      <c r="H182" s="1">
        <f t="shared" si="56"/>
        <v>2346.9198023694421</v>
      </c>
      <c r="I182" s="1">
        <v>0</v>
      </c>
      <c r="J182" s="69">
        <f>-SUM(F182:H182)*$J$21*1.16</f>
        <v>-3097.1644018165171</v>
      </c>
      <c r="K182" s="1">
        <f t="shared" si="64"/>
        <v>-340.53666727350583</v>
      </c>
      <c r="L182" s="1">
        <f t="shared" si="57"/>
        <v>293225.55580988672</v>
      </c>
      <c r="N182" s="1">
        <f t="shared" si="65"/>
        <v>159</v>
      </c>
      <c r="O182" s="2">
        <f t="shared" si="70"/>
        <v>13</v>
      </c>
      <c r="P182" s="2">
        <f t="shared" si="71"/>
        <v>3</v>
      </c>
      <c r="Q182" s="2">
        <f t="shared" si="72"/>
        <v>13</v>
      </c>
      <c r="R182" s="1">
        <f t="shared" si="66"/>
        <v>2317885.8578165029</v>
      </c>
      <c r="S182" s="4">
        <f>IF($G$4="mensual",S181,0)</f>
        <v>10000</v>
      </c>
      <c r="U182" s="1">
        <f t="shared" si="73"/>
        <v>18562.888732687898</v>
      </c>
      <c r="V182" s="35">
        <f t="shared" si="55"/>
        <v>-147.17917745817985</v>
      </c>
      <c r="X182" s="35">
        <f t="shared" si="74"/>
        <v>-2721.7098181512097</v>
      </c>
      <c r="Y182" s="1">
        <f t="shared" si="58"/>
        <v>2343579.8575535812</v>
      </c>
      <c r="AA182" s="2">
        <f>+Bono!J182</f>
        <v>194469.20762400184</v>
      </c>
      <c r="AC182" s="10">
        <f t="shared" si="59"/>
        <v>13.25</v>
      </c>
      <c r="AD182" s="1">
        <f t="shared" si="60"/>
        <v>2831274.6209874698</v>
      </c>
    </row>
    <row r="183" spans="1:30">
      <c r="A183" s="1">
        <f t="shared" si="61"/>
        <v>13.333333333333334</v>
      </c>
      <c r="B183" s="1">
        <f t="shared" si="62"/>
        <v>160</v>
      </c>
      <c r="C183" s="2">
        <f t="shared" si="67"/>
        <v>13</v>
      </c>
      <c r="D183" s="2">
        <f t="shared" si="68"/>
        <v>4</v>
      </c>
      <c r="E183" s="2">
        <f t="shared" si="69"/>
        <v>42</v>
      </c>
      <c r="F183" s="1">
        <f t="shared" si="63"/>
        <v>293225.55580988672</v>
      </c>
      <c r="H183" s="1">
        <f t="shared" si="56"/>
        <v>2338.2217593713949</v>
      </c>
      <c r="I183" s="1">
        <v>0</v>
      </c>
      <c r="J183" s="1">
        <v>0</v>
      </c>
      <c r="K183" s="1">
        <f t="shared" si="64"/>
        <v>-342.85398198033943</v>
      </c>
      <c r="L183" s="1">
        <f t="shared" si="57"/>
        <v>295220.92358727776</v>
      </c>
      <c r="N183" s="1">
        <f t="shared" si="65"/>
        <v>160</v>
      </c>
      <c r="O183" s="2">
        <f t="shared" si="70"/>
        <v>13</v>
      </c>
      <c r="P183" s="2">
        <f t="shared" si="71"/>
        <v>4</v>
      </c>
      <c r="Q183" s="2">
        <f t="shared" si="72"/>
        <v>13</v>
      </c>
      <c r="R183" s="1">
        <f t="shared" si="66"/>
        <v>2343579.8575535812</v>
      </c>
      <c r="S183" s="4">
        <f>IF($G$4="mensual",S180,IF($G$4="trimestral",S180,0))</f>
        <v>10000</v>
      </c>
      <c r="U183" s="1">
        <f t="shared" si="73"/>
        <v>18767.776294771575</v>
      </c>
      <c r="V183" s="35">
        <f t="shared" si="55"/>
        <v>-147.17917745817985</v>
      </c>
      <c r="X183" s="35">
        <f t="shared" si="74"/>
        <v>-2751.7525274182376</v>
      </c>
      <c r="Y183" s="1">
        <f t="shared" si="58"/>
        <v>2369448.7021434763</v>
      </c>
      <c r="AA183" s="2">
        <f>+Bono!J183</f>
        <v>195674.93926830258</v>
      </c>
      <c r="AC183" s="10">
        <f t="shared" si="59"/>
        <v>13.333333333333334</v>
      </c>
      <c r="AD183" s="1">
        <f t="shared" si="60"/>
        <v>2860344.564999057</v>
      </c>
    </row>
    <row r="184" spans="1:30">
      <c r="A184" s="1">
        <f t="shared" si="61"/>
        <v>13.416666666666666</v>
      </c>
      <c r="B184" s="1">
        <f t="shared" si="62"/>
        <v>161</v>
      </c>
      <c r="C184" s="2">
        <f t="shared" si="67"/>
        <v>13</v>
      </c>
      <c r="D184" s="2">
        <f t="shared" si="68"/>
        <v>5</v>
      </c>
      <c r="E184" s="2">
        <f t="shared" si="69"/>
        <v>42</v>
      </c>
      <c r="F184" s="1">
        <f t="shared" si="63"/>
        <v>295220.92358727776</v>
      </c>
      <c r="H184" s="1">
        <f t="shared" si="56"/>
        <v>2354.1331022356208</v>
      </c>
      <c r="I184" s="1">
        <v>0</v>
      </c>
      <c r="J184" s="1">
        <v>0</v>
      </c>
      <c r="K184" s="1">
        <f t="shared" si="64"/>
        <v>-345.18706575983549</v>
      </c>
      <c r="L184" s="1">
        <f t="shared" si="57"/>
        <v>297229.86962375353</v>
      </c>
      <c r="N184" s="1">
        <f t="shared" si="65"/>
        <v>161</v>
      </c>
      <c r="O184" s="2">
        <f t="shared" si="70"/>
        <v>13</v>
      </c>
      <c r="P184" s="2">
        <f t="shared" si="71"/>
        <v>5</v>
      </c>
      <c r="Q184" s="2">
        <f t="shared" si="72"/>
        <v>13</v>
      </c>
      <c r="R184" s="1">
        <f t="shared" si="66"/>
        <v>2369448.7021434763</v>
      </c>
      <c r="S184" s="4">
        <f>IF($G$4="mensual",S183,0)</f>
        <v>10000</v>
      </c>
      <c r="U184" s="1">
        <f t="shared" si="73"/>
        <v>18974.058094264885</v>
      </c>
      <c r="V184" s="35">
        <f t="shared" si="55"/>
        <v>-147.17917745817985</v>
      </c>
      <c r="X184" s="35">
        <f t="shared" si="74"/>
        <v>-2781.999674029928</v>
      </c>
      <c r="Y184" s="1">
        <f t="shared" si="58"/>
        <v>2395493.5813862528</v>
      </c>
      <c r="AA184" s="2">
        <f>+Bono!J184</f>
        <v>196888.14658865417</v>
      </c>
      <c r="AC184" s="10">
        <f t="shared" si="59"/>
        <v>13.416666666666666</v>
      </c>
      <c r="AD184" s="1">
        <f t="shared" si="60"/>
        <v>2889611.5975986607</v>
      </c>
    </row>
    <row r="185" spans="1:30">
      <c r="A185" s="1">
        <f t="shared" si="61"/>
        <v>13.5</v>
      </c>
      <c r="B185" s="1">
        <f t="shared" si="62"/>
        <v>162</v>
      </c>
      <c r="C185" s="2">
        <f t="shared" si="67"/>
        <v>13</v>
      </c>
      <c r="D185" s="2">
        <f t="shared" si="68"/>
        <v>6</v>
      </c>
      <c r="E185" s="2">
        <f t="shared" si="69"/>
        <v>42</v>
      </c>
      <c r="F185" s="1">
        <f t="shared" si="63"/>
        <v>297229.86962375353</v>
      </c>
      <c r="H185" s="1">
        <f t="shared" si="56"/>
        <v>2370.152720044568</v>
      </c>
      <c r="I185" s="1">
        <v>0</v>
      </c>
      <c r="J185" s="69">
        <f>-SUM(F185:H185)*$J$21*1.16</f>
        <v>-3127.8242332692521</v>
      </c>
      <c r="K185" s="1">
        <f t="shared" si="64"/>
        <v>-343.90774980821345</v>
      </c>
      <c r="L185" s="1">
        <f t="shared" si="57"/>
        <v>296128.2903607206</v>
      </c>
      <c r="N185" s="1">
        <f t="shared" si="65"/>
        <v>162</v>
      </c>
      <c r="O185" s="2">
        <f t="shared" si="70"/>
        <v>13</v>
      </c>
      <c r="P185" s="2">
        <f t="shared" si="71"/>
        <v>6</v>
      </c>
      <c r="Q185" s="2">
        <f t="shared" si="72"/>
        <v>13</v>
      </c>
      <c r="R185" s="1">
        <f t="shared" si="66"/>
        <v>2395493.5813862528</v>
      </c>
      <c r="S185" s="4">
        <f>IF($G$4="mensual",S184,0)</f>
        <v>10000</v>
      </c>
      <c r="U185" s="1">
        <f t="shared" si="73"/>
        <v>19181.743618800625</v>
      </c>
      <c r="V185" s="35">
        <f t="shared" si="55"/>
        <v>-147.17917745817985</v>
      </c>
      <c r="X185" s="35">
        <f t="shared" si="74"/>
        <v>-2812.4526491600104</v>
      </c>
      <c r="Y185" s="1">
        <f t="shared" si="58"/>
        <v>2421715.6931784353</v>
      </c>
      <c r="AA185" s="2">
        <f>+Bono!J185</f>
        <v>196324.11128705117</v>
      </c>
      <c r="AC185" s="10">
        <f t="shared" si="59"/>
        <v>13.5</v>
      </c>
      <c r="AD185" s="1">
        <f t="shared" si="60"/>
        <v>2914168.0948262075</v>
      </c>
    </row>
    <row r="186" spans="1:30">
      <c r="A186" s="1">
        <f t="shared" si="61"/>
        <v>13.583333333333334</v>
      </c>
      <c r="B186" s="1">
        <f t="shared" si="62"/>
        <v>163</v>
      </c>
      <c r="C186" s="2">
        <f t="shared" si="67"/>
        <v>13</v>
      </c>
      <c r="D186" s="2">
        <f t="shared" si="68"/>
        <v>7</v>
      </c>
      <c r="E186" s="2">
        <f t="shared" si="69"/>
        <v>42</v>
      </c>
      <c r="F186" s="1">
        <f t="shared" si="63"/>
        <v>296128.2903607206</v>
      </c>
      <c r="H186" s="1">
        <f t="shared" si="56"/>
        <v>2361.3685723075751</v>
      </c>
      <c r="I186" s="1">
        <v>0</v>
      </c>
      <c r="J186" s="1">
        <v>0</v>
      </c>
      <c r="K186" s="1">
        <f t="shared" si="64"/>
        <v>-346.24800436231266</v>
      </c>
      <c r="L186" s="1">
        <f t="shared" si="57"/>
        <v>298143.41092866583</v>
      </c>
      <c r="N186" s="1">
        <f t="shared" si="65"/>
        <v>163</v>
      </c>
      <c r="O186" s="2">
        <f t="shared" si="70"/>
        <v>13</v>
      </c>
      <c r="P186" s="2">
        <f t="shared" si="71"/>
        <v>7</v>
      </c>
      <c r="Q186" s="2">
        <f t="shared" si="72"/>
        <v>13</v>
      </c>
      <c r="R186" s="1">
        <f t="shared" si="66"/>
        <v>2421715.6931784353</v>
      </c>
      <c r="S186" s="1">
        <f>+IF($G$4="mensual",S180,IF($G$4="trimestral",S180,IF($G$4="semestral",S180,0)))</f>
        <v>10000</v>
      </c>
      <c r="U186" s="1">
        <f t="shared" si="73"/>
        <v>19390.842420573903</v>
      </c>
      <c r="V186" s="35">
        <f t="shared" si="55"/>
        <v>-147.17917745817985</v>
      </c>
      <c r="X186" s="35">
        <f t="shared" si="74"/>
        <v>-2843.1128534489985</v>
      </c>
      <c r="Y186" s="1">
        <f t="shared" si="58"/>
        <v>2448116.2435681019</v>
      </c>
      <c r="AA186" s="2">
        <f>+Bono!J186</f>
        <v>197541.34354921829</v>
      </c>
      <c r="AC186" s="10">
        <f t="shared" si="59"/>
        <v>13.583333333333334</v>
      </c>
      <c r="AD186" s="1">
        <f t="shared" si="60"/>
        <v>2943800.9980459861</v>
      </c>
    </row>
    <row r="187" spans="1:30">
      <c r="A187" s="1">
        <f t="shared" si="61"/>
        <v>13.666666666666666</v>
      </c>
      <c r="B187" s="1">
        <f t="shared" si="62"/>
        <v>164</v>
      </c>
      <c r="C187" s="2">
        <f t="shared" si="67"/>
        <v>13</v>
      </c>
      <c r="D187" s="2">
        <f t="shared" si="68"/>
        <v>8</v>
      </c>
      <c r="E187" s="2">
        <f t="shared" si="69"/>
        <v>42</v>
      </c>
      <c r="F187" s="1">
        <f t="shared" si="63"/>
        <v>298143.41092866583</v>
      </c>
      <c r="H187" s="1">
        <f t="shared" si="56"/>
        <v>2377.4374266975428</v>
      </c>
      <c r="I187" s="1">
        <v>0</v>
      </c>
      <c r="J187" s="1">
        <v>0</v>
      </c>
      <c r="K187" s="1">
        <f t="shared" si="64"/>
        <v>-348.60418409222143</v>
      </c>
      <c r="L187" s="1">
        <f t="shared" si="57"/>
        <v>300172.24417127116</v>
      </c>
      <c r="N187" s="1">
        <f t="shared" si="65"/>
        <v>164</v>
      </c>
      <c r="O187" s="2">
        <f t="shared" si="70"/>
        <v>13</v>
      </c>
      <c r="P187" s="2">
        <f t="shared" si="71"/>
        <v>8</v>
      </c>
      <c r="Q187" s="2">
        <f t="shared" si="72"/>
        <v>13</v>
      </c>
      <c r="R187" s="1">
        <f t="shared" si="66"/>
        <v>2448116.2435681019</v>
      </c>
      <c r="S187" s="4">
        <f>IF($G$4="mensual",S186,0)</f>
        <v>10000</v>
      </c>
      <c r="U187" s="1">
        <f t="shared" si="73"/>
        <v>19601.364116781453</v>
      </c>
      <c r="V187" s="35">
        <f t="shared" si="55"/>
        <v>-147.17917745817985</v>
      </c>
      <c r="X187" s="35">
        <f t="shared" si="74"/>
        <v>-2873.9816970686124</v>
      </c>
      <c r="Y187" s="1">
        <f t="shared" si="58"/>
        <v>2474696.4468103563</v>
      </c>
      <c r="AA187" s="2">
        <f>+Bono!J187</f>
        <v>198766.12279260109</v>
      </c>
      <c r="AC187" s="10">
        <f t="shared" si="59"/>
        <v>13.666666666666666</v>
      </c>
      <c r="AD187" s="1">
        <f t="shared" si="60"/>
        <v>2973634.8137742286</v>
      </c>
    </row>
    <row r="188" spans="1:30">
      <c r="A188" s="1">
        <f t="shared" si="61"/>
        <v>13.75</v>
      </c>
      <c r="B188" s="1">
        <f t="shared" si="62"/>
        <v>165</v>
      </c>
      <c r="C188" s="2">
        <f t="shared" si="67"/>
        <v>13</v>
      </c>
      <c r="D188" s="2">
        <f t="shared" si="68"/>
        <v>9</v>
      </c>
      <c r="E188" s="2">
        <f t="shared" si="69"/>
        <v>42</v>
      </c>
      <c r="F188" s="1">
        <f t="shared" si="63"/>
        <v>300172.24417127116</v>
      </c>
      <c r="H188" s="1">
        <f t="shared" si="56"/>
        <v>2393.6156278809058</v>
      </c>
      <c r="I188" s="1">
        <v>0</v>
      </c>
      <c r="J188" s="69">
        <f>-SUM(F188:H188)*$J$21*1.16</f>
        <v>-3158.7875763031475</v>
      </c>
      <c r="K188" s="1">
        <f t="shared" si="64"/>
        <v>-347.3122037785048</v>
      </c>
      <c r="L188" s="1">
        <f t="shared" si="57"/>
        <v>299059.76001907047</v>
      </c>
      <c r="N188" s="1">
        <f t="shared" si="65"/>
        <v>165</v>
      </c>
      <c r="O188" s="2">
        <f t="shared" si="70"/>
        <v>13</v>
      </c>
      <c r="P188" s="2">
        <f t="shared" si="71"/>
        <v>9</v>
      </c>
      <c r="Q188" s="2">
        <f t="shared" si="72"/>
        <v>13</v>
      </c>
      <c r="R188" s="1">
        <f t="shared" si="66"/>
        <v>2474696.4468103563</v>
      </c>
      <c r="S188" s="4">
        <f>IF($G$4="mensual",S187,0)</f>
        <v>10000</v>
      </c>
      <c r="U188" s="1">
        <f t="shared" si="73"/>
        <v>19813.318390063992</v>
      </c>
      <c r="V188" s="35">
        <f t="shared" si="55"/>
        <v>-147.17917745817985</v>
      </c>
      <c r="X188" s="35">
        <f t="shared" si="74"/>
        <v>-2905.0605997866355</v>
      </c>
      <c r="Y188" s="1">
        <f t="shared" si="58"/>
        <v>2501457.5254231752</v>
      </c>
      <c r="AA188" s="2">
        <f>+Bono!J188</f>
        <v>198196.70755882366</v>
      </c>
      <c r="AC188" s="10">
        <f t="shared" si="59"/>
        <v>13.75</v>
      </c>
      <c r="AD188" s="1">
        <f t="shared" si="60"/>
        <v>2998713.9930010694</v>
      </c>
    </row>
    <row r="189" spans="1:30">
      <c r="A189" s="1">
        <f t="shared" si="61"/>
        <v>13.833333333333334</v>
      </c>
      <c r="B189" s="1">
        <f t="shared" si="62"/>
        <v>166</v>
      </c>
      <c r="C189" s="2">
        <f t="shared" si="67"/>
        <v>13</v>
      </c>
      <c r="D189" s="2">
        <f t="shared" si="68"/>
        <v>10</v>
      </c>
      <c r="E189" s="2">
        <f t="shared" si="69"/>
        <v>42</v>
      </c>
      <c r="F189" s="1">
        <f t="shared" si="63"/>
        <v>299059.76001907047</v>
      </c>
      <c r="H189" s="1">
        <f t="shared" si="56"/>
        <v>2384.7445230263274</v>
      </c>
      <c r="I189" s="1">
        <v>0</v>
      </c>
      <c r="J189" s="1">
        <v>0</v>
      </c>
      <c r="K189" s="1">
        <f t="shared" si="64"/>
        <v>-349.67562526883228</v>
      </c>
      <c r="L189" s="1">
        <f t="shared" si="57"/>
        <v>301094.82891682797</v>
      </c>
      <c r="N189" s="1">
        <f t="shared" si="65"/>
        <v>166</v>
      </c>
      <c r="O189" s="2">
        <f t="shared" si="70"/>
        <v>13</v>
      </c>
      <c r="P189" s="2">
        <f t="shared" si="71"/>
        <v>10</v>
      </c>
      <c r="Q189" s="2">
        <f t="shared" si="72"/>
        <v>13</v>
      </c>
      <c r="R189" s="1">
        <f t="shared" si="66"/>
        <v>2501457.5254231752</v>
      </c>
      <c r="S189" s="4">
        <f>IF($G$4="mensual",S180,IF($G$4="trimestral",S180,0))</f>
        <v>10000</v>
      </c>
      <c r="U189" s="1">
        <f t="shared" si="73"/>
        <v>20026.714988951546</v>
      </c>
      <c r="V189" s="35">
        <f>V188</f>
        <v>-147.17917745817985</v>
      </c>
      <c r="X189" s="35">
        <f t="shared" si="74"/>
        <v>-2936.350991032215</v>
      </c>
      <c r="Y189" s="1">
        <f t="shared" si="58"/>
        <v>2528400.7102436363</v>
      </c>
      <c r="AA189" s="2">
        <f>+Bono!J189</f>
        <v>199425.55013508353</v>
      </c>
      <c r="AC189" s="10">
        <f t="shared" si="59"/>
        <v>13.833333333333334</v>
      </c>
      <c r="AD189" s="1">
        <f t="shared" si="60"/>
        <v>3028921.0892955479</v>
      </c>
    </row>
    <row r="190" spans="1:30">
      <c r="A190" s="1">
        <f t="shared" si="61"/>
        <v>13.916666666666666</v>
      </c>
      <c r="B190" s="1">
        <f t="shared" si="62"/>
        <v>167</v>
      </c>
      <c r="C190" s="2">
        <f t="shared" si="67"/>
        <v>13</v>
      </c>
      <c r="D190" s="2">
        <f t="shared" si="68"/>
        <v>11</v>
      </c>
      <c r="E190" s="2">
        <f t="shared" si="69"/>
        <v>42</v>
      </c>
      <c r="F190" s="1">
        <f t="shared" si="63"/>
        <v>301094.82891682797</v>
      </c>
      <c r="H190" s="1">
        <f t="shared" si="56"/>
        <v>2400.9724481995399</v>
      </c>
      <c r="I190" s="1">
        <v>0</v>
      </c>
      <c r="J190" s="1">
        <v>0</v>
      </c>
      <c r="K190" s="1">
        <f t="shared" si="64"/>
        <v>-352.05512958343184</v>
      </c>
      <c r="L190" s="1">
        <f t="shared" si="57"/>
        <v>303143.74623544404</v>
      </c>
      <c r="N190" s="1">
        <f t="shared" si="65"/>
        <v>167</v>
      </c>
      <c r="O190" s="2">
        <f t="shared" si="70"/>
        <v>13</v>
      </c>
      <c r="P190" s="2">
        <f t="shared" si="71"/>
        <v>11</v>
      </c>
      <c r="Q190" s="2">
        <f t="shared" si="72"/>
        <v>13</v>
      </c>
      <c r="R190" s="1">
        <f t="shared" si="66"/>
        <v>2528400.7102436363</v>
      </c>
      <c r="S190" s="1">
        <f>IF($G$17="si",S178*(1+$G$20),S178)</f>
        <v>10000</v>
      </c>
      <c r="U190" s="1">
        <f t="shared" si="73"/>
        <v>20241.563728311809</v>
      </c>
      <c r="V190" s="35">
        <f>V189</f>
        <v>-147.17917745817985</v>
      </c>
      <c r="X190" s="35">
        <f t="shared" si="74"/>
        <v>-2967.8543099616081</v>
      </c>
      <c r="Y190" s="1">
        <f t="shared" si="58"/>
        <v>2555527.2404845282</v>
      </c>
      <c r="AA190" s="2">
        <f>+Bono!J190</f>
        <v>200662.01167785309</v>
      </c>
      <c r="AC190" s="10">
        <f t="shared" si="59"/>
        <v>13.916666666666666</v>
      </c>
      <c r="AD190" s="1">
        <f t="shared" si="60"/>
        <v>3059332.9983978258</v>
      </c>
    </row>
    <row r="191" spans="1:30">
      <c r="A191" s="1">
        <f t="shared" si="61"/>
        <v>14</v>
      </c>
      <c r="B191" s="1">
        <f t="shared" si="62"/>
        <v>168</v>
      </c>
      <c r="C191" s="2">
        <f t="shared" si="67"/>
        <v>13</v>
      </c>
      <c r="D191" s="2">
        <f t="shared" si="68"/>
        <v>12</v>
      </c>
      <c r="E191" s="2">
        <f t="shared" si="69"/>
        <v>42</v>
      </c>
      <c r="F191" s="1">
        <f t="shared" si="63"/>
        <v>303143.74623544404</v>
      </c>
      <c r="H191" s="1">
        <f t="shared" si="56"/>
        <v>2417.3108026253976</v>
      </c>
      <c r="I191" s="1">
        <v>0</v>
      </c>
      <c r="J191" s="69">
        <f>-SUM(F191:H191)*$J$21*1.16</f>
        <v>-3190.0574354774449</v>
      </c>
      <c r="K191" s="1">
        <f t="shared" si="64"/>
        <v>-350.75035953900664</v>
      </c>
      <c r="L191" s="1">
        <f t="shared" si="57"/>
        <v>302020.24924305297</v>
      </c>
      <c r="N191" s="1">
        <f t="shared" si="65"/>
        <v>168</v>
      </c>
      <c r="O191" s="2">
        <f t="shared" si="70"/>
        <v>13</v>
      </c>
      <c r="P191" s="2">
        <f t="shared" si="71"/>
        <v>12</v>
      </c>
      <c r="Q191" s="2">
        <f t="shared" si="72"/>
        <v>13</v>
      </c>
      <c r="R191" s="1">
        <f t="shared" si="66"/>
        <v>2555527.2404845282</v>
      </c>
      <c r="S191" s="4">
        <f>IF($G$4="mensual",S190,0)</f>
        <v>10000</v>
      </c>
      <c r="U191" s="1">
        <f t="shared" si="73"/>
        <v>20457.874489801587</v>
      </c>
      <c r="V191" s="35">
        <f>V190</f>
        <v>-147.17917745817985</v>
      </c>
      <c r="X191" s="35">
        <f t="shared" si="74"/>
        <v>-2999.572005524371</v>
      </c>
      <c r="Y191" s="1">
        <f t="shared" si="58"/>
        <v>2582838.363791347</v>
      </c>
      <c r="AA191" s="2">
        <f>+Bono!J191</f>
        <v>200087.16519654897</v>
      </c>
      <c r="AC191" s="10">
        <f t="shared" si="59"/>
        <v>14</v>
      </c>
      <c r="AD191" s="1">
        <f t="shared" si="60"/>
        <v>3084945.7782309493</v>
      </c>
    </row>
    <row r="192" spans="1:30">
      <c r="A192" s="1">
        <f t="shared" si="61"/>
        <v>14.083333333333334</v>
      </c>
      <c r="B192" s="1">
        <f t="shared" si="62"/>
        <v>169</v>
      </c>
      <c r="C192" s="2">
        <f t="shared" si="67"/>
        <v>14</v>
      </c>
      <c r="D192" s="2">
        <f t="shared" si="68"/>
        <v>1</v>
      </c>
      <c r="E192" s="2">
        <f t="shared" si="69"/>
        <v>43</v>
      </c>
      <c r="F192" s="1">
        <f t="shared" si="63"/>
        <v>302020.24924305297</v>
      </c>
      <c r="H192" s="1">
        <f t="shared" si="56"/>
        <v>2408.3518798366204</v>
      </c>
      <c r="I192" s="1">
        <v>0</v>
      </c>
      <c r="J192" s="1">
        <v>0</v>
      </c>
      <c r="K192" s="1">
        <f t="shared" si="64"/>
        <v>-353.13717730255195</v>
      </c>
      <c r="L192" s="1">
        <f t="shared" si="57"/>
        <v>304075.46394558705</v>
      </c>
      <c r="N192" s="1">
        <f t="shared" si="65"/>
        <v>169</v>
      </c>
      <c r="O192" s="2">
        <f t="shared" si="70"/>
        <v>14</v>
      </c>
      <c r="P192" s="2">
        <f t="shared" si="71"/>
        <v>1</v>
      </c>
      <c r="Q192" s="2">
        <f t="shared" si="72"/>
        <v>14</v>
      </c>
      <c r="R192" s="1">
        <f t="shared" si="66"/>
        <v>2582838.363791347</v>
      </c>
      <c r="S192" s="1">
        <f>IF($G$17="si",S180*(1+$G$20),S180)</f>
        <v>10000</v>
      </c>
      <c r="U192" s="1">
        <f t="shared" si="73"/>
        <v>20675.657222321268</v>
      </c>
      <c r="V192" s="35">
        <f>V191*(1+$G$18)</f>
        <v>-153.06634455650706</v>
      </c>
      <c r="X192" s="35">
        <f t="shared" si="74"/>
        <v>-3031.4987074161695</v>
      </c>
      <c r="Y192" s="1">
        <f t="shared" si="58"/>
        <v>2610329.4559616959</v>
      </c>
      <c r="AA192" s="2">
        <f>+Bono!J192</f>
        <v>201327.72882944223</v>
      </c>
      <c r="AC192" s="10">
        <f t="shared" si="59"/>
        <v>14.083333333333334</v>
      </c>
      <c r="AD192" s="1">
        <f t="shared" si="60"/>
        <v>3115732.6487367251</v>
      </c>
    </row>
    <row r="193" spans="1:30">
      <c r="A193" s="1">
        <f t="shared" si="61"/>
        <v>14.166666666666666</v>
      </c>
      <c r="B193" s="1">
        <f t="shared" si="62"/>
        <v>170</v>
      </c>
      <c r="C193" s="2">
        <f t="shared" si="67"/>
        <v>14</v>
      </c>
      <c r="D193" s="2">
        <f t="shared" si="68"/>
        <v>2</v>
      </c>
      <c r="E193" s="2">
        <f t="shared" si="69"/>
        <v>43</v>
      </c>
      <c r="F193" s="1">
        <f t="shared" si="63"/>
        <v>304075.46394558705</v>
      </c>
      <c r="H193" s="1">
        <f t="shared" si="56"/>
        <v>2424.7404504861747</v>
      </c>
      <c r="I193" s="1">
        <v>0</v>
      </c>
      <c r="J193" s="1">
        <v>0</v>
      </c>
      <c r="K193" s="1">
        <f t="shared" si="64"/>
        <v>-355.54023709944494</v>
      </c>
      <c r="L193" s="1">
        <f t="shared" si="57"/>
        <v>306144.66415897378</v>
      </c>
      <c r="N193" s="1">
        <f t="shared" si="65"/>
        <v>170</v>
      </c>
      <c r="O193" s="2">
        <f t="shared" si="70"/>
        <v>14</v>
      </c>
      <c r="P193" s="2">
        <f t="shared" si="71"/>
        <v>2</v>
      </c>
      <c r="Q193" s="2">
        <f t="shared" si="72"/>
        <v>14</v>
      </c>
      <c r="R193" s="1">
        <f t="shared" si="66"/>
        <v>2610329.4559616959</v>
      </c>
      <c r="S193" s="4">
        <f>IF($G$4="mensual",S192,0)</f>
        <v>10000</v>
      </c>
      <c r="U193" s="1">
        <f t="shared" si="73"/>
        <v>20894.875051831565</v>
      </c>
      <c r="V193" s="35">
        <f t="shared" ref="V193:V256" si="75">V192</f>
        <v>-153.06634455650706</v>
      </c>
      <c r="X193" s="35">
        <f t="shared" si="74"/>
        <v>-3063.6426670160058</v>
      </c>
      <c r="Y193" s="1">
        <f t="shared" si="58"/>
        <v>2638007.6220019548</v>
      </c>
      <c r="AA193" s="2">
        <f>+Bono!J193</f>
        <v>202575.98410075589</v>
      </c>
      <c r="AC193" s="10">
        <f t="shared" si="59"/>
        <v>14.166666666666666</v>
      </c>
      <c r="AD193" s="1">
        <f t="shared" si="60"/>
        <v>3146728.2702616844</v>
      </c>
    </row>
    <row r="194" spans="1:30">
      <c r="A194" s="1">
        <f t="shared" si="61"/>
        <v>14.25</v>
      </c>
      <c r="B194" s="1">
        <f t="shared" si="62"/>
        <v>171</v>
      </c>
      <c r="C194" s="2">
        <f t="shared" si="67"/>
        <v>14</v>
      </c>
      <c r="D194" s="2">
        <f t="shared" si="68"/>
        <v>3</v>
      </c>
      <c r="E194" s="2">
        <f t="shared" si="69"/>
        <v>43</v>
      </c>
      <c r="F194" s="1">
        <f t="shared" si="63"/>
        <v>306144.66415897378</v>
      </c>
      <c r="H194" s="1">
        <f t="shared" si="56"/>
        <v>2441.2405435632381</v>
      </c>
      <c r="I194" s="1">
        <v>0</v>
      </c>
      <c r="J194" s="69">
        <f>-SUM(F194:H194)*$J$21*1.16</f>
        <v>-3221.6368450944865</v>
      </c>
      <c r="K194" s="1">
        <f t="shared" si="64"/>
        <v>-354.22255071463326</v>
      </c>
      <c r="L194" s="1">
        <f t="shared" si="57"/>
        <v>305010.04530672787</v>
      </c>
      <c r="N194" s="1">
        <f t="shared" si="65"/>
        <v>171</v>
      </c>
      <c r="O194" s="2">
        <f t="shared" si="70"/>
        <v>14</v>
      </c>
      <c r="P194" s="2">
        <f t="shared" si="71"/>
        <v>3</v>
      </c>
      <c r="Q194" s="2">
        <f t="shared" si="72"/>
        <v>14</v>
      </c>
      <c r="R194" s="1">
        <f t="shared" si="66"/>
        <v>2638007.6220019548</v>
      </c>
      <c r="S194" s="4">
        <f>IF($G$4="mensual",S193,0)</f>
        <v>10000</v>
      </c>
      <c r="U194" s="1">
        <f t="shared" si="73"/>
        <v>21115.584634651106</v>
      </c>
      <c r="V194" s="35">
        <f t="shared" si="75"/>
        <v>-153.06634455650706</v>
      </c>
      <c r="X194" s="35">
        <f t="shared" si="74"/>
        <v>-3096.0053627387774</v>
      </c>
      <c r="Y194" s="1">
        <f t="shared" si="58"/>
        <v>2665874.1349293105</v>
      </c>
      <c r="AA194" s="2">
        <f>+Bono!J194</f>
        <v>201995.65456711204</v>
      </c>
      <c r="AC194" s="10">
        <f t="shared" si="59"/>
        <v>14.25</v>
      </c>
      <c r="AD194" s="1">
        <f t="shared" si="60"/>
        <v>3172879.8348031505</v>
      </c>
    </row>
    <row r="195" spans="1:30">
      <c r="A195" s="1">
        <f t="shared" si="61"/>
        <v>14.333333333333334</v>
      </c>
      <c r="B195" s="1">
        <f t="shared" si="62"/>
        <v>172</v>
      </c>
      <c r="C195" s="2">
        <f t="shared" si="67"/>
        <v>14</v>
      </c>
      <c r="D195" s="2">
        <f t="shared" si="68"/>
        <v>4</v>
      </c>
      <c r="E195" s="2">
        <f t="shared" si="69"/>
        <v>43</v>
      </c>
      <c r="F195" s="1">
        <f t="shared" si="63"/>
        <v>305010.04530672787</v>
      </c>
      <c r="H195" s="1">
        <f t="shared" si="56"/>
        <v>2432.1929335021478</v>
      </c>
      <c r="I195" s="1">
        <v>0</v>
      </c>
      <c r="J195" s="1">
        <v>0</v>
      </c>
      <c r="K195" s="1">
        <f t="shared" si="64"/>
        <v>-356.63299635866684</v>
      </c>
      <c r="L195" s="1">
        <f t="shared" si="57"/>
        <v>307085.60524387134</v>
      </c>
      <c r="N195" s="1">
        <f t="shared" si="65"/>
        <v>172</v>
      </c>
      <c r="O195" s="2">
        <f t="shared" si="70"/>
        <v>14</v>
      </c>
      <c r="P195" s="2">
        <f t="shared" si="71"/>
        <v>4</v>
      </c>
      <c r="Q195" s="2">
        <f t="shared" si="72"/>
        <v>14</v>
      </c>
      <c r="R195" s="1">
        <f t="shared" si="66"/>
        <v>2665874.1349293105</v>
      </c>
      <c r="S195" s="4">
        <f>IF($G$4="mensual",S192,IF($G$4="trimestral",S192,0))</f>
        <v>10000</v>
      </c>
      <c r="U195" s="1">
        <f t="shared" si="73"/>
        <v>21337.796121997701</v>
      </c>
      <c r="V195" s="35">
        <f t="shared" si="75"/>
        <v>-153.06634455650706</v>
      </c>
      <c r="X195" s="35">
        <f t="shared" si="74"/>
        <v>-3128.5882830598321</v>
      </c>
      <c r="Y195" s="1">
        <f t="shared" si="58"/>
        <v>2693930.2764236922</v>
      </c>
      <c r="AA195" s="2">
        <f>+Bono!J195</f>
        <v>203248.05105547386</v>
      </c>
      <c r="AC195" s="10">
        <f t="shared" si="59"/>
        <v>14.333333333333334</v>
      </c>
      <c r="AD195" s="1">
        <f t="shared" si="60"/>
        <v>3204263.9327230374</v>
      </c>
    </row>
    <row r="196" spans="1:30">
      <c r="A196" s="1">
        <f t="shared" si="61"/>
        <v>14.416666666666666</v>
      </c>
      <c r="B196" s="1">
        <f t="shared" si="62"/>
        <v>173</v>
      </c>
      <c r="C196" s="2">
        <f t="shared" si="67"/>
        <v>14</v>
      </c>
      <c r="D196" s="2">
        <f t="shared" si="68"/>
        <v>5</v>
      </c>
      <c r="E196" s="2">
        <f t="shared" si="69"/>
        <v>43</v>
      </c>
      <c r="F196" s="1">
        <f t="shared" si="63"/>
        <v>307085.60524387134</v>
      </c>
      <c r="H196" s="1">
        <f t="shared" si="56"/>
        <v>2448.7437399095361</v>
      </c>
      <c r="I196" s="1">
        <v>0</v>
      </c>
      <c r="J196" s="1">
        <v>0</v>
      </c>
      <c r="K196" s="1">
        <f t="shared" si="64"/>
        <v>-359.05984482118578</v>
      </c>
      <c r="L196" s="1">
        <f t="shared" si="57"/>
        <v>309175.28913895972</v>
      </c>
      <c r="N196" s="1">
        <f t="shared" si="65"/>
        <v>173</v>
      </c>
      <c r="O196" s="2">
        <f t="shared" si="70"/>
        <v>14</v>
      </c>
      <c r="P196" s="2">
        <f t="shared" si="71"/>
        <v>5</v>
      </c>
      <c r="Q196" s="2">
        <f t="shared" si="72"/>
        <v>14</v>
      </c>
      <c r="R196" s="1">
        <f t="shared" si="66"/>
        <v>2693930.2764236922</v>
      </c>
      <c r="S196" s="4">
        <f>IF($G$4="mensual",S195,0)</f>
        <v>10000</v>
      </c>
      <c r="U196" s="1">
        <f t="shared" si="73"/>
        <v>21561.519734167094</v>
      </c>
      <c r="V196" s="35">
        <f t="shared" si="75"/>
        <v>-153.06634455650706</v>
      </c>
      <c r="X196" s="35">
        <f t="shared" si="74"/>
        <v>-3161.3929265834313</v>
      </c>
      <c r="Y196" s="1">
        <f t="shared" si="58"/>
        <v>2722177.3368867193</v>
      </c>
      <c r="AA196" s="2">
        <f>+Bono!J196</f>
        <v>204508.21254733251</v>
      </c>
      <c r="AC196" s="10">
        <f t="shared" si="59"/>
        <v>14.416666666666666</v>
      </c>
      <c r="AD196" s="1">
        <f t="shared" si="60"/>
        <v>3235860.8385730116</v>
      </c>
    </row>
    <row r="197" spans="1:30">
      <c r="A197" s="1">
        <f t="shared" si="61"/>
        <v>14.5</v>
      </c>
      <c r="B197" s="1">
        <f t="shared" si="62"/>
        <v>174</v>
      </c>
      <c r="C197" s="2">
        <f t="shared" si="67"/>
        <v>14</v>
      </c>
      <c r="D197" s="2">
        <f t="shared" si="68"/>
        <v>6</v>
      </c>
      <c r="E197" s="2">
        <f t="shared" si="69"/>
        <v>43</v>
      </c>
      <c r="F197" s="1">
        <f t="shared" si="63"/>
        <v>309175.28913895972</v>
      </c>
      <c r="H197" s="1">
        <f t="shared" si="56"/>
        <v>2465.4071727409896</v>
      </c>
      <c r="I197" s="1">
        <v>0</v>
      </c>
      <c r="J197" s="69">
        <f>-SUM(F197:H197)*$J$21*1.16</f>
        <v>-3253.5288694941551</v>
      </c>
      <c r="K197" s="1">
        <f t="shared" si="64"/>
        <v>-357.72911423295955</v>
      </c>
      <c r="L197" s="1">
        <f t="shared" si="57"/>
        <v>308029.43832797359</v>
      </c>
      <c r="N197" s="1">
        <f t="shared" si="65"/>
        <v>174</v>
      </c>
      <c r="O197" s="2">
        <f t="shared" si="70"/>
        <v>14</v>
      </c>
      <c r="P197" s="2">
        <f t="shared" si="71"/>
        <v>6</v>
      </c>
      <c r="Q197" s="2">
        <f t="shared" si="72"/>
        <v>14</v>
      </c>
      <c r="R197" s="1">
        <f t="shared" si="66"/>
        <v>2722177.3368867193</v>
      </c>
      <c r="S197" s="4">
        <f>IF($G$4="mensual",S196,0)</f>
        <v>10000</v>
      </c>
      <c r="U197" s="1">
        <f t="shared" si="73"/>
        <v>21786.765761003007</v>
      </c>
      <c r="V197" s="35">
        <f t="shared" si="75"/>
        <v>-153.06634455650706</v>
      </c>
      <c r="X197" s="35">
        <f t="shared" si="74"/>
        <v>-3194.4208021116724</v>
      </c>
      <c r="Y197" s="1">
        <f t="shared" si="58"/>
        <v>2750616.6155010541</v>
      </c>
      <c r="AA197" s="2">
        <f>+Bono!J197</f>
        <v>203922.34766240668</v>
      </c>
      <c r="AC197" s="10">
        <f t="shared" si="59"/>
        <v>14.5</v>
      </c>
      <c r="AD197" s="1">
        <f t="shared" si="60"/>
        <v>3262568.4014914343</v>
      </c>
    </row>
    <row r="198" spans="1:30">
      <c r="A198" s="1">
        <f t="shared" si="61"/>
        <v>14.583333333333334</v>
      </c>
      <c r="B198" s="1">
        <f t="shared" si="62"/>
        <v>175</v>
      </c>
      <c r="C198" s="2">
        <f t="shared" si="67"/>
        <v>14</v>
      </c>
      <c r="D198" s="2">
        <f t="shared" si="68"/>
        <v>7</v>
      </c>
      <c r="E198" s="2">
        <f t="shared" si="69"/>
        <v>43</v>
      </c>
      <c r="F198" s="1">
        <f t="shared" si="63"/>
        <v>308029.43832797359</v>
      </c>
      <c r="H198" s="1">
        <f t="shared" si="56"/>
        <v>2456.269997463613</v>
      </c>
      <c r="I198" s="1">
        <v>0</v>
      </c>
      <c r="J198" s="1">
        <v>0</v>
      </c>
      <c r="K198" s="1">
        <f t="shared" si="64"/>
        <v>-360.16342165750712</v>
      </c>
      <c r="L198" s="1">
        <f t="shared" si="57"/>
        <v>310125.54490377969</v>
      </c>
      <c r="N198" s="1">
        <f t="shared" si="65"/>
        <v>175</v>
      </c>
      <c r="O198" s="2">
        <f t="shared" si="70"/>
        <v>14</v>
      </c>
      <c r="P198" s="2">
        <f t="shared" si="71"/>
        <v>7</v>
      </c>
      <c r="Q198" s="2">
        <f t="shared" si="72"/>
        <v>14</v>
      </c>
      <c r="R198" s="1">
        <f t="shared" si="66"/>
        <v>2750616.6155010541</v>
      </c>
      <c r="S198" s="1">
        <f>+IF($G$4="mensual",S192,IF($G$4="trimestral",S192,IF($G$4="semestral",S192,0)))</f>
        <v>10000</v>
      </c>
      <c r="U198" s="1">
        <f t="shared" si="73"/>
        <v>22013.544562370433</v>
      </c>
      <c r="V198" s="35">
        <f t="shared" si="75"/>
        <v>-153.06634455650706</v>
      </c>
      <c r="X198" s="35">
        <f t="shared" si="74"/>
        <v>-3227.673428713887</v>
      </c>
      <c r="Y198" s="1">
        <f t="shared" si="58"/>
        <v>2779249.4202901544</v>
      </c>
      <c r="AA198" s="2">
        <f>+Bono!J198</f>
        <v>205186.68987144189</v>
      </c>
      <c r="AC198" s="10">
        <f t="shared" si="59"/>
        <v>14.583333333333334</v>
      </c>
      <c r="AD198" s="1">
        <f t="shared" si="60"/>
        <v>3294561.6550653763</v>
      </c>
    </row>
    <row r="199" spans="1:30">
      <c r="A199" s="1">
        <f t="shared" si="61"/>
        <v>14.666666666666666</v>
      </c>
      <c r="B199" s="1">
        <f t="shared" si="62"/>
        <v>176</v>
      </c>
      <c r="C199" s="2">
        <f t="shared" si="67"/>
        <v>14</v>
      </c>
      <c r="D199" s="2">
        <f t="shared" si="68"/>
        <v>8</v>
      </c>
      <c r="E199" s="2">
        <f t="shared" si="69"/>
        <v>43</v>
      </c>
      <c r="F199" s="1">
        <f t="shared" si="63"/>
        <v>310125.54490377969</v>
      </c>
      <c r="H199" s="1">
        <f t="shared" si="56"/>
        <v>2472.9846456530395</v>
      </c>
      <c r="I199" s="1">
        <v>0</v>
      </c>
      <c r="J199" s="1">
        <v>0</v>
      </c>
      <c r="K199" s="1">
        <f t="shared" si="64"/>
        <v>-362.61429427734191</v>
      </c>
      <c r="L199" s="1">
        <f t="shared" si="57"/>
        <v>312235.91525515541</v>
      </c>
      <c r="N199" s="1">
        <f t="shared" si="65"/>
        <v>176</v>
      </c>
      <c r="O199" s="2">
        <f t="shared" si="70"/>
        <v>14</v>
      </c>
      <c r="P199" s="2">
        <f t="shared" si="71"/>
        <v>8</v>
      </c>
      <c r="Q199" s="2">
        <f t="shared" si="72"/>
        <v>14</v>
      </c>
      <c r="R199" s="1">
        <f t="shared" si="66"/>
        <v>2779249.4202901544</v>
      </c>
      <c r="S199" s="4">
        <f>IF($G$4="mensual",S198,0)</f>
        <v>10000</v>
      </c>
      <c r="U199" s="1">
        <f t="shared" si="73"/>
        <v>22241.866568632107</v>
      </c>
      <c r="V199" s="35">
        <f t="shared" si="75"/>
        <v>-153.06634455650706</v>
      </c>
      <c r="X199" s="35">
        <f t="shared" si="74"/>
        <v>-3261.152335796507</v>
      </c>
      <c r="Y199" s="1">
        <f t="shared" si="58"/>
        <v>2808077.0681784335</v>
      </c>
      <c r="AA199" s="2">
        <f>+Bono!J199</f>
        <v>206458.87114882772</v>
      </c>
      <c r="AC199" s="10">
        <f t="shared" si="59"/>
        <v>14.666666666666666</v>
      </c>
      <c r="AD199" s="1">
        <f t="shared" si="60"/>
        <v>3326771.8545824168</v>
      </c>
    </row>
    <row r="200" spans="1:30">
      <c r="A200" s="1">
        <f t="shared" si="61"/>
        <v>14.75</v>
      </c>
      <c r="B200" s="1">
        <f t="shared" si="62"/>
        <v>177</v>
      </c>
      <c r="C200" s="2">
        <f t="shared" si="67"/>
        <v>14</v>
      </c>
      <c r="D200" s="2">
        <f t="shared" si="68"/>
        <v>9</v>
      </c>
      <c r="E200" s="2">
        <f t="shared" si="69"/>
        <v>43</v>
      </c>
      <c r="F200" s="1">
        <f t="shared" si="63"/>
        <v>312235.91525515541</v>
      </c>
      <c r="H200" s="1">
        <f t="shared" si="56"/>
        <v>2489.8130351919044</v>
      </c>
      <c r="I200" s="1">
        <v>0</v>
      </c>
      <c r="J200" s="69">
        <f>-SUM(F200:H200)*$J$21*1.16</f>
        <v>-3285.7366033512267</v>
      </c>
      <c r="K200" s="1">
        <f t="shared" si="64"/>
        <v>-361.27039035691541</v>
      </c>
      <c r="L200" s="1">
        <f t="shared" si="57"/>
        <v>311078.72129663918</v>
      </c>
      <c r="N200" s="1">
        <f t="shared" si="65"/>
        <v>177</v>
      </c>
      <c r="O200" s="2">
        <f t="shared" si="70"/>
        <v>14</v>
      </c>
      <c r="P200" s="2">
        <f t="shared" si="71"/>
        <v>9</v>
      </c>
      <c r="Q200" s="2">
        <f t="shared" si="72"/>
        <v>14</v>
      </c>
      <c r="R200" s="1">
        <f t="shared" si="66"/>
        <v>2808077.0681784335</v>
      </c>
      <c r="S200" s="4">
        <f>IF($G$4="mensual",S199,0)</f>
        <v>10000</v>
      </c>
      <c r="U200" s="1">
        <f t="shared" si="73"/>
        <v>22471.742281128238</v>
      </c>
      <c r="V200" s="35">
        <f t="shared" si="75"/>
        <v>-153.06634455650706</v>
      </c>
      <c r="X200" s="35">
        <f t="shared" si="74"/>
        <v>-3294.8590631734064</v>
      </c>
      <c r="Y200" s="1">
        <f t="shared" si="58"/>
        <v>2837100.8850518321</v>
      </c>
      <c r="AA200" s="2">
        <f>+Bono!J200</f>
        <v>205867.41811483511</v>
      </c>
      <c r="AC200" s="10">
        <f t="shared" si="59"/>
        <v>14.75</v>
      </c>
      <c r="AD200" s="1">
        <f t="shared" si="60"/>
        <v>3354047.0244633062</v>
      </c>
    </row>
    <row r="201" spans="1:30">
      <c r="A201" s="1">
        <f t="shared" si="61"/>
        <v>14.833333333333334</v>
      </c>
      <c r="B201" s="1">
        <f t="shared" si="62"/>
        <v>178</v>
      </c>
      <c r="C201" s="2">
        <f t="shared" si="67"/>
        <v>14</v>
      </c>
      <c r="D201" s="2">
        <f t="shared" si="68"/>
        <v>10</v>
      </c>
      <c r="E201" s="2">
        <f t="shared" si="69"/>
        <v>43</v>
      </c>
      <c r="F201" s="1">
        <f t="shared" si="63"/>
        <v>311078.72129663918</v>
      </c>
      <c r="H201" s="1">
        <f t="shared" si="56"/>
        <v>2480.5854080632171</v>
      </c>
      <c r="I201" s="1">
        <v>0</v>
      </c>
      <c r="J201" s="1">
        <v>0</v>
      </c>
      <c r="K201" s="1">
        <f t="shared" si="64"/>
        <v>-363.72879577745476</v>
      </c>
      <c r="L201" s="1">
        <f t="shared" si="57"/>
        <v>313195.5779089249</v>
      </c>
      <c r="N201" s="1">
        <f t="shared" si="65"/>
        <v>178</v>
      </c>
      <c r="O201" s="2">
        <f t="shared" si="70"/>
        <v>14</v>
      </c>
      <c r="P201" s="2">
        <f t="shared" si="71"/>
        <v>10</v>
      </c>
      <c r="Q201" s="2">
        <f t="shared" si="72"/>
        <v>14</v>
      </c>
      <c r="R201" s="1">
        <f t="shared" si="66"/>
        <v>2837100.8850518321</v>
      </c>
      <c r="S201" s="4">
        <f>IF($G$4="mensual",S192,IF($G$4="trimestral",S192,0))</f>
        <v>10000</v>
      </c>
      <c r="U201" s="1">
        <f t="shared" si="73"/>
        <v>22703.182272659502</v>
      </c>
      <c r="V201" s="35">
        <f t="shared" si="75"/>
        <v>-153.06634455650706</v>
      </c>
      <c r="X201" s="35">
        <f t="shared" si="74"/>
        <v>-3328.7951611367248</v>
      </c>
      <c r="Y201" s="1">
        <f t="shared" si="58"/>
        <v>2866322.2058187984</v>
      </c>
      <c r="AA201" s="2">
        <f>+Bono!J201</f>
        <v>207143.81998628957</v>
      </c>
      <c r="AC201" s="10">
        <f t="shared" si="59"/>
        <v>14.833333333333334</v>
      </c>
      <c r="AD201" s="1">
        <f t="shared" si="60"/>
        <v>3386661.6037140125</v>
      </c>
    </row>
    <row r="202" spans="1:30">
      <c r="A202" s="1">
        <f t="shared" si="61"/>
        <v>14.916666666666666</v>
      </c>
      <c r="B202" s="1">
        <f t="shared" si="62"/>
        <v>179</v>
      </c>
      <c r="C202" s="2">
        <f t="shared" si="67"/>
        <v>14</v>
      </c>
      <c r="D202" s="2">
        <f t="shared" si="68"/>
        <v>11</v>
      </c>
      <c r="E202" s="2">
        <f t="shared" si="69"/>
        <v>43</v>
      </c>
      <c r="F202" s="1">
        <f t="shared" si="63"/>
        <v>313195.5779089249</v>
      </c>
      <c r="H202" s="1">
        <f t="shared" si="56"/>
        <v>2497.4655199574368</v>
      </c>
      <c r="I202" s="1">
        <v>0</v>
      </c>
      <c r="J202" s="1">
        <v>0</v>
      </c>
      <c r="K202" s="1">
        <f t="shared" si="64"/>
        <v>-366.20393037750347</v>
      </c>
      <c r="L202" s="1">
        <f t="shared" si="57"/>
        <v>315326.83949850482</v>
      </c>
      <c r="N202" s="1">
        <f t="shared" si="65"/>
        <v>179</v>
      </c>
      <c r="O202" s="2">
        <f t="shared" si="70"/>
        <v>14</v>
      </c>
      <c r="P202" s="2">
        <f t="shared" si="71"/>
        <v>11</v>
      </c>
      <c r="Q202" s="2">
        <f t="shared" si="72"/>
        <v>14</v>
      </c>
      <c r="R202" s="1">
        <f t="shared" si="66"/>
        <v>2866322.2058187984</v>
      </c>
      <c r="S202" s="1">
        <f>IF($G$17="si",S190*(1+$G$20),S190)</f>
        <v>10000</v>
      </c>
      <c r="U202" s="1">
        <f t="shared" si="73"/>
        <v>22936.197187973336</v>
      </c>
      <c r="V202" s="35">
        <f t="shared" si="75"/>
        <v>-153.06634455650706</v>
      </c>
      <c r="X202" s="35">
        <f t="shared" si="74"/>
        <v>-3362.9621905281697</v>
      </c>
      <c r="Y202" s="1">
        <f t="shared" si="58"/>
        <v>2895742.3744716868</v>
      </c>
      <c r="AA202" s="2">
        <f>+Bono!J202</f>
        <v>208428.13569740052</v>
      </c>
      <c r="AC202" s="10">
        <f t="shared" si="59"/>
        <v>14.916666666666666</v>
      </c>
      <c r="AD202" s="1">
        <f t="shared" si="60"/>
        <v>3419497.3496675924</v>
      </c>
    </row>
    <row r="203" spans="1:30">
      <c r="A203" s="1">
        <f t="shared" si="61"/>
        <v>15</v>
      </c>
      <c r="B203" s="1">
        <f t="shared" si="62"/>
        <v>180</v>
      </c>
      <c r="C203" s="2">
        <f t="shared" si="67"/>
        <v>14</v>
      </c>
      <c r="D203" s="2">
        <f t="shared" si="68"/>
        <v>12</v>
      </c>
      <c r="E203" s="2">
        <f t="shared" si="69"/>
        <v>43</v>
      </c>
      <c r="F203" s="1">
        <f t="shared" si="63"/>
        <v>315326.83949850482</v>
      </c>
      <c r="H203" s="1">
        <f t="shared" si="56"/>
        <v>2514.4604991634756</v>
      </c>
      <c r="I203" s="1">
        <v>0</v>
      </c>
      <c r="J203" s="69">
        <f>-SUM(F203:H203)*$J$21*1.16</f>
        <v>-3318.2631719756573</v>
      </c>
      <c r="K203" s="1">
        <f t="shared" si="64"/>
        <v>-364.84672271780346</v>
      </c>
      <c r="L203" s="1">
        <f t="shared" si="57"/>
        <v>314158.19010297483</v>
      </c>
      <c r="N203" s="1">
        <f t="shared" si="65"/>
        <v>180</v>
      </c>
      <c r="O203" s="2">
        <f t="shared" si="70"/>
        <v>14</v>
      </c>
      <c r="P203" s="2">
        <f t="shared" si="71"/>
        <v>12</v>
      </c>
      <c r="Q203" s="2">
        <f t="shared" si="72"/>
        <v>14</v>
      </c>
      <c r="R203" s="1">
        <f t="shared" si="66"/>
        <v>2895742.3744716868</v>
      </c>
      <c r="S203" s="4">
        <f>IF($G$4="mensual",S202,0)</f>
        <v>10000</v>
      </c>
      <c r="U203" s="1">
        <f t="shared" si="73"/>
        <v>23170.797744253498</v>
      </c>
      <c r="V203" s="35">
        <f t="shared" si="75"/>
        <v>-153.06634455650706</v>
      </c>
      <c r="X203" s="35">
        <f t="shared" si="74"/>
        <v>-3397.3617228108051</v>
      </c>
      <c r="Y203" s="1">
        <f t="shared" si="58"/>
        <v>2925362.7441485734</v>
      </c>
      <c r="AA203" s="2">
        <f>+Bono!J203</f>
        <v>207831.04121295581</v>
      </c>
      <c r="AC203" s="10">
        <f t="shared" si="59"/>
        <v>15</v>
      </c>
      <c r="AD203" s="1">
        <f t="shared" si="60"/>
        <v>3447351.9754645042</v>
      </c>
    </row>
    <row r="204" spans="1:30">
      <c r="A204" s="1">
        <f t="shared" si="61"/>
        <v>15.083333333333334</v>
      </c>
      <c r="B204" s="1">
        <f t="shared" si="62"/>
        <v>181</v>
      </c>
      <c r="C204" s="2">
        <f t="shared" si="67"/>
        <v>15</v>
      </c>
      <c r="D204" s="2">
        <f t="shared" si="68"/>
        <v>1</v>
      </c>
      <c r="E204" s="2">
        <f t="shared" si="69"/>
        <v>44</v>
      </c>
      <c r="F204" s="1">
        <f t="shared" si="63"/>
        <v>314158.19010297483</v>
      </c>
      <c r="H204" s="1">
        <f t="shared" si="56"/>
        <v>2505.1415247713662</v>
      </c>
      <c r="I204" s="1">
        <v>0</v>
      </c>
      <c r="J204" s="1">
        <v>0</v>
      </c>
      <c r="K204" s="1">
        <f t="shared" si="64"/>
        <v>-367.32946468818551</v>
      </c>
      <c r="L204" s="1">
        <f t="shared" si="57"/>
        <v>316296.00216305797</v>
      </c>
      <c r="N204" s="1">
        <f t="shared" si="65"/>
        <v>181</v>
      </c>
      <c r="O204" s="2">
        <f t="shared" si="70"/>
        <v>15</v>
      </c>
      <c r="P204" s="2">
        <f t="shared" si="71"/>
        <v>1</v>
      </c>
      <c r="Q204" s="2">
        <f t="shared" si="72"/>
        <v>15</v>
      </c>
      <c r="R204" s="1">
        <f t="shared" si="66"/>
        <v>2925362.7441485734</v>
      </c>
      <c r="S204" s="1">
        <f>IF($G$17="si",S192*(1+$G$20),S192)</f>
        <v>10000</v>
      </c>
      <c r="U204" s="1">
        <f t="shared" si="73"/>
        <v>23406.994731613035</v>
      </c>
      <c r="V204" s="35">
        <f>V203*(1+$G$18)</f>
        <v>-159.18899833876736</v>
      </c>
      <c r="X204" s="35">
        <f t="shared" si="74"/>
        <v>-3431.9882378629427</v>
      </c>
      <c r="Y204" s="1">
        <f t="shared" si="58"/>
        <v>2955178.5616439846</v>
      </c>
      <c r="AA204" s="2">
        <f>+Bono!J204</f>
        <v>209119.6177753848</v>
      </c>
      <c r="AC204" s="10">
        <f t="shared" si="59"/>
        <v>15.083333333333334</v>
      </c>
      <c r="AD204" s="1">
        <f t="shared" si="60"/>
        <v>3480594.1815824276</v>
      </c>
    </row>
    <row r="205" spans="1:30">
      <c r="A205" s="1">
        <f t="shared" si="61"/>
        <v>15.166666666666666</v>
      </c>
      <c r="B205" s="1">
        <f t="shared" si="62"/>
        <v>182</v>
      </c>
      <c r="C205" s="2">
        <f t="shared" si="67"/>
        <v>15</v>
      </c>
      <c r="D205" s="2">
        <f t="shared" si="68"/>
        <v>2</v>
      </c>
      <c r="E205" s="2">
        <f t="shared" si="69"/>
        <v>44</v>
      </c>
      <c r="F205" s="1">
        <f t="shared" si="63"/>
        <v>316296.00216305797</v>
      </c>
      <c r="H205" s="1">
        <f t="shared" si="56"/>
        <v>2522.188738349073</v>
      </c>
      <c r="I205" s="1">
        <v>0</v>
      </c>
      <c r="J205" s="1">
        <v>0</v>
      </c>
      <c r="K205" s="1">
        <f t="shared" si="64"/>
        <v>-369.82910144563215</v>
      </c>
      <c r="L205" s="1">
        <f t="shared" si="57"/>
        <v>318448.36179996142</v>
      </c>
      <c r="N205" s="1">
        <f t="shared" si="65"/>
        <v>182</v>
      </c>
      <c r="O205" s="2">
        <f t="shared" si="70"/>
        <v>15</v>
      </c>
      <c r="P205" s="2">
        <f t="shared" si="71"/>
        <v>2</v>
      </c>
      <c r="Q205" s="2">
        <f t="shared" si="72"/>
        <v>15</v>
      </c>
      <c r="R205" s="1">
        <f t="shared" si="66"/>
        <v>2955178.5616439846</v>
      </c>
      <c r="S205" s="4">
        <f>IF($G$4="mensual",S204,0)</f>
        <v>10000</v>
      </c>
      <c r="U205" s="1">
        <f t="shared" si="73"/>
        <v>23644.750247324009</v>
      </c>
      <c r="V205" s="35">
        <f t="shared" si="75"/>
        <v>-159.18899833876736</v>
      </c>
      <c r="X205" s="35">
        <f t="shared" si="74"/>
        <v>-3466.8503825558446</v>
      </c>
      <c r="Y205" s="1">
        <f t="shared" si="58"/>
        <v>2985197.272510414</v>
      </c>
      <c r="AA205" s="2">
        <f>+Bono!J205</f>
        <v>210416.1836619665</v>
      </c>
      <c r="AC205" s="10">
        <f t="shared" si="59"/>
        <v>15.166666666666666</v>
      </c>
      <c r="AD205" s="1">
        <f t="shared" si="60"/>
        <v>3514061.817972342</v>
      </c>
    </row>
    <row r="206" spans="1:30">
      <c r="A206" s="1">
        <f t="shared" si="61"/>
        <v>15.25</v>
      </c>
      <c r="B206" s="1">
        <f t="shared" si="62"/>
        <v>183</v>
      </c>
      <c r="C206" s="2">
        <f t="shared" si="67"/>
        <v>15</v>
      </c>
      <c r="D206" s="2">
        <f t="shared" si="68"/>
        <v>3</v>
      </c>
      <c r="E206" s="2">
        <f t="shared" si="69"/>
        <v>44</v>
      </c>
      <c r="F206" s="1">
        <f t="shared" si="63"/>
        <v>318448.36179996142</v>
      </c>
      <c r="H206" s="1">
        <f t="shared" si="56"/>
        <v>2539.3519563472455</v>
      </c>
      <c r="I206" s="1">
        <v>0</v>
      </c>
      <c r="J206" s="69">
        <f>-SUM(F206:H206)*$J$21*1.16</f>
        <v>-3351.1117316158625</v>
      </c>
      <c r="K206" s="1">
        <f t="shared" si="64"/>
        <v>-368.45845834864366</v>
      </c>
      <c r="L206" s="1">
        <f t="shared" si="57"/>
        <v>317268.14356634417</v>
      </c>
      <c r="N206" s="1">
        <f t="shared" si="65"/>
        <v>183</v>
      </c>
      <c r="O206" s="2">
        <f t="shared" si="70"/>
        <v>15</v>
      </c>
      <c r="P206" s="2">
        <f t="shared" si="71"/>
        <v>3</v>
      </c>
      <c r="Q206" s="2">
        <f t="shared" si="72"/>
        <v>15</v>
      </c>
      <c r="R206" s="1">
        <f t="shared" si="66"/>
        <v>2985197.272510414</v>
      </c>
      <c r="S206" s="4">
        <f>IF($G$4="mensual",S205,0)</f>
        <v>10000</v>
      </c>
      <c r="U206" s="1">
        <f t="shared" si="73"/>
        <v>23884.123663267579</v>
      </c>
      <c r="V206" s="35">
        <f t="shared" si="75"/>
        <v>-159.18899833876736</v>
      </c>
      <c r="X206" s="35">
        <f t="shared" si="74"/>
        <v>-3501.9497603233976</v>
      </c>
      <c r="Y206" s="1">
        <f t="shared" si="58"/>
        <v>3015420.2574150194</v>
      </c>
      <c r="AA206" s="2">
        <f>+Bono!J206</f>
        <v>209813.39391728025</v>
      </c>
      <c r="AC206" s="10">
        <f t="shared" si="59"/>
        <v>15.25</v>
      </c>
      <c r="AD206" s="1">
        <f t="shared" si="60"/>
        <v>3542501.7948986441</v>
      </c>
    </row>
    <row r="207" spans="1:30">
      <c r="A207" s="1">
        <f t="shared" si="61"/>
        <v>15.333333333333334</v>
      </c>
      <c r="B207" s="1">
        <f t="shared" si="62"/>
        <v>184</v>
      </c>
      <c r="C207" s="2">
        <f t="shared" si="67"/>
        <v>15</v>
      </c>
      <c r="D207" s="2">
        <f t="shared" si="68"/>
        <v>4</v>
      </c>
      <c r="E207" s="2">
        <f t="shared" si="69"/>
        <v>44</v>
      </c>
      <c r="F207" s="1">
        <f t="shared" si="63"/>
        <v>317268.14356634417</v>
      </c>
      <c r="H207" s="1">
        <f t="shared" si="56"/>
        <v>2529.9407304156289</v>
      </c>
      <c r="I207" s="1">
        <v>0</v>
      </c>
      <c r="J207" s="1">
        <v>0</v>
      </c>
      <c r="K207" s="1">
        <f t="shared" si="64"/>
        <v>-370.96577778424131</v>
      </c>
      <c r="L207" s="1">
        <f t="shared" si="57"/>
        <v>319427.11851897556</v>
      </c>
      <c r="N207" s="1">
        <f t="shared" si="65"/>
        <v>184</v>
      </c>
      <c r="O207" s="2">
        <f t="shared" si="70"/>
        <v>15</v>
      </c>
      <c r="P207" s="2">
        <f t="shared" si="71"/>
        <v>4</v>
      </c>
      <c r="Q207" s="2">
        <f t="shared" si="72"/>
        <v>15</v>
      </c>
      <c r="R207" s="1">
        <f t="shared" si="66"/>
        <v>3015420.2574150194</v>
      </c>
      <c r="S207" s="4">
        <f>IF($G$4="mensual",S204,IF($G$4="trimestral",S204,0))</f>
        <v>10000</v>
      </c>
      <c r="U207" s="1">
        <f t="shared" si="73"/>
        <v>24125.12598907754</v>
      </c>
      <c r="V207" s="35">
        <f t="shared" si="75"/>
        <v>-159.18899833876736</v>
      </c>
      <c r="X207" s="35">
        <f t="shared" si="74"/>
        <v>-3537.2879855106794</v>
      </c>
      <c r="Y207" s="1">
        <f t="shared" si="58"/>
        <v>3045848.9064202476</v>
      </c>
      <c r="AA207" s="2">
        <f>+Bono!J207</f>
        <v>211114.26129641474</v>
      </c>
      <c r="AC207" s="10">
        <f t="shared" si="59"/>
        <v>15.333333333333334</v>
      </c>
      <c r="AD207" s="1">
        <f t="shared" si="60"/>
        <v>3576390.286235638</v>
      </c>
    </row>
    <row r="208" spans="1:30">
      <c r="A208" s="1">
        <f t="shared" si="61"/>
        <v>15.416666666666666</v>
      </c>
      <c r="B208" s="1">
        <f t="shared" si="62"/>
        <v>185</v>
      </c>
      <c r="C208" s="2">
        <f t="shared" si="67"/>
        <v>15</v>
      </c>
      <c r="D208" s="2">
        <f t="shared" si="68"/>
        <v>5</v>
      </c>
      <c r="E208" s="2">
        <f t="shared" si="69"/>
        <v>44</v>
      </c>
      <c r="F208" s="1">
        <f t="shared" si="63"/>
        <v>319427.11851897556</v>
      </c>
      <c r="H208" s="1">
        <f t="shared" si="56"/>
        <v>2547.1566998703975</v>
      </c>
      <c r="I208" s="1">
        <v>0</v>
      </c>
      <c r="J208" s="1">
        <v>0</v>
      </c>
      <c r="K208" s="1">
        <f t="shared" si="64"/>
        <v>-373.49015925386135</v>
      </c>
      <c r="L208" s="1">
        <f t="shared" si="57"/>
        <v>321600.7850595921</v>
      </c>
      <c r="N208" s="1">
        <f t="shared" si="65"/>
        <v>185</v>
      </c>
      <c r="O208" s="2">
        <f t="shared" si="70"/>
        <v>15</v>
      </c>
      <c r="P208" s="2">
        <f t="shared" si="71"/>
        <v>5</v>
      </c>
      <c r="Q208" s="2">
        <f t="shared" si="72"/>
        <v>15</v>
      </c>
      <c r="R208" s="1">
        <f t="shared" si="66"/>
        <v>3045848.9064202476</v>
      </c>
      <c r="S208" s="4">
        <f>IF($G$4="mensual",S207,0)</f>
        <v>10000</v>
      </c>
      <c r="U208" s="1">
        <f t="shared" si="73"/>
        <v>24367.768309307052</v>
      </c>
      <c r="V208" s="35">
        <f t="shared" si="75"/>
        <v>-159.18899833876736</v>
      </c>
      <c r="X208" s="35">
        <f t="shared" si="74"/>
        <v>-3572.8666834482106</v>
      </c>
      <c r="Y208" s="1">
        <f t="shared" si="58"/>
        <v>3076484.6190477679</v>
      </c>
      <c r="AA208" s="2">
        <f>+Bono!J208</f>
        <v>212423.19420419115</v>
      </c>
      <c r="AC208" s="10">
        <f t="shared" si="59"/>
        <v>15.416666666666666</v>
      </c>
      <c r="AD208" s="1">
        <f t="shared" si="60"/>
        <v>3610508.5983115514</v>
      </c>
    </row>
    <row r="209" spans="1:30">
      <c r="A209" s="1">
        <f t="shared" si="61"/>
        <v>15.5</v>
      </c>
      <c r="B209" s="1">
        <f t="shared" si="62"/>
        <v>186</v>
      </c>
      <c r="C209" s="2">
        <f t="shared" si="67"/>
        <v>15</v>
      </c>
      <c r="D209" s="2">
        <f t="shared" si="68"/>
        <v>6</v>
      </c>
      <c r="E209" s="2">
        <f t="shared" si="69"/>
        <v>44</v>
      </c>
      <c r="F209" s="1">
        <f t="shared" si="63"/>
        <v>321600.7850595921</v>
      </c>
      <c r="H209" s="1">
        <f t="shared" si="56"/>
        <v>2564.4898221108829</v>
      </c>
      <c r="I209" s="1">
        <v>0</v>
      </c>
      <c r="J209" s="69">
        <f>-SUM(F209:H209)*$J$21*1.16</f>
        <v>-3384.2854697649796</v>
      </c>
      <c r="K209" s="1">
        <f t="shared" si="64"/>
        <v>-372.1059477178481</v>
      </c>
      <c r="L209" s="1">
        <f t="shared" si="57"/>
        <v>320408.88346422015</v>
      </c>
      <c r="N209" s="1">
        <f t="shared" si="65"/>
        <v>186</v>
      </c>
      <c r="O209" s="2">
        <f t="shared" si="70"/>
        <v>15</v>
      </c>
      <c r="P209" s="2">
        <f t="shared" si="71"/>
        <v>6</v>
      </c>
      <c r="Q209" s="2">
        <f t="shared" si="72"/>
        <v>15</v>
      </c>
      <c r="R209" s="1">
        <f t="shared" si="66"/>
        <v>3076484.6190477679</v>
      </c>
      <c r="S209" s="4">
        <f>IF($G$4="mensual",S208,0)</f>
        <v>10000</v>
      </c>
      <c r="U209" s="1">
        <f t="shared" si="73"/>
        <v>24612.061783938439</v>
      </c>
      <c r="V209" s="35">
        <f t="shared" si="75"/>
        <v>-159.18899833876736</v>
      </c>
      <c r="X209" s="35">
        <f t="shared" si="74"/>
        <v>-3608.6874905267064</v>
      </c>
      <c r="Y209" s="1">
        <f t="shared" si="58"/>
        <v>3107328.8043428413</v>
      </c>
      <c r="AA209" s="2">
        <f>+Bono!J209</f>
        <v>211814.65487622059</v>
      </c>
      <c r="AC209" s="10">
        <f t="shared" si="59"/>
        <v>15.5</v>
      </c>
      <c r="AD209" s="1">
        <f t="shared" si="60"/>
        <v>3639552.3426832817</v>
      </c>
    </row>
    <row r="210" spans="1:30">
      <c r="A210" s="1">
        <f t="shared" si="61"/>
        <v>15.583333333333334</v>
      </c>
      <c r="B210" s="1">
        <f t="shared" si="62"/>
        <v>187</v>
      </c>
      <c r="C210" s="2">
        <f t="shared" si="67"/>
        <v>15</v>
      </c>
      <c r="D210" s="2">
        <f t="shared" si="68"/>
        <v>7</v>
      </c>
      <c r="E210" s="2">
        <f t="shared" si="69"/>
        <v>44</v>
      </c>
      <c r="F210" s="1">
        <f t="shared" si="63"/>
        <v>320408.88346422015</v>
      </c>
      <c r="H210" s="1">
        <f t="shared" si="56"/>
        <v>2554.985431411953</v>
      </c>
      <c r="I210" s="1">
        <v>0</v>
      </c>
      <c r="J210" s="1">
        <v>0</v>
      </c>
      <c r="K210" s="1">
        <f t="shared" si="64"/>
        <v>-374.63808791893325</v>
      </c>
      <c r="L210" s="1">
        <f t="shared" si="57"/>
        <v>322589.23080771317</v>
      </c>
      <c r="N210" s="1">
        <f t="shared" si="65"/>
        <v>187</v>
      </c>
      <c r="O210" s="2">
        <f t="shared" si="70"/>
        <v>15</v>
      </c>
      <c r="P210" s="2">
        <f t="shared" si="71"/>
        <v>7</v>
      </c>
      <c r="Q210" s="2">
        <f t="shared" si="72"/>
        <v>15</v>
      </c>
      <c r="R210" s="1">
        <f t="shared" si="66"/>
        <v>3107328.8043428413</v>
      </c>
      <c r="S210" s="1">
        <f>+IF($G$4="mensual",S204,IF($G$4="trimestral",S204,IF($G$4="semestral",S204,0)))</f>
        <v>10000</v>
      </c>
      <c r="U210" s="1">
        <f t="shared" si="73"/>
        <v>24858.017648896483</v>
      </c>
      <c r="V210" s="35">
        <f t="shared" si="75"/>
        <v>-159.18899833876736</v>
      </c>
      <c r="X210" s="35">
        <f t="shared" si="74"/>
        <v>-3644.7520542723428</v>
      </c>
      <c r="Y210" s="1">
        <f t="shared" si="58"/>
        <v>3138382.8809391269</v>
      </c>
      <c r="AA210" s="2">
        <f>+Bono!J210</f>
        <v>213127.93030543244</v>
      </c>
      <c r="AC210" s="10">
        <f t="shared" si="59"/>
        <v>15.583333333333334</v>
      </c>
      <c r="AD210" s="1">
        <f t="shared" si="60"/>
        <v>3674100.0420522727</v>
      </c>
    </row>
    <row r="211" spans="1:30">
      <c r="A211" s="1">
        <f t="shared" si="61"/>
        <v>15.666666666666666</v>
      </c>
      <c r="B211" s="1">
        <f t="shared" si="62"/>
        <v>188</v>
      </c>
      <c r="C211" s="2">
        <f t="shared" si="67"/>
        <v>15</v>
      </c>
      <c r="D211" s="2">
        <f t="shared" si="68"/>
        <v>8</v>
      </c>
      <c r="E211" s="2">
        <f t="shared" si="69"/>
        <v>44</v>
      </c>
      <c r="F211" s="1">
        <f t="shared" si="63"/>
        <v>322589.23080771317</v>
      </c>
      <c r="H211" s="1">
        <f t="shared" si="56"/>
        <v>2572.3718273127533</v>
      </c>
      <c r="I211" s="1">
        <v>0</v>
      </c>
      <c r="J211" s="1">
        <v>0</v>
      </c>
      <c r="K211" s="1">
        <f t="shared" si="64"/>
        <v>-377.18745905663008</v>
      </c>
      <c r="L211" s="1">
        <f t="shared" si="57"/>
        <v>324784.4151759693</v>
      </c>
      <c r="N211" s="1">
        <f t="shared" si="65"/>
        <v>188</v>
      </c>
      <c r="O211" s="2">
        <f t="shared" si="70"/>
        <v>15</v>
      </c>
      <c r="P211" s="2">
        <f t="shared" si="71"/>
        <v>8</v>
      </c>
      <c r="Q211" s="2">
        <f t="shared" si="72"/>
        <v>15</v>
      </c>
      <c r="R211" s="1">
        <f t="shared" si="66"/>
        <v>3138382.8809391269</v>
      </c>
      <c r="S211" s="4">
        <f>IF($G$4="mensual",S210,0)</f>
        <v>10000</v>
      </c>
      <c r="U211" s="1">
        <f t="shared" si="73"/>
        <v>25105.647216565198</v>
      </c>
      <c r="V211" s="35">
        <f t="shared" si="75"/>
        <v>-159.18899833876736</v>
      </c>
      <c r="X211" s="35">
        <f t="shared" si="74"/>
        <v>-3681.0620334225296</v>
      </c>
      <c r="Y211" s="1">
        <f t="shared" si="58"/>
        <v>3169648.2771239304</v>
      </c>
      <c r="AA211" s="2">
        <f>+Bono!J211</f>
        <v>214449.34819463591</v>
      </c>
      <c r="AC211" s="10">
        <f t="shared" si="59"/>
        <v>15.666666666666666</v>
      </c>
      <c r="AD211" s="1">
        <f t="shared" si="60"/>
        <v>3708882.0404945356</v>
      </c>
    </row>
    <row r="212" spans="1:30">
      <c r="A212" s="1">
        <f t="shared" si="61"/>
        <v>15.75</v>
      </c>
      <c r="B212" s="1">
        <f t="shared" si="62"/>
        <v>189</v>
      </c>
      <c r="C212" s="2">
        <f t="shared" si="67"/>
        <v>15</v>
      </c>
      <c r="D212" s="2">
        <f t="shared" si="68"/>
        <v>9</v>
      </c>
      <c r="E212" s="2">
        <f t="shared" si="69"/>
        <v>44</v>
      </c>
      <c r="F212" s="1">
        <f t="shared" si="63"/>
        <v>324784.4151759693</v>
      </c>
      <c r="H212" s="1">
        <f t="shared" si="56"/>
        <v>2589.8765357325619</v>
      </c>
      <c r="I212" s="1">
        <v>0</v>
      </c>
      <c r="J212" s="69">
        <f>-SUM(F212:H212)*$J$21*1.16</f>
        <v>-3417.7876054701678</v>
      </c>
      <c r="K212" s="1">
        <f t="shared" si="64"/>
        <v>-375.78954476322883</v>
      </c>
      <c r="L212" s="1">
        <f t="shared" si="57"/>
        <v>323580.71456146851</v>
      </c>
      <c r="N212" s="1">
        <f t="shared" si="65"/>
        <v>189</v>
      </c>
      <c r="O212" s="2">
        <f t="shared" si="70"/>
        <v>15</v>
      </c>
      <c r="P212" s="2">
        <f t="shared" si="71"/>
        <v>9</v>
      </c>
      <c r="Q212" s="2">
        <f t="shared" si="72"/>
        <v>15</v>
      </c>
      <c r="R212" s="1">
        <f t="shared" si="66"/>
        <v>3169648.2771239304</v>
      </c>
      <c r="S212" s="4">
        <f>IF($G$4="mensual",S211,0)</f>
        <v>10000</v>
      </c>
      <c r="U212" s="1">
        <f t="shared" si="73"/>
        <v>25354.961876308134</v>
      </c>
      <c r="V212" s="35">
        <f t="shared" si="75"/>
        <v>-159.18899833876736</v>
      </c>
      <c r="X212" s="35">
        <f t="shared" si="74"/>
        <v>-3717.6190980022034</v>
      </c>
      <c r="Y212" s="1">
        <f t="shared" si="58"/>
        <v>3201126.4309038976</v>
      </c>
      <c r="AA212" s="2">
        <f>+Bono!J212</f>
        <v>213835.00444218935</v>
      </c>
      <c r="AC212" s="10">
        <f t="shared" si="59"/>
        <v>15.75</v>
      </c>
      <c r="AD212" s="1">
        <f t="shared" si="60"/>
        <v>3738542.1499075554</v>
      </c>
    </row>
    <row r="213" spans="1:30">
      <c r="A213" s="1">
        <f t="shared" si="61"/>
        <v>15.833333333333334</v>
      </c>
      <c r="B213" s="1">
        <f t="shared" si="62"/>
        <v>190</v>
      </c>
      <c r="C213" s="2">
        <f t="shared" si="67"/>
        <v>15</v>
      </c>
      <c r="D213" s="2">
        <f t="shared" si="68"/>
        <v>10</v>
      </c>
      <c r="E213" s="2">
        <f t="shared" si="69"/>
        <v>44</v>
      </c>
      <c r="F213" s="1">
        <f t="shared" si="63"/>
        <v>323580.71456146851</v>
      </c>
      <c r="H213" s="1">
        <f t="shared" si="56"/>
        <v>2580.278057998175</v>
      </c>
      <c r="I213" s="1">
        <v>0</v>
      </c>
      <c r="J213" s="1">
        <v>0</v>
      </c>
      <c r="K213" s="1">
        <f t="shared" si="64"/>
        <v>-378.34675143858135</v>
      </c>
      <c r="L213" s="1">
        <f t="shared" si="57"/>
        <v>325782.64586802811</v>
      </c>
      <c r="N213" s="1">
        <f t="shared" si="65"/>
        <v>190</v>
      </c>
      <c r="O213" s="2">
        <f t="shared" si="70"/>
        <v>15</v>
      </c>
      <c r="P213" s="2">
        <f t="shared" si="71"/>
        <v>10</v>
      </c>
      <c r="Q213" s="2">
        <f t="shared" si="72"/>
        <v>15</v>
      </c>
      <c r="R213" s="1">
        <f t="shared" si="66"/>
        <v>3201126.4309038976</v>
      </c>
      <c r="S213" s="4">
        <f>IF($G$4="mensual",S204,IF($G$4="trimestral",S204,0))</f>
        <v>10000</v>
      </c>
      <c r="U213" s="1">
        <f t="shared" si="73"/>
        <v>25605.97309499222</v>
      </c>
      <c r="V213" s="35">
        <f t="shared" si="75"/>
        <v>-159.18899833876736</v>
      </c>
      <c r="X213" s="35">
        <f t="shared" si="74"/>
        <v>-3754.424929400639</v>
      </c>
      <c r="Y213" s="1">
        <f t="shared" si="58"/>
        <v>3232818.7900711508</v>
      </c>
      <c r="AA213" s="2">
        <f>+Bono!J213</f>
        <v>215160.80627305622</v>
      </c>
      <c r="AC213" s="10">
        <f t="shared" si="59"/>
        <v>15.833333333333334</v>
      </c>
      <c r="AD213" s="1">
        <f t="shared" si="60"/>
        <v>3773762.242212235</v>
      </c>
    </row>
    <row r="214" spans="1:30">
      <c r="A214" s="1">
        <f t="shared" si="61"/>
        <v>15.916666666666666</v>
      </c>
      <c r="B214" s="1">
        <f t="shared" si="62"/>
        <v>191</v>
      </c>
      <c r="C214" s="2">
        <f t="shared" si="67"/>
        <v>15</v>
      </c>
      <c r="D214" s="2">
        <f t="shared" si="68"/>
        <v>11</v>
      </c>
      <c r="E214" s="2">
        <f t="shared" si="69"/>
        <v>44</v>
      </c>
      <c r="F214" s="1">
        <f t="shared" si="63"/>
        <v>325782.64586802811</v>
      </c>
      <c r="H214" s="1">
        <f t="shared" si="56"/>
        <v>2597.8365674514807</v>
      </c>
      <c r="I214" s="1">
        <v>0</v>
      </c>
      <c r="J214" s="1">
        <v>0</v>
      </c>
      <c r="K214" s="1">
        <f t="shared" si="64"/>
        <v>-380.92135962515624</v>
      </c>
      <c r="L214" s="1">
        <f t="shared" si="57"/>
        <v>327999.56107585441</v>
      </c>
      <c r="N214" s="1">
        <f t="shared" si="65"/>
        <v>191</v>
      </c>
      <c r="O214" s="2">
        <f t="shared" si="70"/>
        <v>15</v>
      </c>
      <c r="P214" s="2">
        <f t="shared" si="71"/>
        <v>11</v>
      </c>
      <c r="Q214" s="2">
        <f t="shared" si="72"/>
        <v>15</v>
      </c>
      <c r="R214" s="1">
        <f t="shared" si="66"/>
        <v>3232818.7900711508</v>
      </c>
      <c r="S214" s="1">
        <f>IF($G$17="si",S202*(1+$G$20),S202)</f>
        <v>10000</v>
      </c>
      <c r="U214" s="1">
        <f t="shared" si="73"/>
        <v>25858.692417515151</v>
      </c>
      <c r="V214" s="35">
        <f t="shared" si="75"/>
        <v>-159.18899833876736</v>
      </c>
      <c r="X214" s="35">
        <f t="shared" si="74"/>
        <v>-3791.4812204487789</v>
      </c>
      <c r="Y214" s="1">
        <f t="shared" si="58"/>
        <v>3264726.8122698781</v>
      </c>
      <c r="AA214" s="2">
        <f>+Bono!J214</f>
        <v>216494.82822905798</v>
      </c>
      <c r="AC214" s="10">
        <f t="shared" si="59"/>
        <v>15.916666666666666</v>
      </c>
      <c r="AD214" s="1">
        <f t="shared" si="60"/>
        <v>3809221.2015747908</v>
      </c>
    </row>
    <row r="215" spans="1:30">
      <c r="A215" s="1">
        <f t="shared" si="61"/>
        <v>16</v>
      </c>
      <c r="B215" s="1">
        <f t="shared" si="62"/>
        <v>192</v>
      </c>
      <c r="C215" s="2">
        <f t="shared" si="67"/>
        <v>15</v>
      </c>
      <c r="D215" s="2">
        <f t="shared" si="68"/>
        <v>12</v>
      </c>
      <c r="E215" s="2">
        <f t="shared" si="69"/>
        <v>44</v>
      </c>
      <c r="F215" s="1">
        <f t="shared" si="63"/>
        <v>327999.56107585441</v>
      </c>
      <c r="H215" s="1">
        <f t="shared" si="56"/>
        <v>2615.51456063766</v>
      </c>
      <c r="I215" s="1">
        <v>0</v>
      </c>
      <c r="J215" s="69">
        <f>-SUM(F215:H215)*$J$21*1.16</f>
        <v>-3451.6213896449772</v>
      </c>
      <c r="K215" s="1">
        <f t="shared" si="64"/>
        <v>-379.5096069263426</v>
      </c>
      <c r="L215" s="1">
        <f t="shared" si="57"/>
        <v>326783.94463992072</v>
      </c>
      <c r="N215" s="1">
        <f t="shared" si="65"/>
        <v>192</v>
      </c>
      <c r="O215" s="2">
        <f t="shared" si="70"/>
        <v>15</v>
      </c>
      <c r="P215" s="2">
        <f t="shared" si="71"/>
        <v>12</v>
      </c>
      <c r="Q215" s="2">
        <f t="shared" si="72"/>
        <v>15</v>
      </c>
      <c r="R215" s="1">
        <f t="shared" si="66"/>
        <v>3264726.8122698781</v>
      </c>
      <c r="S215" s="4">
        <f>IF($G$4="mensual",S214,0)</f>
        <v>10000</v>
      </c>
      <c r="U215" s="1">
        <f t="shared" si="73"/>
        <v>26113.131467336381</v>
      </c>
      <c r="V215" s="35">
        <f t="shared" si="75"/>
        <v>-159.18899833876736</v>
      </c>
      <c r="X215" s="35">
        <f t="shared" si="74"/>
        <v>-3828.7896754970957</v>
      </c>
      <c r="Y215" s="1">
        <f t="shared" si="58"/>
        <v>3296851.9650633787</v>
      </c>
      <c r="AA215" s="2">
        <f>+Bono!J215</f>
        <v>215874.62468785251</v>
      </c>
      <c r="AC215" s="10">
        <f t="shared" si="59"/>
        <v>16</v>
      </c>
      <c r="AD215" s="1">
        <f t="shared" si="60"/>
        <v>3839510.5343911517</v>
      </c>
    </row>
    <row r="216" spans="1:30">
      <c r="A216" s="1">
        <f t="shared" si="61"/>
        <v>16.083333333333332</v>
      </c>
      <c r="B216" s="1">
        <f t="shared" si="62"/>
        <v>193</v>
      </c>
      <c r="C216" s="2">
        <f t="shared" si="67"/>
        <v>16</v>
      </c>
      <c r="D216" s="2">
        <f t="shared" si="68"/>
        <v>1</v>
      </c>
      <c r="E216" s="2">
        <f t="shared" si="69"/>
        <v>45</v>
      </c>
      <c r="F216" s="1">
        <f t="shared" si="63"/>
        <v>326783.94463992072</v>
      </c>
      <c r="H216" s="1">
        <f t="shared" ref="H216:H279" si="76">SUM(F216:G216)*$G$8</f>
        <v>2605.8210644698415</v>
      </c>
      <c r="I216" s="1">
        <v>0</v>
      </c>
      <c r="J216" s="1">
        <v>0</v>
      </c>
      <c r="K216" s="1">
        <f t="shared" si="64"/>
        <v>-382.09212821709303</v>
      </c>
      <c r="L216" s="1">
        <f t="shared" ref="L216:L279" si="77">SUM(F216:K216)</f>
        <v>329007.67357617349</v>
      </c>
      <c r="N216" s="1">
        <f t="shared" si="65"/>
        <v>193</v>
      </c>
      <c r="O216" s="2">
        <f t="shared" si="70"/>
        <v>16</v>
      </c>
      <c r="P216" s="2">
        <f t="shared" si="71"/>
        <v>1</v>
      </c>
      <c r="Q216" s="2">
        <f t="shared" si="72"/>
        <v>16</v>
      </c>
      <c r="R216" s="1">
        <f t="shared" si="66"/>
        <v>3296851.9650633787</v>
      </c>
      <c r="S216" s="1">
        <f>IF($G$17="si",S204*(1+$G$20),S204)</f>
        <v>10000</v>
      </c>
      <c r="U216" s="1">
        <f t="shared" si="73"/>
        <v>26369.301947011747</v>
      </c>
      <c r="V216" s="35">
        <f>V215*(1+$G$18)</f>
        <v>-165.55655827231806</v>
      </c>
      <c r="X216" s="35">
        <f t="shared" si="74"/>
        <v>-3866.3446241244569</v>
      </c>
      <c r="Y216" s="1">
        <f t="shared" ref="Y216:Y279" si="78">SUM(R216:X216)</f>
        <v>3329189.3658279935</v>
      </c>
      <c r="AA216" s="2">
        <f>+Bono!J216</f>
        <v>217213.07240082379</v>
      </c>
      <c r="AC216" s="10">
        <f t="shared" ref="AC216:AC279" si="79">+B216/12</f>
        <v>16.083333333333332</v>
      </c>
      <c r="AD216" s="1">
        <f t="shared" ref="AD216:AD279" si="80">+AA216+Y216+L216</f>
        <v>3875410.1118049906</v>
      </c>
    </row>
    <row r="217" spans="1:30">
      <c r="A217" s="1">
        <f t="shared" ref="A217:A280" si="81">+B217/12</f>
        <v>16.166666666666668</v>
      </c>
      <c r="B217" s="1">
        <f t="shared" ref="B217:B280" si="82">+B216+1</f>
        <v>194</v>
      </c>
      <c r="C217" s="2">
        <f t="shared" si="67"/>
        <v>16</v>
      </c>
      <c r="D217" s="2">
        <f t="shared" si="68"/>
        <v>2</v>
      </c>
      <c r="E217" s="2">
        <f t="shared" si="69"/>
        <v>45</v>
      </c>
      <c r="F217" s="1">
        <f t="shared" ref="F217:F280" si="83">L216</f>
        <v>329007.67357617349</v>
      </c>
      <c r="H217" s="1">
        <f t="shared" si="76"/>
        <v>2623.5533912833375</v>
      </c>
      <c r="I217" s="1">
        <v>0</v>
      </c>
      <c r="J217" s="1">
        <v>0</v>
      </c>
      <c r="K217" s="1">
        <f t="shared" ref="K217:K280" si="84">-SUM(F217:J217)*0.1%*1.16</f>
        <v>-384.69222328224987</v>
      </c>
      <c r="L217" s="1">
        <f t="shared" si="77"/>
        <v>331246.53474417457</v>
      </c>
      <c r="N217" s="1">
        <f t="shared" ref="N217:N280" si="85">+N216+1</f>
        <v>194</v>
      </c>
      <c r="O217" s="2">
        <f t="shared" si="70"/>
        <v>16</v>
      </c>
      <c r="P217" s="2">
        <f t="shared" si="71"/>
        <v>2</v>
      </c>
      <c r="Q217" s="2">
        <f t="shared" si="72"/>
        <v>16</v>
      </c>
      <c r="R217" s="1">
        <f t="shared" ref="R217:R280" si="86">Y216</f>
        <v>3329189.3658279935</v>
      </c>
      <c r="S217" s="4">
        <f>IF($G$4="mensual",S216,0)</f>
        <v>10000</v>
      </c>
      <c r="U217" s="1">
        <f t="shared" si="73"/>
        <v>26627.164921814525</v>
      </c>
      <c r="V217" s="35">
        <f t="shared" si="75"/>
        <v>-165.55655827231806</v>
      </c>
      <c r="X217" s="35">
        <f t="shared" si="74"/>
        <v>-3904.1551300621809</v>
      </c>
      <c r="Y217" s="1">
        <f t="shared" si="78"/>
        <v>3361746.8190614735</v>
      </c>
      <c r="AA217" s="2">
        <f>+Bono!J217</f>
        <v>218559.81864486582</v>
      </c>
      <c r="AC217" s="10">
        <f t="shared" si="79"/>
        <v>16.166666666666668</v>
      </c>
      <c r="AD217" s="1">
        <f t="shared" si="80"/>
        <v>3911553.172450514</v>
      </c>
    </row>
    <row r="218" spans="1:30">
      <c r="A218" s="1">
        <f t="shared" si="81"/>
        <v>16.25</v>
      </c>
      <c r="B218" s="1">
        <f t="shared" si="82"/>
        <v>195</v>
      </c>
      <c r="C218" s="2">
        <f t="shared" si="67"/>
        <v>16</v>
      </c>
      <c r="D218" s="2">
        <f t="shared" si="68"/>
        <v>3</v>
      </c>
      <c r="E218" s="2">
        <f t="shared" si="69"/>
        <v>45</v>
      </c>
      <c r="F218" s="1">
        <f t="shared" si="83"/>
        <v>331246.53474417457</v>
      </c>
      <c r="H218" s="1">
        <f t="shared" si="76"/>
        <v>2641.4063846377981</v>
      </c>
      <c r="I218" s="1">
        <v>0</v>
      </c>
      <c r="J218" s="69">
        <f>-SUM(F218:H218)*$J$21*1.16</f>
        <v>-3485.7901053848013</v>
      </c>
      <c r="K218" s="1">
        <f t="shared" si="84"/>
        <v>-383.26649518717602</v>
      </c>
      <c r="L218" s="1">
        <f t="shared" si="77"/>
        <v>330018.88452824042</v>
      </c>
      <c r="N218" s="1">
        <f t="shared" si="85"/>
        <v>195</v>
      </c>
      <c r="O218" s="2">
        <f t="shared" si="70"/>
        <v>16</v>
      </c>
      <c r="P218" s="2">
        <f t="shared" si="71"/>
        <v>3</v>
      </c>
      <c r="Q218" s="2">
        <f t="shared" si="72"/>
        <v>16</v>
      </c>
      <c r="R218" s="1">
        <f t="shared" si="86"/>
        <v>3361746.8190614735</v>
      </c>
      <c r="S218" s="4">
        <f>IF($G$4="mensual",S217,0)</f>
        <v>10000</v>
      </c>
      <c r="U218" s="1">
        <f t="shared" si="73"/>
        <v>26886.782625905762</v>
      </c>
      <c r="V218" s="35">
        <f t="shared" si="75"/>
        <v>-165.55655827231806</v>
      </c>
      <c r="X218" s="35">
        <f t="shared" si="74"/>
        <v>-3942.2229323497636</v>
      </c>
      <c r="Y218" s="1">
        <f t="shared" si="78"/>
        <v>3394525.822196757</v>
      </c>
      <c r="AA218" s="2">
        <f>+Bono!J218</f>
        <v>217933.69942253802</v>
      </c>
      <c r="AC218" s="10">
        <f t="shared" si="79"/>
        <v>16.25</v>
      </c>
      <c r="AD218" s="1">
        <f t="shared" si="80"/>
        <v>3942478.406147535</v>
      </c>
    </row>
    <row r="219" spans="1:30">
      <c r="A219" s="1">
        <f t="shared" si="81"/>
        <v>16.333333333333332</v>
      </c>
      <c r="B219" s="1">
        <f t="shared" si="82"/>
        <v>196</v>
      </c>
      <c r="C219" s="2">
        <f t="shared" si="67"/>
        <v>16</v>
      </c>
      <c r="D219" s="2">
        <f t="shared" si="68"/>
        <v>4</v>
      </c>
      <c r="E219" s="2">
        <f t="shared" si="69"/>
        <v>45</v>
      </c>
      <c r="F219" s="1">
        <f t="shared" si="83"/>
        <v>330018.88452824042</v>
      </c>
      <c r="H219" s="1">
        <f t="shared" si="76"/>
        <v>2631.6169294183651</v>
      </c>
      <c r="I219" s="1">
        <v>0</v>
      </c>
      <c r="J219" s="1">
        <v>0</v>
      </c>
      <c r="K219" s="1">
        <f t="shared" si="84"/>
        <v>-385.87458169088416</v>
      </c>
      <c r="L219" s="1">
        <f t="shared" si="77"/>
        <v>332264.62687596789</v>
      </c>
      <c r="N219" s="1">
        <f t="shared" si="85"/>
        <v>196</v>
      </c>
      <c r="O219" s="2">
        <f t="shared" si="70"/>
        <v>16</v>
      </c>
      <c r="P219" s="2">
        <f t="shared" si="71"/>
        <v>4</v>
      </c>
      <c r="Q219" s="2">
        <f t="shared" si="72"/>
        <v>16</v>
      </c>
      <c r="R219" s="1">
        <f t="shared" si="86"/>
        <v>3394525.822196757</v>
      </c>
      <c r="S219" s="4">
        <f>IF($G$4="mensual",S216,IF($G$4="trimestral",S216,0))</f>
        <v>10000</v>
      </c>
      <c r="U219" s="1">
        <f t="shared" si="73"/>
        <v>27148.167000025987</v>
      </c>
      <c r="V219" s="35">
        <f t="shared" si="75"/>
        <v>-165.55655827231806</v>
      </c>
      <c r="X219" s="35">
        <f t="shared" si="74"/>
        <v>-3980.5497818606723</v>
      </c>
      <c r="Y219" s="1">
        <f t="shared" si="78"/>
        <v>3427527.8828566498</v>
      </c>
      <c r="AA219" s="2">
        <f>+Bono!J219</f>
        <v>219284.91363770224</v>
      </c>
      <c r="AC219" s="10">
        <f t="shared" si="79"/>
        <v>16.333333333333332</v>
      </c>
      <c r="AD219" s="1">
        <f t="shared" si="80"/>
        <v>3979077.4233703199</v>
      </c>
    </row>
    <row r="220" spans="1:30">
      <c r="A220" s="1">
        <f t="shared" si="81"/>
        <v>16.416666666666668</v>
      </c>
      <c r="B220" s="1">
        <f t="shared" si="82"/>
        <v>197</v>
      </c>
      <c r="C220" s="2">
        <f t="shared" si="67"/>
        <v>16</v>
      </c>
      <c r="D220" s="2">
        <f t="shared" si="68"/>
        <v>5</v>
      </c>
      <c r="E220" s="2">
        <f t="shared" si="69"/>
        <v>45</v>
      </c>
      <c r="F220" s="1">
        <f t="shared" si="83"/>
        <v>332264.62687596789</v>
      </c>
      <c r="H220" s="1">
        <f t="shared" si="76"/>
        <v>2649.52479426628</v>
      </c>
      <c r="I220" s="1">
        <v>0</v>
      </c>
      <c r="J220" s="1">
        <v>0</v>
      </c>
      <c r="K220" s="1">
        <f t="shared" si="84"/>
        <v>-388.50041593747159</v>
      </c>
      <c r="L220" s="1">
        <f t="shared" si="77"/>
        <v>334525.65125429671</v>
      </c>
      <c r="N220" s="1">
        <f t="shared" si="85"/>
        <v>197</v>
      </c>
      <c r="O220" s="2">
        <f t="shared" si="70"/>
        <v>16</v>
      </c>
      <c r="P220" s="2">
        <f t="shared" si="71"/>
        <v>5</v>
      </c>
      <c r="Q220" s="2">
        <f t="shared" si="72"/>
        <v>16</v>
      </c>
      <c r="R220" s="1">
        <f t="shared" si="86"/>
        <v>3427527.8828566498</v>
      </c>
      <c r="S220" s="4">
        <f>IF($G$4="mensual",S219,0)</f>
        <v>10000</v>
      </c>
      <c r="U220" s="1">
        <f t="shared" si="73"/>
        <v>27411.330066171173</v>
      </c>
      <c r="V220" s="35">
        <f t="shared" si="75"/>
        <v>-165.55655827231806</v>
      </c>
      <c r="X220" s="35">
        <f t="shared" si="74"/>
        <v>-4019.1374413828762</v>
      </c>
      <c r="Y220" s="1">
        <f t="shared" si="78"/>
        <v>3460754.5189231657</v>
      </c>
      <c r="AA220" s="2">
        <f>+Bono!J220</f>
        <v>220644.50553773163</v>
      </c>
      <c r="AC220" s="10">
        <f t="shared" si="79"/>
        <v>16.416666666666668</v>
      </c>
      <c r="AD220" s="1">
        <f t="shared" si="80"/>
        <v>4015924.6757151941</v>
      </c>
    </row>
    <row r="221" spans="1:30">
      <c r="A221" s="1">
        <f t="shared" si="81"/>
        <v>16.5</v>
      </c>
      <c r="B221" s="1">
        <f t="shared" si="82"/>
        <v>198</v>
      </c>
      <c r="C221" s="2">
        <f t="shared" si="67"/>
        <v>16</v>
      </c>
      <c r="D221" s="2">
        <f t="shared" si="68"/>
        <v>6</v>
      </c>
      <c r="E221" s="2">
        <f t="shared" si="69"/>
        <v>45</v>
      </c>
      <c r="F221" s="1">
        <f t="shared" si="83"/>
        <v>334525.65125429671</v>
      </c>
      <c r="H221" s="1">
        <f t="shared" si="76"/>
        <v>2667.5545201722484</v>
      </c>
      <c r="I221" s="1">
        <v>0</v>
      </c>
      <c r="J221" s="69">
        <f>-SUM(F221:H221)*$J$21*1.16</f>
        <v>-3520.2970682854561</v>
      </c>
      <c r="K221" s="1">
        <f t="shared" si="84"/>
        <v>-387.06057409917281</v>
      </c>
      <c r="L221" s="1">
        <f t="shared" si="77"/>
        <v>333285.8481320843</v>
      </c>
      <c r="N221" s="1">
        <f t="shared" si="85"/>
        <v>198</v>
      </c>
      <c r="O221" s="2">
        <f t="shared" si="70"/>
        <v>16</v>
      </c>
      <c r="P221" s="2">
        <f t="shared" si="71"/>
        <v>6</v>
      </c>
      <c r="Q221" s="2">
        <f t="shared" si="72"/>
        <v>16</v>
      </c>
      <c r="R221" s="1">
        <f t="shared" si="86"/>
        <v>3460754.5189231657</v>
      </c>
      <c r="S221" s="4">
        <f>IF($G$4="mensual",S220,0)</f>
        <v>10000</v>
      </c>
      <c r="U221" s="1">
        <f t="shared" si="73"/>
        <v>27676.283928145651</v>
      </c>
      <c r="V221" s="35">
        <f t="shared" si="75"/>
        <v>-165.55655827231806</v>
      </c>
      <c r="X221" s="35">
        <f t="shared" si="74"/>
        <v>-4057.9876856999249</v>
      </c>
      <c r="Y221" s="1">
        <f t="shared" si="78"/>
        <v>3494207.2586073391</v>
      </c>
      <c r="AA221" s="2">
        <f>+Bono!J221</f>
        <v>220012.41420880044</v>
      </c>
      <c r="AC221" s="10">
        <f t="shared" si="79"/>
        <v>16.5</v>
      </c>
      <c r="AD221" s="1">
        <f t="shared" si="80"/>
        <v>4047505.5209482238</v>
      </c>
    </row>
    <row r="222" spans="1:30">
      <c r="A222" s="1">
        <f t="shared" si="81"/>
        <v>16.583333333333332</v>
      </c>
      <c r="B222" s="1">
        <f t="shared" si="82"/>
        <v>199</v>
      </c>
      <c r="C222" s="2">
        <f t="shared" si="67"/>
        <v>16</v>
      </c>
      <c r="D222" s="2">
        <f t="shared" si="68"/>
        <v>7</v>
      </c>
      <c r="E222" s="2">
        <f t="shared" si="69"/>
        <v>45</v>
      </c>
      <c r="F222" s="1">
        <f t="shared" si="83"/>
        <v>333285.8481320843</v>
      </c>
      <c r="H222" s="1">
        <f t="shared" si="76"/>
        <v>2657.6681559715335</v>
      </c>
      <c r="I222" s="1">
        <v>0</v>
      </c>
      <c r="J222" s="1">
        <v>0</v>
      </c>
      <c r="K222" s="1">
        <f t="shared" si="84"/>
        <v>-389.69447889414477</v>
      </c>
      <c r="L222" s="1">
        <f t="shared" si="77"/>
        <v>335553.82180916169</v>
      </c>
      <c r="N222" s="1">
        <f t="shared" si="85"/>
        <v>199</v>
      </c>
      <c r="O222" s="2">
        <f t="shared" si="70"/>
        <v>16</v>
      </c>
      <c r="P222" s="2">
        <f t="shared" si="71"/>
        <v>7</v>
      </c>
      <c r="Q222" s="2">
        <f t="shared" si="72"/>
        <v>16</v>
      </c>
      <c r="R222" s="1">
        <f t="shared" si="86"/>
        <v>3494207.2586073391</v>
      </c>
      <c r="S222" s="1">
        <f>+IF($G$4="mensual",S216,IF($G$4="trimestral",S216,IF($G$4="semestral",S216,0)))</f>
        <v>10000</v>
      </c>
      <c r="U222" s="1">
        <f t="shared" si="73"/>
        <v>27943.040772118809</v>
      </c>
      <c r="V222" s="35">
        <f t="shared" si="75"/>
        <v>-165.55655827231806</v>
      </c>
      <c r="X222" s="35">
        <f t="shared" si="74"/>
        <v>-4097.1023016725749</v>
      </c>
      <c r="Y222" s="1">
        <f t="shared" si="78"/>
        <v>3527887.6405195128</v>
      </c>
      <c r="AA222" s="2">
        <f>+Bono!J222</f>
        <v>221376.51669675551</v>
      </c>
      <c r="AC222" s="10">
        <f t="shared" si="79"/>
        <v>16.583333333333332</v>
      </c>
      <c r="AD222" s="1">
        <f t="shared" si="80"/>
        <v>4084817.97902543</v>
      </c>
    </row>
    <row r="223" spans="1:30">
      <c r="A223" s="1">
        <f t="shared" si="81"/>
        <v>16.666666666666668</v>
      </c>
      <c r="B223" s="1">
        <f t="shared" si="82"/>
        <v>200</v>
      </c>
      <c r="C223" s="2">
        <f t="shared" si="67"/>
        <v>16</v>
      </c>
      <c r="D223" s="2">
        <f t="shared" si="68"/>
        <v>8</v>
      </c>
      <c r="E223" s="2">
        <f t="shared" si="69"/>
        <v>45</v>
      </c>
      <c r="F223" s="1">
        <f t="shared" si="83"/>
        <v>335553.82180916169</v>
      </c>
      <c r="H223" s="1">
        <f t="shared" si="76"/>
        <v>2675.753296561606</v>
      </c>
      <c r="I223" s="1">
        <v>0</v>
      </c>
      <c r="J223" s="1">
        <v>0</v>
      </c>
      <c r="K223" s="1">
        <f t="shared" si="84"/>
        <v>-392.34630712263902</v>
      </c>
      <c r="L223" s="1">
        <f t="shared" si="77"/>
        <v>337837.22879860067</v>
      </c>
      <c r="N223" s="1">
        <f t="shared" si="85"/>
        <v>200</v>
      </c>
      <c r="O223" s="2">
        <f t="shared" si="70"/>
        <v>16</v>
      </c>
      <c r="P223" s="2">
        <f t="shared" si="71"/>
        <v>8</v>
      </c>
      <c r="Q223" s="2">
        <f t="shared" si="72"/>
        <v>16</v>
      </c>
      <c r="R223" s="1">
        <f t="shared" si="86"/>
        <v>3527887.6405195128</v>
      </c>
      <c r="S223" s="4">
        <f>IF($G$4="mensual",S222,0)</f>
        <v>10000</v>
      </c>
      <c r="U223" s="1">
        <f t="shared" si="73"/>
        <v>28211.612867185595</v>
      </c>
      <c r="V223" s="35">
        <f t="shared" si="75"/>
        <v>-165.55655827231806</v>
      </c>
      <c r="X223" s="35">
        <f t="shared" si="74"/>
        <v>-4136.4830883209743</v>
      </c>
      <c r="Y223" s="1">
        <f t="shared" si="78"/>
        <v>3561797.2137401048</v>
      </c>
      <c r="AA223" s="2">
        <f>+Bono!J223</f>
        <v>222749.07677836198</v>
      </c>
      <c r="AC223" s="10">
        <f t="shared" si="79"/>
        <v>16.666666666666668</v>
      </c>
      <c r="AD223" s="1">
        <f t="shared" si="80"/>
        <v>4122383.5193170677</v>
      </c>
    </row>
    <row r="224" spans="1:30">
      <c r="A224" s="1">
        <f t="shared" si="81"/>
        <v>16.75</v>
      </c>
      <c r="B224" s="1">
        <f t="shared" si="82"/>
        <v>201</v>
      </c>
      <c r="C224" s="2">
        <f t="shared" si="67"/>
        <v>16</v>
      </c>
      <c r="D224" s="2">
        <f t="shared" si="68"/>
        <v>9</v>
      </c>
      <c r="E224" s="2">
        <f t="shared" si="69"/>
        <v>45</v>
      </c>
      <c r="F224" s="1">
        <f t="shared" si="83"/>
        <v>337837.22879860067</v>
      </c>
      <c r="H224" s="1">
        <f t="shared" si="76"/>
        <v>2693.9615045517326</v>
      </c>
      <c r="I224" s="1">
        <v>0</v>
      </c>
      <c r="J224" s="69">
        <f>-SUM(F224:H224)*$J$21*1.16</f>
        <v>-3555.1456267649114</v>
      </c>
      <c r="K224" s="1">
        <f t="shared" si="84"/>
        <v>-390.89221182460949</v>
      </c>
      <c r="L224" s="1">
        <f t="shared" si="77"/>
        <v>336585.15246456291</v>
      </c>
      <c r="N224" s="1">
        <f t="shared" si="85"/>
        <v>201</v>
      </c>
      <c r="O224" s="2">
        <f t="shared" si="70"/>
        <v>16</v>
      </c>
      <c r="P224" s="2">
        <f t="shared" si="71"/>
        <v>9</v>
      </c>
      <c r="Q224" s="2">
        <f t="shared" si="72"/>
        <v>16</v>
      </c>
      <c r="R224" s="1">
        <f t="shared" si="86"/>
        <v>3561797.2137401048</v>
      </c>
      <c r="S224" s="4">
        <f>IF($G$4="mensual",S223,0)</f>
        <v>10000</v>
      </c>
      <c r="U224" s="1">
        <f t="shared" si="73"/>
        <v>28482.012565930789</v>
      </c>
      <c r="V224" s="35">
        <f t="shared" si="75"/>
        <v>-165.55655827231806</v>
      </c>
      <c r="X224" s="35">
        <f t="shared" si="74"/>
        <v>-4176.1318569074047</v>
      </c>
      <c r="Y224" s="1">
        <f t="shared" si="78"/>
        <v>3595937.5378908557</v>
      </c>
      <c r="AA224" s="2">
        <f>+Bono!J224</f>
        <v>222110.95637914387</v>
      </c>
      <c r="AC224" s="10">
        <f t="shared" si="79"/>
        <v>16.75</v>
      </c>
      <c r="AD224" s="1">
        <f t="shared" si="80"/>
        <v>4154633.6467345627</v>
      </c>
    </row>
    <row r="225" spans="1:30">
      <c r="A225" s="1">
        <f t="shared" si="81"/>
        <v>16.833333333333332</v>
      </c>
      <c r="B225" s="1">
        <f t="shared" si="82"/>
        <v>202</v>
      </c>
      <c r="C225" s="2">
        <f t="shared" si="67"/>
        <v>16</v>
      </c>
      <c r="D225" s="2">
        <f t="shared" si="68"/>
        <v>10</v>
      </c>
      <c r="E225" s="2">
        <f t="shared" si="69"/>
        <v>45</v>
      </c>
      <c r="F225" s="1">
        <f t="shared" si="83"/>
        <v>336585.15246456291</v>
      </c>
      <c r="H225" s="1">
        <f t="shared" si="76"/>
        <v>2683.9772720364085</v>
      </c>
      <c r="I225" s="1">
        <v>0</v>
      </c>
      <c r="J225" s="1">
        <v>0</v>
      </c>
      <c r="K225" s="1">
        <f t="shared" si="84"/>
        <v>-393.5521904944552</v>
      </c>
      <c r="L225" s="1">
        <f t="shared" si="77"/>
        <v>338875.57754610491</v>
      </c>
      <c r="N225" s="1">
        <f t="shared" si="85"/>
        <v>202</v>
      </c>
      <c r="O225" s="2">
        <f t="shared" si="70"/>
        <v>16</v>
      </c>
      <c r="P225" s="2">
        <f t="shared" si="71"/>
        <v>10</v>
      </c>
      <c r="Q225" s="2">
        <f t="shared" si="72"/>
        <v>16</v>
      </c>
      <c r="R225" s="1">
        <f t="shared" si="86"/>
        <v>3595937.5378908557</v>
      </c>
      <c r="S225" s="4">
        <f>IF($G$4="mensual",S216,IF($G$4="trimestral",S216,0))</f>
        <v>10000</v>
      </c>
      <c r="U225" s="1">
        <f t="shared" si="73"/>
        <v>28754.252304997171</v>
      </c>
      <c r="V225" s="35">
        <f t="shared" si="75"/>
        <v>-165.55655827231806</v>
      </c>
      <c r="X225" s="35">
        <f t="shared" si="74"/>
        <v>-4216.0504310195938</v>
      </c>
      <c r="Y225" s="1">
        <f t="shared" si="78"/>
        <v>3630310.183206561</v>
      </c>
      <c r="AA225" s="2">
        <f>+Bono!J225</f>
        <v>223488.07007197087</v>
      </c>
      <c r="AC225" s="10">
        <f t="shared" si="79"/>
        <v>16.833333333333332</v>
      </c>
      <c r="AD225" s="1">
        <f t="shared" si="80"/>
        <v>4192673.8308246369</v>
      </c>
    </row>
    <row r="226" spans="1:30">
      <c r="A226" s="1">
        <f t="shared" si="81"/>
        <v>16.916666666666668</v>
      </c>
      <c r="B226" s="1">
        <f t="shared" si="82"/>
        <v>203</v>
      </c>
      <c r="C226" s="2">
        <f t="shared" si="67"/>
        <v>16</v>
      </c>
      <c r="D226" s="2">
        <f t="shared" si="68"/>
        <v>11</v>
      </c>
      <c r="E226" s="2">
        <f t="shared" si="69"/>
        <v>45</v>
      </c>
      <c r="F226" s="1">
        <f t="shared" si="83"/>
        <v>338875.57754610491</v>
      </c>
      <c r="H226" s="1">
        <f t="shared" si="76"/>
        <v>2702.2414432785076</v>
      </c>
      <c r="I226" s="1">
        <v>0</v>
      </c>
      <c r="J226" s="1">
        <v>0</v>
      </c>
      <c r="K226" s="1">
        <f t="shared" si="84"/>
        <v>-396.2302700276847</v>
      </c>
      <c r="L226" s="1">
        <f t="shared" si="77"/>
        <v>341181.5887193557</v>
      </c>
      <c r="N226" s="1">
        <f t="shared" si="85"/>
        <v>203</v>
      </c>
      <c r="O226" s="2">
        <f t="shared" si="70"/>
        <v>16</v>
      </c>
      <c r="P226" s="2">
        <f t="shared" si="71"/>
        <v>11</v>
      </c>
      <c r="Q226" s="2">
        <f t="shared" si="72"/>
        <v>16</v>
      </c>
      <c r="R226" s="1">
        <f t="shared" si="86"/>
        <v>3630310.183206561</v>
      </c>
      <c r="S226" s="1">
        <f>IF($G$17="si",S214*(1+$G$20),S214)</f>
        <v>10000</v>
      </c>
      <c r="U226" s="1">
        <f t="shared" si="73"/>
        <v>29028.344605657509</v>
      </c>
      <c r="V226" s="35">
        <f t="shared" si="75"/>
        <v>-165.55655827231806</v>
      </c>
      <c r="X226" s="35">
        <f t="shared" si="74"/>
        <v>-4256.2406466545772</v>
      </c>
      <c r="Y226" s="1">
        <f t="shared" si="78"/>
        <v>3664916.7306072917</v>
      </c>
      <c r="AA226" s="2">
        <f>+Bono!J226</f>
        <v>224873.7220294287</v>
      </c>
      <c r="AC226" s="10">
        <f t="shared" si="79"/>
        <v>16.916666666666668</v>
      </c>
      <c r="AD226" s="1">
        <f t="shared" si="80"/>
        <v>4230972.0413560765</v>
      </c>
    </row>
    <row r="227" spans="1:30">
      <c r="A227" s="1">
        <f t="shared" si="81"/>
        <v>17</v>
      </c>
      <c r="B227" s="1">
        <f t="shared" si="82"/>
        <v>204</v>
      </c>
      <c r="C227" s="2">
        <f t="shared" si="67"/>
        <v>16</v>
      </c>
      <c r="D227" s="2">
        <f t="shared" si="68"/>
        <v>12</v>
      </c>
      <c r="E227" s="2">
        <f t="shared" si="69"/>
        <v>45</v>
      </c>
      <c r="F227" s="1">
        <f t="shared" si="83"/>
        <v>341181.5887193557</v>
      </c>
      <c r="H227" s="1">
        <f t="shared" si="76"/>
        <v>2720.6299002046308</v>
      </c>
      <c r="I227" s="1">
        <v>0</v>
      </c>
      <c r="J227" s="69">
        <f>-SUM(F227:H227)*$J$21*1.16</f>
        <v>-3590.3391623882103</v>
      </c>
      <c r="K227" s="1">
        <f t="shared" si="84"/>
        <v>-394.7617801703197</v>
      </c>
      <c r="L227" s="1">
        <f t="shared" si="77"/>
        <v>339917.11767700181</v>
      </c>
      <c r="N227" s="1">
        <f t="shared" si="85"/>
        <v>204</v>
      </c>
      <c r="O227" s="2">
        <f t="shared" si="70"/>
        <v>16</v>
      </c>
      <c r="P227" s="2">
        <f t="shared" si="71"/>
        <v>12</v>
      </c>
      <c r="Q227" s="2">
        <f t="shared" si="72"/>
        <v>16</v>
      </c>
      <c r="R227" s="1">
        <f t="shared" si="86"/>
        <v>3664916.7306072917</v>
      </c>
      <c r="S227" s="4">
        <f>IF($G$4="mensual",S226,0)</f>
        <v>10000</v>
      </c>
      <c r="U227" s="1">
        <f t="shared" si="73"/>
        <v>29304.302074390449</v>
      </c>
      <c r="V227" s="35">
        <f t="shared" si="75"/>
        <v>-165.55655827231806</v>
      </c>
      <c r="X227" s="35">
        <f t="shared" si="74"/>
        <v>-4296.7043523031552</v>
      </c>
      <c r="Y227" s="1">
        <f t="shared" si="78"/>
        <v>3699758.7717711069</v>
      </c>
      <c r="AA227" s="2">
        <f>+Bono!J227</f>
        <v>224229.51505290385</v>
      </c>
      <c r="AC227" s="10">
        <f t="shared" si="79"/>
        <v>17</v>
      </c>
      <c r="AD227" s="1">
        <f t="shared" si="80"/>
        <v>4263905.4045010125</v>
      </c>
    </row>
    <row r="228" spans="1:30">
      <c r="A228" s="1">
        <f t="shared" si="81"/>
        <v>17.083333333333332</v>
      </c>
      <c r="B228" s="1">
        <f t="shared" si="82"/>
        <v>205</v>
      </c>
      <c r="C228" s="2">
        <f t="shared" ref="C228:C291" si="87">C216+1</f>
        <v>17</v>
      </c>
      <c r="D228" s="2">
        <f t="shared" ref="D228:D291" si="88">D216</f>
        <v>1</v>
      </c>
      <c r="E228" s="2">
        <f t="shared" ref="E228:E291" si="89">E216+1</f>
        <v>46</v>
      </c>
      <c r="F228" s="1">
        <f t="shared" si="83"/>
        <v>339917.11767700181</v>
      </c>
      <c r="H228" s="1">
        <f t="shared" si="76"/>
        <v>2710.5468305446184</v>
      </c>
      <c r="I228" s="1">
        <v>0</v>
      </c>
      <c r="J228" s="1">
        <v>0</v>
      </c>
      <c r="K228" s="1">
        <f t="shared" si="84"/>
        <v>-397.44809082875378</v>
      </c>
      <c r="L228" s="1">
        <f t="shared" si="77"/>
        <v>342230.21641671762</v>
      </c>
      <c r="N228" s="1">
        <f t="shared" si="85"/>
        <v>205</v>
      </c>
      <c r="O228" s="2">
        <f t="shared" ref="O228:O291" si="90">O216+1</f>
        <v>17</v>
      </c>
      <c r="P228" s="2">
        <f t="shared" ref="P228:P291" si="91">P216</f>
        <v>1</v>
      </c>
      <c r="Q228" s="2">
        <f t="shared" ref="Q228:Q291" si="92">Q216+1</f>
        <v>17</v>
      </c>
      <c r="R228" s="1">
        <f t="shared" si="86"/>
        <v>3699758.7717711069</v>
      </c>
      <c r="S228" s="1">
        <f>IF($G$17="si",S216*(1+$G$20),S216)</f>
        <v>10000</v>
      </c>
      <c r="U228" s="1">
        <f t="shared" ref="U228:U291" si="93">SUM(R228:T228)*$G$8</f>
        <v>29582.137403460358</v>
      </c>
      <c r="V228" s="35">
        <f>V227*(1+$G$18)</f>
        <v>-172.1788206032108</v>
      </c>
      <c r="X228" s="35">
        <f t="shared" si="74"/>
        <v>-4337.4357272105981</v>
      </c>
      <c r="Y228" s="1">
        <f t="shared" si="78"/>
        <v>3734831.2946267533</v>
      </c>
      <c r="AA228" s="2">
        <f>+Bono!J228</f>
        <v>225619.76405524576</v>
      </c>
      <c r="AC228" s="10">
        <f t="shared" si="79"/>
        <v>17.083333333333332</v>
      </c>
      <c r="AD228" s="1">
        <f t="shared" si="80"/>
        <v>4302681.2750987168</v>
      </c>
    </row>
    <row r="229" spans="1:30">
      <c r="A229" s="1">
        <f t="shared" si="81"/>
        <v>17.166666666666668</v>
      </c>
      <c r="B229" s="1">
        <f t="shared" si="82"/>
        <v>206</v>
      </c>
      <c r="C229" s="2">
        <f t="shared" si="87"/>
        <v>17</v>
      </c>
      <c r="D229" s="2">
        <f t="shared" si="88"/>
        <v>2</v>
      </c>
      <c r="E229" s="2">
        <f t="shared" si="89"/>
        <v>46</v>
      </c>
      <c r="F229" s="1">
        <f t="shared" si="83"/>
        <v>342230.21641671762</v>
      </c>
      <c r="H229" s="1">
        <f t="shared" si="76"/>
        <v>2728.9918047210326</v>
      </c>
      <c r="I229" s="1">
        <v>0</v>
      </c>
      <c r="J229" s="1">
        <v>0</v>
      </c>
      <c r="K229" s="1">
        <f t="shared" si="84"/>
        <v>-400.15268153686878</v>
      </c>
      <c r="L229" s="1">
        <f t="shared" si="77"/>
        <v>344559.05553990178</v>
      </c>
      <c r="N229" s="1">
        <f t="shared" si="85"/>
        <v>206</v>
      </c>
      <c r="O229" s="2">
        <f t="shared" si="90"/>
        <v>17</v>
      </c>
      <c r="P229" s="2">
        <f t="shared" si="91"/>
        <v>2</v>
      </c>
      <c r="Q229" s="2">
        <f t="shared" si="92"/>
        <v>17</v>
      </c>
      <c r="R229" s="1">
        <f t="shared" si="86"/>
        <v>3734831.2946267533</v>
      </c>
      <c r="S229" s="4">
        <f>IF($G$4="mensual",S228,0)</f>
        <v>10000</v>
      </c>
      <c r="U229" s="1">
        <f t="shared" si="93"/>
        <v>29861.810625907219</v>
      </c>
      <c r="V229" s="35">
        <f t="shared" si="75"/>
        <v>-172.1788206032108</v>
      </c>
      <c r="X229" s="35">
        <f t="shared" si="74"/>
        <v>-4378.4442746611867</v>
      </c>
      <c r="Y229" s="1">
        <f t="shared" si="78"/>
        <v>3770142.4821573962</v>
      </c>
      <c r="AA229" s="2">
        <f>+Bono!J229</f>
        <v>227018.63276266112</v>
      </c>
      <c r="AC229" s="10">
        <f t="shared" si="79"/>
        <v>17.166666666666668</v>
      </c>
      <c r="AD229" s="1">
        <f t="shared" si="80"/>
        <v>4341720.1704599587</v>
      </c>
    </row>
    <row r="230" spans="1:30">
      <c r="A230" s="1">
        <f t="shared" si="81"/>
        <v>17.25</v>
      </c>
      <c r="B230" s="1">
        <f t="shared" si="82"/>
        <v>207</v>
      </c>
      <c r="C230" s="2">
        <f t="shared" si="87"/>
        <v>17</v>
      </c>
      <c r="D230" s="2">
        <f t="shared" si="88"/>
        <v>3</v>
      </c>
      <c r="E230" s="2">
        <f t="shared" si="89"/>
        <v>46</v>
      </c>
      <c r="F230" s="1">
        <f t="shared" si="83"/>
        <v>344559.05553990178</v>
      </c>
      <c r="H230" s="1">
        <f t="shared" si="76"/>
        <v>2747.5622949256281</v>
      </c>
      <c r="I230" s="1">
        <v>0</v>
      </c>
      <c r="J230" s="69">
        <f>-SUM(F230:H230)*$J$21*1.16</f>
        <v>-3625.8810901955981</v>
      </c>
      <c r="K230" s="1">
        <f t="shared" si="84"/>
        <v>-398.66965462377289</v>
      </c>
      <c r="L230" s="1">
        <f t="shared" si="77"/>
        <v>343282.067090008</v>
      </c>
      <c r="N230" s="1">
        <f t="shared" si="85"/>
        <v>207</v>
      </c>
      <c r="O230" s="2">
        <f t="shared" si="90"/>
        <v>17</v>
      </c>
      <c r="P230" s="2">
        <f t="shared" si="91"/>
        <v>3</v>
      </c>
      <c r="Q230" s="2">
        <f t="shared" si="92"/>
        <v>17</v>
      </c>
      <c r="R230" s="1">
        <f t="shared" si="86"/>
        <v>3770142.4821573962</v>
      </c>
      <c r="S230" s="4">
        <f>IF($G$4="mensual",S229,0)</f>
        <v>10000</v>
      </c>
      <c r="U230" s="1">
        <f t="shared" si="93"/>
        <v>30143.386993987919</v>
      </c>
      <c r="V230" s="35">
        <f t="shared" si="75"/>
        <v>-172.1788206032108</v>
      </c>
      <c r="X230" s="35">
        <f t="shared" si="74"/>
        <v>-4419.7318807837055</v>
      </c>
      <c r="Y230" s="1">
        <f t="shared" si="78"/>
        <v>3805693.9584499975</v>
      </c>
      <c r="AA230" s="2">
        <f>+Bono!J230</f>
        <v>226368.28115329123</v>
      </c>
      <c r="AC230" s="10">
        <f t="shared" si="79"/>
        <v>17.25</v>
      </c>
      <c r="AD230" s="1">
        <f t="shared" si="80"/>
        <v>4375344.3066932969</v>
      </c>
    </row>
    <row r="231" spans="1:30">
      <c r="A231" s="1">
        <f t="shared" si="81"/>
        <v>17.333333333333332</v>
      </c>
      <c r="B231" s="1">
        <f t="shared" si="82"/>
        <v>208</v>
      </c>
      <c r="C231" s="2">
        <f t="shared" si="87"/>
        <v>17</v>
      </c>
      <c r="D231" s="2">
        <f t="shared" si="88"/>
        <v>4</v>
      </c>
      <c r="E231" s="2">
        <f t="shared" si="89"/>
        <v>46</v>
      </c>
      <c r="F231" s="1">
        <f t="shared" si="83"/>
        <v>343282.067090008</v>
      </c>
      <c r="H231" s="1">
        <f t="shared" si="76"/>
        <v>2737.3794097000873</v>
      </c>
      <c r="I231" s="1">
        <v>0</v>
      </c>
      <c r="J231" s="1">
        <v>0</v>
      </c>
      <c r="K231" s="1">
        <f t="shared" si="84"/>
        <v>-401.38255793966141</v>
      </c>
      <c r="L231" s="1">
        <f t="shared" si="77"/>
        <v>345618.06394176843</v>
      </c>
      <c r="N231" s="1">
        <f t="shared" si="85"/>
        <v>208</v>
      </c>
      <c r="O231" s="2">
        <f t="shared" si="90"/>
        <v>17</v>
      </c>
      <c r="P231" s="2">
        <f t="shared" si="91"/>
        <v>4</v>
      </c>
      <c r="Q231" s="2">
        <f t="shared" si="92"/>
        <v>17</v>
      </c>
      <c r="R231" s="1">
        <f t="shared" si="86"/>
        <v>3805693.9584499975</v>
      </c>
      <c r="S231" s="4">
        <f>IF($G$4="mensual",S228,IF($G$4="trimestral",S228,0))</f>
        <v>10000</v>
      </c>
      <c r="U231" s="1">
        <f t="shared" si="93"/>
        <v>30426.879458399966</v>
      </c>
      <c r="V231" s="35">
        <f t="shared" si="75"/>
        <v>-172.1788206032108</v>
      </c>
      <c r="X231" s="35">
        <f t="shared" si="74"/>
        <v>-4461.300444541841</v>
      </c>
      <c r="Y231" s="1">
        <f t="shared" si="78"/>
        <v>3841487.3586432524</v>
      </c>
      <c r="AA231" s="2">
        <f>+Bono!J231</f>
        <v>227771.79075353706</v>
      </c>
      <c r="AC231" s="10">
        <f t="shared" si="79"/>
        <v>17.333333333333332</v>
      </c>
      <c r="AD231" s="1">
        <f t="shared" si="80"/>
        <v>4414877.2133385576</v>
      </c>
    </row>
    <row r="232" spans="1:30">
      <c r="A232" s="1">
        <f t="shared" si="81"/>
        <v>17.416666666666668</v>
      </c>
      <c r="B232" s="1">
        <f t="shared" si="82"/>
        <v>209</v>
      </c>
      <c r="C232" s="2">
        <f t="shared" si="87"/>
        <v>17</v>
      </c>
      <c r="D232" s="2">
        <f t="shared" si="88"/>
        <v>5</v>
      </c>
      <c r="E232" s="2">
        <f t="shared" si="89"/>
        <v>46</v>
      </c>
      <c r="F232" s="1">
        <f t="shared" si="83"/>
        <v>345618.06394176843</v>
      </c>
      <c r="H232" s="1">
        <f t="shared" si="76"/>
        <v>2756.0069766375018</v>
      </c>
      <c r="I232" s="1">
        <v>0</v>
      </c>
      <c r="J232" s="1">
        <v>0</v>
      </c>
      <c r="K232" s="1">
        <f t="shared" si="84"/>
        <v>-404.11392226535088</v>
      </c>
      <c r="L232" s="1">
        <f t="shared" si="77"/>
        <v>347969.95699614059</v>
      </c>
      <c r="N232" s="1">
        <f t="shared" si="85"/>
        <v>209</v>
      </c>
      <c r="O232" s="2">
        <f t="shared" si="90"/>
        <v>17</v>
      </c>
      <c r="P232" s="2">
        <f t="shared" si="91"/>
        <v>5</v>
      </c>
      <c r="Q232" s="2">
        <f t="shared" si="92"/>
        <v>17</v>
      </c>
      <c r="R232" s="1">
        <f t="shared" si="86"/>
        <v>3841487.3586432524</v>
      </c>
      <c r="S232" s="4">
        <f>IF($G$4="mensual",S231,0)</f>
        <v>10000</v>
      </c>
      <c r="U232" s="1">
        <f t="shared" si="93"/>
        <v>30712.301057968933</v>
      </c>
      <c r="V232" s="35">
        <f t="shared" si="75"/>
        <v>-172.1788206032108</v>
      </c>
      <c r="X232" s="35">
        <f t="shared" si="74"/>
        <v>-4503.1518778215168</v>
      </c>
      <c r="Y232" s="1">
        <f t="shared" si="78"/>
        <v>3877524.3290027967</v>
      </c>
      <c r="AA232" s="2">
        <f>+Bono!J232</f>
        <v>229184.00227610147</v>
      </c>
      <c r="AC232" s="10">
        <f t="shared" si="79"/>
        <v>17.416666666666668</v>
      </c>
      <c r="AD232" s="1">
        <f t="shared" si="80"/>
        <v>4454678.2882750388</v>
      </c>
    </row>
    <row r="233" spans="1:30">
      <c r="A233" s="1">
        <f t="shared" si="81"/>
        <v>17.5</v>
      </c>
      <c r="B233" s="1">
        <f t="shared" si="82"/>
        <v>210</v>
      </c>
      <c r="C233" s="2">
        <f t="shared" si="87"/>
        <v>17</v>
      </c>
      <c r="D233" s="2">
        <f t="shared" si="88"/>
        <v>6</v>
      </c>
      <c r="E233" s="2">
        <f t="shared" si="89"/>
        <v>46</v>
      </c>
      <c r="F233" s="1">
        <f t="shared" si="83"/>
        <v>347969.95699614059</v>
      </c>
      <c r="H233" s="1">
        <f t="shared" si="76"/>
        <v>2774.7613021268289</v>
      </c>
      <c r="I233" s="1">
        <v>0</v>
      </c>
      <c r="J233" s="69">
        <f>-SUM(F233:H233)*$J$21*1.16</f>
        <v>-3661.774859033912</v>
      </c>
      <c r="K233" s="1">
        <f t="shared" si="84"/>
        <v>-402.61621438951079</v>
      </c>
      <c r="L233" s="1">
        <f t="shared" si="77"/>
        <v>346680.32722484396</v>
      </c>
      <c r="N233" s="1">
        <f t="shared" si="85"/>
        <v>210</v>
      </c>
      <c r="O233" s="2">
        <f t="shared" si="90"/>
        <v>17</v>
      </c>
      <c r="P233" s="2">
        <f t="shared" si="91"/>
        <v>6</v>
      </c>
      <c r="Q233" s="2">
        <f t="shared" si="92"/>
        <v>17</v>
      </c>
      <c r="R233" s="1">
        <f t="shared" si="86"/>
        <v>3877524.3290027967</v>
      </c>
      <c r="S233" s="4">
        <f>IF($G$4="mensual",S232,0)</f>
        <v>10000</v>
      </c>
      <c r="U233" s="1">
        <f t="shared" si="93"/>
        <v>30999.664920248179</v>
      </c>
      <c r="V233" s="35">
        <f t="shared" si="75"/>
        <v>-172.1788206032108</v>
      </c>
      <c r="X233" s="35">
        <f t="shared" si="74"/>
        <v>-4545.2881055188318</v>
      </c>
      <c r="Y233" s="1">
        <f t="shared" si="78"/>
        <v>3913806.5269969227</v>
      </c>
      <c r="AA233" s="2">
        <f>+Bono!J233</f>
        <v>228527.44742459763</v>
      </c>
      <c r="AC233" s="10">
        <f t="shared" si="79"/>
        <v>17.5</v>
      </c>
      <c r="AD233" s="1">
        <f t="shared" si="80"/>
        <v>4489014.3016463639</v>
      </c>
    </row>
    <row r="234" spans="1:30">
      <c r="A234" s="1">
        <f t="shared" si="81"/>
        <v>17.583333333333332</v>
      </c>
      <c r="B234" s="1">
        <f t="shared" si="82"/>
        <v>211</v>
      </c>
      <c r="C234" s="2">
        <f t="shared" si="87"/>
        <v>17</v>
      </c>
      <c r="D234" s="2">
        <f t="shared" si="88"/>
        <v>7</v>
      </c>
      <c r="E234" s="2">
        <f t="shared" si="89"/>
        <v>46</v>
      </c>
      <c r="F234" s="1">
        <f t="shared" si="83"/>
        <v>346680.32722484396</v>
      </c>
      <c r="H234" s="1">
        <f t="shared" si="76"/>
        <v>2764.4776132292145</v>
      </c>
      <c r="I234" s="1">
        <v>0</v>
      </c>
      <c r="J234" s="1">
        <v>0</v>
      </c>
      <c r="K234" s="1">
        <f t="shared" si="84"/>
        <v>-405.3559736121648</v>
      </c>
      <c r="L234" s="1">
        <f t="shared" si="77"/>
        <v>349039.44886446098</v>
      </c>
      <c r="N234" s="1">
        <f t="shared" si="85"/>
        <v>211</v>
      </c>
      <c r="O234" s="2">
        <f t="shared" si="90"/>
        <v>17</v>
      </c>
      <c r="P234" s="2">
        <f t="shared" si="91"/>
        <v>7</v>
      </c>
      <c r="Q234" s="2">
        <f t="shared" si="92"/>
        <v>17</v>
      </c>
      <c r="R234" s="1">
        <f t="shared" si="86"/>
        <v>3913806.5269969227</v>
      </c>
      <c r="S234" s="1">
        <f>+IF($G$4="mensual",S228,IF($G$4="trimestral",S228,IF($G$4="semestral",S228,0)))</f>
        <v>10000</v>
      </c>
      <c r="U234" s="1">
        <f t="shared" si="93"/>
        <v>31288.984262122631</v>
      </c>
      <c r="V234" s="35">
        <f t="shared" si="75"/>
        <v>-172.1788206032108</v>
      </c>
      <c r="X234" s="35">
        <f t="shared" si="74"/>
        <v>-4587.7110656285931</v>
      </c>
      <c r="Y234" s="1">
        <f t="shared" si="78"/>
        <v>3950335.6213728138</v>
      </c>
      <c r="AA234" s="2">
        <f>+Bono!J234</f>
        <v>229944.34410617335</v>
      </c>
      <c r="AC234" s="10">
        <f t="shared" si="79"/>
        <v>17.583333333333332</v>
      </c>
      <c r="AD234" s="1">
        <f t="shared" si="80"/>
        <v>4529319.4143434484</v>
      </c>
    </row>
    <row r="235" spans="1:30">
      <c r="A235" s="1">
        <f t="shared" si="81"/>
        <v>17.666666666666668</v>
      </c>
      <c r="B235" s="1">
        <f t="shared" si="82"/>
        <v>212</v>
      </c>
      <c r="C235" s="2">
        <f t="shared" si="87"/>
        <v>17</v>
      </c>
      <c r="D235" s="2">
        <f t="shared" si="88"/>
        <v>8</v>
      </c>
      <c r="E235" s="2">
        <f t="shared" si="89"/>
        <v>46</v>
      </c>
      <c r="F235" s="1">
        <f t="shared" si="83"/>
        <v>349039.44886446098</v>
      </c>
      <c r="H235" s="1">
        <f t="shared" si="76"/>
        <v>2783.2895804723862</v>
      </c>
      <c r="I235" s="1">
        <v>0</v>
      </c>
      <c r="J235" s="1">
        <v>0</v>
      </c>
      <c r="K235" s="1">
        <f t="shared" si="84"/>
        <v>-408.11437659612272</v>
      </c>
      <c r="L235" s="1">
        <f t="shared" si="77"/>
        <v>351414.62406833726</v>
      </c>
      <c r="N235" s="1">
        <f t="shared" si="85"/>
        <v>212</v>
      </c>
      <c r="O235" s="2">
        <f t="shared" si="90"/>
        <v>17</v>
      </c>
      <c r="P235" s="2">
        <f t="shared" si="91"/>
        <v>8</v>
      </c>
      <c r="Q235" s="2">
        <f t="shared" si="92"/>
        <v>17</v>
      </c>
      <c r="R235" s="1">
        <f t="shared" si="86"/>
        <v>3950335.6213728138</v>
      </c>
      <c r="S235" s="4">
        <f>IF($G$4="mensual",S234,0)</f>
        <v>10000</v>
      </c>
      <c r="U235" s="1">
        <f t="shared" si="93"/>
        <v>31580.272390416667</v>
      </c>
      <c r="V235" s="35">
        <f t="shared" si="75"/>
        <v>-172.1788206032108</v>
      </c>
      <c r="X235" s="35">
        <f t="shared" ref="X235:X298" si="94">-SUM(R235:V235)*0.1%*1.16</f>
        <v>-4630.4227093334475</v>
      </c>
      <c r="Y235" s="1">
        <f t="shared" si="78"/>
        <v>3987113.2922332943</v>
      </c>
      <c r="AA235" s="2">
        <f>+Bono!J235</f>
        <v>231370.02571152468</v>
      </c>
      <c r="AC235" s="10">
        <f t="shared" si="79"/>
        <v>17.666666666666668</v>
      </c>
      <c r="AD235" s="1">
        <f t="shared" si="80"/>
        <v>4569897.9420131566</v>
      </c>
    </row>
    <row r="236" spans="1:30">
      <c r="A236" s="1">
        <f t="shared" si="81"/>
        <v>17.75</v>
      </c>
      <c r="B236" s="1">
        <f t="shared" si="82"/>
        <v>213</v>
      </c>
      <c r="C236" s="2">
        <f t="shared" si="87"/>
        <v>17</v>
      </c>
      <c r="D236" s="2">
        <f t="shared" si="88"/>
        <v>9</v>
      </c>
      <c r="E236" s="2">
        <f t="shared" si="89"/>
        <v>46</v>
      </c>
      <c r="F236" s="1">
        <f t="shared" si="83"/>
        <v>351414.62406833726</v>
      </c>
      <c r="H236" s="1">
        <f t="shared" si="76"/>
        <v>2802.2295610913461</v>
      </c>
      <c r="I236" s="1">
        <v>0</v>
      </c>
      <c r="J236" s="69">
        <f>-SUM(F236:H236)*$J$21*1.16</f>
        <v>-3698.0239518912349</v>
      </c>
      <c r="K236" s="1">
        <f t="shared" si="84"/>
        <v>-406.60184242594335</v>
      </c>
      <c r="L236" s="1">
        <f t="shared" si="77"/>
        <v>350112.22783511144</v>
      </c>
      <c r="N236" s="1">
        <f t="shared" si="85"/>
        <v>213</v>
      </c>
      <c r="O236" s="2">
        <f t="shared" si="90"/>
        <v>17</v>
      </c>
      <c r="P236" s="2">
        <f t="shared" si="91"/>
        <v>9</v>
      </c>
      <c r="Q236" s="2">
        <f t="shared" si="92"/>
        <v>17</v>
      </c>
      <c r="R236" s="1">
        <f t="shared" si="86"/>
        <v>3987113.2922332943</v>
      </c>
      <c r="S236" s="4">
        <f>IF($G$4="mensual",S235,0)</f>
        <v>10000</v>
      </c>
      <c r="U236" s="1">
        <f t="shared" si="93"/>
        <v>31873.54270250614</v>
      </c>
      <c r="V236" s="35">
        <f t="shared" si="75"/>
        <v>-172.1788206032108</v>
      </c>
      <c r="X236" s="35">
        <f t="shared" si="94"/>
        <v>-4673.4250010936285</v>
      </c>
      <c r="Y236" s="1">
        <f t="shared" si="78"/>
        <v>4024141.2311141039</v>
      </c>
      <c r="AA236" s="2">
        <f>+Bono!J236</f>
        <v>230707.2084495656</v>
      </c>
      <c r="AC236" s="10">
        <f t="shared" si="79"/>
        <v>17.75</v>
      </c>
      <c r="AD236" s="1">
        <f t="shared" si="80"/>
        <v>4604960.6673987806</v>
      </c>
    </row>
    <row r="237" spans="1:30">
      <c r="A237" s="1">
        <f t="shared" si="81"/>
        <v>17.833333333333332</v>
      </c>
      <c r="B237" s="1">
        <f t="shared" si="82"/>
        <v>214</v>
      </c>
      <c r="C237" s="2">
        <f t="shared" si="87"/>
        <v>17</v>
      </c>
      <c r="D237" s="2">
        <f t="shared" si="88"/>
        <v>10</v>
      </c>
      <c r="E237" s="2">
        <f t="shared" si="89"/>
        <v>46</v>
      </c>
      <c r="F237" s="1">
        <f t="shared" si="83"/>
        <v>350112.22783511144</v>
      </c>
      <c r="H237" s="1">
        <f t="shared" si="76"/>
        <v>2791.8440706335277</v>
      </c>
      <c r="I237" s="1">
        <v>0</v>
      </c>
      <c r="J237" s="1">
        <v>0</v>
      </c>
      <c r="K237" s="1">
        <f t="shared" si="84"/>
        <v>-409.36872341066413</v>
      </c>
      <c r="L237" s="1">
        <f t="shared" si="77"/>
        <v>352494.70318233431</v>
      </c>
      <c r="N237" s="1">
        <f t="shared" si="85"/>
        <v>214</v>
      </c>
      <c r="O237" s="2">
        <f t="shared" si="90"/>
        <v>17</v>
      </c>
      <c r="P237" s="2">
        <f t="shared" si="91"/>
        <v>10</v>
      </c>
      <c r="Q237" s="2">
        <f t="shared" si="92"/>
        <v>17</v>
      </c>
      <c r="R237" s="1">
        <f t="shared" si="86"/>
        <v>4024141.2311141039</v>
      </c>
      <c r="S237" s="4">
        <f>IF($G$4="mensual",S228,IF($G$4="trimestral",S228,0))</f>
        <v>10000</v>
      </c>
      <c r="U237" s="1">
        <f t="shared" si="93"/>
        <v>32168.808686934579</v>
      </c>
      <c r="V237" s="35">
        <f t="shared" si="75"/>
        <v>-172.1788206032108</v>
      </c>
      <c r="X237" s="35">
        <f t="shared" si="94"/>
        <v>-4716.7199187373053</v>
      </c>
      <c r="Y237" s="1">
        <f t="shared" si="78"/>
        <v>4061421.1410616981</v>
      </c>
      <c r="AA237" s="2">
        <f>+Bono!J237</f>
        <v>232137.61990233272</v>
      </c>
      <c r="AC237" s="10">
        <f t="shared" si="79"/>
        <v>17.833333333333332</v>
      </c>
      <c r="AD237" s="1">
        <f t="shared" si="80"/>
        <v>4646053.4641463645</v>
      </c>
    </row>
    <row r="238" spans="1:30">
      <c r="A238" s="1">
        <f t="shared" si="81"/>
        <v>17.916666666666668</v>
      </c>
      <c r="B238" s="1">
        <f t="shared" si="82"/>
        <v>215</v>
      </c>
      <c r="C238" s="2">
        <f t="shared" si="87"/>
        <v>17</v>
      </c>
      <c r="D238" s="2">
        <f t="shared" si="88"/>
        <v>11</v>
      </c>
      <c r="E238" s="2">
        <f t="shared" si="89"/>
        <v>46</v>
      </c>
      <c r="F238" s="1">
        <f t="shared" si="83"/>
        <v>352494.70318233431</v>
      </c>
      <c r="H238" s="1">
        <f t="shared" si="76"/>
        <v>2810.8422636206842</v>
      </c>
      <c r="I238" s="1">
        <v>0</v>
      </c>
      <c r="J238" s="1">
        <v>0</v>
      </c>
      <c r="K238" s="1">
        <f t="shared" si="84"/>
        <v>-412.15443271730783</v>
      </c>
      <c r="L238" s="1">
        <f t="shared" si="77"/>
        <v>354893.39101323771</v>
      </c>
      <c r="N238" s="1">
        <f t="shared" si="85"/>
        <v>215</v>
      </c>
      <c r="O238" s="2">
        <f t="shared" si="90"/>
        <v>17</v>
      </c>
      <c r="P238" s="2">
        <f t="shared" si="91"/>
        <v>11</v>
      </c>
      <c r="Q238" s="2">
        <f t="shared" si="92"/>
        <v>17</v>
      </c>
      <c r="R238" s="1">
        <f t="shared" si="86"/>
        <v>4061421.1410616981</v>
      </c>
      <c r="S238" s="1">
        <f>IF($G$17="si",S226*(1+$G$20),S226)</f>
        <v>10000</v>
      </c>
      <c r="U238" s="1">
        <f t="shared" si="93"/>
        <v>32466.083924033581</v>
      </c>
      <c r="V238" s="35">
        <f t="shared" si="75"/>
        <v>-172.1788206032108</v>
      </c>
      <c r="X238" s="35">
        <f t="shared" si="94"/>
        <v>-4760.3094535515493</v>
      </c>
      <c r="Y238" s="1">
        <f t="shared" si="78"/>
        <v>4098954.736711577</v>
      </c>
      <c r="AA238" s="2">
        <f>+Bono!J238</f>
        <v>233576.90007202449</v>
      </c>
      <c r="AC238" s="10">
        <f t="shared" si="79"/>
        <v>17.916666666666668</v>
      </c>
      <c r="AD238" s="1">
        <f t="shared" si="80"/>
        <v>4687425.0277968394</v>
      </c>
    </row>
    <row r="239" spans="1:30">
      <c r="A239" s="1">
        <f t="shared" si="81"/>
        <v>18</v>
      </c>
      <c r="B239" s="1">
        <f t="shared" si="82"/>
        <v>216</v>
      </c>
      <c r="C239" s="2">
        <f t="shared" si="87"/>
        <v>17</v>
      </c>
      <c r="D239" s="2">
        <f t="shared" si="88"/>
        <v>12</v>
      </c>
      <c r="E239" s="2">
        <f t="shared" si="89"/>
        <v>46</v>
      </c>
      <c r="F239" s="1">
        <f t="shared" si="83"/>
        <v>354893.39101323771</v>
      </c>
      <c r="H239" s="1">
        <f t="shared" si="76"/>
        <v>2829.9697372294108</v>
      </c>
      <c r="I239" s="1">
        <v>0</v>
      </c>
      <c r="J239" s="69">
        <f>-SUM(F239:H239)*$J$21*1.16</f>
        <v>-3734.6318862348767</v>
      </c>
      <c r="K239" s="1">
        <f t="shared" si="84"/>
        <v>-410.62692548250936</v>
      </c>
      <c r="L239" s="1">
        <f t="shared" si="77"/>
        <v>353578.10193874972</v>
      </c>
      <c r="N239" s="1">
        <f t="shared" si="85"/>
        <v>216</v>
      </c>
      <c r="O239" s="2">
        <f t="shared" si="90"/>
        <v>17</v>
      </c>
      <c r="P239" s="2">
        <f t="shared" si="91"/>
        <v>12</v>
      </c>
      <c r="Q239" s="2">
        <f t="shared" si="92"/>
        <v>17</v>
      </c>
      <c r="R239" s="1">
        <f t="shared" si="86"/>
        <v>4098954.736711577</v>
      </c>
      <c r="S239" s="4">
        <f>IF($G$4="mensual",S238,0)</f>
        <v>10000</v>
      </c>
      <c r="U239" s="1">
        <f t="shared" si="93"/>
        <v>32765.382086547408</v>
      </c>
      <c r="V239" s="35">
        <f t="shared" si="75"/>
        <v>-172.1788206032108</v>
      </c>
      <c r="X239" s="35">
        <f t="shared" si="94"/>
        <v>-4804.195610373924</v>
      </c>
      <c r="Y239" s="1">
        <f t="shared" si="78"/>
        <v>4136743.7443671478</v>
      </c>
      <c r="AA239" s="2">
        <f>+Bono!J239</f>
        <v>232907.7606669243</v>
      </c>
      <c r="AC239" s="10">
        <f t="shared" si="79"/>
        <v>18</v>
      </c>
      <c r="AD239" s="1">
        <f t="shared" si="80"/>
        <v>4723229.606972822</v>
      </c>
    </row>
    <row r="240" spans="1:30">
      <c r="A240" s="1">
        <f t="shared" si="81"/>
        <v>18.083333333333332</v>
      </c>
      <c r="B240" s="1">
        <f t="shared" si="82"/>
        <v>217</v>
      </c>
      <c r="C240" s="2">
        <f t="shared" si="87"/>
        <v>18</v>
      </c>
      <c r="D240" s="2">
        <f t="shared" si="88"/>
        <v>1</v>
      </c>
      <c r="E240" s="2">
        <f t="shared" si="89"/>
        <v>47</v>
      </c>
      <c r="F240" s="1">
        <f t="shared" si="83"/>
        <v>353578.10193874972</v>
      </c>
      <c r="H240" s="1">
        <f t="shared" si="76"/>
        <v>2819.4814374448406</v>
      </c>
      <c r="I240" s="1">
        <v>0</v>
      </c>
      <c r="J240" s="1">
        <v>0</v>
      </c>
      <c r="K240" s="1">
        <f t="shared" si="84"/>
        <v>-413.42119671638568</v>
      </c>
      <c r="L240" s="1">
        <f t="shared" si="77"/>
        <v>355984.16217947821</v>
      </c>
      <c r="N240" s="1">
        <f t="shared" si="85"/>
        <v>217</v>
      </c>
      <c r="O240" s="2">
        <f t="shared" si="90"/>
        <v>18</v>
      </c>
      <c r="P240" s="2">
        <f t="shared" si="91"/>
        <v>1</v>
      </c>
      <c r="Q240" s="2">
        <f t="shared" si="92"/>
        <v>18</v>
      </c>
      <c r="R240" s="1">
        <f t="shared" si="86"/>
        <v>4136743.7443671478</v>
      </c>
      <c r="S240" s="1">
        <f>IF($G$17="si",S228*(1+$G$20),S228)</f>
        <v>10000</v>
      </c>
      <c r="U240" s="1">
        <f t="shared" si="93"/>
        <v>33066.716940261853</v>
      </c>
      <c r="V240" s="35">
        <f>V239*(1+$G$18)</f>
        <v>-179.06597342733923</v>
      </c>
      <c r="X240" s="35">
        <f t="shared" si="94"/>
        <v>-4848.3724185874189</v>
      </c>
      <c r="Y240" s="1">
        <f t="shared" si="78"/>
        <v>4174783.022915395</v>
      </c>
      <c r="AA240" s="2">
        <f>+Bono!J240</f>
        <v>234351.81579868731</v>
      </c>
      <c r="AC240" s="10">
        <f t="shared" si="79"/>
        <v>18.083333333333332</v>
      </c>
      <c r="AD240" s="1">
        <f t="shared" si="80"/>
        <v>4765119.0008935612</v>
      </c>
    </row>
    <row r="241" spans="1:30">
      <c r="A241" s="1">
        <f t="shared" si="81"/>
        <v>18.166666666666668</v>
      </c>
      <c r="B241" s="1">
        <f t="shared" si="82"/>
        <v>218</v>
      </c>
      <c r="C241" s="2">
        <f t="shared" si="87"/>
        <v>18</v>
      </c>
      <c r="D241" s="2">
        <f t="shared" si="88"/>
        <v>2</v>
      </c>
      <c r="E241" s="2">
        <f t="shared" si="89"/>
        <v>47</v>
      </c>
      <c r="F241" s="1">
        <f t="shared" si="83"/>
        <v>355984.16217947821</v>
      </c>
      <c r="H241" s="1">
        <f t="shared" si="76"/>
        <v>2838.6676996848114</v>
      </c>
      <c r="I241" s="1">
        <v>0</v>
      </c>
      <c r="J241" s="1">
        <v>0</v>
      </c>
      <c r="K241" s="1">
        <f t="shared" si="84"/>
        <v>-416.23448265982904</v>
      </c>
      <c r="L241" s="1">
        <f t="shared" si="77"/>
        <v>358406.59539650317</v>
      </c>
      <c r="N241" s="1">
        <f t="shared" si="85"/>
        <v>218</v>
      </c>
      <c r="O241" s="2">
        <f t="shared" si="90"/>
        <v>18</v>
      </c>
      <c r="P241" s="2">
        <f t="shared" si="91"/>
        <v>2</v>
      </c>
      <c r="Q241" s="2">
        <f t="shared" si="92"/>
        <v>18</v>
      </c>
      <c r="R241" s="1">
        <f t="shared" si="86"/>
        <v>4174783.022915395</v>
      </c>
      <c r="S241" s="4">
        <f>IF($G$4="mensual",S240,0)</f>
        <v>10000</v>
      </c>
      <c r="U241" s="1">
        <f t="shared" si="93"/>
        <v>33370.04748921976</v>
      </c>
      <c r="V241" s="35">
        <f t="shared" si="75"/>
        <v>-179.06597342733923</v>
      </c>
      <c r="X241" s="35">
        <f t="shared" si="94"/>
        <v>-4892.8498451401774</v>
      </c>
      <c r="Y241" s="1">
        <f t="shared" si="78"/>
        <v>4213081.1545860469</v>
      </c>
      <c r="AA241" s="2">
        <f>+Bono!J241</f>
        <v>235804.8242397673</v>
      </c>
      <c r="AC241" s="10">
        <f t="shared" si="79"/>
        <v>18.166666666666668</v>
      </c>
      <c r="AD241" s="1">
        <f t="shared" si="80"/>
        <v>4807292.574222317</v>
      </c>
    </row>
    <row r="242" spans="1:30">
      <c r="A242" s="1">
        <f t="shared" si="81"/>
        <v>18.25</v>
      </c>
      <c r="B242" s="1">
        <f t="shared" si="82"/>
        <v>219</v>
      </c>
      <c r="C242" s="2">
        <f t="shared" si="87"/>
        <v>18</v>
      </c>
      <c r="D242" s="2">
        <f t="shared" si="88"/>
        <v>3</v>
      </c>
      <c r="E242" s="2">
        <f t="shared" si="89"/>
        <v>47</v>
      </c>
      <c r="F242" s="1">
        <f t="shared" si="83"/>
        <v>358406.59539650317</v>
      </c>
      <c r="H242" s="1">
        <f t="shared" si="76"/>
        <v>2857.9845223370098</v>
      </c>
      <c r="I242" s="1">
        <v>0</v>
      </c>
      <c r="J242" s="69">
        <f>-SUM(F242:H242)*$J$21*1.16</f>
        <v>-3771.602214352692</v>
      </c>
      <c r="K242" s="1">
        <f t="shared" si="84"/>
        <v>-414.6918541372055</v>
      </c>
      <c r="L242" s="1">
        <f t="shared" si="77"/>
        <v>357078.28585035028</v>
      </c>
      <c r="N242" s="1">
        <f t="shared" si="85"/>
        <v>219</v>
      </c>
      <c r="O242" s="2">
        <f t="shared" si="90"/>
        <v>18</v>
      </c>
      <c r="P242" s="2">
        <f t="shared" si="91"/>
        <v>3</v>
      </c>
      <c r="Q242" s="2">
        <f t="shared" si="92"/>
        <v>18</v>
      </c>
      <c r="R242" s="1">
        <f t="shared" si="86"/>
        <v>4213081.1545860469</v>
      </c>
      <c r="S242" s="4">
        <f>IF($G$4="mensual",S241,0)</f>
        <v>10000</v>
      </c>
      <c r="U242" s="1">
        <f t="shared" si="93"/>
        <v>33675.442169326183</v>
      </c>
      <c r="V242" s="35">
        <f t="shared" si="75"/>
        <v>-179.06597342733923</v>
      </c>
      <c r="X242" s="35">
        <f t="shared" si="94"/>
        <v>-4937.6299357070566</v>
      </c>
      <c r="Y242" s="1">
        <f t="shared" si="78"/>
        <v>4251639.9008462392</v>
      </c>
      <c r="AA242" s="2">
        <f>+Bono!J242</f>
        <v>235129.30238909242</v>
      </c>
      <c r="AC242" s="10">
        <f t="shared" si="79"/>
        <v>18.25</v>
      </c>
      <c r="AD242" s="1">
        <f t="shared" si="80"/>
        <v>4843847.4890856817</v>
      </c>
    </row>
    <row r="243" spans="1:30">
      <c r="A243" s="1">
        <f t="shared" si="81"/>
        <v>18.333333333333332</v>
      </c>
      <c r="B243" s="1">
        <f t="shared" si="82"/>
        <v>220</v>
      </c>
      <c r="C243" s="2">
        <f t="shared" si="87"/>
        <v>18</v>
      </c>
      <c r="D243" s="2">
        <f t="shared" si="88"/>
        <v>4</v>
      </c>
      <c r="E243" s="2">
        <f t="shared" si="89"/>
        <v>47</v>
      </c>
      <c r="F243" s="1">
        <f t="shared" si="83"/>
        <v>357078.28585035028</v>
      </c>
      <c r="H243" s="1">
        <f t="shared" si="76"/>
        <v>2847.3923954829329</v>
      </c>
      <c r="I243" s="1">
        <v>0</v>
      </c>
      <c r="J243" s="1">
        <v>0</v>
      </c>
      <c r="K243" s="1">
        <f t="shared" si="84"/>
        <v>-417.51378676516646</v>
      </c>
      <c r="L243" s="1">
        <f t="shared" si="77"/>
        <v>359508.16445906804</v>
      </c>
      <c r="N243" s="1">
        <f t="shared" si="85"/>
        <v>220</v>
      </c>
      <c r="O243" s="2">
        <f t="shared" si="90"/>
        <v>18</v>
      </c>
      <c r="P243" s="2">
        <f t="shared" si="91"/>
        <v>4</v>
      </c>
      <c r="Q243" s="2">
        <f t="shared" si="92"/>
        <v>18</v>
      </c>
      <c r="R243" s="1">
        <f t="shared" si="86"/>
        <v>4251639.9008462392</v>
      </c>
      <c r="S243" s="4">
        <f>IF($G$4="mensual",S240,IF($G$4="trimestral",S240,0))</f>
        <v>10000</v>
      </c>
      <c r="U243" s="1">
        <f t="shared" si="93"/>
        <v>33982.915026767427</v>
      </c>
      <c r="V243" s="35">
        <f t="shared" si="75"/>
        <v>-179.06597342733923</v>
      </c>
      <c r="X243" s="35">
        <f t="shared" si="94"/>
        <v>-4982.714749883512</v>
      </c>
      <c r="Y243" s="1">
        <f t="shared" si="78"/>
        <v>4290461.0351496954</v>
      </c>
      <c r="AA243" s="2">
        <f>+Bono!J243</f>
        <v>236587.13133721577</v>
      </c>
      <c r="AC243" s="10">
        <f t="shared" si="79"/>
        <v>18.333333333333332</v>
      </c>
      <c r="AD243" s="1">
        <f t="shared" si="80"/>
        <v>4886556.3309459798</v>
      </c>
    </row>
    <row r="244" spans="1:30">
      <c r="A244" s="1">
        <f t="shared" si="81"/>
        <v>18.416666666666668</v>
      </c>
      <c r="B244" s="1">
        <f t="shared" si="82"/>
        <v>221</v>
      </c>
      <c r="C244" s="2">
        <f t="shared" si="87"/>
        <v>18</v>
      </c>
      <c r="D244" s="2">
        <f t="shared" si="88"/>
        <v>5</v>
      </c>
      <c r="E244" s="2">
        <f t="shared" si="89"/>
        <v>47</v>
      </c>
      <c r="F244" s="1">
        <f t="shared" si="83"/>
        <v>359508.16445906804</v>
      </c>
      <c r="H244" s="1">
        <f t="shared" si="76"/>
        <v>2866.7685887340376</v>
      </c>
      <c r="I244" s="1">
        <v>0</v>
      </c>
      <c r="J244" s="1">
        <v>0</v>
      </c>
      <c r="K244" s="1">
        <f t="shared" si="84"/>
        <v>-420.3549223354504</v>
      </c>
      <c r="L244" s="1">
        <f t="shared" si="77"/>
        <v>361954.57812546659</v>
      </c>
      <c r="N244" s="1">
        <f t="shared" si="85"/>
        <v>221</v>
      </c>
      <c r="O244" s="2">
        <f t="shared" si="90"/>
        <v>18</v>
      </c>
      <c r="P244" s="2">
        <f t="shared" si="91"/>
        <v>5</v>
      </c>
      <c r="Q244" s="2">
        <f t="shared" si="92"/>
        <v>18</v>
      </c>
      <c r="R244" s="1">
        <f t="shared" si="86"/>
        <v>4290461.0351496954</v>
      </c>
      <c r="S244" s="4">
        <f>IF($G$4="mensual",S243,0)</f>
        <v>10000</v>
      </c>
      <c r="U244" s="1">
        <f t="shared" si="93"/>
        <v>34292.480203312516</v>
      </c>
      <c r="V244" s="35">
        <f t="shared" si="75"/>
        <v>-179.06597342733923</v>
      </c>
      <c r="X244" s="35">
        <f t="shared" si="94"/>
        <v>-5028.1063612803136</v>
      </c>
      <c r="Y244" s="1">
        <f t="shared" si="78"/>
        <v>4329546.3430183008</v>
      </c>
      <c r="AA244" s="2">
        <f>+Bono!J244</f>
        <v>238053.99899391519</v>
      </c>
      <c r="AC244" s="10">
        <f t="shared" si="79"/>
        <v>18.416666666666668</v>
      </c>
      <c r="AD244" s="1">
        <f t="shared" si="80"/>
        <v>4929554.9201376829</v>
      </c>
    </row>
    <row r="245" spans="1:30">
      <c r="A245" s="1">
        <f t="shared" si="81"/>
        <v>18.5</v>
      </c>
      <c r="B245" s="1">
        <f t="shared" si="82"/>
        <v>222</v>
      </c>
      <c r="C245" s="2">
        <f t="shared" si="87"/>
        <v>18</v>
      </c>
      <c r="D245" s="2">
        <f t="shared" si="88"/>
        <v>6</v>
      </c>
      <c r="E245" s="2">
        <f t="shared" si="89"/>
        <v>47</v>
      </c>
      <c r="F245" s="1">
        <f t="shared" si="83"/>
        <v>361954.57812546659</v>
      </c>
      <c r="H245" s="1">
        <f t="shared" si="76"/>
        <v>2886.2766348570894</v>
      </c>
      <c r="I245" s="1">
        <v>0</v>
      </c>
      <c r="J245" s="69">
        <f>-SUM(F245:H245)*$J$21*1.16</f>
        <v>-3808.9385236977796</v>
      </c>
      <c r="K245" s="1">
        <f t="shared" si="84"/>
        <v>-418.79702283448603</v>
      </c>
      <c r="L245" s="1">
        <f t="shared" si="77"/>
        <v>360613.11921379145</v>
      </c>
      <c r="N245" s="1">
        <f t="shared" si="85"/>
        <v>222</v>
      </c>
      <c r="O245" s="2">
        <f t="shared" si="90"/>
        <v>18</v>
      </c>
      <c r="P245" s="2">
        <f t="shared" si="91"/>
        <v>6</v>
      </c>
      <c r="Q245" s="2">
        <f t="shared" si="92"/>
        <v>18</v>
      </c>
      <c r="R245" s="1">
        <f t="shared" si="86"/>
        <v>4329546.3430183008</v>
      </c>
      <c r="S245" s="4">
        <f>IF($G$4="mensual",S244,0)</f>
        <v>10000</v>
      </c>
      <c r="U245" s="1">
        <f t="shared" si="93"/>
        <v>34604.151936963717</v>
      </c>
      <c r="V245" s="35">
        <f t="shared" si="75"/>
        <v>-179.06597342733923</v>
      </c>
      <c r="X245" s="35">
        <f t="shared" si="94"/>
        <v>-5073.8068576189316</v>
      </c>
      <c r="Y245" s="1">
        <f t="shared" si="78"/>
        <v>4368897.6221242193</v>
      </c>
      <c r="AA245" s="2">
        <f>+Bono!J245</f>
        <v>237372.03382005001</v>
      </c>
      <c r="AC245" s="10">
        <f t="shared" si="79"/>
        <v>18.5</v>
      </c>
      <c r="AD245" s="1">
        <f t="shared" si="80"/>
        <v>4966882.7751580607</v>
      </c>
    </row>
    <row r="246" spans="1:30">
      <c r="A246" s="1">
        <f t="shared" si="81"/>
        <v>18.583333333333332</v>
      </c>
      <c r="B246" s="1">
        <f t="shared" si="82"/>
        <v>223</v>
      </c>
      <c r="C246" s="2">
        <f t="shared" si="87"/>
        <v>18</v>
      </c>
      <c r="D246" s="2">
        <f t="shared" si="88"/>
        <v>7</v>
      </c>
      <c r="E246" s="2">
        <f t="shared" si="89"/>
        <v>47</v>
      </c>
      <c r="F246" s="1">
        <f t="shared" si="83"/>
        <v>360613.11921379145</v>
      </c>
      <c r="H246" s="1">
        <f t="shared" si="76"/>
        <v>2875.5796531157871</v>
      </c>
      <c r="I246" s="1">
        <v>0</v>
      </c>
      <c r="J246" s="1">
        <v>0</v>
      </c>
      <c r="K246" s="1">
        <f t="shared" si="84"/>
        <v>-421.64689068561233</v>
      </c>
      <c r="L246" s="1">
        <f t="shared" si="77"/>
        <v>363067.05197622161</v>
      </c>
      <c r="N246" s="1">
        <f t="shared" si="85"/>
        <v>223</v>
      </c>
      <c r="O246" s="2">
        <f t="shared" si="90"/>
        <v>18</v>
      </c>
      <c r="P246" s="2">
        <f t="shared" si="91"/>
        <v>7</v>
      </c>
      <c r="Q246" s="2">
        <f t="shared" si="92"/>
        <v>18</v>
      </c>
      <c r="R246" s="1">
        <f t="shared" si="86"/>
        <v>4368897.6221242193</v>
      </c>
      <c r="S246" s="1">
        <f>+IF($G$4="mensual",S240,IF($G$4="trimestral",S240,IF($G$4="semestral",S240,0)))</f>
        <v>10000</v>
      </c>
      <c r="U246" s="1">
        <f t="shared" si="93"/>
        <v>34917.944562611294</v>
      </c>
      <c r="V246" s="35">
        <f t="shared" si="75"/>
        <v>-179.06597342733923</v>
      </c>
      <c r="X246" s="35">
        <f t="shared" si="94"/>
        <v>-5119.8183408275481</v>
      </c>
      <c r="Y246" s="1">
        <f t="shared" si="78"/>
        <v>4408516.6823725756</v>
      </c>
      <c r="AA246" s="2">
        <f>+Bono!J246</f>
        <v>238843.76796318605</v>
      </c>
      <c r="AC246" s="10">
        <f t="shared" si="79"/>
        <v>18.583333333333332</v>
      </c>
      <c r="AD246" s="1">
        <f t="shared" si="80"/>
        <v>5010427.5023119831</v>
      </c>
    </row>
    <row r="247" spans="1:30">
      <c r="A247" s="1">
        <f t="shared" si="81"/>
        <v>18.666666666666668</v>
      </c>
      <c r="B247" s="1">
        <f t="shared" si="82"/>
        <v>224</v>
      </c>
      <c r="C247" s="2">
        <f t="shared" si="87"/>
        <v>18</v>
      </c>
      <c r="D247" s="2">
        <f t="shared" si="88"/>
        <v>8</v>
      </c>
      <c r="E247" s="2">
        <f t="shared" si="89"/>
        <v>47</v>
      </c>
      <c r="F247" s="1">
        <f t="shared" si="83"/>
        <v>363067.05197622161</v>
      </c>
      <c r="H247" s="1">
        <f t="shared" si="76"/>
        <v>2895.1476575664933</v>
      </c>
      <c r="I247" s="1">
        <v>0</v>
      </c>
      <c r="J247" s="1">
        <v>0</v>
      </c>
      <c r="K247" s="1">
        <f t="shared" si="84"/>
        <v>-424.51615157519416</v>
      </c>
      <c r="L247" s="1">
        <f t="shared" si="77"/>
        <v>365537.68348221289</v>
      </c>
      <c r="N247" s="1">
        <f t="shared" si="85"/>
        <v>224</v>
      </c>
      <c r="O247" s="2">
        <f t="shared" si="90"/>
        <v>18</v>
      </c>
      <c r="P247" s="2">
        <f t="shared" si="91"/>
        <v>8</v>
      </c>
      <c r="Q247" s="2">
        <f t="shared" si="92"/>
        <v>18</v>
      </c>
      <c r="R247" s="1">
        <f t="shared" si="86"/>
        <v>4408516.6823725756</v>
      </c>
      <c r="S247" s="4">
        <f>IF($G$4="mensual",S246,0)</f>
        <v>10000</v>
      </c>
      <c r="U247" s="1">
        <f t="shared" si="93"/>
        <v>35233.872512692891</v>
      </c>
      <c r="V247" s="35">
        <f t="shared" si="75"/>
        <v>-179.06597342733923</v>
      </c>
      <c r="X247" s="35">
        <f t="shared" si="94"/>
        <v>-5166.1429271377347</v>
      </c>
      <c r="Y247" s="1">
        <f t="shared" si="78"/>
        <v>4448405.3459847029</v>
      </c>
      <c r="AA247" s="2">
        <f>+Bono!J247</f>
        <v>240324.62702872013</v>
      </c>
      <c r="AC247" s="10">
        <f t="shared" si="79"/>
        <v>18.666666666666668</v>
      </c>
      <c r="AD247" s="1">
        <f t="shared" si="80"/>
        <v>5054267.6564956363</v>
      </c>
    </row>
    <row r="248" spans="1:30">
      <c r="A248" s="1">
        <f t="shared" si="81"/>
        <v>18.75</v>
      </c>
      <c r="B248" s="1">
        <f t="shared" si="82"/>
        <v>225</v>
      </c>
      <c r="C248" s="2">
        <f t="shared" si="87"/>
        <v>18</v>
      </c>
      <c r="D248" s="2">
        <f t="shared" si="88"/>
        <v>9</v>
      </c>
      <c r="E248" s="2">
        <f t="shared" si="89"/>
        <v>47</v>
      </c>
      <c r="F248" s="1">
        <f t="shared" si="83"/>
        <v>365537.68348221289</v>
      </c>
      <c r="H248" s="1">
        <f t="shared" si="76"/>
        <v>2914.8488201433415</v>
      </c>
      <c r="I248" s="1">
        <v>0</v>
      </c>
      <c r="J248" s="69">
        <f>-SUM(F248:H248)*$J$21*1.16</f>
        <v>-3846.6444372365991</v>
      </c>
      <c r="K248" s="1">
        <f t="shared" si="84"/>
        <v>-422.94282992353868</v>
      </c>
      <c r="L248" s="1">
        <f t="shared" si="77"/>
        <v>364182.94503519608</v>
      </c>
      <c r="N248" s="1">
        <f t="shared" si="85"/>
        <v>225</v>
      </c>
      <c r="O248" s="2">
        <f t="shared" si="90"/>
        <v>18</v>
      </c>
      <c r="P248" s="2">
        <f t="shared" si="91"/>
        <v>9</v>
      </c>
      <c r="Q248" s="2">
        <f t="shared" si="92"/>
        <v>18</v>
      </c>
      <c r="R248" s="1">
        <f t="shared" si="86"/>
        <v>4448405.3459847029</v>
      </c>
      <c r="S248" s="4">
        <f>IF($G$4="mensual",S247,0)</f>
        <v>10000</v>
      </c>
      <c r="U248" s="1">
        <f t="shared" si="93"/>
        <v>35551.950317857292</v>
      </c>
      <c r="V248" s="35">
        <f t="shared" si="75"/>
        <v>-179.06597342733923</v>
      </c>
      <c r="X248" s="35">
        <f t="shared" si="94"/>
        <v>-5212.7827471817936</v>
      </c>
      <c r="Y248" s="1">
        <f t="shared" si="78"/>
        <v>4488565.4475819506</v>
      </c>
      <c r="AA248" s="2">
        <f>+Bono!J248</f>
        <v>239636.1570733806</v>
      </c>
      <c r="AC248" s="10">
        <f t="shared" si="79"/>
        <v>18.75</v>
      </c>
      <c r="AD248" s="1">
        <f t="shared" si="80"/>
        <v>5092384.5496905269</v>
      </c>
    </row>
    <row r="249" spans="1:30">
      <c r="A249" s="1">
        <f t="shared" si="81"/>
        <v>18.833333333333332</v>
      </c>
      <c r="B249" s="1">
        <f t="shared" si="82"/>
        <v>226</v>
      </c>
      <c r="C249" s="2">
        <f t="shared" si="87"/>
        <v>18</v>
      </c>
      <c r="D249" s="2">
        <f t="shared" si="88"/>
        <v>10</v>
      </c>
      <c r="E249" s="2">
        <f t="shared" si="89"/>
        <v>47</v>
      </c>
      <c r="F249" s="1">
        <f t="shared" si="83"/>
        <v>364182.94503519608</v>
      </c>
      <c r="H249" s="1">
        <f t="shared" si="76"/>
        <v>2904.0459455223945</v>
      </c>
      <c r="I249" s="1">
        <v>0</v>
      </c>
      <c r="J249" s="1">
        <v>0</v>
      </c>
      <c r="K249" s="1">
        <f t="shared" si="84"/>
        <v>-425.82090953763338</v>
      </c>
      <c r="L249" s="1">
        <f t="shared" si="77"/>
        <v>366661.17007118085</v>
      </c>
      <c r="N249" s="1">
        <f t="shared" si="85"/>
        <v>226</v>
      </c>
      <c r="O249" s="2">
        <f t="shared" si="90"/>
        <v>18</v>
      </c>
      <c r="P249" s="2">
        <f t="shared" si="91"/>
        <v>10</v>
      </c>
      <c r="Q249" s="2">
        <f t="shared" si="92"/>
        <v>18</v>
      </c>
      <c r="R249" s="1">
        <f t="shared" si="86"/>
        <v>4488565.4475819506</v>
      </c>
      <c r="S249" s="4">
        <f>IF($G$4="mensual",S240,IF($G$4="trimestral",S240,0))</f>
        <v>10000</v>
      </c>
      <c r="U249" s="1">
        <f t="shared" si="93"/>
        <v>35872.192607632787</v>
      </c>
      <c r="V249" s="35">
        <f t="shared" si="75"/>
        <v>-179.06597342733923</v>
      </c>
      <c r="X249" s="35">
        <f t="shared" si="94"/>
        <v>-5259.7399460907409</v>
      </c>
      <c r="Y249" s="1">
        <f t="shared" si="78"/>
        <v>4528998.8342700657</v>
      </c>
      <c r="AA249" s="2">
        <f>+Bono!J249</f>
        <v>241121.92904330933</v>
      </c>
      <c r="AC249" s="10">
        <f t="shared" si="79"/>
        <v>18.833333333333332</v>
      </c>
      <c r="AD249" s="1">
        <f t="shared" si="80"/>
        <v>5136781.9333845563</v>
      </c>
    </row>
    <row r="250" spans="1:30">
      <c r="A250" s="1">
        <f t="shared" si="81"/>
        <v>18.916666666666668</v>
      </c>
      <c r="B250" s="1">
        <f t="shared" si="82"/>
        <v>227</v>
      </c>
      <c r="C250" s="2">
        <f t="shared" si="87"/>
        <v>18</v>
      </c>
      <c r="D250" s="2">
        <f t="shared" si="88"/>
        <v>11</v>
      </c>
      <c r="E250" s="2">
        <f t="shared" si="89"/>
        <v>47</v>
      </c>
      <c r="F250" s="1">
        <f t="shared" si="83"/>
        <v>366661.17007118085</v>
      </c>
      <c r="H250" s="1">
        <f t="shared" si="76"/>
        <v>2923.8076599737619</v>
      </c>
      <c r="I250" s="1">
        <v>0</v>
      </c>
      <c r="J250" s="1">
        <v>0</v>
      </c>
      <c r="K250" s="1">
        <f t="shared" si="84"/>
        <v>-428.7185741681393</v>
      </c>
      <c r="L250" s="1">
        <f t="shared" si="77"/>
        <v>369156.25915698643</v>
      </c>
      <c r="N250" s="1">
        <f t="shared" si="85"/>
        <v>227</v>
      </c>
      <c r="O250" s="2">
        <f t="shared" si="90"/>
        <v>18</v>
      </c>
      <c r="P250" s="2">
        <f t="shared" si="91"/>
        <v>11</v>
      </c>
      <c r="Q250" s="2">
        <f t="shared" si="92"/>
        <v>18</v>
      </c>
      <c r="R250" s="1">
        <f t="shared" si="86"/>
        <v>4528998.8342700657</v>
      </c>
      <c r="S250" s="1">
        <f>IF($G$17="si",S238*(1+$G$20),S238)</f>
        <v>10000</v>
      </c>
      <c r="U250" s="1">
        <f t="shared" si="93"/>
        <v>36194.614111099989</v>
      </c>
      <c r="V250" s="35">
        <f t="shared" si="75"/>
        <v>-179.06597342733923</v>
      </c>
      <c r="X250" s="35">
        <f t="shared" si="94"/>
        <v>-5307.0166835929767</v>
      </c>
      <c r="Y250" s="1">
        <f t="shared" si="78"/>
        <v>4569707.3657241454</v>
      </c>
      <c r="AA250" s="2">
        <f>+Bono!J250</f>
        <v>242616.9129717905</v>
      </c>
      <c r="AC250" s="10">
        <f t="shared" si="79"/>
        <v>18.916666666666668</v>
      </c>
      <c r="AD250" s="1">
        <f t="shared" si="80"/>
        <v>5181480.5378529225</v>
      </c>
    </row>
    <row r="251" spans="1:30">
      <c r="A251" s="1">
        <f t="shared" si="81"/>
        <v>19</v>
      </c>
      <c r="B251" s="1">
        <f t="shared" si="82"/>
        <v>228</v>
      </c>
      <c r="C251" s="2">
        <f t="shared" si="87"/>
        <v>18</v>
      </c>
      <c r="D251" s="2">
        <f t="shared" si="88"/>
        <v>12</v>
      </c>
      <c r="E251" s="2">
        <f t="shared" si="89"/>
        <v>47</v>
      </c>
      <c r="F251" s="1">
        <f t="shared" si="83"/>
        <v>369156.25915698643</v>
      </c>
      <c r="H251" s="1">
        <f t="shared" si="76"/>
        <v>2943.7038507266011</v>
      </c>
      <c r="I251" s="1">
        <v>0</v>
      </c>
      <c r="J251" s="69">
        <f>-SUM(F251:H251)*$J$21*1.16</f>
        <v>-3884.7236138005242</v>
      </c>
      <c r="K251" s="1">
        <f t="shared" si="84"/>
        <v>-427.12967769693847</v>
      </c>
      <c r="L251" s="1">
        <f t="shared" si="77"/>
        <v>367788.10971621558</v>
      </c>
      <c r="N251" s="1">
        <f t="shared" si="85"/>
        <v>228</v>
      </c>
      <c r="O251" s="2">
        <f t="shared" si="90"/>
        <v>18</v>
      </c>
      <c r="P251" s="2">
        <f t="shared" si="91"/>
        <v>12</v>
      </c>
      <c r="Q251" s="2">
        <f t="shared" si="92"/>
        <v>18</v>
      </c>
      <c r="R251" s="1">
        <f t="shared" si="86"/>
        <v>4569707.3657241454</v>
      </c>
      <c r="S251" s="4">
        <f>IF($G$4="mensual",S250,0)</f>
        <v>10000</v>
      </c>
      <c r="U251" s="1">
        <f t="shared" si="93"/>
        <v>36519.229657569267</v>
      </c>
      <c r="V251" s="35">
        <f t="shared" si="75"/>
        <v>-179.06597342733923</v>
      </c>
      <c r="X251" s="35">
        <f t="shared" si="94"/>
        <v>-5354.6151341136128</v>
      </c>
      <c r="Y251" s="1">
        <f t="shared" si="78"/>
        <v>4610692.9142741738</v>
      </c>
      <c r="AA251" s="2">
        <f>+Bono!J251</f>
        <v>241921.87619048578</v>
      </c>
      <c r="AC251" s="10">
        <f t="shared" si="79"/>
        <v>19</v>
      </c>
      <c r="AD251" s="1">
        <f t="shared" si="80"/>
        <v>5220402.9001808744</v>
      </c>
    </row>
    <row r="252" spans="1:30">
      <c r="A252" s="1">
        <f t="shared" si="81"/>
        <v>19.083333333333332</v>
      </c>
      <c r="B252" s="1">
        <f t="shared" si="82"/>
        <v>229</v>
      </c>
      <c r="C252" s="2">
        <f t="shared" si="87"/>
        <v>19</v>
      </c>
      <c r="D252" s="2">
        <f t="shared" si="88"/>
        <v>1</v>
      </c>
      <c r="E252" s="2">
        <f t="shared" si="89"/>
        <v>48</v>
      </c>
      <c r="F252" s="1">
        <f t="shared" si="83"/>
        <v>367788.10971621558</v>
      </c>
      <c r="H252" s="1">
        <f t="shared" si="76"/>
        <v>2932.7940349581681</v>
      </c>
      <c r="I252" s="1">
        <v>0</v>
      </c>
      <c r="J252" s="1">
        <v>0</v>
      </c>
      <c r="K252" s="1">
        <f t="shared" si="84"/>
        <v>-430.03624835136151</v>
      </c>
      <c r="L252" s="1">
        <f t="shared" si="77"/>
        <v>370290.86750282237</v>
      </c>
      <c r="N252" s="1">
        <f t="shared" si="85"/>
        <v>229</v>
      </c>
      <c r="O252" s="2">
        <f t="shared" si="90"/>
        <v>19</v>
      </c>
      <c r="P252" s="2">
        <f t="shared" si="91"/>
        <v>1</v>
      </c>
      <c r="Q252" s="2">
        <f t="shared" si="92"/>
        <v>19</v>
      </c>
      <c r="R252" s="1">
        <f t="shared" si="86"/>
        <v>4610692.9142741738</v>
      </c>
      <c r="S252" s="1">
        <f>IF($G$17="si",S240*(1+$G$20),S240)</f>
        <v>10000</v>
      </c>
      <c r="U252" s="1">
        <f t="shared" si="93"/>
        <v>36846.054177262842</v>
      </c>
      <c r="V252" s="35">
        <f>V251*(1+$G$18)</f>
        <v>-186.22861236443282</v>
      </c>
      <c r="X252" s="35">
        <f t="shared" si="94"/>
        <v>-5402.5291782133236</v>
      </c>
      <c r="Y252" s="1">
        <f t="shared" si="78"/>
        <v>4651950.210660859</v>
      </c>
      <c r="AA252" s="2">
        <f>+Bono!J252</f>
        <v>243421.81988406755</v>
      </c>
      <c r="AC252" s="10">
        <f t="shared" si="79"/>
        <v>19.083333333333332</v>
      </c>
      <c r="AD252" s="1">
        <f t="shared" si="80"/>
        <v>5265662.898047749</v>
      </c>
    </row>
    <row r="253" spans="1:30">
      <c r="A253" s="1">
        <f t="shared" si="81"/>
        <v>19.166666666666668</v>
      </c>
      <c r="B253" s="1">
        <f t="shared" si="82"/>
        <v>230</v>
      </c>
      <c r="C253" s="2">
        <f t="shared" si="87"/>
        <v>19</v>
      </c>
      <c r="D253" s="2">
        <f t="shared" si="88"/>
        <v>2</v>
      </c>
      <c r="E253" s="2">
        <f t="shared" si="89"/>
        <v>48</v>
      </c>
      <c r="F253" s="1">
        <f t="shared" si="83"/>
        <v>370290.86750282237</v>
      </c>
      <c r="H253" s="1">
        <f t="shared" si="76"/>
        <v>2952.7513770081027</v>
      </c>
      <c r="I253" s="1">
        <v>0</v>
      </c>
      <c r="J253" s="1">
        <v>0</v>
      </c>
      <c r="K253" s="1">
        <f t="shared" si="84"/>
        <v>-432.96259790060333</v>
      </c>
      <c r="L253" s="1">
        <f t="shared" si="77"/>
        <v>372810.65628192987</v>
      </c>
      <c r="N253" s="1">
        <f t="shared" si="85"/>
        <v>230</v>
      </c>
      <c r="O253" s="2">
        <f t="shared" si="90"/>
        <v>19</v>
      </c>
      <c r="P253" s="2">
        <f t="shared" si="91"/>
        <v>2</v>
      </c>
      <c r="Q253" s="2">
        <f t="shared" si="92"/>
        <v>19</v>
      </c>
      <c r="R253" s="1">
        <f t="shared" si="86"/>
        <v>4651950.210660859</v>
      </c>
      <c r="S253" s="4">
        <f>IF($G$4="mensual",S252,0)</f>
        <v>10000</v>
      </c>
      <c r="U253" s="1">
        <f t="shared" si="93"/>
        <v>37175.045652367175</v>
      </c>
      <c r="V253" s="35">
        <f t="shared" si="75"/>
        <v>-186.22861236443282</v>
      </c>
      <c r="X253" s="35">
        <f t="shared" si="94"/>
        <v>-5450.7692721330004</v>
      </c>
      <c r="Y253" s="1">
        <f t="shared" si="78"/>
        <v>4693488.2584287291</v>
      </c>
      <c r="AA253" s="2">
        <f>+Bono!J253</f>
        <v>244931.06340253225</v>
      </c>
      <c r="AC253" s="10">
        <f t="shared" si="79"/>
        <v>19.166666666666668</v>
      </c>
      <c r="AD253" s="1">
        <f t="shared" si="80"/>
        <v>5311229.9781131912</v>
      </c>
    </row>
    <row r="254" spans="1:30">
      <c r="A254" s="1">
        <f t="shared" si="81"/>
        <v>19.25</v>
      </c>
      <c r="B254" s="1">
        <f t="shared" si="82"/>
        <v>231</v>
      </c>
      <c r="C254" s="2">
        <f t="shared" si="87"/>
        <v>19</v>
      </c>
      <c r="D254" s="2">
        <f t="shared" si="88"/>
        <v>3</v>
      </c>
      <c r="E254" s="2">
        <f t="shared" si="89"/>
        <v>48</v>
      </c>
      <c r="F254" s="1">
        <f t="shared" si="83"/>
        <v>372810.65628192987</v>
      </c>
      <c r="H254" s="1">
        <f t="shared" si="76"/>
        <v>2972.8445265838823</v>
      </c>
      <c r="I254" s="1">
        <v>0</v>
      </c>
      <c r="J254" s="69">
        <f>-SUM(F254:H254)*$J$21*1.16</f>
        <v>-3923.1797484408839</v>
      </c>
      <c r="K254" s="1">
        <f t="shared" si="84"/>
        <v>-431.35797242968454</v>
      </c>
      <c r="L254" s="1">
        <f t="shared" si="77"/>
        <v>371428.96308764326</v>
      </c>
      <c r="N254" s="1">
        <f t="shared" si="85"/>
        <v>231</v>
      </c>
      <c r="O254" s="2">
        <f t="shared" si="90"/>
        <v>19</v>
      </c>
      <c r="P254" s="2">
        <f t="shared" si="91"/>
        <v>3</v>
      </c>
      <c r="Q254" s="2">
        <f t="shared" si="92"/>
        <v>19</v>
      </c>
      <c r="R254" s="1">
        <f t="shared" si="86"/>
        <v>4693488.2584287291</v>
      </c>
      <c r="S254" s="4">
        <f>IF($G$4="mensual",S253,0)</f>
        <v>10000</v>
      </c>
      <c r="U254" s="1">
        <f t="shared" si="93"/>
        <v>37506.275878410685</v>
      </c>
      <c r="V254" s="35">
        <f t="shared" si="75"/>
        <v>-186.22861236443282</v>
      </c>
      <c r="X254" s="35">
        <f t="shared" si="94"/>
        <v>-5499.3376346059404</v>
      </c>
      <c r="Y254" s="1">
        <f t="shared" si="78"/>
        <v>4735308.9680601694</v>
      </c>
      <c r="AA254" s="2">
        <f>+Bono!J254</f>
        <v>244229.39715897309</v>
      </c>
      <c r="AC254" s="10">
        <f t="shared" si="79"/>
        <v>19.25</v>
      </c>
      <c r="AD254" s="1">
        <f t="shared" si="80"/>
        <v>5350967.3283067858</v>
      </c>
    </row>
    <row r="255" spans="1:30">
      <c r="A255" s="1">
        <f t="shared" si="81"/>
        <v>19.333333333333332</v>
      </c>
      <c r="B255" s="1">
        <f t="shared" si="82"/>
        <v>232</v>
      </c>
      <c r="C255" s="2">
        <f t="shared" si="87"/>
        <v>19</v>
      </c>
      <c r="D255" s="2">
        <f t="shared" si="88"/>
        <v>4</v>
      </c>
      <c r="E255" s="2">
        <f t="shared" si="89"/>
        <v>48</v>
      </c>
      <c r="F255" s="1">
        <f t="shared" si="83"/>
        <v>371428.96308764326</v>
      </c>
      <c r="H255" s="1">
        <f t="shared" si="76"/>
        <v>2961.8267110229799</v>
      </c>
      <c r="I255" s="1">
        <v>0</v>
      </c>
      <c r="J255" s="1">
        <v>0</v>
      </c>
      <c r="K255" s="1">
        <f t="shared" si="84"/>
        <v>-434.29331616645283</v>
      </c>
      <c r="L255" s="1">
        <f t="shared" si="77"/>
        <v>373956.49648249982</v>
      </c>
      <c r="N255" s="1">
        <f t="shared" si="85"/>
        <v>232</v>
      </c>
      <c r="O255" s="2">
        <f t="shared" si="90"/>
        <v>19</v>
      </c>
      <c r="P255" s="2">
        <f t="shared" si="91"/>
        <v>4</v>
      </c>
      <c r="Q255" s="2">
        <f t="shared" si="92"/>
        <v>19</v>
      </c>
      <c r="R255" s="1">
        <f t="shared" si="86"/>
        <v>4735308.9680601694</v>
      </c>
      <c r="S255" s="4">
        <f>IF($G$4="mensual",S252,IF($G$4="trimestral",S252,0))</f>
        <v>10000</v>
      </c>
      <c r="U255" s="1">
        <f t="shared" si="93"/>
        <v>37839.760089848198</v>
      </c>
      <c r="V255" s="35">
        <f t="shared" si="75"/>
        <v>-186.22861236443282</v>
      </c>
      <c r="X255" s="35">
        <f t="shared" si="94"/>
        <v>-5548.2364994636773</v>
      </c>
      <c r="Y255" s="1">
        <f t="shared" si="78"/>
        <v>4777414.2630381892</v>
      </c>
      <c r="AA255" s="2">
        <f>+Bono!J255</f>
        <v>245743.64775021537</v>
      </c>
      <c r="AC255" s="10">
        <f t="shared" si="79"/>
        <v>19.333333333333332</v>
      </c>
      <c r="AD255" s="1">
        <f t="shared" si="80"/>
        <v>5397114.4072709046</v>
      </c>
    </row>
    <row r="256" spans="1:30">
      <c r="A256" s="1">
        <f t="shared" si="81"/>
        <v>19.416666666666668</v>
      </c>
      <c r="B256" s="1">
        <f t="shared" si="82"/>
        <v>233</v>
      </c>
      <c r="C256" s="2">
        <f t="shared" si="87"/>
        <v>19</v>
      </c>
      <c r="D256" s="2">
        <f t="shared" si="88"/>
        <v>5</v>
      </c>
      <c r="E256" s="2">
        <f t="shared" si="89"/>
        <v>48</v>
      </c>
      <c r="F256" s="1">
        <f t="shared" si="83"/>
        <v>373956.49648249982</v>
      </c>
      <c r="H256" s="1">
        <f t="shared" si="76"/>
        <v>2981.9816172523101</v>
      </c>
      <c r="I256" s="1">
        <v>0</v>
      </c>
      <c r="J256" s="1">
        <v>0</v>
      </c>
      <c r="K256" s="1">
        <f t="shared" si="84"/>
        <v>-437.24863459571242</v>
      </c>
      <c r="L256" s="1">
        <f t="shared" si="77"/>
        <v>376501.22946515639</v>
      </c>
      <c r="N256" s="1">
        <f t="shared" si="85"/>
        <v>233</v>
      </c>
      <c r="O256" s="2">
        <f t="shared" si="90"/>
        <v>19</v>
      </c>
      <c r="P256" s="2">
        <f t="shared" si="91"/>
        <v>5</v>
      </c>
      <c r="Q256" s="2">
        <f t="shared" si="92"/>
        <v>19</v>
      </c>
      <c r="R256" s="1">
        <f t="shared" si="86"/>
        <v>4777414.2630381892</v>
      </c>
      <c r="S256" s="4">
        <f>IF($G$4="mensual",S255,0)</f>
        <v>10000</v>
      </c>
      <c r="U256" s="1">
        <f t="shared" si="93"/>
        <v>38175.513624803345</v>
      </c>
      <c r="V256" s="35">
        <f t="shared" si="75"/>
        <v>-186.22861236443282</v>
      </c>
      <c r="X256" s="35">
        <f t="shared" si="94"/>
        <v>-5597.4681157387286</v>
      </c>
      <c r="Y256" s="1">
        <f t="shared" si="78"/>
        <v>4819806.0799348895</v>
      </c>
      <c r="AA256" s="2">
        <f>+Bono!J256</f>
        <v>247267.28687076556</v>
      </c>
      <c r="AC256" s="10">
        <f t="shared" si="79"/>
        <v>19.416666666666668</v>
      </c>
      <c r="AD256" s="1">
        <f t="shared" si="80"/>
        <v>5443574.5962708117</v>
      </c>
    </row>
    <row r="257" spans="1:30">
      <c r="A257" s="1">
        <f t="shared" si="81"/>
        <v>19.5</v>
      </c>
      <c r="B257" s="1">
        <f t="shared" si="82"/>
        <v>234</v>
      </c>
      <c r="C257" s="2">
        <f t="shared" si="87"/>
        <v>19</v>
      </c>
      <c r="D257" s="2">
        <f t="shared" si="88"/>
        <v>6</v>
      </c>
      <c r="E257" s="2">
        <f t="shared" si="89"/>
        <v>48</v>
      </c>
      <c r="F257" s="1">
        <f t="shared" si="83"/>
        <v>376501.22946515639</v>
      </c>
      <c r="H257" s="1">
        <f t="shared" si="76"/>
        <v>3002.2736754100765</v>
      </c>
      <c r="I257" s="1">
        <v>0</v>
      </c>
      <c r="J257" s="69">
        <f>-SUM(F257:H257)*$J$21*1.16</f>
        <v>-3962.0165727875142</v>
      </c>
      <c r="K257" s="1">
        <f t="shared" si="84"/>
        <v>-435.62812441862354</v>
      </c>
      <c r="L257" s="1">
        <f t="shared" si="77"/>
        <v>375105.85844336031</v>
      </c>
      <c r="N257" s="1">
        <f t="shared" si="85"/>
        <v>234</v>
      </c>
      <c r="O257" s="2">
        <f t="shared" si="90"/>
        <v>19</v>
      </c>
      <c r="P257" s="2">
        <f t="shared" si="91"/>
        <v>6</v>
      </c>
      <c r="Q257" s="2">
        <f t="shared" si="92"/>
        <v>19</v>
      </c>
      <c r="R257" s="1">
        <f t="shared" si="86"/>
        <v>4819806.0799348895</v>
      </c>
      <c r="S257" s="4">
        <f>IF($G$4="mensual",S256,0)</f>
        <v>10000</v>
      </c>
      <c r="U257" s="1">
        <f t="shared" si="93"/>
        <v>38513.551925774009</v>
      </c>
      <c r="V257" s="35">
        <f t="shared" ref="V257:V320" si="95">V256</f>
        <v>-186.22861236443282</v>
      </c>
      <c r="X257" s="35">
        <f t="shared" si="94"/>
        <v>-5647.034747768027</v>
      </c>
      <c r="Y257" s="1">
        <f t="shared" si="78"/>
        <v>4862486.3685005307</v>
      </c>
      <c r="AA257" s="2">
        <f>+Bono!J257</f>
        <v>246558.9279312196</v>
      </c>
      <c r="AC257" s="10">
        <f t="shared" si="79"/>
        <v>19.5</v>
      </c>
      <c r="AD257" s="1">
        <f t="shared" si="80"/>
        <v>5484151.1548751108</v>
      </c>
    </row>
    <row r="258" spans="1:30">
      <c r="A258" s="1">
        <f t="shared" si="81"/>
        <v>19.583333333333332</v>
      </c>
      <c r="B258" s="1">
        <f t="shared" si="82"/>
        <v>235</v>
      </c>
      <c r="C258" s="2">
        <f t="shared" si="87"/>
        <v>19</v>
      </c>
      <c r="D258" s="2">
        <f t="shared" si="88"/>
        <v>7</v>
      </c>
      <c r="E258" s="2">
        <f t="shared" si="89"/>
        <v>48</v>
      </c>
      <c r="F258" s="1">
        <f t="shared" si="83"/>
        <v>375105.85844336031</v>
      </c>
      <c r="H258" s="1">
        <f t="shared" si="76"/>
        <v>2991.1467909318517</v>
      </c>
      <c r="I258" s="1">
        <v>0</v>
      </c>
      <c r="J258" s="1">
        <v>0</v>
      </c>
      <c r="K258" s="1">
        <f t="shared" si="84"/>
        <v>-438.59252607177888</v>
      </c>
      <c r="L258" s="1">
        <f t="shared" si="77"/>
        <v>377658.41270822042</v>
      </c>
      <c r="N258" s="1">
        <f t="shared" si="85"/>
        <v>235</v>
      </c>
      <c r="O258" s="2">
        <f t="shared" si="90"/>
        <v>19</v>
      </c>
      <c r="P258" s="2">
        <f t="shared" si="91"/>
        <v>7</v>
      </c>
      <c r="Q258" s="2">
        <f t="shared" si="92"/>
        <v>19</v>
      </c>
      <c r="R258" s="1">
        <f t="shared" si="86"/>
        <v>4862486.3685005307</v>
      </c>
      <c r="S258" s="1">
        <f>+IF($G$4="mensual",S252,IF($G$4="trimestral",S252,IF($G$4="semestral",S252,0)))</f>
        <v>10000</v>
      </c>
      <c r="U258" s="1">
        <f t="shared" si="93"/>
        <v>38853.890540342567</v>
      </c>
      <c r="V258" s="35">
        <f t="shared" si="95"/>
        <v>-186.22861236443282</v>
      </c>
      <c r="X258" s="35">
        <f t="shared" si="94"/>
        <v>-5696.9386752970704</v>
      </c>
      <c r="Y258" s="1">
        <f t="shared" si="78"/>
        <v>4905457.0917532118</v>
      </c>
      <c r="AA258" s="2">
        <f>+Bono!J258</f>
        <v>248087.62188345863</v>
      </c>
      <c r="AC258" s="10">
        <f t="shared" si="79"/>
        <v>19.583333333333332</v>
      </c>
      <c r="AD258" s="1">
        <f t="shared" si="80"/>
        <v>5531203.1263448903</v>
      </c>
    </row>
    <row r="259" spans="1:30">
      <c r="A259" s="1">
        <f t="shared" si="81"/>
        <v>19.666666666666668</v>
      </c>
      <c r="B259" s="1">
        <f t="shared" si="82"/>
        <v>236</v>
      </c>
      <c r="C259" s="2">
        <f t="shared" si="87"/>
        <v>19</v>
      </c>
      <c r="D259" s="2">
        <f t="shared" si="88"/>
        <v>8</v>
      </c>
      <c r="E259" s="2">
        <f t="shared" si="89"/>
        <v>48</v>
      </c>
      <c r="F259" s="1">
        <f t="shared" si="83"/>
        <v>377658.41270822042</v>
      </c>
      <c r="H259" s="1">
        <f t="shared" si="76"/>
        <v>3011.5012170922437</v>
      </c>
      <c r="I259" s="1">
        <v>0</v>
      </c>
      <c r="J259" s="1">
        <v>0</v>
      </c>
      <c r="K259" s="1">
        <f t="shared" si="84"/>
        <v>-441.57710015336272</v>
      </c>
      <c r="L259" s="1">
        <f t="shared" si="77"/>
        <v>380228.33682515932</v>
      </c>
      <c r="N259" s="1">
        <f t="shared" si="85"/>
        <v>236</v>
      </c>
      <c r="O259" s="2">
        <f t="shared" si="90"/>
        <v>19</v>
      </c>
      <c r="P259" s="2">
        <f t="shared" si="91"/>
        <v>8</v>
      </c>
      <c r="Q259" s="2">
        <f t="shared" si="92"/>
        <v>19</v>
      </c>
      <c r="R259" s="1">
        <f t="shared" si="86"/>
        <v>4905457.0917532118</v>
      </c>
      <c r="S259" s="4">
        <f>IF($G$4="mensual",S258,0)</f>
        <v>10000</v>
      </c>
      <c r="U259" s="1">
        <f t="shared" si="93"/>
        <v>39196.545121891009</v>
      </c>
      <c r="V259" s="35">
        <f t="shared" si="95"/>
        <v>-186.22861236443282</v>
      </c>
      <c r="X259" s="35">
        <f t="shared" si="94"/>
        <v>-5747.1821935847765</v>
      </c>
      <c r="Y259" s="1">
        <f t="shared" si="78"/>
        <v>4948720.2260691542</v>
      </c>
      <c r="AA259" s="2">
        <f>+Bono!J259</f>
        <v>249625.79391551908</v>
      </c>
      <c r="AC259" s="10">
        <f t="shared" si="79"/>
        <v>19.666666666666668</v>
      </c>
      <c r="AD259" s="1">
        <f t="shared" si="80"/>
        <v>5578574.3568098331</v>
      </c>
    </row>
    <row r="260" spans="1:30">
      <c r="A260" s="1">
        <f t="shared" si="81"/>
        <v>19.75</v>
      </c>
      <c r="B260" s="1">
        <f t="shared" si="82"/>
        <v>237</v>
      </c>
      <c r="C260" s="2">
        <f t="shared" si="87"/>
        <v>19</v>
      </c>
      <c r="D260" s="2">
        <f t="shared" si="88"/>
        <v>9</v>
      </c>
      <c r="E260" s="2">
        <f t="shared" si="89"/>
        <v>48</v>
      </c>
      <c r="F260" s="1">
        <f t="shared" si="83"/>
        <v>380228.33682515932</v>
      </c>
      <c r="H260" s="1">
        <f t="shared" si="76"/>
        <v>3031.9941528923409</v>
      </c>
      <c r="I260" s="1">
        <v>0</v>
      </c>
      <c r="J260" s="69">
        <f>-SUM(F260:H260)*$J$21*1.16</f>
        <v>-4001.2378554108591</v>
      </c>
      <c r="K260" s="1">
        <f t="shared" si="84"/>
        <v>-439.94054802226333</v>
      </c>
      <c r="L260" s="1">
        <f t="shared" si="77"/>
        <v>378819.15257461852</v>
      </c>
      <c r="N260" s="1">
        <f t="shared" si="85"/>
        <v>237</v>
      </c>
      <c r="O260" s="2">
        <f t="shared" si="90"/>
        <v>19</v>
      </c>
      <c r="P260" s="2">
        <f t="shared" si="91"/>
        <v>9</v>
      </c>
      <c r="Q260" s="2">
        <f t="shared" si="92"/>
        <v>19</v>
      </c>
      <c r="R260" s="1">
        <f t="shared" si="86"/>
        <v>4948720.2260691542</v>
      </c>
      <c r="S260" s="4">
        <f>IF($G$4="mensual",S259,0)</f>
        <v>10000</v>
      </c>
      <c r="U260" s="1">
        <f t="shared" si="93"/>
        <v>39541.531430320858</v>
      </c>
      <c r="V260" s="35">
        <f t="shared" si="95"/>
        <v>-186.22861236443282</v>
      </c>
      <c r="X260" s="35">
        <f t="shared" si="94"/>
        <v>-5797.7676135090478</v>
      </c>
      <c r="Y260" s="1">
        <f t="shared" si="78"/>
        <v>4992277.761273602</v>
      </c>
      <c r="AA260" s="2">
        <f>+Bono!J260</f>
        <v>248910.67844311241</v>
      </c>
      <c r="AC260" s="10">
        <f t="shared" si="79"/>
        <v>19.75</v>
      </c>
      <c r="AD260" s="1">
        <f t="shared" si="80"/>
        <v>5620007.5922913328</v>
      </c>
    </row>
    <row r="261" spans="1:30">
      <c r="A261" s="1">
        <f t="shared" si="81"/>
        <v>19.833333333333332</v>
      </c>
      <c r="B261" s="1">
        <f t="shared" si="82"/>
        <v>238</v>
      </c>
      <c r="C261" s="2">
        <f t="shared" si="87"/>
        <v>19</v>
      </c>
      <c r="D261" s="2">
        <f t="shared" si="88"/>
        <v>10</v>
      </c>
      <c r="E261" s="2">
        <f t="shared" si="89"/>
        <v>48</v>
      </c>
      <c r="F261" s="1">
        <f t="shared" si="83"/>
        <v>378819.15257461852</v>
      </c>
      <c r="H261" s="1">
        <f t="shared" si="76"/>
        <v>3020.757119788329</v>
      </c>
      <c r="I261" s="1">
        <v>0</v>
      </c>
      <c r="J261" s="1">
        <v>0</v>
      </c>
      <c r="K261" s="1">
        <f t="shared" si="84"/>
        <v>-442.93429524551192</v>
      </c>
      <c r="L261" s="1">
        <f t="shared" si="77"/>
        <v>381396.97539916134</v>
      </c>
      <c r="N261" s="1">
        <f t="shared" si="85"/>
        <v>238</v>
      </c>
      <c r="O261" s="2">
        <f t="shared" si="90"/>
        <v>19</v>
      </c>
      <c r="P261" s="2">
        <f t="shared" si="91"/>
        <v>10</v>
      </c>
      <c r="Q261" s="2">
        <f t="shared" si="92"/>
        <v>19</v>
      </c>
      <c r="R261" s="1">
        <f t="shared" si="86"/>
        <v>4992277.761273602</v>
      </c>
      <c r="S261" s="4">
        <f>IF($G$4="mensual",S252,IF($G$4="trimestral",S252,0))</f>
        <v>10000</v>
      </c>
      <c r="U261" s="1">
        <f t="shared" si="93"/>
        <v>39888.865332778041</v>
      </c>
      <c r="V261" s="35">
        <f t="shared" si="95"/>
        <v>-186.22861236443282</v>
      </c>
      <c r="X261" s="35">
        <f t="shared" si="94"/>
        <v>-5848.6972616730573</v>
      </c>
      <c r="Y261" s="1">
        <f t="shared" si="78"/>
        <v>5036131.700732342</v>
      </c>
      <c r="AA261" s="2">
        <f>+Bono!J261</f>
        <v>250453.95352131137</v>
      </c>
      <c r="AC261" s="10">
        <f t="shared" si="79"/>
        <v>19.833333333333332</v>
      </c>
      <c r="AD261" s="1">
        <f t="shared" si="80"/>
        <v>5667982.6296528149</v>
      </c>
    </row>
    <row r="262" spans="1:30">
      <c r="A262" s="1">
        <f t="shared" si="81"/>
        <v>19.916666666666668</v>
      </c>
      <c r="B262" s="1">
        <f t="shared" si="82"/>
        <v>239</v>
      </c>
      <c r="C262" s="2">
        <f t="shared" si="87"/>
        <v>19</v>
      </c>
      <c r="D262" s="2">
        <f t="shared" si="88"/>
        <v>11</v>
      </c>
      <c r="E262" s="2">
        <f t="shared" si="89"/>
        <v>48</v>
      </c>
      <c r="F262" s="1">
        <f t="shared" si="83"/>
        <v>381396.97539916134</v>
      </c>
      <c r="H262" s="1">
        <f t="shared" si="76"/>
        <v>3041.3130409920668</v>
      </c>
      <c r="I262" s="1">
        <v>0</v>
      </c>
      <c r="J262" s="1">
        <v>0</v>
      </c>
      <c r="K262" s="1">
        <f t="shared" si="84"/>
        <v>-445.94841459057795</v>
      </c>
      <c r="L262" s="1">
        <f t="shared" si="77"/>
        <v>383992.34002556285</v>
      </c>
      <c r="N262" s="1">
        <f t="shared" si="85"/>
        <v>239</v>
      </c>
      <c r="O262" s="2">
        <f t="shared" si="90"/>
        <v>19</v>
      </c>
      <c r="P262" s="2">
        <f t="shared" si="91"/>
        <v>11</v>
      </c>
      <c r="Q262" s="2">
        <f t="shared" si="92"/>
        <v>19</v>
      </c>
      <c r="R262" s="1">
        <f t="shared" si="86"/>
        <v>5036131.700732342</v>
      </c>
      <c r="S262" s="1">
        <f>IF($G$17="si",S250*(1+$G$20),S250)</f>
        <v>10000</v>
      </c>
      <c r="U262" s="1">
        <f t="shared" si="93"/>
        <v>40238.56280438268</v>
      </c>
      <c r="V262" s="35">
        <f t="shared" si="95"/>
        <v>-186.22861236443282</v>
      </c>
      <c r="X262" s="35">
        <f t="shared" si="94"/>
        <v>-5899.9734805122571</v>
      </c>
      <c r="Y262" s="1">
        <f t="shared" si="78"/>
        <v>5080284.0614438476</v>
      </c>
      <c r="AA262" s="2">
        <f>+Bono!J262</f>
        <v>252006.79708400401</v>
      </c>
      <c r="AC262" s="10">
        <f t="shared" si="79"/>
        <v>19.916666666666668</v>
      </c>
      <c r="AD262" s="1">
        <f t="shared" si="80"/>
        <v>5716283.1985534141</v>
      </c>
    </row>
    <row r="263" spans="1:30">
      <c r="A263" s="1">
        <f t="shared" si="81"/>
        <v>20</v>
      </c>
      <c r="B263" s="1">
        <f t="shared" si="82"/>
        <v>240</v>
      </c>
      <c r="C263" s="2">
        <f t="shared" si="87"/>
        <v>19</v>
      </c>
      <c r="D263" s="2">
        <f t="shared" si="88"/>
        <v>12</v>
      </c>
      <c r="E263" s="2">
        <f t="shared" si="89"/>
        <v>48</v>
      </c>
      <c r="F263" s="1">
        <f t="shared" si="83"/>
        <v>383992.34002556285</v>
      </c>
      <c r="H263" s="1">
        <f t="shared" si="76"/>
        <v>3062.0088429872017</v>
      </c>
      <c r="I263" s="1">
        <v>0</v>
      </c>
      <c r="J263" s="69">
        <f>-SUM(F263:H263)*$J$21*1.16</f>
        <v>-4040.8474021876627</v>
      </c>
      <c r="K263" s="1">
        <f t="shared" si="84"/>
        <v>-444.29566170098036</v>
      </c>
      <c r="L263" s="1">
        <f t="shared" si="77"/>
        <v>382569.20580466138</v>
      </c>
      <c r="N263" s="1">
        <f t="shared" si="85"/>
        <v>240</v>
      </c>
      <c r="O263" s="2">
        <f t="shared" si="90"/>
        <v>19</v>
      </c>
      <c r="P263" s="2">
        <f t="shared" si="91"/>
        <v>12</v>
      </c>
      <c r="Q263" s="2">
        <f t="shared" si="92"/>
        <v>19</v>
      </c>
      <c r="R263" s="1">
        <f t="shared" si="86"/>
        <v>5080284.0614438476</v>
      </c>
      <c r="S263" s="4">
        <f>IF($G$4="mensual",S262,0)</f>
        <v>10000</v>
      </c>
      <c r="U263" s="1">
        <f t="shared" si="93"/>
        <v>40590.639928963836</v>
      </c>
      <c r="V263" s="35">
        <f t="shared" si="95"/>
        <v>-186.22861236443282</v>
      </c>
      <c r="X263" s="35">
        <f t="shared" si="94"/>
        <v>-5951.5986284021183</v>
      </c>
      <c r="Y263" s="1">
        <f t="shared" si="78"/>
        <v>5124736.8741320455</v>
      </c>
      <c r="AA263" s="2">
        <f>+Bono!J263</f>
        <v>251284.86063296793</v>
      </c>
      <c r="AC263" s="10">
        <f t="shared" si="79"/>
        <v>20</v>
      </c>
      <c r="AD263" s="1">
        <f t="shared" si="80"/>
        <v>5758590.9405696746</v>
      </c>
    </row>
    <row r="264" spans="1:30">
      <c r="A264" s="1">
        <f t="shared" si="81"/>
        <v>20.083333333333332</v>
      </c>
      <c r="B264" s="1">
        <f t="shared" si="82"/>
        <v>241</v>
      </c>
      <c r="C264" s="2">
        <f t="shared" si="87"/>
        <v>20</v>
      </c>
      <c r="D264" s="2">
        <f t="shared" si="88"/>
        <v>1</v>
      </c>
      <c r="E264" s="2">
        <f t="shared" si="89"/>
        <v>49</v>
      </c>
      <c r="F264" s="1">
        <f t="shared" si="83"/>
        <v>382569.20580466138</v>
      </c>
      <c r="H264" s="1">
        <f t="shared" si="76"/>
        <v>3050.6605708605548</v>
      </c>
      <c r="I264" s="1">
        <v>0</v>
      </c>
      <c r="J264" s="1">
        <v>0</v>
      </c>
      <c r="K264" s="1">
        <f t="shared" si="84"/>
        <v>-447.31904499560545</v>
      </c>
      <c r="L264" s="1">
        <f t="shared" si="77"/>
        <v>385172.54733052634</v>
      </c>
      <c r="N264" s="1">
        <f t="shared" si="85"/>
        <v>241</v>
      </c>
      <c r="O264" s="2">
        <f t="shared" si="90"/>
        <v>20</v>
      </c>
      <c r="P264" s="2">
        <f t="shared" si="91"/>
        <v>1</v>
      </c>
      <c r="Q264" s="2">
        <f t="shared" si="92"/>
        <v>20</v>
      </c>
      <c r="R264" s="1">
        <f t="shared" si="86"/>
        <v>5124736.8741320455</v>
      </c>
      <c r="S264" s="1">
        <f>IF($G$17="si",S252*(1+$G$20),S252)</f>
        <v>10000</v>
      </c>
      <c r="U264" s="1">
        <f t="shared" si="93"/>
        <v>40945.112899799286</v>
      </c>
      <c r="V264" s="35">
        <f>V263*(1+$G$18)</f>
        <v>-193.67775685901015</v>
      </c>
      <c r="X264" s="35">
        <f t="shared" si="94"/>
        <v>-6003.5664387589823</v>
      </c>
      <c r="Y264" s="1">
        <f t="shared" si="78"/>
        <v>5169484.7428362267</v>
      </c>
      <c r="AA264" s="2">
        <f>+Bono!J264</f>
        <v>252842.8559161321</v>
      </c>
      <c r="AC264" s="10">
        <f t="shared" si="79"/>
        <v>20.083333333333332</v>
      </c>
      <c r="AD264" s="1">
        <f t="shared" si="80"/>
        <v>5807500.1460828856</v>
      </c>
    </row>
    <row r="265" spans="1:30">
      <c r="A265" s="1">
        <f t="shared" si="81"/>
        <v>20.166666666666668</v>
      </c>
      <c r="B265" s="1">
        <f t="shared" si="82"/>
        <v>242</v>
      </c>
      <c r="C265" s="2">
        <f t="shared" si="87"/>
        <v>20</v>
      </c>
      <c r="D265" s="2">
        <f t="shared" si="88"/>
        <v>2</v>
      </c>
      <c r="E265" s="2">
        <f t="shared" si="89"/>
        <v>49</v>
      </c>
      <c r="F265" s="1">
        <f t="shared" si="83"/>
        <v>385172.54733052634</v>
      </c>
      <c r="H265" s="1">
        <f t="shared" si="76"/>
        <v>3071.4199817721988</v>
      </c>
      <c r="I265" s="1">
        <v>0</v>
      </c>
      <c r="J265" s="1">
        <v>0</v>
      </c>
      <c r="K265" s="1">
        <f t="shared" si="84"/>
        <v>-450.36300208226629</v>
      </c>
      <c r="L265" s="1">
        <f t="shared" si="77"/>
        <v>387793.60431021627</v>
      </c>
      <c r="N265" s="1">
        <f t="shared" si="85"/>
        <v>242</v>
      </c>
      <c r="O265" s="2">
        <f t="shared" si="90"/>
        <v>20</v>
      </c>
      <c r="P265" s="2">
        <f t="shared" si="91"/>
        <v>2</v>
      </c>
      <c r="Q265" s="2">
        <f t="shared" si="92"/>
        <v>20</v>
      </c>
      <c r="R265" s="1">
        <f t="shared" si="86"/>
        <v>5169484.7428362267</v>
      </c>
      <c r="S265" s="4">
        <f>IF($G$4="mensual",S264,0)</f>
        <v>10000</v>
      </c>
      <c r="U265" s="1">
        <f t="shared" si="93"/>
        <v>41301.938688740571</v>
      </c>
      <c r="V265" s="35">
        <f t="shared" si="95"/>
        <v>-193.67775685901015</v>
      </c>
      <c r="X265" s="35">
        <f t="shared" si="94"/>
        <v>-6055.8878843710054</v>
      </c>
      <c r="Y265" s="1">
        <f t="shared" si="78"/>
        <v>5214537.1158837369</v>
      </c>
      <c r="AA265" s="2">
        <f>+Bono!J265</f>
        <v>254410.51095076813</v>
      </c>
      <c r="AC265" s="10">
        <f t="shared" si="79"/>
        <v>20.166666666666668</v>
      </c>
      <c r="AD265" s="1">
        <f t="shared" si="80"/>
        <v>5856741.2311447216</v>
      </c>
    </row>
    <row r="266" spans="1:30">
      <c r="A266" s="1">
        <f t="shared" si="81"/>
        <v>20.25</v>
      </c>
      <c r="B266" s="1">
        <f t="shared" si="82"/>
        <v>243</v>
      </c>
      <c r="C266" s="2">
        <f t="shared" si="87"/>
        <v>20</v>
      </c>
      <c r="D266" s="2">
        <f t="shared" si="88"/>
        <v>3</v>
      </c>
      <c r="E266" s="2">
        <f t="shared" si="89"/>
        <v>49</v>
      </c>
      <c r="F266" s="1">
        <f t="shared" si="83"/>
        <v>387793.60431021627</v>
      </c>
      <c r="H266" s="1">
        <f t="shared" si="76"/>
        <v>3092.3206582004045</v>
      </c>
      <c r="I266" s="1">
        <v>0</v>
      </c>
      <c r="J266" s="69">
        <f>-SUM(F266:H266)*$J$21*1.16</f>
        <v>-4080.8490566702703</v>
      </c>
      <c r="K266" s="1">
        <f t="shared" si="84"/>
        <v>-448.69388805762583</v>
      </c>
      <c r="L266" s="1">
        <f t="shared" si="77"/>
        <v>386356.38202368881</v>
      </c>
      <c r="N266" s="1">
        <f t="shared" si="85"/>
        <v>243</v>
      </c>
      <c r="O266" s="2">
        <f t="shared" si="90"/>
        <v>20</v>
      </c>
      <c r="P266" s="2">
        <f t="shared" si="91"/>
        <v>3</v>
      </c>
      <c r="Q266" s="2">
        <f t="shared" si="92"/>
        <v>20</v>
      </c>
      <c r="R266" s="1">
        <f t="shared" si="86"/>
        <v>5214537.1158837369</v>
      </c>
      <c r="S266" s="4">
        <f>IF($G$4="mensual",S265,0)</f>
        <v>10000</v>
      </c>
      <c r="U266" s="1">
        <f t="shared" si="93"/>
        <v>41661.192638076776</v>
      </c>
      <c r="V266" s="35">
        <f t="shared" si="95"/>
        <v>-193.67775685901015</v>
      </c>
      <c r="X266" s="35">
        <f t="shared" si="94"/>
        <v>-6108.5653716873467</v>
      </c>
      <c r="Y266" s="1">
        <f t="shared" si="78"/>
        <v>5259896.0653932672</v>
      </c>
      <c r="AA266" s="2">
        <f>+Bono!J266</f>
        <v>253681.6884606317</v>
      </c>
      <c r="AC266" s="10">
        <f t="shared" si="79"/>
        <v>20.25</v>
      </c>
      <c r="AD266" s="1">
        <f t="shared" si="80"/>
        <v>5899934.1358775869</v>
      </c>
    </row>
    <row r="267" spans="1:30">
      <c r="A267" s="1">
        <f t="shared" si="81"/>
        <v>20.333333333333332</v>
      </c>
      <c r="B267" s="1">
        <f t="shared" si="82"/>
        <v>244</v>
      </c>
      <c r="C267" s="2">
        <f t="shared" si="87"/>
        <v>20</v>
      </c>
      <c r="D267" s="2">
        <f t="shared" si="88"/>
        <v>4</v>
      </c>
      <c r="E267" s="2">
        <f t="shared" si="89"/>
        <v>49</v>
      </c>
      <c r="F267" s="1">
        <f t="shared" si="83"/>
        <v>386356.38202368881</v>
      </c>
      <c r="H267" s="1">
        <f t="shared" si="76"/>
        <v>3080.8600458600845</v>
      </c>
      <c r="I267" s="1">
        <v>0</v>
      </c>
      <c r="J267" s="1">
        <v>0</v>
      </c>
      <c r="K267" s="1">
        <f t="shared" si="84"/>
        <v>-451.74720080067664</v>
      </c>
      <c r="L267" s="1">
        <f t="shared" si="77"/>
        <v>388985.49486874818</v>
      </c>
      <c r="N267" s="1">
        <f t="shared" si="85"/>
        <v>244</v>
      </c>
      <c r="O267" s="2">
        <f t="shared" si="90"/>
        <v>20</v>
      </c>
      <c r="P267" s="2">
        <f t="shared" si="91"/>
        <v>4</v>
      </c>
      <c r="Q267" s="2">
        <f t="shared" si="92"/>
        <v>20</v>
      </c>
      <c r="R267" s="1">
        <f t="shared" si="86"/>
        <v>5259896.0653932672</v>
      </c>
      <c r="S267" s="4">
        <f>IF($G$4="mensual",S264,IF($G$4="trimestral",S264,0))</f>
        <v>10000</v>
      </c>
      <c r="U267" s="1">
        <f t="shared" si="93"/>
        <v>42022.891271173328</v>
      </c>
      <c r="V267" s="35">
        <f t="shared" si="95"/>
        <v>-193.67775685901015</v>
      </c>
      <c r="X267" s="35">
        <f t="shared" si="94"/>
        <v>-6161.6013235327937</v>
      </c>
      <c r="Y267" s="1">
        <f t="shared" si="78"/>
        <v>5305563.6775840484</v>
      </c>
      <c r="AA267" s="2">
        <f>+Bono!J267</f>
        <v>255254.54435434219</v>
      </c>
      <c r="AC267" s="10">
        <f t="shared" si="79"/>
        <v>20.333333333333332</v>
      </c>
      <c r="AD267" s="1">
        <f t="shared" si="80"/>
        <v>5949803.7168071382</v>
      </c>
    </row>
    <row r="268" spans="1:30">
      <c r="A268" s="1">
        <f t="shared" si="81"/>
        <v>20.416666666666668</v>
      </c>
      <c r="B268" s="1">
        <f t="shared" si="82"/>
        <v>245</v>
      </c>
      <c r="C268" s="2">
        <f t="shared" si="87"/>
        <v>20</v>
      </c>
      <c r="D268" s="2">
        <f t="shared" si="88"/>
        <v>5</v>
      </c>
      <c r="E268" s="2">
        <f t="shared" si="89"/>
        <v>49</v>
      </c>
      <c r="F268" s="1">
        <f t="shared" si="83"/>
        <v>388985.49486874818</v>
      </c>
      <c r="H268" s="1">
        <f t="shared" si="76"/>
        <v>3101.8249608900228</v>
      </c>
      <c r="I268" s="1">
        <v>0</v>
      </c>
      <c r="J268" s="1">
        <v>0</v>
      </c>
      <c r="K268" s="1">
        <f t="shared" si="84"/>
        <v>-454.82129100238035</v>
      </c>
      <c r="L268" s="1">
        <f t="shared" si="77"/>
        <v>391632.49853863585</v>
      </c>
      <c r="N268" s="1">
        <f t="shared" si="85"/>
        <v>245</v>
      </c>
      <c r="O268" s="2">
        <f t="shared" si="90"/>
        <v>20</v>
      </c>
      <c r="P268" s="2">
        <f t="shared" si="91"/>
        <v>5</v>
      </c>
      <c r="Q268" s="2">
        <f t="shared" si="92"/>
        <v>20</v>
      </c>
      <c r="R268" s="1">
        <f t="shared" si="86"/>
        <v>5305563.6775840484</v>
      </c>
      <c r="S268" s="4">
        <f>IF($G$4="mensual",S267,0)</f>
        <v>10000</v>
      </c>
      <c r="U268" s="1">
        <f t="shared" si="93"/>
        <v>42387.051223835333</v>
      </c>
      <c r="V268" s="35">
        <f t="shared" si="95"/>
        <v>-193.67775685901015</v>
      </c>
      <c r="X268" s="35">
        <f t="shared" si="94"/>
        <v>-6214.9981792191875</v>
      </c>
      <c r="Y268" s="1">
        <f t="shared" si="78"/>
        <v>5351542.0528718056</v>
      </c>
      <c r="AA268" s="2">
        <f>+Bono!J268</f>
        <v>256837.15213703367</v>
      </c>
      <c r="AC268" s="10">
        <f t="shared" si="79"/>
        <v>20.416666666666668</v>
      </c>
      <c r="AD268" s="1">
        <f t="shared" si="80"/>
        <v>6000011.7035474749</v>
      </c>
    </row>
    <row r="269" spans="1:30">
      <c r="A269" s="1">
        <f t="shared" si="81"/>
        <v>20.5</v>
      </c>
      <c r="B269" s="1">
        <f t="shared" si="82"/>
        <v>246</v>
      </c>
      <c r="C269" s="2">
        <f t="shared" si="87"/>
        <v>20</v>
      </c>
      <c r="D269" s="2">
        <f t="shared" si="88"/>
        <v>6</v>
      </c>
      <c r="E269" s="2">
        <f t="shared" si="89"/>
        <v>49</v>
      </c>
      <c r="F269" s="1">
        <f t="shared" si="83"/>
        <v>391632.49853863585</v>
      </c>
      <c r="H269" s="1">
        <f t="shared" si="76"/>
        <v>3122.9325398695305</v>
      </c>
      <c r="I269" s="1">
        <v>0</v>
      </c>
      <c r="J269" s="69">
        <f>-SUM(F269:H269)*$J$21*1.16</f>
        <v>-4121.2467004595965</v>
      </c>
      <c r="K269" s="1">
        <f t="shared" si="84"/>
        <v>-453.13565387853305</v>
      </c>
      <c r="L269" s="1">
        <f t="shared" si="77"/>
        <v>390181.04872416717</v>
      </c>
      <c r="N269" s="1">
        <f t="shared" si="85"/>
        <v>246</v>
      </c>
      <c r="O269" s="2">
        <f t="shared" si="90"/>
        <v>20</v>
      </c>
      <c r="P269" s="2">
        <f t="shared" si="91"/>
        <v>6</v>
      </c>
      <c r="Q269" s="2">
        <f t="shared" si="92"/>
        <v>20</v>
      </c>
      <c r="R269" s="1">
        <f t="shared" si="86"/>
        <v>5351542.0528718056</v>
      </c>
      <c r="S269" s="4">
        <f>IF($G$4="mensual",S268,0)</f>
        <v>10000</v>
      </c>
      <c r="U269" s="1">
        <f t="shared" si="93"/>
        <v>42753.689245072746</v>
      </c>
      <c r="V269" s="35">
        <f t="shared" si="95"/>
        <v>-193.67775685901015</v>
      </c>
      <c r="X269" s="35">
        <f t="shared" si="94"/>
        <v>-6268.7583946576224</v>
      </c>
      <c r="Y269" s="1">
        <f t="shared" si="78"/>
        <v>5397833.3059653621</v>
      </c>
      <c r="AA269" s="2">
        <f>+Bono!J269</f>
        <v>256101.37792676027</v>
      </c>
      <c r="AC269" s="10">
        <f t="shared" si="79"/>
        <v>20.5</v>
      </c>
      <c r="AD269" s="1">
        <f t="shared" si="80"/>
        <v>6044115.7326162895</v>
      </c>
    </row>
    <row r="270" spans="1:30">
      <c r="A270" s="1">
        <f t="shared" si="81"/>
        <v>20.583333333333332</v>
      </c>
      <c r="B270" s="1">
        <f t="shared" si="82"/>
        <v>247</v>
      </c>
      <c r="C270" s="2">
        <f t="shared" si="87"/>
        <v>20</v>
      </c>
      <c r="D270" s="2">
        <f t="shared" si="88"/>
        <v>7</v>
      </c>
      <c r="E270" s="2">
        <f t="shared" si="89"/>
        <v>49</v>
      </c>
      <c r="F270" s="1">
        <f t="shared" si="83"/>
        <v>390181.04872416717</v>
      </c>
      <c r="H270" s="1">
        <f t="shared" si="76"/>
        <v>3111.358475223451</v>
      </c>
      <c r="I270" s="1">
        <v>0</v>
      </c>
      <c r="J270" s="1">
        <v>0</v>
      </c>
      <c r="K270" s="1">
        <f t="shared" si="84"/>
        <v>-456.21919235129315</v>
      </c>
      <c r="L270" s="1">
        <f t="shared" si="77"/>
        <v>392836.18800703937</v>
      </c>
      <c r="N270" s="1">
        <f t="shared" si="85"/>
        <v>247</v>
      </c>
      <c r="O270" s="2">
        <f t="shared" si="90"/>
        <v>20</v>
      </c>
      <c r="P270" s="2">
        <f t="shared" si="91"/>
        <v>7</v>
      </c>
      <c r="Q270" s="2">
        <f t="shared" si="92"/>
        <v>20</v>
      </c>
      <c r="R270" s="1">
        <f t="shared" si="86"/>
        <v>5397833.3059653621</v>
      </c>
      <c r="S270" s="1">
        <f>+IF($G$4="mensual",S264,IF($G$4="trimestral",S264,IF($G$4="semestral",S264,0)))</f>
        <v>10000</v>
      </c>
      <c r="U270" s="1">
        <f t="shared" si="93"/>
        <v>43122.822197870693</v>
      </c>
      <c r="V270" s="35">
        <f t="shared" si="95"/>
        <v>-193.67775685901015</v>
      </c>
      <c r="X270" s="35">
        <f t="shared" si="94"/>
        <v>-6322.8844424713925</v>
      </c>
      <c r="Y270" s="1">
        <f t="shared" si="78"/>
        <v>5444439.5659639025</v>
      </c>
      <c r="AA270" s="2">
        <f>+Bono!J270</f>
        <v>257689.23617582736</v>
      </c>
      <c r="AC270" s="10">
        <f t="shared" si="79"/>
        <v>20.583333333333332</v>
      </c>
      <c r="AD270" s="1">
        <f t="shared" si="80"/>
        <v>6094964.9901467692</v>
      </c>
    </row>
    <row r="271" spans="1:30">
      <c r="A271" s="1">
        <f t="shared" si="81"/>
        <v>20.666666666666668</v>
      </c>
      <c r="B271" s="1">
        <f t="shared" si="82"/>
        <v>248</v>
      </c>
      <c r="C271" s="2">
        <f t="shared" si="87"/>
        <v>20</v>
      </c>
      <c r="D271" s="2">
        <f t="shared" si="88"/>
        <v>8</v>
      </c>
      <c r="E271" s="2">
        <f t="shared" si="89"/>
        <v>49</v>
      </c>
      <c r="F271" s="1">
        <f t="shared" si="83"/>
        <v>392836.18800703937</v>
      </c>
      <c r="H271" s="1">
        <f t="shared" si="76"/>
        <v>3132.5309287233727</v>
      </c>
      <c r="I271" s="1">
        <v>0</v>
      </c>
      <c r="J271" s="1">
        <v>0</v>
      </c>
      <c r="K271" s="1">
        <f t="shared" si="84"/>
        <v>-459.32371396548479</v>
      </c>
      <c r="L271" s="1">
        <f t="shared" si="77"/>
        <v>395509.39522179728</v>
      </c>
      <c r="N271" s="1">
        <f t="shared" si="85"/>
        <v>248</v>
      </c>
      <c r="O271" s="2">
        <f t="shared" si="90"/>
        <v>20</v>
      </c>
      <c r="P271" s="2">
        <f t="shared" si="91"/>
        <v>8</v>
      </c>
      <c r="Q271" s="2">
        <f t="shared" si="92"/>
        <v>20</v>
      </c>
      <c r="R271" s="1">
        <f t="shared" si="86"/>
        <v>5444439.5659639025</v>
      </c>
      <c r="S271" s="4">
        <f>IF($G$4="mensual",S270,0)</f>
        <v>10000</v>
      </c>
      <c r="U271" s="1">
        <f t="shared" si="93"/>
        <v>43494.467059965056</v>
      </c>
      <c r="V271" s="35">
        <f t="shared" si="95"/>
        <v>-193.67775685901015</v>
      </c>
      <c r="X271" s="35">
        <f t="shared" si="94"/>
        <v>-6377.3788121097296</v>
      </c>
      <c r="Y271" s="1">
        <f t="shared" si="78"/>
        <v>5491362.9764548987</v>
      </c>
      <c r="AA271" s="2">
        <f>+Bono!J271</f>
        <v>259286.93933021883</v>
      </c>
      <c r="AC271" s="10">
        <f t="shared" si="79"/>
        <v>20.666666666666668</v>
      </c>
      <c r="AD271" s="1">
        <f t="shared" si="80"/>
        <v>6146159.3110069148</v>
      </c>
    </row>
    <row r="272" spans="1:30">
      <c r="A272" s="1">
        <f t="shared" si="81"/>
        <v>20.75</v>
      </c>
      <c r="B272" s="1">
        <f t="shared" si="82"/>
        <v>249</v>
      </c>
      <c r="C272" s="2">
        <f t="shared" si="87"/>
        <v>20</v>
      </c>
      <c r="D272" s="2">
        <f t="shared" si="88"/>
        <v>9</v>
      </c>
      <c r="E272" s="2">
        <f t="shared" si="89"/>
        <v>49</v>
      </c>
      <c r="F272" s="1">
        <f t="shared" si="83"/>
        <v>395509.39522179728</v>
      </c>
      <c r="H272" s="1">
        <f t="shared" si="76"/>
        <v>3153.8474584494111</v>
      </c>
      <c r="I272" s="1">
        <v>0</v>
      </c>
      <c r="J272" s="69">
        <f>-SUM(F272:H272)*$J$21*1.16</f>
        <v>-4162.0442535817756</v>
      </c>
      <c r="K272" s="1">
        <f t="shared" si="84"/>
        <v>-457.62139017493126</v>
      </c>
      <c r="L272" s="1">
        <f t="shared" si="77"/>
        <v>394043.57703648997</v>
      </c>
      <c r="N272" s="1">
        <f t="shared" si="85"/>
        <v>249</v>
      </c>
      <c r="O272" s="2">
        <f t="shared" si="90"/>
        <v>20</v>
      </c>
      <c r="P272" s="2">
        <f t="shared" si="91"/>
        <v>9</v>
      </c>
      <c r="Q272" s="2">
        <f t="shared" si="92"/>
        <v>20</v>
      </c>
      <c r="R272" s="1">
        <f t="shared" si="86"/>
        <v>5491362.9764548987</v>
      </c>
      <c r="S272" s="4">
        <f>IF($G$4="mensual",S271,0)</f>
        <v>10000</v>
      </c>
      <c r="U272" s="1">
        <f t="shared" si="93"/>
        <v>43868.640924623352</v>
      </c>
      <c r="V272" s="35">
        <f t="shared" si="95"/>
        <v>-193.67775685901015</v>
      </c>
      <c r="X272" s="35">
        <f t="shared" si="94"/>
        <v>-6432.2440099622881</v>
      </c>
      <c r="Y272" s="1">
        <f t="shared" si="78"/>
        <v>5538605.6956127007</v>
      </c>
      <c r="AA272" s="2">
        <f>+Bono!J272</f>
        <v>258544.14709228702</v>
      </c>
      <c r="AC272" s="10">
        <f t="shared" si="79"/>
        <v>20.75</v>
      </c>
      <c r="AD272" s="1">
        <f t="shared" si="80"/>
        <v>6191193.4197414778</v>
      </c>
    </row>
    <row r="273" spans="1:30">
      <c r="A273" s="1">
        <f t="shared" si="81"/>
        <v>20.833333333333332</v>
      </c>
      <c r="B273" s="1">
        <f t="shared" si="82"/>
        <v>250</v>
      </c>
      <c r="C273" s="2">
        <f t="shared" si="87"/>
        <v>20</v>
      </c>
      <c r="D273" s="2">
        <f t="shared" si="88"/>
        <v>10</v>
      </c>
      <c r="E273" s="2">
        <f t="shared" si="89"/>
        <v>49</v>
      </c>
      <c r="F273" s="1">
        <f t="shared" si="83"/>
        <v>394043.57703648997</v>
      </c>
      <c r="H273" s="1">
        <f t="shared" si="76"/>
        <v>3142.1588183965296</v>
      </c>
      <c r="I273" s="1">
        <v>0</v>
      </c>
      <c r="J273" s="1">
        <v>0</v>
      </c>
      <c r="K273" s="1">
        <f t="shared" si="84"/>
        <v>-460.73545359166832</v>
      </c>
      <c r="L273" s="1">
        <f t="shared" si="77"/>
        <v>396725.00040129479</v>
      </c>
      <c r="N273" s="1">
        <f t="shared" si="85"/>
        <v>250</v>
      </c>
      <c r="O273" s="2">
        <f t="shared" si="90"/>
        <v>20</v>
      </c>
      <c r="P273" s="2">
        <f t="shared" si="91"/>
        <v>10</v>
      </c>
      <c r="Q273" s="2">
        <f t="shared" si="92"/>
        <v>20</v>
      </c>
      <c r="R273" s="1">
        <f t="shared" si="86"/>
        <v>5538605.6956127007</v>
      </c>
      <c r="S273" s="4">
        <f>IF($G$4="mensual",S264,IF($G$4="trimestral",S264,0))</f>
        <v>10000</v>
      </c>
      <c r="U273" s="1">
        <f t="shared" si="93"/>
        <v>44245.361001430931</v>
      </c>
      <c r="V273" s="35">
        <f t="shared" si="95"/>
        <v>-193.67775685901015</v>
      </c>
      <c r="X273" s="35">
        <f t="shared" si="94"/>
        <v>-6487.4825594744361</v>
      </c>
      <c r="Y273" s="1">
        <f t="shared" si="78"/>
        <v>5586169.8962977985</v>
      </c>
      <c r="AA273" s="2">
        <f>+Bono!J273</f>
        <v>260147.15079352408</v>
      </c>
      <c r="AC273" s="10">
        <f t="shared" si="79"/>
        <v>20.833333333333332</v>
      </c>
      <c r="AD273" s="1">
        <f t="shared" si="80"/>
        <v>6243042.0474926177</v>
      </c>
    </row>
    <row r="274" spans="1:30">
      <c r="A274" s="1">
        <f t="shared" si="81"/>
        <v>20.916666666666668</v>
      </c>
      <c r="B274" s="1">
        <f t="shared" si="82"/>
        <v>251</v>
      </c>
      <c r="C274" s="2">
        <f t="shared" si="87"/>
        <v>20</v>
      </c>
      <c r="D274" s="2">
        <f t="shared" si="88"/>
        <v>11</v>
      </c>
      <c r="E274" s="2">
        <f t="shared" si="89"/>
        <v>49</v>
      </c>
      <c r="F274" s="1">
        <f t="shared" si="83"/>
        <v>396725.00040129479</v>
      </c>
      <c r="H274" s="1">
        <f t="shared" si="76"/>
        <v>3163.5408648568268</v>
      </c>
      <c r="I274" s="1">
        <v>0</v>
      </c>
      <c r="J274" s="1">
        <v>0</v>
      </c>
      <c r="K274" s="1">
        <f t="shared" si="84"/>
        <v>-463.87070786873591</v>
      </c>
      <c r="L274" s="1">
        <f t="shared" si="77"/>
        <v>399424.67055828293</v>
      </c>
      <c r="N274" s="1">
        <f t="shared" si="85"/>
        <v>251</v>
      </c>
      <c r="O274" s="2">
        <f t="shared" si="90"/>
        <v>20</v>
      </c>
      <c r="P274" s="2">
        <f t="shared" si="91"/>
        <v>11</v>
      </c>
      <c r="Q274" s="2">
        <f t="shared" si="92"/>
        <v>20</v>
      </c>
      <c r="R274" s="1">
        <f t="shared" si="86"/>
        <v>5586169.8962977985</v>
      </c>
      <c r="S274" s="1">
        <f>IF($G$17="si",S262*(1+$G$20),S262)</f>
        <v>10000</v>
      </c>
      <c r="U274" s="1">
        <f t="shared" si="93"/>
        <v>44624.644617082464</v>
      </c>
      <c r="V274" s="35">
        <f t="shared" si="95"/>
        <v>-193.67775685901015</v>
      </c>
      <c r="X274" s="35">
        <f t="shared" si="94"/>
        <v>-6543.0970012633061</v>
      </c>
      <c r="Y274" s="1">
        <f t="shared" si="78"/>
        <v>5634057.7661567591</v>
      </c>
      <c r="AA274" s="2">
        <f>+Bono!J274</f>
        <v>261760.09330364573</v>
      </c>
      <c r="AC274" s="10">
        <f t="shared" si="79"/>
        <v>20.916666666666668</v>
      </c>
      <c r="AD274" s="1">
        <f t="shared" si="80"/>
        <v>6295242.5300186882</v>
      </c>
    </row>
    <row r="275" spans="1:30">
      <c r="A275" s="1">
        <f t="shared" si="81"/>
        <v>21</v>
      </c>
      <c r="B275" s="1">
        <f t="shared" si="82"/>
        <v>252</v>
      </c>
      <c r="C275" s="2">
        <f t="shared" si="87"/>
        <v>20</v>
      </c>
      <c r="D275" s="2">
        <f t="shared" si="88"/>
        <v>12</v>
      </c>
      <c r="E275" s="2">
        <f t="shared" si="89"/>
        <v>49</v>
      </c>
      <c r="F275" s="1">
        <f t="shared" si="83"/>
        <v>399424.67055828293</v>
      </c>
      <c r="H275" s="1">
        <f t="shared" si="76"/>
        <v>3185.0684138003712</v>
      </c>
      <c r="I275" s="1">
        <v>0</v>
      </c>
      <c r="J275" s="69">
        <f>-SUM(F275:H275)*$J$21*1.16</f>
        <v>-4203.2456748685499</v>
      </c>
      <c r="K275" s="1">
        <f t="shared" si="84"/>
        <v>-462.15153222476914</v>
      </c>
      <c r="L275" s="1">
        <f t="shared" si="77"/>
        <v>397944.34176499001</v>
      </c>
      <c r="N275" s="1">
        <f t="shared" si="85"/>
        <v>252</v>
      </c>
      <c r="O275" s="2">
        <f t="shared" si="90"/>
        <v>20</v>
      </c>
      <c r="P275" s="2">
        <f t="shared" si="91"/>
        <v>12</v>
      </c>
      <c r="Q275" s="2">
        <f t="shared" si="92"/>
        <v>20</v>
      </c>
      <c r="R275" s="1">
        <f t="shared" si="86"/>
        <v>5634057.7661567591</v>
      </c>
      <c r="S275" s="4">
        <f>IF($G$4="mensual",S274,0)</f>
        <v>10000</v>
      </c>
      <c r="U275" s="1">
        <f t="shared" si="93"/>
        <v>45006.509216178878</v>
      </c>
      <c r="V275" s="35">
        <f t="shared" si="95"/>
        <v>-193.67775685901015</v>
      </c>
      <c r="X275" s="35">
        <f t="shared" si="94"/>
        <v>-6599.0898932346508</v>
      </c>
      <c r="Y275" s="1">
        <f t="shared" si="78"/>
        <v>5682271.5077228444</v>
      </c>
      <c r="AA275" s="2">
        <f>+Bono!J275</f>
        <v>261010.21609807372</v>
      </c>
      <c r="AC275" s="10">
        <f t="shared" si="79"/>
        <v>21</v>
      </c>
      <c r="AD275" s="1">
        <f t="shared" si="80"/>
        <v>6341226.0655859085</v>
      </c>
    </row>
    <row r="276" spans="1:30">
      <c r="A276" s="1">
        <f t="shared" si="81"/>
        <v>21.083333333333332</v>
      </c>
      <c r="B276" s="1">
        <f t="shared" si="82"/>
        <v>253</v>
      </c>
      <c r="C276" s="2">
        <f t="shared" si="87"/>
        <v>21</v>
      </c>
      <c r="D276" s="2">
        <f t="shared" si="88"/>
        <v>1</v>
      </c>
      <c r="E276" s="2">
        <f t="shared" si="89"/>
        <v>50</v>
      </c>
      <c r="F276" s="1">
        <f t="shared" si="83"/>
        <v>397944.34176499001</v>
      </c>
      <c r="H276" s="1">
        <f t="shared" si="76"/>
        <v>3173.2640641217035</v>
      </c>
      <c r="I276" s="1">
        <v>0</v>
      </c>
      <c r="J276" s="1">
        <v>0</v>
      </c>
      <c r="K276" s="1">
        <f t="shared" si="84"/>
        <v>-465.29642276176958</v>
      </c>
      <c r="L276" s="1">
        <f t="shared" si="77"/>
        <v>400652.30940634996</v>
      </c>
      <c r="N276" s="1">
        <f t="shared" si="85"/>
        <v>253</v>
      </c>
      <c r="O276" s="2">
        <f t="shared" si="90"/>
        <v>21</v>
      </c>
      <c r="P276" s="2">
        <f t="shared" si="91"/>
        <v>1</v>
      </c>
      <c r="Q276" s="2">
        <f t="shared" si="92"/>
        <v>21</v>
      </c>
      <c r="R276" s="1">
        <f t="shared" si="86"/>
        <v>5682271.5077228444</v>
      </c>
      <c r="S276" s="1">
        <f>IF($G$17="si",S264*(1+$G$20),S264)</f>
        <v>10000</v>
      </c>
      <c r="U276" s="1">
        <f t="shared" si="93"/>
        <v>45390.972362029723</v>
      </c>
      <c r="V276" s="35">
        <f>V275*(1+$G$18)</f>
        <v>-201.42486713337055</v>
      </c>
      <c r="X276" s="35">
        <f t="shared" si="94"/>
        <v>-6655.4548240525783</v>
      </c>
      <c r="Y276" s="1">
        <f t="shared" si="78"/>
        <v>5730805.6003936874</v>
      </c>
      <c r="AA276" s="2">
        <f>+Bono!J276</f>
        <v>262628.50971319294</v>
      </c>
      <c r="AC276" s="10">
        <f t="shared" si="79"/>
        <v>21.083333333333332</v>
      </c>
      <c r="AD276" s="1">
        <f t="shared" si="80"/>
        <v>6394086.4195132302</v>
      </c>
    </row>
    <row r="277" spans="1:30">
      <c r="A277" s="1">
        <f t="shared" si="81"/>
        <v>21.166666666666668</v>
      </c>
      <c r="B277" s="1">
        <f t="shared" si="82"/>
        <v>254</v>
      </c>
      <c r="C277" s="2">
        <f t="shared" si="87"/>
        <v>21</v>
      </c>
      <c r="D277" s="2">
        <f t="shared" si="88"/>
        <v>2</v>
      </c>
      <c r="E277" s="2">
        <f t="shared" si="89"/>
        <v>50</v>
      </c>
      <c r="F277" s="1">
        <f t="shared" si="83"/>
        <v>400652.30940634996</v>
      </c>
      <c r="H277" s="1">
        <f t="shared" si="76"/>
        <v>3194.8577783708351</v>
      </c>
      <c r="I277" s="1">
        <v>0</v>
      </c>
      <c r="J277" s="1">
        <v>0</v>
      </c>
      <c r="K277" s="1">
        <f t="shared" si="84"/>
        <v>-468.46271393427611</v>
      </c>
      <c r="L277" s="1">
        <f t="shared" si="77"/>
        <v>403378.70447078656</v>
      </c>
      <c r="N277" s="1">
        <f t="shared" si="85"/>
        <v>254</v>
      </c>
      <c r="O277" s="2">
        <f t="shared" si="90"/>
        <v>21</v>
      </c>
      <c r="P277" s="2">
        <f t="shared" si="91"/>
        <v>2</v>
      </c>
      <c r="Q277" s="2">
        <f t="shared" si="92"/>
        <v>21</v>
      </c>
      <c r="R277" s="1">
        <f t="shared" si="86"/>
        <v>5730805.6003936874</v>
      </c>
      <c r="S277" s="4">
        <f>IF($G$4="mensual",S276,0)</f>
        <v>10000</v>
      </c>
      <c r="U277" s="1">
        <f t="shared" si="93"/>
        <v>45777.990032576454</v>
      </c>
      <c r="V277" s="35">
        <f t="shared" si="95"/>
        <v>-201.42486713337055</v>
      </c>
      <c r="X277" s="35">
        <f t="shared" si="94"/>
        <v>-6712.2033120485903</v>
      </c>
      <c r="Y277" s="1">
        <f t="shared" si="78"/>
        <v>5779669.9622470811</v>
      </c>
      <c r="AA277" s="2">
        <f>+Bono!J277</f>
        <v>264256.83693643636</v>
      </c>
      <c r="AC277" s="10">
        <f t="shared" si="79"/>
        <v>21.166666666666668</v>
      </c>
      <c r="AD277" s="1">
        <f t="shared" si="80"/>
        <v>6447305.503654304</v>
      </c>
    </row>
    <row r="278" spans="1:30">
      <c r="A278" s="1">
        <f t="shared" si="81"/>
        <v>21.25</v>
      </c>
      <c r="B278" s="1">
        <f t="shared" si="82"/>
        <v>255</v>
      </c>
      <c r="C278" s="2">
        <f t="shared" si="87"/>
        <v>21</v>
      </c>
      <c r="D278" s="2">
        <f t="shared" si="88"/>
        <v>3</v>
      </c>
      <c r="E278" s="2">
        <f t="shared" si="89"/>
        <v>50</v>
      </c>
      <c r="F278" s="1">
        <f t="shared" si="83"/>
        <v>403378.70447078656</v>
      </c>
      <c r="H278" s="1">
        <f t="shared" si="76"/>
        <v>3216.5984354793227</v>
      </c>
      <c r="I278" s="1">
        <v>0</v>
      </c>
      <c r="J278" s="69">
        <f>-SUM(F278:H278)*$J$21*1.16</f>
        <v>-4244.8549623414156</v>
      </c>
      <c r="K278" s="1">
        <f t="shared" si="84"/>
        <v>-466.72651961495234</v>
      </c>
      <c r="L278" s="1">
        <f t="shared" si="77"/>
        <v>401883.72142430954</v>
      </c>
      <c r="N278" s="1">
        <f t="shared" si="85"/>
        <v>255</v>
      </c>
      <c r="O278" s="2">
        <f t="shared" si="90"/>
        <v>21</v>
      </c>
      <c r="P278" s="2">
        <f t="shared" si="91"/>
        <v>3</v>
      </c>
      <c r="Q278" s="2">
        <f t="shared" si="92"/>
        <v>21</v>
      </c>
      <c r="R278" s="1">
        <f t="shared" si="86"/>
        <v>5779669.9622470811</v>
      </c>
      <c r="S278" s="4">
        <f>IF($G$4="mensual",S277,0)</f>
        <v>10000</v>
      </c>
      <c r="U278" s="1">
        <f t="shared" si="93"/>
        <v>46167.641315964182</v>
      </c>
      <c r="V278" s="35">
        <f t="shared" si="95"/>
        <v>-201.42486713337055</v>
      </c>
      <c r="X278" s="35">
        <f t="shared" si="94"/>
        <v>-6769.337967287257</v>
      </c>
      <c r="Y278" s="1">
        <f t="shared" si="78"/>
        <v>5828866.8407286247</v>
      </c>
      <c r="AA278" s="2">
        <f>+Bono!J278</f>
        <v>263499.80718474952</v>
      </c>
      <c r="AC278" s="10">
        <f t="shared" si="79"/>
        <v>21.25</v>
      </c>
      <c r="AD278" s="1">
        <f t="shared" si="80"/>
        <v>6494250.3693376835</v>
      </c>
    </row>
    <row r="279" spans="1:30">
      <c r="A279" s="1">
        <f t="shared" si="81"/>
        <v>21.333333333333332</v>
      </c>
      <c r="B279" s="1">
        <f t="shared" si="82"/>
        <v>256</v>
      </c>
      <c r="C279" s="2">
        <f t="shared" si="87"/>
        <v>21</v>
      </c>
      <c r="D279" s="2">
        <f t="shared" si="88"/>
        <v>4</v>
      </c>
      <c r="E279" s="2">
        <f t="shared" si="89"/>
        <v>50</v>
      </c>
      <c r="F279" s="1">
        <f t="shared" si="83"/>
        <v>401883.72142430954</v>
      </c>
      <c r="H279" s="1">
        <f t="shared" si="76"/>
        <v>3204.6772307278848</v>
      </c>
      <c r="I279" s="1">
        <v>0</v>
      </c>
      <c r="J279" s="1">
        <v>0</v>
      </c>
      <c r="K279" s="1">
        <f t="shared" si="84"/>
        <v>-469.90254243984333</v>
      </c>
      <c r="L279" s="1">
        <f t="shared" si="77"/>
        <v>404618.49611259752</v>
      </c>
      <c r="N279" s="1">
        <f t="shared" si="85"/>
        <v>256</v>
      </c>
      <c r="O279" s="2">
        <f t="shared" si="90"/>
        <v>21</v>
      </c>
      <c r="P279" s="2">
        <f t="shared" si="91"/>
        <v>4</v>
      </c>
      <c r="Q279" s="2">
        <f t="shared" si="92"/>
        <v>21</v>
      </c>
      <c r="R279" s="1">
        <f t="shared" si="86"/>
        <v>5828866.8407286247</v>
      </c>
      <c r="S279" s="4">
        <f>IF($G$4="mensual",S276,IF($G$4="trimestral",S276,0))</f>
        <v>10000</v>
      </c>
      <c r="U279" s="1">
        <f t="shared" si="93"/>
        <v>46559.944133639721</v>
      </c>
      <c r="V279" s="35">
        <f t="shared" si="95"/>
        <v>-201.42486713337055</v>
      </c>
      <c r="X279" s="35">
        <f t="shared" si="94"/>
        <v>-6826.8614175943512</v>
      </c>
      <c r="Y279" s="1">
        <f t="shared" si="78"/>
        <v>5878398.4985775361</v>
      </c>
      <c r="AA279" s="2">
        <f>+Bono!J279</f>
        <v>265133.53655338078</v>
      </c>
      <c r="AC279" s="10">
        <f t="shared" si="79"/>
        <v>21.333333333333332</v>
      </c>
      <c r="AD279" s="1">
        <f t="shared" si="80"/>
        <v>6548150.5312435143</v>
      </c>
    </row>
    <row r="280" spans="1:30">
      <c r="A280" s="1">
        <f t="shared" si="81"/>
        <v>21.416666666666668</v>
      </c>
      <c r="B280" s="1">
        <f t="shared" si="82"/>
        <v>257</v>
      </c>
      <c r="C280" s="2">
        <f t="shared" si="87"/>
        <v>21</v>
      </c>
      <c r="D280" s="2">
        <f t="shared" si="88"/>
        <v>5</v>
      </c>
      <c r="E280" s="2">
        <f t="shared" si="89"/>
        <v>50</v>
      </c>
      <c r="F280" s="1">
        <f t="shared" si="83"/>
        <v>404618.49611259752</v>
      </c>
      <c r="H280" s="1">
        <f t="shared" ref="H280:H343" si="96">SUM(F280:G280)*$G$8</f>
        <v>3226.4847081337043</v>
      </c>
      <c r="I280" s="1">
        <v>0</v>
      </c>
      <c r="J280" s="1">
        <v>0</v>
      </c>
      <c r="K280" s="1">
        <f t="shared" si="84"/>
        <v>-473.10017775204818</v>
      </c>
      <c r="L280" s="1">
        <f t="shared" ref="L280:L343" si="97">SUM(F280:K280)</f>
        <v>407371.88064297917</v>
      </c>
      <c r="N280" s="1">
        <f t="shared" si="85"/>
        <v>257</v>
      </c>
      <c r="O280" s="2">
        <f t="shared" si="90"/>
        <v>21</v>
      </c>
      <c r="P280" s="2">
        <f t="shared" si="91"/>
        <v>5</v>
      </c>
      <c r="Q280" s="2">
        <f t="shared" si="92"/>
        <v>21</v>
      </c>
      <c r="R280" s="1">
        <f t="shared" si="86"/>
        <v>5878398.4985775361</v>
      </c>
      <c r="S280" s="4">
        <f>IF($G$4="mensual",S279,0)</f>
        <v>10000</v>
      </c>
      <c r="U280" s="1">
        <f t="shared" si="93"/>
        <v>46954.916529003356</v>
      </c>
      <c r="V280" s="35">
        <f t="shared" si="95"/>
        <v>-201.42486713337055</v>
      </c>
      <c r="X280" s="35">
        <f t="shared" si="94"/>
        <v>-6884.7763086777104</v>
      </c>
      <c r="Y280" s="1">
        <f t="shared" ref="Y280:Y343" si="98">SUM(R280:X280)</f>
        <v>5928267.2139307279</v>
      </c>
      <c r="AA280" s="2">
        <f>+Bono!J280</f>
        <v>266777.39523359848</v>
      </c>
      <c r="AC280" s="10">
        <f t="shared" ref="AC280:AC343" si="99">+B280/12</f>
        <v>21.416666666666668</v>
      </c>
      <c r="AD280" s="1">
        <f t="shared" ref="AD280:AD343" si="100">+AA280+Y280+L280</f>
        <v>6602416.4898073059</v>
      </c>
    </row>
    <row r="281" spans="1:30">
      <c r="A281" s="1">
        <f t="shared" ref="A281:A344" si="101">+B281/12</f>
        <v>21.5</v>
      </c>
      <c r="B281" s="1">
        <f t="shared" ref="B281:B344" si="102">+B280+1</f>
        <v>258</v>
      </c>
      <c r="C281" s="2">
        <f t="shared" si="87"/>
        <v>21</v>
      </c>
      <c r="D281" s="2">
        <f t="shared" si="88"/>
        <v>6</v>
      </c>
      <c r="E281" s="2">
        <f t="shared" si="89"/>
        <v>50</v>
      </c>
      <c r="F281" s="1">
        <f t="shared" ref="F281:F344" si="103">L280</f>
        <v>407371.88064297917</v>
      </c>
      <c r="H281" s="1">
        <f t="shared" si="96"/>
        <v>3248.4405830337391</v>
      </c>
      <c r="I281" s="1">
        <v>0</v>
      </c>
      <c r="J281" s="69">
        <f>-SUM(F281:H281)*$J$21*1.16</f>
        <v>-4286.8761535995745</v>
      </c>
      <c r="K281" s="1">
        <f t="shared" ref="K281:K344" si="104">-SUM(F281:J281)*0.1%*1.16</f>
        <v>-471.34679628399942</v>
      </c>
      <c r="L281" s="1">
        <f t="shared" si="97"/>
        <v>405862.09827612928</v>
      </c>
      <c r="N281" s="1">
        <f t="shared" ref="N281:N344" si="105">+N280+1</f>
        <v>258</v>
      </c>
      <c r="O281" s="2">
        <f t="shared" si="90"/>
        <v>21</v>
      </c>
      <c r="P281" s="2">
        <f t="shared" si="91"/>
        <v>6</v>
      </c>
      <c r="Q281" s="2">
        <f t="shared" si="92"/>
        <v>21</v>
      </c>
      <c r="R281" s="1">
        <f t="shared" ref="R281:R344" si="106">Y280</f>
        <v>5928267.2139307279</v>
      </c>
      <c r="S281" s="4">
        <f>IF($G$4="mensual",S280,0)</f>
        <v>10000</v>
      </c>
      <c r="U281" s="1">
        <f t="shared" si="93"/>
        <v>47352.576668238733</v>
      </c>
      <c r="V281" s="35">
        <f t="shared" si="95"/>
        <v>-201.42486713337055</v>
      </c>
      <c r="X281" s="35">
        <f t="shared" si="94"/>
        <v>-6943.0853042489252</v>
      </c>
      <c r="Y281" s="1">
        <f t="shared" si="98"/>
        <v>5978475.2804275835</v>
      </c>
      <c r="AA281" s="2">
        <f>+Bono!J281</f>
        <v>266013.14471273898</v>
      </c>
      <c r="AC281" s="10">
        <f t="shared" si="99"/>
        <v>21.5</v>
      </c>
      <c r="AD281" s="1">
        <f t="shared" si="100"/>
        <v>6650350.5234164512</v>
      </c>
    </row>
    <row r="282" spans="1:30">
      <c r="A282" s="1">
        <f t="shared" si="101"/>
        <v>21.583333333333332</v>
      </c>
      <c r="B282" s="1">
        <f t="shared" si="102"/>
        <v>259</v>
      </c>
      <c r="C282" s="2">
        <f t="shared" si="87"/>
        <v>21</v>
      </c>
      <c r="D282" s="2">
        <f t="shared" si="88"/>
        <v>7</v>
      </c>
      <c r="E282" s="2">
        <f t="shared" si="89"/>
        <v>50</v>
      </c>
      <c r="F282" s="1">
        <f t="shared" si="103"/>
        <v>405862.09827612928</v>
      </c>
      <c r="H282" s="1">
        <f t="shared" si="96"/>
        <v>3236.4013664233953</v>
      </c>
      <c r="I282" s="1">
        <v>0</v>
      </c>
      <c r="J282" s="1">
        <v>0</v>
      </c>
      <c r="K282" s="1">
        <f t="shared" si="104"/>
        <v>-474.55425958536114</v>
      </c>
      <c r="L282" s="1">
        <f t="shared" si="97"/>
        <v>408623.94538296736</v>
      </c>
      <c r="N282" s="1">
        <f t="shared" si="105"/>
        <v>259</v>
      </c>
      <c r="O282" s="2">
        <f t="shared" si="90"/>
        <v>21</v>
      </c>
      <c r="P282" s="2">
        <f t="shared" si="91"/>
        <v>7</v>
      </c>
      <c r="Q282" s="2">
        <f t="shared" si="92"/>
        <v>21</v>
      </c>
      <c r="R282" s="1">
        <f t="shared" si="106"/>
        <v>5978475.2804275835</v>
      </c>
      <c r="S282" s="1">
        <f>+IF($G$4="mensual",S276,IF($G$4="trimestral",S276,IF($G$4="semestral",S276,0)))</f>
        <v>10000</v>
      </c>
      <c r="U282" s="1">
        <f t="shared" si="93"/>
        <v>47752.942841148404</v>
      </c>
      <c r="V282" s="35">
        <f t="shared" si="95"/>
        <v>-201.42486713337055</v>
      </c>
      <c r="X282" s="35">
        <f t="shared" si="94"/>
        <v>-7001.7910861458531</v>
      </c>
      <c r="Y282" s="1">
        <f t="shared" si="98"/>
        <v>6029025.0073154522</v>
      </c>
      <c r="AA282" s="2">
        <f>+Bono!J282</f>
        <v>267662.45706557296</v>
      </c>
      <c r="AC282" s="10">
        <f t="shared" si="99"/>
        <v>21.583333333333332</v>
      </c>
      <c r="AD282" s="1">
        <f t="shared" si="100"/>
        <v>6705311.4097639928</v>
      </c>
    </row>
    <row r="283" spans="1:30">
      <c r="A283" s="1">
        <f t="shared" si="101"/>
        <v>21.666666666666668</v>
      </c>
      <c r="B283" s="1">
        <f t="shared" si="102"/>
        <v>260</v>
      </c>
      <c r="C283" s="2">
        <f t="shared" si="87"/>
        <v>21</v>
      </c>
      <c r="D283" s="2">
        <f t="shared" si="88"/>
        <v>8</v>
      </c>
      <c r="E283" s="2">
        <f t="shared" si="89"/>
        <v>50</v>
      </c>
      <c r="F283" s="1">
        <f t="shared" si="103"/>
        <v>408623.94538296736</v>
      </c>
      <c r="H283" s="1">
        <f t="shared" si="96"/>
        <v>3258.4247230964838</v>
      </c>
      <c r="I283" s="1">
        <v>0</v>
      </c>
      <c r="J283" s="1">
        <v>0</v>
      </c>
      <c r="K283" s="1">
        <f t="shared" si="104"/>
        <v>-477.78354932303404</v>
      </c>
      <c r="L283" s="1">
        <f t="shared" si="97"/>
        <v>411404.5865567408</v>
      </c>
      <c r="N283" s="1">
        <f t="shared" si="105"/>
        <v>260</v>
      </c>
      <c r="O283" s="2">
        <f t="shared" si="90"/>
        <v>21</v>
      </c>
      <c r="P283" s="2">
        <f t="shared" si="91"/>
        <v>8</v>
      </c>
      <c r="Q283" s="2">
        <f t="shared" si="92"/>
        <v>21</v>
      </c>
      <c r="R283" s="1">
        <f t="shared" si="106"/>
        <v>6029025.0073154522</v>
      </c>
      <c r="S283" s="4">
        <f>IF($G$4="mensual",S282,0)</f>
        <v>10000</v>
      </c>
      <c r="U283" s="1">
        <f t="shared" si="93"/>
        <v>48156.033461995001</v>
      </c>
      <c r="V283" s="35">
        <f t="shared" si="95"/>
        <v>-201.42486713337055</v>
      </c>
      <c r="X283" s="35">
        <f t="shared" si="94"/>
        <v>-7060.8963544559638</v>
      </c>
      <c r="Y283" s="1">
        <f t="shared" si="98"/>
        <v>6079918.7195558585</v>
      </c>
      <c r="AA283" s="2">
        <f>+Bono!J283</f>
        <v>269321.99534630287</v>
      </c>
      <c r="AC283" s="10">
        <f t="shared" si="99"/>
        <v>21.666666666666668</v>
      </c>
      <c r="AD283" s="1">
        <f t="shared" si="100"/>
        <v>6760645.3014589027</v>
      </c>
    </row>
    <row r="284" spans="1:30">
      <c r="A284" s="1">
        <f t="shared" si="101"/>
        <v>21.75</v>
      </c>
      <c r="B284" s="1">
        <f t="shared" si="102"/>
        <v>261</v>
      </c>
      <c r="C284" s="2">
        <f t="shared" si="87"/>
        <v>21</v>
      </c>
      <c r="D284" s="2">
        <f t="shared" si="88"/>
        <v>9</v>
      </c>
      <c r="E284" s="2">
        <f t="shared" si="89"/>
        <v>50</v>
      </c>
      <c r="F284" s="1">
        <f t="shared" si="103"/>
        <v>411404.5865567408</v>
      </c>
      <c r="H284" s="1">
        <f t="shared" si="96"/>
        <v>3280.5979462985451</v>
      </c>
      <c r="I284" s="1">
        <v>0</v>
      </c>
      <c r="J284" s="69">
        <f>-SUM(F284:H284)*$J$21*1.16</f>
        <v>-4329.3133262117308</v>
      </c>
      <c r="K284" s="1">
        <f t="shared" si="104"/>
        <v>-476.01281056512005</v>
      </c>
      <c r="L284" s="1">
        <f t="shared" si="97"/>
        <v>409879.85836626252</v>
      </c>
      <c r="N284" s="1">
        <f t="shared" si="105"/>
        <v>261</v>
      </c>
      <c r="O284" s="2">
        <f t="shared" si="90"/>
        <v>21</v>
      </c>
      <c r="P284" s="2">
        <f t="shared" si="91"/>
        <v>9</v>
      </c>
      <c r="Q284" s="2">
        <f t="shared" si="92"/>
        <v>21</v>
      </c>
      <c r="R284" s="1">
        <f t="shared" si="106"/>
        <v>6079918.7195558585</v>
      </c>
      <c r="S284" s="4">
        <f>IF($G$4="mensual",S283,0)</f>
        <v>10000</v>
      </c>
      <c r="U284" s="1">
        <f t="shared" si="93"/>
        <v>48561.86707034822</v>
      </c>
      <c r="V284" s="35">
        <f t="shared" si="95"/>
        <v>-201.42486713337055</v>
      </c>
      <c r="X284" s="35">
        <f t="shared" si="94"/>
        <v>-7120.4038276405245</v>
      </c>
      <c r="Y284" s="1">
        <f t="shared" si="98"/>
        <v>6131158.7579314327</v>
      </c>
      <c r="AA284" s="2">
        <f>+Bono!J284</f>
        <v>268550.45518248167</v>
      </c>
      <c r="AC284" s="10">
        <f t="shared" si="99"/>
        <v>21.75</v>
      </c>
      <c r="AD284" s="1">
        <f t="shared" si="100"/>
        <v>6809589.0714801764</v>
      </c>
    </row>
    <row r="285" spans="1:30">
      <c r="A285" s="1">
        <f t="shared" si="101"/>
        <v>21.833333333333332</v>
      </c>
      <c r="B285" s="1">
        <f t="shared" si="102"/>
        <v>262</v>
      </c>
      <c r="C285" s="2">
        <f t="shared" si="87"/>
        <v>21</v>
      </c>
      <c r="D285" s="2">
        <f t="shared" si="88"/>
        <v>10</v>
      </c>
      <c r="E285" s="2">
        <f t="shared" si="89"/>
        <v>50</v>
      </c>
      <c r="F285" s="1">
        <f t="shared" si="103"/>
        <v>409879.85836626252</v>
      </c>
      <c r="H285" s="1">
        <f t="shared" si="96"/>
        <v>3268.4395495917629</v>
      </c>
      <c r="I285" s="1">
        <v>0</v>
      </c>
      <c r="J285" s="1">
        <v>0</v>
      </c>
      <c r="K285" s="1">
        <f t="shared" si="104"/>
        <v>-479.2520255823909</v>
      </c>
      <c r="L285" s="1">
        <f t="shared" si="97"/>
        <v>412669.0458902719</v>
      </c>
      <c r="N285" s="1">
        <f t="shared" si="105"/>
        <v>262</v>
      </c>
      <c r="O285" s="2">
        <f t="shared" si="90"/>
        <v>21</v>
      </c>
      <c r="P285" s="2">
        <f t="shared" si="91"/>
        <v>10</v>
      </c>
      <c r="Q285" s="2">
        <f t="shared" si="92"/>
        <v>21</v>
      </c>
      <c r="R285" s="1">
        <f t="shared" si="106"/>
        <v>6131158.7579314327</v>
      </c>
      <c r="S285" s="4">
        <f>IF($G$4="mensual",S276,IF($G$4="trimestral",S276,0))</f>
        <v>10000</v>
      </c>
      <c r="U285" s="1">
        <f t="shared" si="93"/>
        <v>48970.462331937466</v>
      </c>
      <c r="V285" s="35">
        <f t="shared" si="95"/>
        <v>-201.42486713337055</v>
      </c>
      <c r="X285" s="35">
        <f t="shared" si="94"/>
        <v>-7180.3162426596336</v>
      </c>
      <c r="Y285" s="1">
        <f t="shared" si="98"/>
        <v>6182747.4791535772</v>
      </c>
      <c r="AA285" s="2">
        <f>+Bono!J285</f>
        <v>270215.4991545378</v>
      </c>
      <c r="AC285" s="10">
        <f t="shared" si="99"/>
        <v>21.833333333333332</v>
      </c>
      <c r="AD285" s="1">
        <f t="shared" si="100"/>
        <v>6865632.0241983868</v>
      </c>
    </row>
    <row r="286" spans="1:30">
      <c r="A286" s="1">
        <f t="shared" si="101"/>
        <v>21.916666666666668</v>
      </c>
      <c r="B286" s="1">
        <f t="shared" si="102"/>
        <v>263</v>
      </c>
      <c r="C286" s="2">
        <f t="shared" si="87"/>
        <v>21</v>
      </c>
      <c r="D286" s="2">
        <f t="shared" si="88"/>
        <v>11</v>
      </c>
      <c r="E286" s="2">
        <f t="shared" si="89"/>
        <v>50</v>
      </c>
      <c r="F286" s="1">
        <f t="shared" si="103"/>
        <v>412669.0458902719</v>
      </c>
      <c r="H286" s="1">
        <f t="shared" si="96"/>
        <v>3290.68092259076</v>
      </c>
      <c r="I286" s="1">
        <v>0</v>
      </c>
      <c r="J286" s="1">
        <v>0</v>
      </c>
      <c r="K286" s="1">
        <f t="shared" si="104"/>
        <v>-482.5132831029207</v>
      </c>
      <c r="L286" s="1">
        <f t="shared" si="97"/>
        <v>415477.21352975973</v>
      </c>
      <c r="N286" s="1">
        <f t="shared" si="105"/>
        <v>263</v>
      </c>
      <c r="O286" s="2">
        <f t="shared" si="90"/>
        <v>21</v>
      </c>
      <c r="P286" s="2">
        <f t="shared" si="91"/>
        <v>11</v>
      </c>
      <c r="Q286" s="2">
        <f t="shared" si="92"/>
        <v>21</v>
      </c>
      <c r="R286" s="1">
        <f t="shared" si="106"/>
        <v>6182747.4791535772</v>
      </c>
      <c r="S286" s="1">
        <f>IF($G$17="si",S274*(1+$G$20),S274)</f>
        <v>10000</v>
      </c>
      <c r="U286" s="1">
        <f t="shared" si="93"/>
        <v>49381.83803951041</v>
      </c>
      <c r="V286" s="35">
        <f t="shared" si="95"/>
        <v>-201.42486713337055</v>
      </c>
      <c r="X286" s="35">
        <f t="shared" si="94"/>
        <v>-7240.6363550981059</v>
      </c>
      <c r="Y286" s="1">
        <f t="shared" si="98"/>
        <v>6234687.2559708552</v>
      </c>
      <c r="AA286" s="2">
        <f>+Bono!J286</f>
        <v>271890.86659235385</v>
      </c>
      <c r="AC286" s="10">
        <f t="shared" si="99"/>
        <v>21.916666666666668</v>
      </c>
      <c r="AD286" s="1">
        <f t="shared" si="100"/>
        <v>6922055.3360929694</v>
      </c>
    </row>
    <row r="287" spans="1:30">
      <c r="A287" s="1">
        <f t="shared" si="101"/>
        <v>22</v>
      </c>
      <c r="B287" s="1">
        <f t="shared" si="102"/>
        <v>264</v>
      </c>
      <c r="C287" s="2">
        <f t="shared" si="87"/>
        <v>21</v>
      </c>
      <c r="D287" s="2">
        <f t="shared" si="88"/>
        <v>12</v>
      </c>
      <c r="E287" s="2">
        <f t="shared" si="89"/>
        <v>50</v>
      </c>
      <c r="F287" s="1">
        <f t="shared" si="103"/>
        <v>415477.21352975973</v>
      </c>
      <c r="H287" s="1">
        <f t="shared" si="96"/>
        <v>3313.0736456959389</v>
      </c>
      <c r="I287" s="1">
        <v>0</v>
      </c>
      <c r="J287" s="69">
        <f>-SUM(F287:H287)*$J$21*1.16</f>
        <v>-4372.1705981117575</v>
      </c>
      <c r="K287" s="1">
        <f t="shared" si="104"/>
        <v>-480.72501522971885</v>
      </c>
      <c r="L287" s="1">
        <f t="shared" si="97"/>
        <v>413937.39156211418</v>
      </c>
      <c r="N287" s="1">
        <f t="shared" si="105"/>
        <v>264</v>
      </c>
      <c r="O287" s="2">
        <f t="shared" si="90"/>
        <v>21</v>
      </c>
      <c r="P287" s="2">
        <f t="shared" si="91"/>
        <v>12</v>
      </c>
      <c r="Q287" s="2">
        <f t="shared" si="92"/>
        <v>21</v>
      </c>
      <c r="R287" s="1">
        <f t="shared" si="106"/>
        <v>6234687.2559708552</v>
      </c>
      <c r="S287" s="4">
        <f>IF($G$4="mensual",S286,0)</f>
        <v>10000</v>
      </c>
      <c r="U287" s="1">
        <f t="shared" si="93"/>
        <v>49796.013113697307</v>
      </c>
      <c r="V287" s="35">
        <f t="shared" si="95"/>
        <v>-201.42486713337055</v>
      </c>
      <c r="X287" s="35">
        <f t="shared" si="94"/>
        <v>-7301.3669392922047</v>
      </c>
      <c r="Y287" s="1">
        <f t="shared" si="98"/>
        <v>6286980.4772781264</v>
      </c>
      <c r="AA287" s="2">
        <f>+Bono!J287</f>
        <v>271111.96725484362</v>
      </c>
      <c r="AC287" s="10">
        <f t="shared" si="99"/>
        <v>22</v>
      </c>
      <c r="AD287" s="1">
        <f t="shared" si="100"/>
        <v>6972029.8360950844</v>
      </c>
    </row>
    <row r="288" spans="1:30">
      <c r="A288" s="1">
        <f t="shared" si="101"/>
        <v>22.083333333333332</v>
      </c>
      <c r="B288" s="1">
        <f t="shared" si="102"/>
        <v>265</v>
      </c>
      <c r="C288" s="2">
        <f t="shared" si="87"/>
        <v>22</v>
      </c>
      <c r="D288" s="2">
        <f t="shared" si="88"/>
        <v>1</v>
      </c>
      <c r="E288" s="2">
        <f t="shared" si="89"/>
        <v>51</v>
      </c>
      <c r="F288" s="1">
        <f t="shared" si="103"/>
        <v>413937.39156211418</v>
      </c>
      <c r="H288" s="1">
        <f t="shared" si="96"/>
        <v>3300.7948890904227</v>
      </c>
      <c r="I288" s="1">
        <v>0</v>
      </c>
      <c r="J288" s="1">
        <v>0</v>
      </c>
      <c r="K288" s="1">
        <f t="shared" si="104"/>
        <v>-483.99629628339727</v>
      </c>
      <c r="L288" s="1">
        <f t="shared" si="97"/>
        <v>416754.19015492121</v>
      </c>
      <c r="N288" s="1">
        <f t="shared" si="105"/>
        <v>265</v>
      </c>
      <c r="O288" s="2">
        <f t="shared" si="90"/>
        <v>22</v>
      </c>
      <c r="P288" s="2">
        <f t="shared" si="91"/>
        <v>1</v>
      </c>
      <c r="Q288" s="2">
        <f t="shared" si="92"/>
        <v>22</v>
      </c>
      <c r="R288" s="1">
        <f t="shared" si="106"/>
        <v>6286980.4772781264</v>
      </c>
      <c r="S288" s="1">
        <f>IF($G$17="si",S276*(1+$G$20),S276)</f>
        <v>10000</v>
      </c>
      <c r="U288" s="1">
        <f t="shared" si="93"/>
        <v>50213.006603881229</v>
      </c>
      <c r="V288" s="35">
        <f>V287*(1+$G$18)</f>
        <v>-209.4818618187054</v>
      </c>
      <c r="X288" s="35">
        <f t="shared" si="94"/>
        <v>-7362.5014423434186</v>
      </c>
      <c r="Y288" s="1">
        <f t="shared" si="98"/>
        <v>6339621.5005778456</v>
      </c>
      <c r="AA288" s="2">
        <f>+Bono!J288</f>
        <v>272792.89289886545</v>
      </c>
      <c r="AC288" s="10">
        <f t="shared" si="99"/>
        <v>22.083333333333332</v>
      </c>
      <c r="AD288" s="1">
        <f t="shared" si="100"/>
        <v>7029168.5836316319</v>
      </c>
    </row>
    <row r="289" spans="1:30">
      <c r="A289" s="1">
        <f t="shared" si="101"/>
        <v>22.166666666666668</v>
      </c>
      <c r="B289" s="1">
        <f t="shared" si="102"/>
        <v>266</v>
      </c>
      <c r="C289" s="2">
        <f t="shared" si="87"/>
        <v>22</v>
      </c>
      <c r="D289" s="2">
        <f t="shared" si="88"/>
        <v>2</v>
      </c>
      <c r="E289" s="2">
        <f t="shared" si="89"/>
        <v>51</v>
      </c>
      <c r="F289" s="1">
        <f t="shared" si="103"/>
        <v>416754.19015492121</v>
      </c>
      <c r="H289" s="1">
        <f t="shared" si="96"/>
        <v>3323.2564366294041</v>
      </c>
      <c r="I289" s="1">
        <v>0</v>
      </c>
      <c r="J289" s="1">
        <v>0</v>
      </c>
      <c r="K289" s="1">
        <f t="shared" si="104"/>
        <v>-487.28983804619867</v>
      </c>
      <c r="L289" s="1">
        <f t="shared" si="97"/>
        <v>419590.15675350442</v>
      </c>
      <c r="N289" s="1">
        <f t="shared" si="105"/>
        <v>266</v>
      </c>
      <c r="O289" s="2">
        <f t="shared" si="90"/>
        <v>22</v>
      </c>
      <c r="P289" s="2">
        <f t="shared" si="91"/>
        <v>2</v>
      </c>
      <c r="Q289" s="2">
        <f t="shared" si="92"/>
        <v>22</v>
      </c>
      <c r="R289" s="1">
        <f t="shared" si="106"/>
        <v>6339621.5005778456</v>
      </c>
      <c r="S289" s="4">
        <f>IF($G$4="mensual",S288,0)</f>
        <v>10000</v>
      </c>
      <c r="U289" s="1">
        <f t="shared" si="93"/>
        <v>50632.773515994384</v>
      </c>
      <c r="V289" s="35">
        <f t="shared" si="95"/>
        <v>-209.4818618187054</v>
      </c>
      <c r="X289" s="35">
        <f t="shared" si="94"/>
        <v>-7424.0519589891446</v>
      </c>
      <c r="Y289" s="1">
        <f t="shared" si="98"/>
        <v>6392620.7402730323</v>
      </c>
      <c r="AA289" s="2">
        <f>+Bono!J289</f>
        <v>274484.24047685548</v>
      </c>
      <c r="AC289" s="10">
        <f t="shared" si="99"/>
        <v>22.166666666666668</v>
      </c>
      <c r="AD289" s="1">
        <f t="shared" si="100"/>
        <v>7086695.1375033921</v>
      </c>
    </row>
    <row r="290" spans="1:30">
      <c r="A290" s="1">
        <f t="shared" si="101"/>
        <v>22.25</v>
      </c>
      <c r="B290" s="1">
        <f t="shared" si="102"/>
        <v>267</v>
      </c>
      <c r="C290" s="2">
        <f t="shared" si="87"/>
        <v>22</v>
      </c>
      <c r="D290" s="2">
        <f t="shared" si="88"/>
        <v>3</v>
      </c>
      <c r="E290" s="2">
        <f t="shared" si="89"/>
        <v>51</v>
      </c>
      <c r="F290" s="1">
        <f t="shared" si="103"/>
        <v>419590.15675350442</v>
      </c>
      <c r="H290" s="1">
        <f t="shared" si="96"/>
        <v>3345.8708325381872</v>
      </c>
      <c r="I290" s="1">
        <v>0</v>
      </c>
      <c r="J290" s="69">
        <f>-SUM(F290:H290)*$J$21*1.16</f>
        <v>-4415.4521279982846</v>
      </c>
      <c r="K290" s="1">
        <f t="shared" si="104"/>
        <v>-485.48386753133138</v>
      </c>
      <c r="L290" s="1">
        <f t="shared" si="97"/>
        <v>418035.09159051295</v>
      </c>
      <c r="N290" s="1">
        <f t="shared" si="105"/>
        <v>267</v>
      </c>
      <c r="O290" s="2">
        <f t="shared" si="90"/>
        <v>22</v>
      </c>
      <c r="P290" s="2">
        <f t="shared" si="91"/>
        <v>3</v>
      </c>
      <c r="Q290" s="2">
        <f t="shared" si="92"/>
        <v>22</v>
      </c>
      <c r="R290" s="1">
        <f t="shared" si="106"/>
        <v>6392620.7402730323</v>
      </c>
      <c r="S290" s="4">
        <f>IF($G$4="mensual",S289,0)</f>
        <v>10000</v>
      </c>
      <c r="U290" s="1">
        <f t="shared" si="93"/>
        <v>51055.396895948936</v>
      </c>
      <c r="V290" s="35">
        <f t="shared" si="95"/>
        <v>-209.4818618187054</v>
      </c>
      <c r="X290" s="35">
        <f t="shared" si="94"/>
        <v>-7486.0213201563083</v>
      </c>
      <c r="Y290" s="1">
        <f t="shared" si="98"/>
        <v>6445980.6339870058</v>
      </c>
      <c r="AA290" s="2">
        <f>+Bono!J290</f>
        <v>273697.91177172482</v>
      </c>
      <c r="AC290" s="10">
        <f t="shared" si="99"/>
        <v>22.25</v>
      </c>
      <c r="AD290" s="1">
        <f t="shared" si="100"/>
        <v>7137713.6373492433</v>
      </c>
    </row>
    <row r="291" spans="1:30">
      <c r="A291" s="1">
        <f t="shared" si="101"/>
        <v>22.333333333333332</v>
      </c>
      <c r="B291" s="1">
        <f t="shared" si="102"/>
        <v>268</v>
      </c>
      <c r="C291" s="2">
        <f t="shared" si="87"/>
        <v>22</v>
      </c>
      <c r="D291" s="2">
        <f t="shared" si="88"/>
        <v>4</v>
      </c>
      <c r="E291" s="2">
        <f t="shared" si="89"/>
        <v>51</v>
      </c>
      <c r="F291" s="1">
        <f t="shared" si="103"/>
        <v>418035.09159051295</v>
      </c>
      <c r="H291" s="1">
        <f t="shared" si="96"/>
        <v>3333.4705245523974</v>
      </c>
      <c r="I291" s="1">
        <v>0</v>
      </c>
      <c r="J291" s="1">
        <v>0</v>
      </c>
      <c r="K291" s="1">
        <f t="shared" si="104"/>
        <v>-488.78753205347579</v>
      </c>
      <c r="L291" s="1">
        <f t="shared" si="97"/>
        <v>420879.77458301187</v>
      </c>
      <c r="N291" s="1">
        <f t="shared" si="105"/>
        <v>268</v>
      </c>
      <c r="O291" s="2">
        <f t="shared" si="90"/>
        <v>22</v>
      </c>
      <c r="P291" s="2">
        <f t="shared" si="91"/>
        <v>4</v>
      </c>
      <c r="Q291" s="2">
        <f t="shared" si="92"/>
        <v>22</v>
      </c>
      <c r="R291" s="1">
        <f t="shared" si="106"/>
        <v>6445980.6339870058</v>
      </c>
      <c r="S291" s="4">
        <f>IF($G$4="mensual",S288,IF($G$4="trimestral",S288,0))</f>
        <v>10000</v>
      </c>
      <c r="U291" s="1">
        <f t="shared" si="93"/>
        <v>51480.896181695542</v>
      </c>
      <c r="V291" s="35">
        <f t="shared" si="95"/>
        <v>-209.4818618187054</v>
      </c>
      <c r="X291" s="35">
        <f t="shared" si="94"/>
        <v>-7548.4123760359835</v>
      </c>
      <c r="Y291" s="1">
        <f t="shared" si="98"/>
        <v>6499703.6359308464</v>
      </c>
      <c r="AA291" s="2">
        <f>+Bono!J291</f>
        <v>275394.87057170225</v>
      </c>
      <c r="AC291" s="10">
        <f t="shared" si="99"/>
        <v>22.333333333333332</v>
      </c>
      <c r="AD291" s="1">
        <f t="shared" si="100"/>
        <v>7195978.2810855601</v>
      </c>
    </row>
    <row r="292" spans="1:30">
      <c r="A292" s="1">
        <f t="shared" si="101"/>
        <v>22.416666666666668</v>
      </c>
      <c r="B292" s="1">
        <f t="shared" si="102"/>
        <v>269</v>
      </c>
      <c r="C292" s="2">
        <f t="shared" ref="C292:C355" si="107">C280+1</f>
        <v>22</v>
      </c>
      <c r="D292" s="2">
        <f t="shared" ref="D292:D355" si="108">D280</f>
        <v>5</v>
      </c>
      <c r="E292" s="2">
        <f t="shared" ref="E292:E355" si="109">E280+1</f>
        <v>51</v>
      </c>
      <c r="F292" s="1">
        <f t="shared" si="103"/>
        <v>420879.77458301187</v>
      </c>
      <c r="H292" s="1">
        <f t="shared" si="96"/>
        <v>3356.154426210298</v>
      </c>
      <c r="I292" s="1">
        <v>0</v>
      </c>
      <c r="J292" s="1">
        <v>0</v>
      </c>
      <c r="K292" s="1">
        <f t="shared" si="104"/>
        <v>-492.11367765069775</v>
      </c>
      <c r="L292" s="1">
        <f t="shared" si="97"/>
        <v>423743.8153315715</v>
      </c>
      <c r="N292" s="1">
        <f t="shared" si="105"/>
        <v>269</v>
      </c>
      <c r="O292" s="2">
        <f t="shared" ref="O292:O355" si="110">O280+1</f>
        <v>22</v>
      </c>
      <c r="P292" s="2">
        <f t="shared" ref="P292:P355" si="111">P280</f>
        <v>5</v>
      </c>
      <c r="Q292" s="2">
        <f t="shared" ref="Q292:Q355" si="112">Q280+1</f>
        <v>22</v>
      </c>
      <c r="R292" s="1">
        <f t="shared" si="106"/>
        <v>6499703.6359308464</v>
      </c>
      <c r="S292" s="4">
        <f>IF($G$4="mensual",S291,0)</f>
        <v>10000</v>
      </c>
      <c r="U292" s="1">
        <f t="shared" ref="U292:U355" si="113">SUM(R292:T292)*$G$8</f>
        <v>51909.290943457992</v>
      </c>
      <c r="V292" s="35">
        <f t="shared" si="95"/>
        <v>-209.4818618187054</v>
      </c>
      <c r="X292" s="35">
        <f t="shared" si="94"/>
        <v>-7611.227996214483</v>
      </c>
      <c r="Y292" s="1">
        <f t="shared" si="98"/>
        <v>6553792.2170162713</v>
      </c>
      <c r="AA292" s="2">
        <f>+Bono!J292</f>
        <v>277102.35071307461</v>
      </c>
      <c r="AC292" s="10">
        <f t="shared" si="99"/>
        <v>22.416666666666668</v>
      </c>
      <c r="AD292" s="1">
        <f t="shared" si="100"/>
        <v>7254638.3830609173</v>
      </c>
    </row>
    <row r="293" spans="1:30">
      <c r="A293" s="1">
        <f t="shared" si="101"/>
        <v>22.5</v>
      </c>
      <c r="B293" s="1">
        <f t="shared" si="102"/>
        <v>270</v>
      </c>
      <c r="C293" s="2">
        <f t="shared" si="107"/>
        <v>22</v>
      </c>
      <c r="D293" s="2">
        <f t="shared" si="108"/>
        <v>6</v>
      </c>
      <c r="E293" s="2">
        <f t="shared" si="109"/>
        <v>51</v>
      </c>
      <c r="F293" s="1">
        <f t="shared" si="103"/>
        <v>423743.8153315715</v>
      </c>
      <c r="H293" s="1">
        <f t="shared" si="96"/>
        <v>3378.992689333415</v>
      </c>
      <c r="I293" s="1">
        <v>0</v>
      </c>
      <c r="J293" s="69">
        <f>-SUM(F293:H293)*$J$21*1.16</f>
        <v>-4459.1621157382478</v>
      </c>
      <c r="K293" s="1">
        <f t="shared" si="104"/>
        <v>-490.28982924999326</v>
      </c>
      <c r="L293" s="1">
        <f t="shared" si="97"/>
        <v>422173.35607591661</v>
      </c>
      <c r="N293" s="1">
        <f t="shared" si="105"/>
        <v>270</v>
      </c>
      <c r="O293" s="2">
        <f t="shared" si="110"/>
        <v>22</v>
      </c>
      <c r="P293" s="2">
        <f t="shared" si="111"/>
        <v>6</v>
      </c>
      <c r="Q293" s="2">
        <f t="shared" si="112"/>
        <v>22</v>
      </c>
      <c r="R293" s="1">
        <f t="shared" si="106"/>
        <v>6553792.2170162713</v>
      </c>
      <c r="S293" s="4">
        <f>IF($G$4="mensual",S292,0)</f>
        <v>10000</v>
      </c>
      <c r="U293" s="1">
        <f t="shared" si="113"/>
        <v>52340.600884633321</v>
      </c>
      <c r="V293" s="35">
        <f t="shared" si="95"/>
        <v>-209.4818618187054</v>
      </c>
      <c r="X293" s="35">
        <f t="shared" si="94"/>
        <v>-7674.4710698053395</v>
      </c>
      <c r="Y293" s="1">
        <f t="shared" si="98"/>
        <v>6608248.8649692805</v>
      </c>
      <c r="AA293" s="2">
        <f>+Bono!J293</f>
        <v>276308.52177686204</v>
      </c>
      <c r="AC293" s="10">
        <f t="shared" si="99"/>
        <v>22.5</v>
      </c>
      <c r="AD293" s="1">
        <f t="shared" si="100"/>
        <v>7306730.7428220594</v>
      </c>
    </row>
    <row r="294" spans="1:30">
      <c r="A294" s="1">
        <f t="shared" si="101"/>
        <v>22.583333333333332</v>
      </c>
      <c r="B294" s="1">
        <f t="shared" si="102"/>
        <v>271</v>
      </c>
      <c r="C294" s="2">
        <f t="shared" si="107"/>
        <v>22</v>
      </c>
      <c r="D294" s="2">
        <f t="shared" si="108"/>
        <v>7</v>
      </c>
      <c r="E294" s="2">
        <f t="shared" si="109"/>
        <v>51</v>
      </c>
      <c r="F294" s="1">
        <f t="shared" si="103"/>
        <v>422173.35607591661</v>
      </c>
      <c r="H294" s="1">
        <f t="shared" si="96"/>
        <v>3366.4696266909514</v>
      </c>
      <c r="I294" s="1">
        <v>0</v>
      </c>
      <c r="J294" s="1">
        <v>0</v>
      </c>
      <c r="K294" s="1">
        <f t="shared" si="104"/>
        <v>-493.62619781502474</v>
      </c>
      <c r="L294" s="1">
        <f t="shared" si="97"/>
        <v>425046.19950479257</v>
      </c>
      <c r="N294" s="1">
        <f t="shared" si="105"/>
        <v>271</v>
      </c>
      <c r="O294" s="2">
        <f t="shared" si="110"/>
        <v>22</v>
      </c>
      <c r="P294" s="2">
        <f t="shared" si="111"/>
        <v>7</v>
      </c>
      <c r="Q294" s="2">
        <f t="shared" si="112"/>
        <v>22</v>
      </c>
      <c r="R294" s="1">
        <f t="shared" si="106"/>
        <v>6608248.8649692805</v>
      </c>
      <c r="S294" s="1">
        <f>+IF($G$4="mensual",S288,IF($G$4="trimestral",S288,IF($G$4="semestral",S288,0)))</f>
        <v>10000</v>
      </c>
      <c r="U294" s="1">
        <f t="shared" si="113"/>
        <v>52774.845842697992</v>
      </c>
      <c r="V294" s="35">
        <f t="shared" si="95"/>
        <v>-209.4818618187054</v>
      </c>
      <c r="X294" s="35">
        <f t="shared" si="94"/>
        <v>-7738.144505582185</v>
      </c>
      <c r="Y294" s="1">
        <f t="shared" si="98"/>
        <v>6663076.0844445778</v>
      </c>
      <c r="AA294" s="2">
        <f>+Bono!J294</f>
        <v>278021.66666168335</v>
      </c>
      <c r="AC294" s="10">
        <f t="shared" si="99"/>
        <v>22.583333333333332</v>
      </c>
      <c r="AD294" s="1">
        <f t="shared" si="100"/>
        <v>7366143.950611054</v>
      </c>
    </row>
    <row r="295" spans="1:30">
      <c r="A295" s="1">
        <f t="shared" si="101"/>
        <v>22.666666666666668</v>
      </c>
      <c r="B295" s="1">
        <f t="shared" si="102"/>
        <v>272</v>
      </c>
      <c r="C295" s="2">
        <f t="shared" si="107"/>
        <v>22</v>
      </c>
      <c r="D295" s="2">
        <f t="shared" si="108"/>
        <v>8</v>
      </c>
      <c r="E295" s="2">
        <f t="shared" si="109"/>
        <v>51</v>
      </c>
      <c r="F295" s="1">
        <f t="shared" si="103"/>
        <v>425046.19950479257</v>
      </c>
      <c r="H295" s="1">
        <f t="shared" si="96"/>
        <v>3389.3780836230617</v>
      </c>
      <c r="I295" s="1">
        <v>0</v>
      </c>
      <c r="J295" s="1">
        <v>0</v>
      </c>
      <c r="K295" s="1">
        <f t="shared" si="104"/>
        <v>-496.98527000256212</v>
      </c>
      <c r="L295" s="1">
        <f t="shared" si="97"/>
        <v>427938.59231841308</v>
      </c>
      <c r="N295" s="1">
        <f t="shared" si="105"/>
        <v>272</v>
      </c>
      <c r="O295" s="2">
        <f t="shared" si="110"/>
        <v>22</v>
      </c>
      <c r="P295" s="2">
        <f t="shared" si="111"/>
        <v>8</v>
      </c>
      <c r="Q295" s="2">
        <f t="shared" si="112"/>
        <v>22</v>
      </c>
      <c r="R295" s="1">
        <f t="shared" si="106"/>
        <v>6663076.0844445778</v>
      </c>
      <c r="S295" s="4">
        <f>IF($G$4="mensual",S294,0)</f>
        <v>10000</v>
      </c>
      <c r="U295" s="1">
        <f t="shared" si="113"/>
        <v>53212.045790120341</v>
      </c>
      <c r="V295" s="35">
        <f t="shared" si="95"/>
        <v>-209.4818618187054</v>
      </c>
      <c r="X295" s="35">
        <f t="shared" si="94"/>
        <v>-7802.2512321125396</v>
      </c>
      <c r="Y295" s="1">
        <f t="shared" si="98"/>
        <v>6718276.3971407665</v>
      </c>
      <c r="AA295" s="2">
        <f>+Bono!J295</f>
        <v>279745.4332435031</v>
      </c>
      <c r="AC295" s="10">
        <f t="shared" si="99"/>
        <v>22.666666666666668</v>
      </c>
      <c r="AD295" s="1">
        <f t="shared" si="100"/>
        <v>7425960.4227026822</v>
      </c>
    </row>
    <row r="296" spans="1:30">
      <c r="A296" s="1">
        <f t="shared" si="101"/>
        <v>22.75</v>
      </c>
      <c r="B296" s="1">
        <f t="shared" si="102"/>
        <v>273</v>
      </c>
      <c r="C296" s="2">
        <f t="shared" si="107"/>
        <v>22</v>
      </c>
      <c r="D296" s="2">
        <f t="shared" si="108"/>
        <v>9</v>
      </c>
      <c r="E296" s="2">
        <f t="shared" si="109"/>
        <v>51</v>
      </c>
      <c r="F296" s="1">
        <f t="shared" si="103"/>
        <v>427938.59231841308</v>
      </c>
      <c r="H296" s="1">
        <f t="shared" si="96"/>
        <v>3412.4424300944238</v>
      </c>
      <c r="I296" s="1">
        <v>0</v>
      </c>
      <c r="J296" s="69">
        <f>-SUM(F296:H296)*$J$21*1.16</f>
        <v>-4503.304802774418</v>
      </c>
      <c r="K296" s="1">
        <f t="shared" si="104"/>
        <v>-495.14336673705031</v>
      </c>
      <c r="L296" s="1">
        <f t="shared" si="97"/>
        <v>426352.58657899604</v>
      </c>
      <c r="N296" s="1">
        <f t="shared" si="105"/>
        <v>273</v>
      </c>
      <c r="O296" s="2">
        <f t="shared" si="110"/>
        <v>22</v>
      </c>
      <c r="P296" s="2">
        <f t="shared" si="111"/>
        <v>9</v>
      </c>
      <c r="Q296" s="2">
        <f t="shared" si="112"/>
        <v>22</v>
      </c>
      <c r="R296" s="1">
        <f t="shared" si="106"/>
        <v>6718276.3971407665</v>
      </c>
      <c r="S296" s="4">
        <f>IF($G$4="mensual",S295,0)</f>
        <v>10000</v>
      </c>
      <c r="U296" s="1">
        <f t="shared" si="113"/>
        <v>53652.220835279142</v>
      </c>
      <c r="V296" s="35">
        <f t="shared" si="95"/>
        <v>-209.4818618187054</v>
      </c>
      <c r="X296" s="35">
        <f t="shared" si="94"/>
        <v>-7866.7941978925028</v>
      </c>
      <c r="Y296" s="1">
        <f t="shared" si="98"/>
        <v>6773852.3419163339</v>
      </c>
      <c r="AA296" s="2">
        <f>+Bono!J296</f>
        <v>278944.03253683069</v>
      </c>
      <c r="AC296" s="10">
        <f t="shared" si="99"/>
        <v>22.75</v>
      </c>
      <c r="AD296" s="1">
        <f t="shared" si="100"/>
        <v>7479148.9610321606</v>
      </c>
    </row>
    <row r="297" spans="1:30">
      <c r="A297" s="1">
        <f t="shared" si="101"/>
        <v>22.833333333333332</v>
      </c>
      <c r="B297" s="1">
        <f t="shared" si="102"/>
        <v>274</v>
      </c>
      <c r="C297" s="2">
        <f t="shared" si="107"/>
        <v>22</v>
      </c>
      <c r="D297" s="2">
        <f t="shared" si="108"/>
        <v>10</v>
      </c>
      <c r="E297" s="2">
        <f t="shared" si="109"/>
        <v>51</v>
      </c>
      <c r="F297" s="1">
        <f t="shared" si="103"/>
        <v>426352.58657899604</v>
      </c>
      <c r="H297" s="1">
        <f t="shared" si="96"/>
        <v>3399.7953976072649</v>
      </c>
      <c r="I297" s="1">
        <v>0</v>
      </c>
      <c r="J297" s="1">
        <v>0</v>
      </c>
      <c r="K297" s="1">
        <f t="shared" si="104"/>
        <v>-498.51276309285981</v>
      </c>
      <c r="L297" s="1">
        <f t="shared" si="97"/>
        <v>429253.86921351042</v>
      </c>
      <c r="N297" s="1">
        <f t="shared" si="105"/>
        <v>274</v>
      </c>
      <c r="O297" s="2">
        <f t="shared" si="110"/>
        <v>22</v>
      </c>
      <c r="P297" s="2">
        <f t="shared" si="111"/>
        <v>10</v>
      </c>
      <c r="Q297" s="2">
        <f t="shared" si="112"/>
        <v>22</v>
      </c>
      <c r="R297" s="1">
        <f t="shared" si="106"/>
        <v>6773852.3419163339</v>
      </c>
      <c r="S297" s="4">
        <f>IF($G$4="mensual",S288,IF($G$4="trimestral",S288,0))</f>
        <v>10000</v>
      </c>
      <c r="U297" s="1">
        <f t="shared" si="113"/>
        <v>54095.39122338852</v>
      </c>
      <c r="V297" s="35">
        <f t="shared" si="95"/>
        <v>-209.4818618187054</v>
      </c>
      <c r="X297" s="35">
        <f t="shared" si="94"/>
        <v>-7931.7763714823677</v>
      </c>
      <c r="Y297" s="1">
        <f t="shared" si="98"/>
        <v>6829806.4749064213</v>
      </c>
      <c r="AA297" s="2">
        <f>+Bono!J297</f>
        <v>280673.51789406419</v>
      </c>
      <c r="AC297" s="10">
        <f t="shared" si="99"/>
        <v>22.833333333333332</v>
      </c>
      <c r="AD297" s="1">
        <f t="shared" si="100"/>
        <v>7539733.8620139956</v>
      </c>
    </row>
    <row r="298" spans="1:30">
      <c r="A298" s="1">
        <f t="shared" si="101"/>
        <v>22.916666666666668</v>
      </c>
      <c r="B298" s="1">
        <f t="shared" si="102"/>
        <v>275</v>
      </c>
      <c r="C298" s="2">
        <f t="shared" si="107"/>
        <v>22</v>
      </c>
      <c r="D298" s="2">
        <f t="shared" si="108"/>
        <v>11</v>
      </c>
      <c r="E298" s="2">
        <f t="shared" si="109"/>
        <v>51</v>
      </c>
      <c r="F298" s="1">
        <f t="shared" si="103"/>
        <v>429253.86921351042</v>
      </c>
      <c r="H298" s="1">
        <f t="shared" si="96"/>
        <v>3422.9306327588224</v>
      </c>
      <c r="I298" s="1">
        <v>0</v>
      </c>
      <c r="J298" s="1">
        <v>0</v>
      </c>
      <c r="K298" s="1">
        <f t="shared" si="104"/>
        <v>-501.90508782167228</v>
      </c>
      <c r="L298" s="1">
        <f t="shared" si="97"/>
        <v>432174.8947584476</v>
      </c>
      <c r="N298" s="1">
        <f t="shared" si="105"/>
        <v>275</v>
      </c>
      <c r="O298" s="2">
        <f t="shared" si="110"/>
        <v>22</v>
      </c>
      <c r="P298" s="2">
        <f t="shared" si="111"/>
        <v>11</v>
      </c>
      <c r="Q298" s="2">
        <f t="shared" si="112"/>
        <v>22</v>
      </c>
      <c r="R298" s="1">
        <f t="shared" si="106"/>
        <v>6829806.4749064213</v>
      </c>
      <c r="S298" s="1">
        <f>IF($G$17="si",S286*(1+$G$20),S286)</f>
        <v>10000</v>
      </c>
      <c r="U298" s="1">
        <f t="shared" si="113"/>
        <v>54541.577337429037</v>
      </c>
      <c r="V298" s="35">
        <f t="shared" si="95"/>
        <v>-209.4818618187054</v>
      </c>
      <c r="X298" s="35">
        <f t="shared" si="94"/>
        <v>-7997.2007416431561</v>
      </c>
      <c r="Y298" s="1">
        <f t="shared" si="98"/>
        <v>6886141.3696403885</v>
      </c>
      <c r="AA298" s="2">
        <f>+Bono!J298</f>
        <v>282413.72626112035</v>
      </c>
      <c r="AC298" s="10">
        <f t="shared" si="99"/>
        <v>22.916666666666668</v>
      </c>
      <c r="AD298" s="1">
        <f t="shared" si="100"/>
        <v>7600729.9906599568</v>
      </c>
    </row>
    <row r="299" spans="1:30">
      <c r="A299" s="1">
        <f t="shared" si="101"/>
        <v>23</v>
      </c>
      <c r="B299" s="1">
        <f t="shared" si="102"/>
        <v>276</v>
      </c>
      <c r="C299" s="2">
        <f t="shared" si="107"/>
        <v>22</v>
      </c>
      <c r="D299" s="2">
        <f t="shared" si="108"/>
        <v>12</v>
      </c>
      <c r="E299" s="2">
        <f t="shared" si="109"/>
        <v>51</v>
      </c>
      <c r="F299" s="1">
        <f t="shared" si="103"/>
        <v>432174.8947584476</v>
      </c>
      <c r="H299" s="1">
        <f t="shared" si="96"/>
        <v>3446.2233006505667</v>
      </c>
      <c r="I299" s="1">
        <v>0</v>
      </c>
      <c r="J299" s="69">
        <f>-SUM(F299:H299)*$J$21*1.16</f>
        <v>-4547.8844725369845</v>
      </c>
      <c r="K299" s="1">
        <f t="shared" si="104"/>
        <v>-500.04495096041092</v>
      </c>
      <c r="L299" s="1">
        <f t="shared" si="97"/>
        <v>430573.18863560073</v>
      </c>
      <c r="N299" s="1">
        <f t="shared" si="105"/>
        <v>276</v>
      </c>
      <c r="O299" s="2">
        <f t="shared" si="110"/>
        <v>22</v>
      </c>
      <c r="P299" s="2">
        <f t="shared" si="111"/>
        <v>12</v>
      </c>
      <c r="Q299" s="2">
        <f t="shared" si="112"/>
        <v>22</v>
      </c>
      <c r="R299" s="1">
        <f t="shared" si="106"/>
        <v>6886141.3696403885</v>
      </c>
      <c r="S299" s="4">
        <f>IF($G$4="mensual",S298,0)</f>
        <v>10000</v>
      </c>
      <c r="U299" s="1">
        <f t="shared" si="113"/>
        <v>54990.799699085197</v>
      </c>
      <c r="V299" s="35">
        <f t="shared" si="95"/>
        <v>-209.4818618187054</v>
      </c>
      <c r="X299" s="35">
        <f t="shared" ref="X299:X362" si="114">-SUM(R299:V299)*0.1%*1.16</f>
        <v>-8063.0703174740793</v>
      </c>
      <c r="Y299" s="1">
        <f t="shared" si="98"/>
        <v>6942859.6171601806</v>
      </c>
      <c r="AA299" s="2">
        <f>+Bono!J299</f>
        <v>281604.68156224722</v>
      </c>
      <c r="AC299" s="10">
        <f t="shared" si="99"/>
        <v>23</v>
      </c>
      <c r="AD299" s="1">
        <f t="shared" si="100"/>
        <v>7655037.4873580281</v>
      </c>
    </row>
    <row r="300" spans="1:30">
      <c r="A300" s="1">
        <f t="shared" si="101"/>
        <v>23.083333333333332</v>
      </c>
      <c r="B300" s="1">
        <f t="shared" si="102"/>
        <v>277</v>
      </c>
      <c r="C300" s="2">
        <f t="shared" si="107"/>
        <v>23</v>
      </c>
      <c r="D300" s="2">
        <f t="shared" si="108"/>
        <v>1</v>
      </c>
      <c r="E300" s="2">
        <f t="shared" si="109"/>
        <v>52</v>
      </c>
      <c r="F300" s="1">
        <f t="shared" si="103"/>
        <v>430573.18863560073</v>
      </c>
      <c r="H300" s="1">
        <f t="shared" si="96"/>
        <v>3433.4510711011508</v>
      </c>
      <c r="I300" s="1">
        <v>0</v>
      </c>
      <c r="J300" s="1">
        <v>0</v>
      </c>
      <c r="K300" s="1">
        <f t="shared" si="104"/>
        <v>-503.44770205977414</v>
      </c>
      <c r="L300" s="1">
        <f t="shared" si="97"/>
        <v>433503.1920046421</v>
      </c>
      <c r="N300" s="1">
        <f t="shared" si="105"/>
        <v>277</v>
      </c>
      <c r="O300" s="2">
        <f t="shared" si="110"/>
        <v>23</v>
      </c>
      <c r="P300" s="2">
        <f t="shared" si="111"/>
        <v>1</v>
      </c>
      <c r="Q300" s="2">
        <f t="shared" si="112"/>
        <v>23</v>
      </c>
      <c r="R300" s="1">
        <f t="shared" si="106"/>
        <v>6942859.6171601806</v>
      </c>
      <c r="S300" s="1">
        <f>IF($G$17="si",S288*(1+$G$20),S288)</f>
        <v>10000</v>
      </c>
      <c r="U300" s="1">
        <f t="shared" si="113"/>
        <v>55443.078969689348</v>
      </c>
      <c r="V300" s="35">
        <f>V299*(1+$G$18)</f>
        <v>-217.86113629145362</v>
      </c>
      <c r="X300" s="35">
        <f t="shared" si="114"/>
        <v>-8129.3784085925508</v>
      </c>
      <c r="Y300" s="1">
        <f t="shared" si="98"/>
        <v>6999955.4565849863</v>
      </c>
      <c r="AA300" s="2">
        <f>+Bono!J300</f>
        <v>283350.66325205448</v>
      </c>
      <c r="AC300" s="10">
        <f t="shared" si="99"/>
        <v>23.083333333333332</v>
      </c>
      <c r="AD300" s="1">
        <f t="shared" si="100"/>
        <v>7716809.3118416835</v>
      </c>
    </row>
    <row r="301" spans="1:30">
      <c r="A301" s="1">
        <f t="shared" si="101"/>
        <v>23.166666666666668</v>
      </c>
      <c r="B301" s="1">
        <f t="shared" si="102"/>
        <v>278</v>
      </c>
      <c r="C301" s="2">
        <f t="shared" si="107"/>
        <v>23</v>
      </c>
      <c r="D301" s="2">
        <f t="shared" si="108"/>
        <v>2</v>
      </c>
      <c r="E301" s="2">
        <f t="shared" si="109"/>
        <v>52</v>
      </c>
      <c r="F301" s="1">
        <f t="shared" si="103"/>
        <v>433503.1920046421</v>
      </c>
      <c r="H301" s="1">
        <f t="shared" si="96"/>
        <v>3456.8153294230478</v>
      </c>
      <c r="I301" s="1">
        <v>0</v>
      </c>
      <c r="J301" s="1">
        <v>0</v>
      </c>
      <c r="K301" s="1">
        <f t="shared" si="104"/>
        <v>-506.87360850751554</v>
      </c>
      <c r="L301" s="1">
        <f t="shared" si="97"/>
        <v>436453.13372555765</v>
      </c>
      <c r="N301" s="1">
        <f t="shared" si="105"/>
        <v>278</v>
      </c>
      <c r="O301" s="2">
        <f t="shared" si="110"/>
        <v>23</v>
      </c>
      <c r="P301" s="2">
        <f t="shared" si="111"/>
        <v>2</v>
      </c>
      <c r="Q301" s="2">
        <f t="shared" si="112"/>
        <v>23</v>
      </c>
      <c r="R301" s="1">
        <f t="shared" si="106"/>
        <v>6999955.4565849863</v>
      </c>
      <c r="S301" s="4">
        <f>IF($G$4="mensual",S300,0)</f>
        <v>10000</v>
      </c>
      <c r="U301" s="1">
        <f t="shared" si="113"/>
        <v>55898.369211168887</v>
      </c>
      <c r="V301" s="35">
        <f t="shared" si="95"/>
        <v>-217.86113629145362</v>
      </c>
      <c r="X301" s="35">
        <f t="shared" si="114"/>
        <v>-8196.1377190054409</v>
      </c>
      <c r="Y301" s="1">
        <f t="shared" si="98"/>
        <v>7057439.8269408587</v>
      </c>
      <c r="AA301" s="2">
        <f>+Bono!J301</f>
        <v>285107.47023085988</v>
      </c>
      <c r="AC301" s="10">
        <f t="shared" si="99"/>
        <v>23.166666666666668</v>
      </c>
      <c r="AD301" s="1">
        <f t="shared" si="100"/>
        <v>7779000.4308972759</v>
      </c>
    </row>
    <row r="302" spans="1:30">
      <c r="A302" s="1">
        <f t="shared" si="101"/>
        <v>23.25</v>
      </c>
      <c r="B302" s="1">
        <f t="shared" si="102"/>
        <v>279</v>
      </c>
      <c r="C302" s="2">
        <f t="shared" si="107"/>
        <v>23</v>
      </c>
      <c r="D302" s="2">
        <f t="shared" si="108"/>
        <v>3</v>
      </c>
      <c r="E302" s="2">
        <f t="shared" si="109"/>
        <v>52</v>
      </c>
      <c r="F302" s="1">
        <f t="shared" si="103"/>
        <v>436453.13372555765</v>
      </c>
      <c r="H302" s="1">
        <f t="shared" si="96"/>
        <v>3480.3385789627105</v>
      </c>
      <c r="I302" s="1">
        <v>0</v>
      </c>
      <c r="J302" s="69">
        <f>-SUM(F302:H302)*$J$21*1.16</f>
        <v>-4592.9054508591926</v>
      </c>
      <c r="K302" s="1">
        <f t="shared" si="104"/>
        <v>-504.995057550247</v>
      </c>
      <c r="L302" s="1">
        <f t="shared" si="97"/>
        <v>434835.57179611095</v>
      </c>
      <c r="N302" s="1">
        <f t="shared" si="105"/>
        <v>279</v>
      </c>
      <c r="O302" s="2">
        <f t="shared" si="110"/>
        <v>23</v>
      </c>
      <c r="P302" s="2">
        <f t="shared" si="111"/>
        <v>3</v>
      </c>
      <c r="Q302" s="2">
        <f t="shared" si="112"/>
        <v>23</v>
      </c>
      <c r="R302" s="1">
        <f t="shared" si="106"/>
        <v>7057439.8269408587</v>
      </c>
      <c r="S302" s="4">
        <f>IF($G$4="mensual",S301,0)</f>
        <v>10000</v>
      </c>
      <c r="U302" s="1">
        <f t="shared" si="113"/>
        <v>56356.757652853725</v>
      </c>
      <c r="V302" s="35">
        <f t="shared" si="95"/>
        <v>-217.86113629145362</v>
      </c>
      <c r="X302" s="35">
        <f t="shared" si="114"/>
        <v>-8263.3513192106075</v>
      </c>
      <c r="Y302" s="1">
        <f t="shared" si="98"/>
        <v>7115315.3721382106</v>
      </c>
      <c r="AA302" s="2">
        <f>+Bono!J302</f>
        <v>284290.70862917294</v>
      </c>
      <c r="AC302" s="10">
        <f t="shared" si="99"/>
        <v>23.25</v>
      </c>
      <c r="AD302" s="1">
        <f t="shared" si="100"/>
        <v>7834441.6525634946</v>
      </c>
    </row>
    <row r="303" spans="1:30">
      <c r="A303" s="1">
        <f t="shared" si="101"/>
        <v>23.333333333333332</v>
      </c>
      <c r="B303" s="1">
        <f t="shared" si="102"/>
        <v>280</v>
      </c>
      <c r="C303" s="2">
        <f t="shared" si="107"/>
        <v>23</v>
      </c>
      <c r="D303" s="2">
        <f t="shared" si="108"/>
        <v>4</v>
      </c>
      <c r="E303" s="2">
        <f t="shared" si="109"/>
        <v>52</v>
      </c>
      <c r="F303" s="1">
        <f t="shared" si="103"/>
        <v>434835.57179611095</v>
      </c>
      <c r="H303" s="1">
        <f t="shared" si="96"/>
        <v>3467.4399129848539</v>
      </c>
      <c r="I303" s="1">
        <v>0</v>
      </c>
      <c r="J303" s="1">
        <v>0</v>
      </c>
      <c r="K303" s="1">
        <f t="shared" si="104"/>
        <v>-508.43149358255113</v>
      </c>
      <c r="L303" s="1">
        <f t="shared" si="97"/>
        <v>437794.58021551324</v>
      </c>
      <c r="N303" s="1">
        <f t="shared" si="105"/>
        <v>280</v>
      </c>
      <c r="O303" s="2">
        <f t="shared" si="110"/>
        <v>23</v>
      </c>
      <c r="P303" s="2">
        <f t="shared" si="111"/>
        <v>4</v>
      </c>
      <c r="Q303" s="2">
        <f t="shared" si="112"/>
        <v>23</v>
      </c>
      <c r="R303" s="1">
        <f t="shared" si="106"/>
        <v>7115315.3721382106</v>
      </c>
      <c r="S303" s="4">
        <f>IF($G$4="mensual",S300,IF($G$4="trimestral",S300,0))</f>
        <v>10000</v>
      </c>
      <c r="U303" s="1">
        <f t="shared" si="113"/>
        <v>56818.265377656775</v>
      </c>
      <c r="V303" s="35">
        <f t="shared" si="95"/>
        <v>-217.86113629145362</v>
      </c>
      <c r="X303" s="35">
        <f t="shared" si="114"/>
        <v>-8331.0223006003089</v>
      </c>
      <c r="Y303" s="1">
        <f t="shared" si="98"/>
        <v>7173584.7540789759</v>
      </c>
      <c r="AA303" s="2">
        <f>+Bono!J303</f>
        <v>286053.34399835498</v>
      </c>
      <c r="AC303" s="10">
        <f t="shared" si="99"/>
        <v>23.333333333333332</v>
      </c>
      <c r="AD303" s="1">
        <f t="shared" si="100"/>
        <v>7897432.6782928444</v>
      </c>
    </row>
    <row r="304" spans="1:30">
      <c r="A304" s="1">
        <f t="shared" si="101"/>
        <v>23.416666666666668</v>
      </c>
      <c r="B304" s="1">
        <f t="shared" si="102"/>
        <v>281</v>
      </c>
      <c r="C304" s="2">
        <f t="shared" si="107"/>
        <v>23</v>
      </c>
      <c r="D304" s="2">
        <f t="shared" si="108"/>
        <v>5</v>
      </c>
      <c r="E304" s="2">
        <f t="shared" si="109"/>
        <v>52</v>
      </c>
      <c r="F304" s="1">
        <f t="shared" si="103"/>
        <v>437794.58021551324</v>
      </c>
      <c r="H304" s="1">
        <f t="shared" si="96"/>
        <v>3491.035461651476</v>
      </c>
      <c r="I304" s="1">
        <v>0</v>
      </c>
      <c r="J304" s="1">
        <v>0</v>
      </c>
      <c r="K304" s="1">
        <f t="shared" si="104"/>
        <v>-511.89131418551102</v>
      </c>
      <c r="L304" s="1">
        <f t="shared" si="97"/>
        <v>440773.72436297918</v>
      </c>
      <c r="N304" s="1">
        <f t="shared" si="105"/>
        <v>281</v>
      </c>
      <c r="O304" s="2">
        <f t="shared" si="110"/>
        <v>23</v>
      </c>
      <c r="P304" s="2">
        <f t="shared" si="111"/>
        <v>5</v>
      </c>
      <c r="Q304" s="2">
        <f t="shared" si="112"/>
        <v>23</v>
      </c>
      <c r="R304" s="1">
        <f t="shared" si="106"/>
        <v>7173584.7540789759</v>
      </c>
      <c r="S304" s="4">
        <f>IF($G$4="mensual",S303,0)</f>
        <v>10000</v>
      </c>
      <c r="U304" s="1">
        <f t="shared" si="113"/>
        <v>57282.913611957869</v>
      </c>
      <c r="V304" s="35">
        <f t="shared" si="95"/>
        <v>-217.86113629145362</v>
      </c>
      <c r="X304" s="35">
        <f t="shared" si="114"/>
        <v>-8399.1537756033849</v>
      </c>
      <c r="Y304" s="1">
        <f t="shared" si="98"/>
        <v>7232250.652779039</v>
      </c>
      <c r="AA304" s="2">
        <f>+Bono!J304</f>
        <v>287826.90791127901</v>
      </c>
      <c r="AC304" s="10">
        <f t="shared" si="99"/>
        <v>23.416666666666668</v>
      </c>
      <c r="AD304" s="1">
        <f t="shared" si="100"/>
        <v>7960851.2850532979</v>
      </c>
    </row>
    <row r="305" spans="1:30">
      <c r="A305" s="1">
        <f t="shared" si="101"/>
        <v>23.5</v>
      </c>
      <c r="B305" s="1">
        <f t="shared" si="102"/>
        <v>282</v>
      </c>
      <c r="C305" s="2">
        <f t="shared" si="107"/>
        <v>23</v>
      </c>
      <c r="D305" s="2">
        <f t="shared" si="108"/>
        <v>6</v>
      </c>
      <c r="E305" s="2">
        <f t="shared" si="109"/>
        <v>52</v>
      </c>
      <c r="F305" s="1">
        <f t="shared" si="103"/>
        <v>440773.72436297918</v>
      </c>
      <c r="H305" s="1">
        <f t="shared" si="96"/>
        <v>3514.7915754413166</v>
      </c>
      <c r="I305" s="1">
        <v>0</v>
      </c>
      <c r="J305" s="69">
        <f>-SUM(F305:H305)*$J$21*1.16</f>
        <v>-4638.3721063971107</v>
      </c>
      <c r="K305" s="1">
        <f t="shared" si="104"/>
        <v>-509.99416684514711</v>
      </c>
      <c r="L305" s="1">
        <f t="shared" si="97"/>
        <v>439140.14966517821</v>
      </c>
      <c r="N305" s="1">
        <f t="shared" si="105"/>
        <v>282</v>
      </c>
      <c r="O305" s="2">
        <f t="shared" si="110"/>
        <v>23</v>
      </c>
      <c r="P305" s="2">
        <f t="shared" si="111"/>
        <v>6</v>
      </c>
      <c r="Q305" s="2">
        <f t="shared" si="112"/>
        <v>23</v>
      </c>
      <c r="R305" s="1">
        <f t="shared" si="106"/>
        <v>7232250.652779039</v>
      </c>
      <c r="S305" s="4">
        <f>IF($G$4="mensual",S304,0)</f>
        <v>10000</v>
      </c>
      <c r="U305" s="1">
        <f t="shared" si="113"/>
        <v>57750.723726580014</v>
      </c>
      <c r="V305" s="35">
        <f t="shared" si="95"/>
        <v>-217.86113629145362</v>
      </c>
      <c r="X305" s="35">
        <f t="shared" si="114"/>
        <v>-8467.7488778284187</v>
      </c>
      <c r="Y305" s="1">
        <f t="shared" si="98"/>
        <v>7291315.7664914997</v>
      </c>
      <c r="AA305" s="2">
        <f>+Bono!J305</f>
        <v>287002.35580072273</v>
      </c>
      <c r="AC305" s="10">
        <f t="shared" si="99"/>
        <v>23.5</v>
      </c>
      <c r="AD305" s="1">
        <f t="shared" si="100"/>
        <v>8017458.2719574003</v>
      </c>
    </row>
    <row r="306" spans="1:30">
      <c r="A306" s="1">
        <f t="shared" si="101"/>
        <v>23.583333333333332</v>
      </c>
      <c r="B306" s="1">
        <f t="shared" si="102"/>
        <v>283</v>
      </c>
      <c r="C306" s="2">
        <f t="shared" si="107"/>
        <v>23</v>
      </c>
      <c r="D306" s="2">
        <f t="shared" si="108"/>
        <v>7</v>
      </c>
      <c r="E306" s="2">
        <f t="shared" si="109"/>
        <v>52</v>
      </c>
      <c r="F306" s="1">
        <f t="shared" si="103"/>
        <v>439140.14966517821</v>
      </c>
      <c r="H306" s="1">
        <f t="shared" si="96"/>
        <v>3501.7652213999472</v>
      </c>
      <c r="I306" s="1">
        <v>0</v>
      </c>
      <c r="J306" s="1">
        <v>0</v>
      </c>
      <c r="K306" s="1">
        <f t="shared" si="104"/>
        <v>-513.46462126843062</v>
      </c>
      <c r="L306" s="1">
        <f t="shared" si="97"/>
        <v>442128.45026530972</v>
      </c>
      <c r="N306" s="1">
        <f t="shared" si="105"/>
        <v>283</v>
      </c>
      <c r="O306" s="2">
        <f t="shared" si="110"/>
        <v>23</v>
      </c>
      <c r="P306" s="2">
        <f t="shared" si="111"/>
        <v>7</v>
      </c>
      <c r="Q306" s="2">
        <f t="shared" si="112"/>
        <v>23</v>
      </c>
      <c r="R306" s="1">
        <f t="shared" si="106"/>
        <v>7291315.7664914997</v>
      </c>
      <c r="S306" s="1">
        <f>+IF($G$4="mensual",S300,IF($G$4="trimestral",S300,IF($G$4="semestral",S300,0)))</f>
        <v>10000</v>
      </c>
      <c r="U306" s="1">
        <f t="shared" si="113"/>
        <v>58221.717237772347</v>
      </c>
      <c r="V306" s="35">
        <f t="shared" si="95"/>
        <v>-217.86113629145362</v>
      </c>
      <c r="X306" s="35">
        <f t="shared" si="114"/>
        <v>-8536.8107622078587</v>
      </c>
      <c r="Y306" s="1">
        <f t="shared" si="98"/>
        <v>7350782.811830773</v>
      </c>
      <c r="AA306" s="2">
        <f>+Bono!J306</f>
        <v>288781.80369689997</v>
      </c>
      <c r="AC306" s="10">
        <f t="shared" si="99"/>
        <v>23.583333333333332</v>
      </c>
      <c r="AD306" s="1">
        <f t="shared" si="100"/>
        <v>8081693.0657929825</v>
      </c>
    </row>
    <row r="307" spans="1:30">
      <c r="A307" s="1">
        <f t="shared" si="101"/>
        <v>23.666666666666668</v>
      </c>
      <c r="B307" s="1">
        <f t="shared" si="102"/>
        <v>284</v>
      </c>
      <c r="C307" s="2">
        <f t="shared" si="107"/>
        <v>23</v>
      </c>
      <c r="D307" s="2">
        <f t="shared" si="108"/>
        <v>8</v>
      </c>
      <c r="E307" s="2">
        <f t="shared" si="109"/>
        <v>52</v>
      </c>
      <c r="F307" s="1">
        <f t="shared" si="103"/>
        <v>442128.45026530972</v>
      </c>
      <c r="H307" s="1">
        <f t="shared" si="96"/>
        <v>3525.5943500291733</v>
      </c>
      <c r="I307" s="1">
        <v>0</v>
      </c>
      <c r="J307" s="1">
        <v>0</v>
      </c>
      <c r="K307" s="1">
        <f t="shared" si="104"/>
        <v>-516.95869175379312</v>
      </c>
      <c r="L307" s="1">
        <f t="shared" si="97"/>
        <v>445137.08592358511</v>
      </c>
      <c r="N307" s="1">
        <f t="shared" si="105"/>
        <v>284</v>
      </c>
      <c r="O307" s="2">
        <f t="shared" si="110"/>
        <v>23</v>
      </c>
      <c r="P307" s="2">
        <f t="shared" si="111"/>
        <v>8</v>
      </c>
      <c r="Q307" s="2">
        <f t="shared" si="112"/>
        <v>23</v>
      </c>
      <c r="R307" s="1">
        <f t="shared" si="106"/>
        <v>7350782.811830773</v>
      </c>
      <c r="S307" s="4">
        <f>IF($G$4="mensual",S306,0)</f>
        <v>10000</v>
      </c>
      <c r="U307" s="1">
        <f t="shared" si="113"/>
        <v>58695.915808199694</v>
      </c>
      <c r="V307" s="35">
        <f t="shared" si="95"/>
        <v>-217.86113629145362</v>
      </c>
      <c r="X307" s="35">
        <f t="shared" si="114"/>
        <v>-8606.3426051431106</v>
      </c>
      <c r="Y307" s="1">
        <f t="shared" si="98"/>
        <v>7410654.5238975389</v>
      </c>
      <c r="AA307" s="2">
        <f>+Bono!J307</f>
        <v>290572.28437643667</v>
      </c>
      <c r="AC307" s="10">
        <f t="shared" si="99"/>
        <v>23.666666666666668</v>
      </c>
      <c r="AD307" s="1">
        <f t="shared" si="100"/>
        <v>8146363.8941975608</v>
      </c>
    </row>
    <row r="308" spans="1:30">
      <c r="A308" s="1">
        <f t="shared" si="101"/>
        <v>23.75</v>
      </c>
      <c r="B308" s="1">
        <f t="shared" si="102"/>
        <v>285</v>
      </c>
      <c r="C308" s="2">
        <f t="shared" si="107"/>
        <v>23</v>
      </c>
      <c r="D308" s="2">
        <f t="shared" si="108"/>
        <v>9</v>
      </c>
      <c r="E308" s="2">
        <f t="shared" si="109"/>
        <v>52</v>
      </c>
      <c r="F308" s="1">
        <f t="shared" si="103"/>
        <v>445137.08592358511</v>
      </c>
      <c r="H308" s="1">
        <f t="shared" si="96"/>
        <v>3549.5856332676685</v>
      </c>
      <c r="I308" s="1">
        <v>0</v>
      </c>
      <c r="J308" s="69">
        <f>-SUM(F308:H308)*$J$21*1.16</f>
        <v>-4684.2888510535431</v>
      </c>
      <c r="K308" s="1">
        <f t="shared" si="104"/>
        <v>-515.04276393872703</v>
      </c>
      <c r="L308" s="1">
        <f t="shared" si="97"/>
        <v>443487.33994186047</v>
      </c>
      <c r="N308" s="1">
        <f t="shared" si="105"/>
        <v>285</v>
      </c>
      <c r="O308" s="2">
        <f t="shared" si="110"/>
        <v>23</v>
      </c>
      <c r="P308" s="2">
        <f t="shared" si="111"/>
        <v>9</v>
      </c>
      <c r="Q308" s="2">
        <f t="shared" si="112"/>
        <v>23</v>
      </c>
      <c r="R308" s="1">
        <f t="shared" si="106"/>
        <v>7410654.5238975389</v>
      </c>
      <c r="S308" s="4">
        <f>IF($G$4="mensual",S307,0)</f>
        <v>10000</v>
      </c>
      <c r="U308" s="1">
        <f t="shared" si="113"/>
        <v>59173.341247938981</v>
      </c>
      <c r="V308" s="35">
        <f t="shared" si="95"/>
        <v>-217.86113629145362</v>
      </c>
      <c r="X308" s="35">
        <f t="shared" si="114"/>
        <v>-8676.3476046506548</v>
      </c>
      <c r="Y308" s="1">
        <f t="shared" si="98"/>
        <v>7470933.6564045353</v>
      </c>
      <c r="AA308" s="2">
        <f>+Bono!J308</f>
        <v>289739.86744887958</v>
      </c>
      <c r="AC308" s="10">
        <f t="shared" si="99"/>
        <v>23.75</v>
      </c>
      <c r="AD308" s="1">
        <f t="shared" si="100"/>
        <v>8204160.8637952749</v>
      </c>
    </row>
    <row r="309" spans="1:30">
      <c r="A309" s="1">
        <f t="shared" si="101"/>
        <v>23.833333333333332</v>
      </c>
      <c r="B309" s="1">
        <f t="shared" si="102"/>
        <v>286</v>
      </c>
      <c r="C309" s="2">
        <f t="shared" si="107"/>
        <v>23</v>
      </c>
      <c r="D309" s="2">
        <f t="shared" si="108"/>
        <v>10</v>
      </c>
      <c r="E309" s="2">
        <f t="shared" si="109"/>
        <v>52</v>
      </c>
      <c r="F309" s="1">
        <f t="shared" si="103"/>
        <v>443487.33994186047</v>
      </c>
      <c r="H309" s="1">
        <f t="shared" si="96"/>
        <v>3536.4303271373769</v>
      </c>
      <c r="I309" s="1">
        <v>0</v>
      </c>
      <c r="J309" s="1">
        <v>0</v>
      </c>
      <c r="K309" s="1">
        <f t="shared" si="104"/>
        <v>-518.5475735120375</v>
      </c>
      <c r="L309" s="1">
        <f t="shared" si="97"/>
        <v>446505.22269548581</v>
      </c>
      <c r="N309" s="1">
        <f t="shared" si="105"/>
        <v>286</v>
      </c>
      <c r="O309" s="2">
        <f t="shared" si="110"/>
        <v>23</v>
      </c>
      <c r="P309" s="2">
        <f t="shared" si="111"/>
        <v>10</v>
      </c>
      <c r="Q309" s="2">
        <f t="shared" si="112"/>
        <v>23</v>
      </c>
      <c r="R309" s="1">
        <f t="shared" si="106"/>
        <v>7470933.6564045353</v>
      </c>
      <c r="S309" s="4">
        <f>IF($G$4="mensual",S300,IF($G$4="trimestral",S300,0))</f>
        <v>10000</v>
      </c>
      <c r="U309" s="1">
        <f t="shared" si="113"/>
        <v>59654.015515482264</v>
      </c>
      <c r="V309" s="35">
        <f t="shared" si="95"/>
        <v>-217.86113629145362</v>
      </c>
      <c r="X309" s="35">
        <f t="shared" si="114"/>
        <v>-8746.8289805091226</v>
      </c>
      <c r="Y309" s="1">
        <f t="shared" si="98"/>
        <v>7531622.981803217</v>
      </c>
      <c r="AA309" s="2">
        <f>+Bono!J309</f>
        <v>291536.28823480709</v>
      </c>
      <c r="AC309" s="10">
        <f t="shared" si="99"/>
        <v>23.833333333333332</v>
      </c>
      <c r="AD309" s="1">
        <f t="shared" si="100"/>
        <v>8269664.4927335093</v>
      </c>
    </row>
    <row r="310" spans="1:30">
      <c r="A310" s="1">
        <f t="shared" si="101"/>
        <v>23.916666666666668</v>
      </c>
      <c r="B310" s="1">
        <f t="shared" si="102"/>
        <v>287</v>
      </c>
      <c r="C310" s="2">
        <f t="shared" si="107"/>
        <v>23</v>
      </c>
      <c r="D310" s="2">
        <f t="shared" si="108"/>
        <v>11</v>
      </c>
      <c r="E310" s="2">
        <f t="shared" si="109"/>
        <v>52</v>
      </c>
      <c r="F310" s="1">
        <f t="shared" si="103"/>
        <v>446505.22269548581</v>
      </c>
      <c r="H310" s="1">
        <f t="shared" si="96"/>
        <v>3560.4953480127519</v>
      </c>
      <c r="I310" s="1">
        <v>0</v>
      </c>
      <c r="J310" s="1">
        <v>0</v>
      </c>
      <c r="K310" s="1">
        <f t="shared" si="104"/>
        <v>-522.07623293045833</v>
      </c>
      <c r="L310" s="1">
        <f t="shared" si="97"/>
        <v>449543.64181056811</v>
      </c>
      <c r="N310" s="1">
        <f t="shared" si="105"/>
        <v>287</v>
      </c>
      <c r="O310" s="2">
        <f t="shared" si="110"/>
        <v>23</v>
      </c>
      <c r="P310" s="2">
        <f t="shared" si="111"/>
        <v>11</v>
      </c>
      <c r="Q310" s="2">
        <f t="shared" si="112"/>
        <v>23</v>
      </c>
      <c r="R310" s="1">
        <f t="shared" si="106"/>
        <v>7531622.981803217</v>
      </c>
      <c r="S310" s="1">
        <f>IF($G$17="si",S298*(1+$G$20),S298)</f>
        <v>10000</v>
      </c>
      <c r="U310" s="1">
        <f t="shared" si="113"/>
        <v>60137.960718746792</v>
      </c>
      <c r="V310" s="35">
        <f t="shared" si="95"/>
        <v>-217.86113629145362</v>
      </c>
      <c r="X310" s="35">
        <f t="shared" si="114"/>
        <v>-8817.7899744073802</v>
      </c>
      <c r="Y310" s="1">
        <f t="shared" si="98"/>
        <v>7592725.2914112657</v>
      </c>
      <c r="AA310" s="2">
        <f>+Bono!J310</f>
        <v>293343.84703797929</v>
      </c>
      <c r="AC310" s="10">
        <f t="shared" si="99"/>
        <v>23.916666666666668</v>
      </c>
      <c r="AD310" s="1">
        <f t="shared" si="100"/>
        <v>8335612.7802598132</v>
      </c>
    </row>
    <row r="311" spans="1:30">
      <c r="A311" s="1">
        <f t="shared" si="101"/>
        <v>24</v>
      </c>
      <c r="B311" s="1">
        <f t="shared" si="102"/>
        <v>288</v>
      </c>
      <c r="C311" s="2">
        <f t="shared" si="107"/>
        <v>23</v>
      </c>
      <c r="D311" s="2">
        <f t="shared" si="108"/>
        <v>12</v>
      </c>
      <c r="E311" s="2">
        <f t="shared" si="109"/>
        <v>52</v>
      </c>
      <c r="F311" s="1">
        <f t="shared" si="103"/>
        <v>449543.64181056811</v>
      </c>
      <c r="H311" s="1">
        <f t="shared" si="96"/>
        <v>3584.7241287182837</v>
      </c>
      <c r="I311" s="1">
        <v>0</v>
      </c>
      <c r="J311" s="69">
        <f>-SUM(F311:H311)*$J$21*1.16</f>
        <v>-4730.6601404061494</v>
      </c>
      <c r="K311" s="1">
        <f t="shared" si="104"/>
        <v>-520.14133872670106</v>
      </c>
      <c r="L311" s="1">
        <f t="shared" si="97"/>
        <v>447877.56446015352</v>
      </c>
      <c r="N311" s="1">
        <f t="shared" si="105"/>
        <v>288</v>
      </c>
      <c r="O311" s="2">
        <f t="shared" si="110"/>
        <v>23</v>
      </c>
      <c r="P311" s="2">
        <f t="shared" si="111"/>
        <v>12</v>
      </c>
      <c r="Q311" s="2">
        <f t="shared" si="112"/>
        <v>23</v>
      </c>
      <c r="R311" s="1">
        <f t="shared" si="106"/>
        <v>7592725.2914112657</v>
      </c>
      <c r="S311" s="4">
        <f>IF($G$4="mensual",S310,0)</f>
        <v>10000</v>
      </c>
      <c r="U311" s="1">
        <f t="shared" si="113"/>
        <v>60625.199116091724</v>
      </c>
      <c r="V311" s="35">
        <f t="shared" si="95"/>
        <v>-217.86113629145362</v>
      </c>
      <c r="X311" s="35">
        <f t="shared" si="114"/>
        <v>-8889.2338500936366</v>
      </c>
      <c r="Y311" s="1">
        <f t="shared" si="98"/>
        <v>7654243.3955409732</v>
      </c>
      <c r="AA311" s="2">
        <f>+Bono!J311</f>
        <v>292503.49027651758</v>
      </c>
      <c r="AC311" s="10">
        <f t="shared" si="99"/>
        <v>24</v>
      </c>
      <c r="AD311" s="1">
        <f t="shared" si="100"/>
        <v>8394624.4502776433</v>
      </c>
    </row>
    <row r="312" spans="1:30">
      <c r="A312" s="1">
        <f t="shared" si="101"/>
        <v>24.083333333333332</v>
      </c>
      <c r="B312" s="1">
        <f t="shared" si="102"/>
        <v>289</v>
      </c>
      <c r="C312" s="2">
        <f t="shared" si="107"/>
        <v>24</v>
      </c>
      <c r="D312" s="2">
        <f t="shared" si="108"/>
        <v>1</v>
      </c>
      <c r="E312" s="2">
        <f t="shared" si="109"/>
        <v>53</v>
      </c>
      <c r="F312" s="1">
        <f t="shared" si="103"/>
        <v>447877.56446015352</v>
      </c>
      <c r="H312" s="1">
        <f t="shared" si="96"/>
        <v>3571.4385939606618</v>
      </c>
      <c r="I312" s="1">
        <v>0</v>
      </c>
      <c r="J312" s="1">
        <v>0</v>
      </c>
      <c r="K312" s="1">
        <f t="shared" si="104"/>
        <v>-523.68084354277244</v>
      </c>
      <c r="L312" s="1">
        <f t="shared" si="97"/>
        <v>450925.32221057138</v>
      </c>
      <c r="N312" s="1">
        <f t="shared" si="105"/>
        <v>289</v>
      </c>
      <c r="O312" s="2">
        <f t="shared" si="110"/>
        <v>24</v>
      </c>
      <c r="P312" s="2">
        <f t="shared" si="111"/>
        <v>1</v>
      </c>
      <c r="Q312" s="2">
        <f t="shared" si="112"/>
        <v>24</v>
      </c>
      <c r="R312" s="1">
        <f t="shared" si="106"/>
        <v>7654243.3955409732</v>
      </c>
      <c r="S312" s="1">
        <f>IF($G$17="si",S300*(1+$G$20),S300)</f>
        <v>10000</v>
      </c>
      <c r="U312" s="1">
        <f t="shared" si="113"/>
        <v>61115.753117341941</v>
      </c>
      <c r="V312" s="35">
        <f>V311*(1+$G$18)</f>
        <v>-226.57558174311177</v>
      </c>
      <c r="X312" s="35">
        <f t="shared" si="114"/>
        <v>-8961.1537847688214</v>
      </c>
      <c r="Y312" s="1">
        <f t="shared" si="98"/>
        <v>7716171.4192918027</v>
      </c>
      <c r="AA312" s="2">
        <f>+Bono!J312</f>
        <v>294317.04584453686</v>
      </c>
      <c r="AC312" s="10">
        <f t="shared" si="99"/>
        <v>24.083333333333332</v>
      </c>
      <c r="AD312" s="1">
        <f t="shared" si="100"/>
        <v>8461413.7873469107</v>
      </c>
    </row>
    <row r="313" spans="1:30">
      <c r="A313" s="1">
        <f t="shared" si="101"/>
        <v>24.166666666666668</v>
      </c>
      <c r="B313" s="1">
        <f t="shared" si="102"/>
        <v>290</v>
      </c>
      <c r="C313" s="2">
        <f t="shared" si="107"/>
        <v>24</v>
      </c>
      <c r="D313" s="2">
        <f t="shared" si="108"/>
        <v>2</v>
      </c>
      <c r="E313" s="2">
        <f t="shared" si="109"/>
        <v>53</v>
      </c>
      <c r="F313" s="1">
        <f t="shared" si="103"/>
        <v>450925.32221057138</v>
      </c>
      <c r="H313" s="1">
        <f t="shared" si="96"/>
        <v>3595.7418422557739</v>
      </c>
      <c r="I313" s="1">
        <v>0</v>
      </c>
      <c r="J313" s="1">
        <v>0</v>
      </c>
      <c r="K313" s="1">
        <f t="shared" si="104"/>
        <v>-527.2444343012794</v>
      </c>
      <c r="L313" s="1">
        <f t="shared" si="97"/>
        <v>453993.81961852586</v>
      </c>
      <c r="N313" s="1">
        <f t="shared" si="105"/>
        <v>290</v>
      </c>
      <c r="O313" s="2">
        <f t="shared" si="110"/>
        <v>24</v>
      </c>
      <c r="P313" s="2">
        <f t="shared" si="111"/>
        <v>2</v>
      </c>
      <c r="Q313" s="2">
        <f t="shared" si="112"/>
        <v>24</v>
      </c>
      <c r="R313" s="1">
        <f t="shared" si="106"/>
        <v>7716171.4192918027</v>
      </c>
      <c r="S313" s="4">
        <f>IF($G$4="mensual",S312,0)</f>
        <v>10000</v>
      </c>
      <c r="U313" s="1">
        <f t="shared" si="113"/>
        <v>61609.575875215538</v>
      </c>
      <c r="V313" s="35">
        <f t="shared" si="95"/>
        <v>-226.57558174311177</v>
      </c>
      <c r="X313" s="35">
        <f t="shared" si="114"/>
        <v>-9033.5631267189183</v>
      </c>
      <c r="Y313" s="1">
        <f t="shared" si="98"/>
        <v>7778520.8564585559</v>
      </c>
      <c r="AA313" s="2">
        <f>+Bono!J313</f>
        <v>296141.8456674373</v>
      </c>
      <c r="AC313" s="10">
        <f t="shared" si="99"/>
        <v>24.166666666666668</v>
      </c>
      <c r="AD313" s="1">
        <f t="shared" si="100"/>
        <v>8528656.5217445195</v>
      </c>
    </row>
    <row r="314" spans="1:30">
      <c r="A314" s="1">
        <f t="shared" si="101"/>
        <v>24.25</v>
      </c>
      <c r="B314" s="1">
        <f t="shared" si="102"/>
        <v>291</v>
      </c>
      <c r="C314" s="2">
        <f t="shared" si="107"/>
        <v>24</v>
      </c>
      <c r="D314" s="2">
        <f t="shared" si="108"/>
        <v>3</v>
      </c>
      <c r="E314" s="2">
        <f t="shared" si="109"/>
        <v>53</v>
      </c>
      <c r="F314" s="1">
        <f t="shared" si="103"/>
        <v>453993.81961852586</v>
      </c>
      <c r="H314" s="1">
        <f t="shared" si="96"/>
        <v>3620.2104714925299</v>
      </c>
      <c r="I314" s="1">
        <v>0</v>
      </c>
      <c r="J314" s="69">
        <f>-SUM(F314:H314)*$J$21*1.16</f>
        <v>-4777.4904741397922</v>
      </c>
      <c r="K314" s="1">
        <f t="shared" si="104"/>
        <v>-525.29038595441921</v>
      </c>
      <c r="L314" s="1">
        <f t="shared" si="97"/>
        <v>452311.24922992417</v>
      </c>
      <c r="N314" s="1">
        <f t="shared" si="105"/>
        <v>291</v>
      </c>
      <c r="O314" s="2">
        <f t="shared" si="110"/>
        <v>24</v>
      </c>
      <c r="P314" s="2">
        <f t="shared" si="111"/>
        <v>3</v>
      </c>
      <c r="Q314" s="2">
        <f t="shared" si="112"/>
        <v>24</v>
      </c>
      <c r="R314" s="1">
        <f t="shared" si="106"/>
        <v>7778520.8564585559</v>
      </c>
      <c r="S314" s="4">
        <f>IF($G$4="mensual",S313,0)</f>
        <v>10000</v>
      </c>
      <c r="U314" s="1">
        <f t="shared" si="113"/>
        <v>62106.759042846345</v>
      </c>
      <c r="V314" s="35">
        <f t="shared" si="95"/>
        <v>-226.57558174311177</v>
      </c>
      <c r="X314" s="35">
        <f t="shared" si="114"/>
        <v>-9106.4652063068042</v>
      </c>
      <c r="Y314" s="1">
        <f t="shared" si="98"/>
        <v>7841294.5747133521</v>
      </c>
      <c r="AA314" s="2">
        <f>+Bono!J314</f>
        <v>295293.47333963396</v>
      </c>
      <c r="AC314" s="10">
        <f t="shared" si="99"/>
        <v>24.25</v>
      </c>
      <c r="AD314" s="1">
        <f t="shared" si="100"/>
        <v>8588899.29728291</v>
      </c>
    </row>
    <row r="315" spans="1:30">
      <c r="A315" s="1">
        <f t="shared" si="101"/>
        <v>24.333333333333332</v>
      </c>
      <c r="B315" s="1">
        <f t="shared" si="102"/>
        <v>292</v>
      </c>
      <c r="C315" s="2">
        <f t="shared" si="107"/>
        <v>24</v>
      </c>
      <c r="D315" s="2">
        <f t="shared" si="108"/>
        <v>4</v>
      </c>
      <c r="E315" s="2">
        <f t="shared" si="109"/>
        <v>53</v>
      </c>
      <c r="F315" s="1">
        <f t="shared" si="103"/>
        <v>452311.24922992417</v>
      </c>
      <c r="H315" s="1">
        <f t="shared" si="96"/>
        <v>3606.793418932305</v>
      </c>
      <c r="I315" s="1">
        <v>0</v>
      </c>
      <c r="J315" s="1">
        <v>0</v>
      </c>
      <c r="K315" s="1">
        <f t="shared" si="104"/>
        <v>-528.86492947267345</v>
      </c>
      <c r="L315" s="1">
        <f t="shared" si="97"/>
        <v>455389.17771938379</v>
      </c>
      <c r="N315" s="1">
        <f t="shared" si="105"/>
        <v>292</v>
      </c>
      <c r="O315" s="2">
        <f t="shared" si="110"/>
        <v>24</v>
      </c>
      <c r="P315" s="2">
        <f t="shared" si="111"/>
        <v>4</v>
      </c>
      <c r="Q315" s="2">
        <f t="shared" si="112"/>
        <v>24</v>
      </c>
      <c r="R315" s="1">
        <f t="shared" si="106"/>
        <v>7841294.5747133521</v>
      </c>
      <c r="S315" s="4">
        <f>IF($G$4="mensual",S312,IF($G$4="trimestral",S312,0))</f>
        <v>10000</v>
      </c>
      <c r="U315" s="1">
        <f t="shared" si="113"/>
        <v>62607.325487454531</v>
      </c>
      <c r="V315" s="35">
        <f t="shared" si="95"/>
        <v>-226.57558174311177</v>
      </c>
      <c r="X315" s="35">
        <f t="shared" si="114"/>
        <v>-9179.8633765581126</v>
      </c>
      <c r="Y315" s="1">
        <f t="shared" si="98"/>
        <v>7904495.4612425053</v>
      </c>
      <c r="AA315" s="2">
        <f>+Bono!J315</f>
        <v>297124.32712626259</v>
      </c>
      <c r="AC315" s="10">
        <f t="shared" si="99"/>
        <v>24.333333333333332</v>
      </c>
      <c r="AD315" s="1">
        <f t="shared" si="100"/>
        <v>8657008.9660881516</v>
      </c>
    </row>
    <row r="316" spans="1:30">
      <c r="A316" s="1">
        <f t="shared" si="101"/>
        <v>24.416666666666668</v>
      </c>
      <c r="B316" s="1">
        <f t="shared" si="102"/>
        <v>293</v>
      </c>
      <c r="C316" s="2">
        <f t="shared" si="107"/>
        <v>24</v>
      </c>
      <c r="D316" s="2">
        <f t="shared" si="108"/>
        <v>5</v>
      </c>
      <c r="E316" s="2">
        <f t="shared" si="109"/>
        <v>53</v>
      </c>
      <c r="F316" s="1">
        <f t="shared" si="103"/>
        <v>455389.17771938379</v>
      </c>
      <c r="H316" s="1">
        <f t="shared" si="96"/>
        <v>3631.3372529373796</v>
      </c>
      <c r="I316" s="1">
        <v>0</v>
      </c>
      <c r="J316" s="1">
        <v>0</v>
      </c>
      <c r="K316" s="1">
        <f t="shared" si="104"/>
        <v>-532.46379736789254</v>
      </c>
      <c r="L316" s="1">
        <f t="shared" si="97"/>
        <v>458488.05117495329</v>
      </c>
      <c r="N316" s="1">
        <f t="shared" si="105"/>
        <v>293</v>
      </c>
      <c r="O316" s="2">
        <f t="shared" si="110"/>
        <v>24</v>
      </c>
      <c r="P316" s="2">
        <f t="shared" si="111"/>
        <v>5</v>
      </c>
      <c r="Q316" s="2">
        <f t="shared" si="112"/>
        <v>24</v>
      </c>
      <c r="R316" s="1">
        <f t="shared" si="106"/>
        <v>7904495.4612425053</v>
      </c>
      <c r="S316" s="4">
        <f>IF($G$4="mensual",S315,0)</f>
        <v>10000</v>
      </c>
      <c r="U316" s="1">
        <f t="shared" si="113"/>
        <v>63111.298231869208</v>
      </c>
      <c r="V316" s="35">
        <f t="shared" si="95"/>
        <v>-226.57558174311177</v>
      </c>
      <c r="X316" s="35">
        <f t="shared" si="114"/>
        <v>-9253.7610133154521</v>
      </c>
      <c r="Y316" s="1">
        <f t="shared" si="98"/>
        <v>7968126.4228793159</v>
      </c>
      <c r="AA316" s="2">
        <f>+Bono!J316</f>
        <v>298966.53241873416</v>
      </c>
      <c r="AC316" s="10">
        <f t="shared" si="99"/>
        <v>24.416666666666668</v>
      </c>
      <c r="AD316" s="1">
        <f t="shared" si="100"/>
        <v>8725581.006473003</v>
      </c>
    </row>
    <row r="317" spans="1:30">
      <c r="A317" s="1">
        <f t="shared" si="101"/>
        <v>24.5</v>
      </c>
      <c r="B317" s="1">
        <f t="shared" si="102"/>
        <v>294</v>
      </c>
      <c r="C317" s="2">
        <f t="shared" si="107"/>
        <v>24</v>
      </c>
      <c r="D317" s="2">
        <f t="shared" si="108"/>
        <v>6</v>
      </c>
      <c r="E317" s="2">
        <f t="shared" si="109"/>
        <v>53</v>
      </c>
      <c r="F317" s="1">
        <f t="shared" si="103"/>
        <v>458488.05117495329</v>
      </c>
      <c r="H317" s="1">
        <f t="shared" si="96"/>
        <v>3656.0481050434933</v>
      </c>
      <c r="I317" s="1">
        <v>0</v>
      </c>
      <c r="J317" s="69">
        <f>-SUM(F317:H317)*$J$21*1.16</f>
        <v>-4824.7843964831663</v>
      </c>
      <c r="K317" s="1">
        <f t="shared" si="104"/>
        <v>-530.49040526487579</v>
      </c>
      <c r="L317" s="1">
        <f t="shared" si="97"/>
        <v>456788.82447824872</v>
      </c>
      <c r="N317" s="1">
        <f t="shared" si="105"/>
        <v>294</v>
      </c>
      <c r="O317" s="2">
        <f t="shared" si="110"/>
        <v>24</v>
      </c>
      <c r="P317" s="2">
        <f t="shared" si="111"/>
        <v>6</v>
      </c>
      <c r="Q317" s="2">
        <f t="shared" si="112"/>
        <v>24</v>
      </c>
      <c r="R317" s="1">
        <f t="shared" si="106"/>
        <v>7968126.4228793159</v>
      </c>
      <c r="S317" s="4">
        <f>IF($G$4="mensual",S316,0)</f>
        <v>10000</v>
      </c>
      <c r="U317" s="1">
        <f t="shared" si="113"/>
        <v>63618.700455587321</v>
      </c>
      <c r="V317" s="35">
        <f t="shared" si="95"/>
        <v>-226.57558174311177</v>
      </c>
      <c r="X317" s="35">
        <f t="shared" si="114"/>
        <v>-9328.1615153936655</v>
      </c>
      <c r="Y317" s="1">
        <f t="shared" si="98"/>
        <v>8032190.3862377666</v>
      </c>
      <c r="AA317" s="2">
        <f>+Bono!J317</f>
        <v>298110.06806979439</v>
      </c>
      <c r="AC317" s="10">
        <f t="shared" si="99"/>
        <v>24.5</v>
      </c>
      <c r="AD317" s="1">
        <f t="shared" si="100"/>
        <v>8787089.2787858099</v>
      </c>
    </row>
    <row r="318" spans="1:30">
      <c r="A318" s="1">
        <f t="shared" si="101"/>
        <v>24.583333333333332</v>
      </c>
      <c r="B318" s="1">
        <f t="shared" si="102"/>
        <v>295</v>
      </c>
      <c r="C318" s="2">
        <f t="shared" si="107"/>
        <v>24</v>
      </c>
      <c r="D318" s="2">
        <f t="shared" si="108"/>
        <v>7</v>
      </c>
      <c r="E318" s="2">
        <f t="shared" si="109"/>
        <v>53</v>
      </c>
      <c r="F318" s="1">
        <f t="shared" si="103"/>
        <v>456788.82447824872</v>
      </c>
      <c r="H318" s="1">
        <f t="shared" si="96"/>
        <v>3642.4982327434286</v>
      </c>
      <c r="I318" s="1">
        <v>0</v>
      </c>
      <c r="J318" s="1">
        <v>0</v>
      </c>
      <c r="K318" s="1">
        <f t="shared" si="104"/>
        <v>-534.10033434475088</v>
      </c>
      <c r="L318" s="1">
        <f t="shared" si="97"/>
        <v>459897.22237664741</v>
      </c>
      <c r="N318" s="1">
        <f t="shared" si="105"/>
        <v>295</v>
      </c>
      <c r="O318" s="2">
        <f t="shared" si="110"/>
        <v>24</v>
      </c>
      <c r="P318" s="2">
        <f t="shared" si="111"/>
        <v>7</v>
      </c>
      <c r="Q318" s="2">
        <f t="shared" si="112"/>
        <v>24</v>
      </c>
      <c r="R318" s="1">
        <f t="shared" si="106"/>
        <v>8032190.3862377666</v>
      </c>
      <c r="S318" s="1">
        <f>+IF($G$4="mensual",S312,IF($G$4="trimestral",S312,IF($G$4="semestral",S312,0)))</f>
        <v>10000</v>
      </c>
      <c r="U318" s="1">
        <f t="shared" si="113"/>
        <v>64129.555495839755</v>
      </c>
      <c r="V318" s="35">
        <f t="shared" si="95"/>
        <v>-226.57558174311177</v>
      </c>
      <c r="X318" s="35">
        <f t="shared" si="114"/>
        <v>-9403.0683047361599</v>
      </c>
      <c r="Y318" s="1">
        <f t="shared" si="98"/>
        <v>8096690.2978471266</v>
      </c>
      <c r="AA318" s="2">
        <f>+Bono!J318</f>
        <v>299958.38507045474</v>
      </c>
      <c r="AC318" s="10">
        <f t="shared" si="99"/>
        <v>24.583333333333332</v>
      </c>
      <c r="AD318" s="1">
        <f t="shared" si="100"/>
        <v>8856545.9052942283</v>
      </c>
    </row>
    <row r="319" spans="1:30">
      <c r="A319" s="1">
        <f t="shared" si="101"/>
        <v>24.666666666666668</v>
      </c>
      <c r="B319" s="1">
        <f t="shared" si="102"/>
        <v>296</v>
      </c>
      <c r="C319" s="2">
        <f t="shared" si="107"/>
        <v>24</v>
      </c>
      <c r="D319" s="2">
        <f t="shared" si="108"/>
        <v>8</v>
      </c>
      <c r="E319" s="2">
        <f t="shared" si="109"/>
        <v>53</v>
      </c>
      <c r="F319" s="1">
        <f t="shared" si="103"/>
        <v>459897.22237664741</v>
      </c>
      <c r="H319" s="1">
        <f t="shared" si="96"/>
        <v>3667.2850340941691</v>
      </c>
      <c r="I319" s="1">
        <v>0</v>
      </c>
      <c r="J319" s="1">
        <v>0</v>
      </c>
      <c r="K319" s="1">
        <f t="shared" si="104"/>
        <v>-537.73482859646026</v>
      </c>
      <c r="L319" s="1">
        <f t="shared" si="97"/>
        <v>463026.77258214512</v>
      </c>
      <c r="N319" s="1">
        <f t="shared" si="105"/>
        <v>296</v>
      </c>
      <c r="O319" s="2">
        <f t="shared" si="110"/>
        <v>24</v>
      </c>
      <c r="P319" s="2">
        <f t="shared" si="111"/>
        <v>8</v>
      </c>
      <c r="Q319" s="2">
        <f t="shared" si="112"/>
        <v>24</v>
      </c>
      <c r="R319" s="1">
        <f t="shared" si="106"/>
        <v>8096690.2978471266</v>
      </c>
      <c r="S319" s="4">
        <f>IF($G$4="mensual",S318,0)</f>
        <v>10000</v>
      </c>
      <c r="U319" s="1">
        <f t="shared" si="113"/>
        <v>64643.886848664668</v>
      </c>
      <c r="V319" s="35">
        <f t="shared" si="95"/>
        <v>-226.57558174311177</v>
      </c>
      <c r="X319" s="35">
        <f t="shared" si="114"/>
        <v>-9478.4848265722958</v>
      </c>
      <c r="Y319" s="1">
        <f t="shared" si="98"/>
        <v>8161629.1242874758</v>
      </c>
      <c r="AA319" s="2">
        <f>+Bono!J319</f>
        <v>301818.16185091069</v>
      </c>
      <c r="AC319" s="10">
        <f t="shared" si="99"/>
        <v>24.666666666666668</v>
      </c>
      <c r="AD319" s="1">
        <f t="shared" si="100"/>
        <v>8926474.0587205328</v>
      </c>
    </row>
    <row r="320" spans="1:30">
      <c r="A320" s="1">
        <f t="shared" si="101"/>
        <v>24.75</v>
      </c>
      <c r="B320" s="1">
        <f t="shared" si="102"/>
        <v>297</v>
      </c>
      <c r="C320" s="2">
        <f t="shared" si="107"/>
        <v>24</v>
      </c>
      <c r="D320" s="2">
        <f t="shared" si="108"/>
        <v>9</v>
      </c>
      <c r="E320" s="2">
        <f t="shared" si="109"/>
        <v>53</v>
      </c>
      <c r="F320" s="1">
        <f t="shared" si="103"/>
        <v>463026.77258214512</v>
      </c>
      <c r="H320" s="1">
        <f t="shared" si="96"/>
        <v>3692.2405069121123</v>
      </c>
      <c r="I320" s="1">
        <v>0</v>
      </c>
      <c r="J320" s="69">
        <f>-SUM(F320:H320)*$J$21*1.16</f>
        <v>-4872.5464966497584</v>
      </c>
      <c r="K320" s="1">
        <f t="shared" si="104"/>
        <v>-535.74190124719269</v>
      </c>
      <c r="L320" s="1">
        <f t="shared" si="97"/>
        <v>461310.72469116031</v>
      </c>
      <c r="N320" s="1">
        <f t="shared" si="105"/>
        <v>297</v>
      </c>
      <c r="O320" s="2">
        <f t="shared" si="110"/>
        <v>24</v>
      </c>
      <c r="P320" s="2">
        <f t="shared" si="111"/>
        <v>9</v>
      </c>
      <c r="Q320" s="2">
        <f t="shared" si="112"/>
        <v>24</v>
      </c>
      <c r="R320" s="1">
        <f t="shared" si="106"/>
        <v>8161629.1242874758</v>
      </c>
      <c r="S320" s="4">
        <f>IF($G$4="mensual",S319,0)</f>
        <v>10000</v>
      </c>
      <c r="U320" s="1">
        <f t="shared" si="113"/>
        <v>65161.718169988228</v>
      </c>
      <c r="V320" s="35">
        <f t="shared" si="95"/>
        <v>-226.57558174311177</v>
      </c>
      <c r="X320" s="35">
        <f t="shared" si="114"/>
        <v>-9554.4145495758348</v>
      </c>
      <c r="Y320" s="1">
        <f t="shared" si="98"/>
        <v>8227009.8523261445</v>
      </c>
      <c r="AA320" s="2">
        <f>+Bono!J320</f>
        <v>300953.52829679172</v>
      </c>
      <c r="AC320" s="10">
        <f t="shared" si="99"/>
        <v>24.75</v>
      </c>
      <c r="AD320" s="1">
        <f t="shared" si="100"/>
        <v>8989274.1053140964</v>
      </c>
    </row>
    <row r="321" spans="1:30">
      <c r="A321" s="1">
        <f t="shared" si="101"/>
        <v>24.833333333333332</v>
      </c>
      <c r="B321" s="1">
        <f t="shared" si="102"/>
        <v>298</v>
      </c>
      <c r="C321" s="2">
        <f t="shared" si="107"/>
        <v>24</v>
      </c>
      <c r="D321" s="2">
        <f t="shared" si="108"/>
        <v>10</v>
      </c>
      <c r="E321" s="2">
        <f t="shared" si="109"/>
        <v>53</v>
      </c>
      <c r="F321" s="1">
        <f t="shared" si="103"/>
        <v>461310.72469116031</v>
      </c>
      <c r="H321" s="1">
        <f t="shared" si="96"/>
        <v>3678.5565000466754</v>
      </c>
      <c r="I321" s="1">
        <v>0</v>
      </c>
      <c r="J321" s="1">
        <v>0</v>
      </c>
      <c r="K321" s="1">
        <f t="shared" si="104"/>
        <v>-539.38756618180003</v>
      </c>
      <c r="L321" s="1">
        <f t="shared" si="97"/>
        <v>464449.89362502523</v>
      </c>
      <c r="N321" s="1">
        <f t="shared" si="105"/>
        <v>298</v>
      </c>
      <c r="O321" s="2">
        <f t="shared" si="110"/>
        <v>24</v>
      </c>
      <c r="P321" s="2">
        <f t="shared" si="111"/>
        <v>10</v>
      </c>
      <c r="Q321" s="2">
        <f t="shared" si="112"/>
        <v>24</v>
      </c>
      <c r="R321" s="1">
        <f t="shared" si="106"/>
        <v>8227009.8523261445</v>
      </c>
      <c r="S321" s="4">
        <f>IF($G$4="mensual",S312,IF($G$4="trimestral",S312,0))</f>
        <v>10000</v>
      </c>
      <c r="U321" s="1">
        <f t="shared" si="113"/>
        <v>65683.07327671253</v>
      </c>
      <c r="V321" s="35">
        <f>V320</f>
        <v>-226.57558174311177</v>
      </c>
      <c r="X321" s="35">
        <f t="shared" si="114"/>
        <v>-9630.8609660244911</v>
      </c>
      <c r="Y321" s="1">
        <f t="shared" si="98"/>
        <v>8292835.4890550887</v>
      </c>
      <c r="AA321" s="2">
        <f>+Bono!J321</f>
        <v>302819.47508068045</v>
      </c>
      <c r="AC321" s="10">
        <f t="shared" si="99"/>
        <v>24.833333333333332</v>
      </c>
      <c r="AD321" s="1">
        <f t="shared" si="100"/>
        <v>9060104.8577607945</v>
      </c>
    </row>
    <row r="322" spans="1:30">
      <c r="A322" s="1">
        <f t="shared" si="101"/>
        <v>24.916666666666668</v>
      </c>
      <c r="B322" s="1">
        <f t="shared" si="102"/>
        <v>299</v>
      </c>
      <c r="C322" s="2">
        <f t="shared" si="107"/>
        <v>24</v>
      </c>
      <c r="D322" s="2">
        <f t="shared" si="108"/>
        <v>11</v>
      </c>
      <c r="E322" s="2">
        <f t="shared" si="109"/>
        <v>53</v>
      </c>
      <c r="F322" s="1">
        <f t="shared" si="103"/>
        <v>464449.89362502523</v>
      </c>
      <c r="H322" s="1">
        <f t="shared" si="96"/>
        <v>3703.5886739553662</v>
      </c>
      <c r="I322" s="1">
        <v>0</v>
      </c>
      <c r="J322" s="1">
        <v>0</v>
      </c>
      <c r="K322" s="1">
        <f t="shared" si="104"/>
        <v>-543.05803946681738</v>
      </c>
      <c r="L322" s="1">
        <f t="shared" si="97"/>
        <v>467610.42425951379</v>
      </c>
      <c r="N322" s="1">
        <f t="shared" si="105"/>
        <v>299</v>
      </c>
      <c r="O322" s="2">
        <f t="shared" si="110"/>
        <v>24</v>
      </c>
      <c r="P322" s="2">
        <f t="shared" si="111"/>
        <v>11</v>
      </c>
      <c r="Q322" s="2">
        <f t="shared" si="112"/>
        <v>24</v>
      </c>
      <c r="R322" s="1">
        <f t="shared" si="106"/>
        <v>8292835.4890550887</v>
      </c>
      <c r="S322" s="1">
        <f>IF($G$17="si",S310*(1+$G$20),S310)</f>
        <v>10000</v>
      </c>
      <c r="U322" s="1">
        <f t="shared" si="113"/>
        <v>66207.976147811147</v>
      </c>
      <c r="V322" s="35">
        <f>V321</f>
        <v>-226.57558174311177</v>
      </c>
      <c r="X322" s="35">
        <f t="shared" si="114"/>
        <v>-9707.8275919605421</v>
      </c>
      <c r="Y322" s="1">
        <f t="shared" si="98"/>
        <v>8359109.0620291959</v>
      </c>
      <c r="AA322" s="2">
        <f>+Bono!J322</f>
        <v>304696.99095106573</v>
      </c>
      <c r="AC322" s="10">
        <f t="shared" si="99"/>
        <v>24.916666666666668</v>
      </c>
      <c r="AD322" s="1">
        <f t="shared" si="100"/>
        <v>9131416.4772397745</v>
      </c>
    </row>
    <row r="323" spans="1:30">
      <c r="A323" s="1">
        <f t="shared" si="101"/>
        <v>25</v>
      </c>
      <c r="B323" s="1">
        <f t="shared" si="102"/>
        <v>300</v>
      </c>
      <c r="C323" s="2">
        <f t="shared" si="107"/>
        <v>24</v>
      </c>
      <c r="D323" s="2">
        <f t="shared" si="108"/>
        <v>12</v>
      </c>
      <c r="E323" s="2">
        <f t="shared" si="109"/>
        <v>53</v>
      </c>
      <c r="F323" s="1">
        <f t="shared" si="103"/>
        <v>467610.42425951379</v>
      </c>
      <c r="H323" s="1">
        <f t="shared" si="96"/>
        <v>3728.7911890646305</v>
      </c>
      <c r="I323" s="1">
        <v>0</v>
      </c>
      <c r="J323" s="69">
        <f>-SUM(F323:H323)*$J$21*1.16</f>
        <v>-4920.7814092831586</v>
      </c>
      <c r="K323" s="1">
        <f t="shared" si="104"/>
        <v>-541.04538348558253</v>
      </c>
      <c r="L323" s="1">
        <f t="shared" si="97"/>
        <v>465877.38865580969</v>
      </c>
      <c r="N323" s="1">
        <f t="shared" si="105"/>
        <v>300</v>
      </c>
      <c r="O323" s="2">
        <f t="shared" si="110"/>
        <v>24</v>
      </c>
      <c r="P323" s="2">
        <f t="shared" si="111"/>
        <v>12</v>
      </c>
      <c r="Q323" s="2">
        <f t="shared" si="112"/>
        <v>24</v>
      </c>
      <c r="R323" s="1">
        <f t="shared" si="106"/>
        <v>8359109.0620291959</v>
      </c>
      <c r="S323" s="4">
        <f>IF($G$4="mensual",S322,0)</f>
        <v>10000</v>
      </c>
      <c r="U323" s="1">
        <f t="shared" si="113"/>
        <v>66736.450925431869</v>
      </c>
      <c r="V323" s="35">
        <f>V322</f>
        <v>-226.57558174311177</v>
      </c>
      <c r="X323" s="35">
        <f t="shared" si="114"/>
        <v>-9785.3179673525483</v>
      </c>
      <c r="Y323" s="1">
        <f t="shared" si="98"/>
        <v>8425833.6194055323</v>
      </c>
      <c r="AA323" s="2">
        <f>+Bono!J323</f>
        <v>303824.11027152103</v>
      </c>
      <c r="AC323" s="10">
        <f t="shared" si="99"/>
        <v>25</v>
      </c>
      <c r="AD323" s="1">
        <f t="shared" si="100"/>
        <v>9195535.1183328629</v>
      </c>
    </row>
    <row r="324" spans="1:30">
      <c r="A324" s="1">
        <f t="shared" si="101"/>
        <v>25.083333333333332</v>
      </c>
      <c r="B324" s="1">
        <f t="shared" si="102"/>
        <v>301</v>
      </c>
      <c r="C324" s="2">
        <f t="shared" si="107"/>
        <v>25</v>
      </c>
      <c r="D324" s="2">
        <f t="shared" si="108"/>
        <v>1</v>
      </c>
      <c r="E324" s="2">
        <f t="shared" si="109"/>
        <v>54</v>
      </c>
      <c r="F324" s="1">
        <f t="shared" si="103"/>
        <v>465877.38865580969</v>
      </c>
      <c r="H324" s="1">
        <f t="shared" si="96"/>
        <v>3714.9717197924037</v>
      </c>
      <c r="I324" s="1">
        <v>0</v>
      </c>
      <c r="J324" s="1">
        <v>0</v>
      </c>
      <c r="K324" s="1">
        <f t="shared" si="104"/>
        <v>-544.72713803569843</v>
      </c>
      <c r="L324" s="1">
        <f t="shared" si="97"/>
        <v>469047.63323756639</v>
      </c>
      <c r="N324" s="1">
        <f t="shared" si="105"/>
        <v>301</v>
      </c>
      <c r="O324" s="2">
        <f t="shared" si="110"/>
        <v>25</v>
      </c>
      <c r="P324" s="2">
        <f t="shared" si="111"/>
        <v>1</v>
      </c>
      <c r="Q324" s="2">
        <f t="shared" si="112"/>
        <v>25</v>
      </c>
      <c r="R324" s="1">
        <f t="shared" si="106"/>
        <v>8425833.6194055323</v>
      </c>
      <c r="S324" s="1">
        <f>IF($G$17="si",S312*(1+$G$20),S312)</f>
        <v>10000</v>
      </c>
      <c r="U324" s="1">
        <f t="shared" si="113"/>
        <v>67268.52191600723</v>
      </c>
      <c r="V324" s="35">
        <f>V323*(1+$G$18)</f>
        <v>-235.63860501283625</v>
      </c>
      <c r="X324" s="35">
        <f t="shared" si="114"/>
        <v>-9863.325143151169</v>
      </c>
      <c r="Y324" s="1">
        <f t="shared" si="98"/>
        <v>8493003.1775733754</v>
      </c>
      <c r="AA324" s="2">
        <f>+Bono!J324</f>
        <v>305707.85499661998</v>
      </c>
      <c r="AC324" s="10">
        <f t="shared" si="99"/>
        <v>25.083333333333332</v>
      </c>
      <c r="AD324" s="1">
        <f t="shared" si="100"/>
        <v>9267758.6658075619</v>
      </c>
    </row>
    <row r="325" spans="1:30">
      <c r="A325" s="1">
        <f t="shared" si="101"/>
        <v>25.166666666666668</v>
      </c>
      <c r="B325" s="1">
        <f t="shared" si="102"/>
        <v>302</v>
      </c>
      <c r="C325" s="2">
        <f t="shared" si="107"/>
        <v>25</v>
      </c>
      <c r="D325" s="2">
        <f t="shared" si="108"/>
        <v>2</v>
      </c>
      <c r="E325" s="2">
        <f t="shared" si="109"/>
        <v>54</v>
      </c>
      <c r="F325" s="1">
        <f t="shared" si="103"/>
        <v>469047.63323756639</v>
      </c>
      <c r="H325" s="1">
        <f t="shared" si="96"/>
        <v>3740.251695281303</v>
      </c>
      <c r="I325" s="1">
        <v>0</v>
      </c>
      <c r="J325" s="1">
        <v>0</v>
      </c>
      <c r="K325" s="1">
        <f t="shared" si="104"/>
        <v>-548.43394652210327</v>
      </c>
      <c r="L325" s="1">
        <f t="shared" si="97"/>
        <v>472239.45098632557</v>
      </c>
      <c r="N325" s="1">
        <f t="shared" si="105"/>
        <v>302</v>
      </c>
      <c r="O325" s="2">
        <f t="shared" si="110"/>
        <v>25</v>
      </c>
      <c r="P325" s="2">
        <f t="shared" si="111"/>
        <v>2</v>
      </c>
      <c r="Q325" s="2">
        <f t="shared" si="112"/>
        <v>25</v>
      </c>
      <c r="R325" s="1">
        <f t="shared" si="106"/>
        <v>8493003.1775733754</v>
      </c>
      <c r="S325" s="4">
        <f>IF($G$4="mensual",S324,0)</f>
        <v>10000</v>
      </c>
      <c r="U325" s="1">
        <f t="shared" si="113"/>
        <v>67804.141405385031</v>
      </c>
      <c r="V325" s="35">
        <f t="shared" ref="V325:V388" si="115">V324</f>
        <v>-235.63860501283625</v>
      </c>
      <c r="X325" s="35">
        <f t="shared" si="114"/>
        <v>-9941.8631492335462</v>
      </c>
      <c r="Y325" s="1">
        <f t="shared" si="98"/>
        <v>8560629.8172245137</v>
      </c>
      <c r="AA325" s="2">
        <f>+Bono!J325</f>
        <v>307603.27915751538</v>
      </c>
      <c r="AC325" s="10">
        <f t="shared" si="99"/>
        <v>25.166666666666668</v>
      </c>
      <c r="AD325" s="1">
        <f t="shared" si="100"/>
        <v>9340472.5473683551</v>
      </c>
    </row>
    <row r="326" spans="1:30">
      <c r="A326" s="1">
        <f t="shared" si="101"/>
        <v>25.25</v>
      </c>
      <c r="B326" s="1">
        <f t="shared" si="102"/>
        <v>303</v>
      </c>
      <c r="C326" s="2">
        <f t="shared" si="107"/>
        <v>25</v>
      </c>
      <c r="D326" s="2">
        <f t="shared" si="108"/>
        <v>3</v>
      </c>
      <c r="E326" s="2">
        <f t="shared" si="109"/>
        <v>54</v>
      </c>
      <c r="F326" s="1">
        <f t="shared" si="103"/>
        <v>472239.45098632557</v>
      </c>
      <c r="H326" s="1">
        <f t="shared" si="96"/>
        <v>3765.7036982333761</v>
      </c>
      <c r="I326" s="1">
        <v>0</v>
      </c>
      <c r="J326" s="69">
        <f>-SUM(F326:H326)*$J$21*1.16</f>
        <v>-4969.4938149067957</v>
      </c>
      <c r="K326" s="1">
        <f t="shared" si="104"/>
        <v>-546.40136660879648</v>
      </c>
      <c r="L326" s="1">
        <f t="shared" si="97"/>
        <v>470489.25950304331</v>
      </c>
      <c r="N326" s="1">
        <f t="shared" si="105"/>
        <v>303</v>
      </c>
      <c r="O326" s="2">
        <f t="shared" si="110"/>
        <v>25</v>
      </c>
      <c r="P326" s="2">
        <f t="shared" si="111"/>
        <v>3</v>
      </c>
      <c r="Q326" s="2">
        <f t="shared" si="112"/>
        <v>25</v>
      </c>
      <c r="R326" s="1">
        <f t="shared" si="106"/>
        <v>8560629.8172245137</v>
      </c>
      <c r="S326" s="4">
        <f>IF($G$4="mensual",S325,0)</f>
        <v>10000</v>
      </c>
      <c r="U326" s="1">
        <f t="shared" si="113"/>
        <v>68343.405726698082</v>
      </c>
      <c r="V326" s="35">
        <f t="shared" si="115"/>
        <v>-235.63860501283625</v>
      </c>
      <c r="X326" s="35">
        <f t="shared" si="114"/>
        <v>-10020.935597841588</v>
      </c>
      <c r="Y326" s="1">
        <f t="shared" si="98"/>
        <v>8628716.6487483568</v>
      </c>
      <c r="AA326" s="2">
        <f>+Bono!J326</f>
        <v>306722.0726890724</v>
      </c>
      <c r="AC326" s="10">
        <f t="shared" si="99"/>
        <v>25.25</v>
      </c>
      <c r="AD326" s="1">
        <f t="shared" si="100"/>
        <v>9405927.9809404742</v>
      </c>
    </row>
    <row r="327" spans="1:30">
      <c r="A327" s="1">
        <f t="shared" si="101"/>
        <v>25.333333333333332</v>
      </c>
      <c r="B327" s="1">
        <f t="shared" si="102"/>
        <v>304</v>
      </c>
      <c r="C327" s="2">
        <f t="shared" si="107"/>
        <v>25</v>
      </c>
      <c r="D327" s="2">
        <f t="shared" si="108"/>
        <v>4</v>
      </c>
      <c r="E327" s="2">
        <f t="shared" si="109"/>
        <v>54</v>
      </c>
      <c r="F327" s="1">
        <f t="shared" si="103"/>
        <v>470489.25950304331</v>
      </c>
      <c r="H327" s="1">
        <f t="shared" si="96"/>
        <v>3751.7474255682123</v>
      </c>
      <c r="I327" s="1">
        <v>0</v>
      </c>
      <c r="J327" s="1">
        <v>0</v>
      </c>
      <c r="K327" s="1">
        <f t="shared" si="104"/>
        <v>-550.11956803718942</v>
      </c>
      <c r="L327" s="1">
        <f t="shared" si="97"/>
        <v>473690.88736057433</v>
      </c>
      <c r="N327" s="1">
        <f t="shared" si="105"/>
        <v>304</v>
      </c>
      <c r="O327" s="2">
        <f t="shared" si="110"/>
        <v>25</v>
      </c>
      <c r="P327" s="2">
        <f t="shared" si="111"/>
        <v>4</v>
      </c>
      <c r="Q327" s="2">
        <f t="shared" si="112"/>
        <v>25</v>
      </c>
      <c r="R327" s="1">
        <f t="shared" si="106"/>
        <v>8628716.6487483568</v>
      </c>
      <c r="S327" s="4">
        <f>IF($G$4="mensual",S324,IF($G$4="trimestral",S324,0))</f>
        <v>10000</v>
      </c>
      <c r="U327" s="1">
        <f t="shared" si="113"/>
        <v>68886.339682628313</v>
      </c>
      <c r="V327" s="35">
        <f t="shared" si="115"/>
        <v>-235.63860501283625</v>
      </c>
      <c r="X327" s="35">
        <f t="shared" si="114"/>
        <v>-10100.546125798124</v>
      </c>
      <c r="Y327" s="1">
        <f t="shared" si="98"/>
        <v>8697266.8037001733</v>
      </c>
      <c r="AA327" s="2">
        <f>+Bono!J327</f>
        <v>308623.78511730302</v>
      </c>
      <c r="AC327" s="10">
        <f t="shared" si="99"/>
        <v>25.333333333333332</v>
      </c>
      <c r="AD327" s="1">
        <f t="shared" si="100"/>
        <v>9479581.4761780519</v>
      </c>
    </row>
    <row r="328" spans="1:30">
      <c r="A328" s="1">
        <f t="shared" si="101"/>
        <v>25.416666666666668</v>
      </c>
      <c r="B328" s="1">
        <f t="shared" si="102"/>
        <v>305</v>
      </c>
      <c r="C328" s="2">
        <f t="shared" si="107"/>
        <v>25</v>
      </c>
      <c r="D328" s="2">
        <f t="shared" si="108"/>
        <v>5</v>
      </c>
      <c r="E328" s="2">
        <f t="shared" si="109"/>
        <v>54</v>
      </c>
      <c r="F328" s="1">
        <f t="shared" si="103"/>
        <v>473690.88736057433</v>
      </c>
      <c r="H328" s="1">
        <f t="shared" si="96"/>
        <v>3777.2776557052548</v>
      </c>
      <c r="I328" s="1">
        <v>0</v>
      </c>
      <c r="J328" s="1">
        <v>0</v>
      </c>
      <c r="K328" s="1">
        <f t="shared" si="104"/>
        <v>-553.86307141888426</v>
      </c>
      <c r="L328" s="1">
        <f t="shared" si="97"/>
        <v>476914.30194486066</v>
      </c>
      <c r="N328" s="1">
        <f t="shared" si="105"/>
        <v>305</v>
      </c>
      <c r="O328" s="2">
        <f t="shared" si="110"/>
        <v>25</v>
      </c>
      <c r="P328" s="2">
        <f t="shared" si="111"/>
        <v>5</v>
      </c>
      <c r="Q328" s="2">
        <f t="shared" si="112"/>
        <v>25</v>
      </c>
      <c r="R328" s="1">
        <f t="shared" si="106"/>
        <v>8697266.8037001733</v>
      </c>
      <c r="S328" s="4">
        <f>IF($G$4="mensual",S327,0)</f>
        <v>10000</v>
      </c>
      <c r="U328" s="1">
        <f t="shared" si="113"/>
        <v>69432.968244637203</v>
      </c>
      <c r="V328" s="35">
        <f t="shared" si="115"/>
        <v>-235.63860501283625</v>
      </c>
      <c r="X328" s="35">
        <f t="shared" si="114"/>
        <v>-10180.698394674162</v>
      </c>
      <c r="Y328" s="1">
        <f t="shared" si="98"/>
        <v>8766283.4349451214</v>
      </c>
      <c r="AA328" s="2">
        <f>+Bono!J328</f>
        <v>310537.28838317358</v>
      </c>
      <c r="AC328" s="10">
        <f t="shared" si="99"/>
        <v>25.416666666666668</v>
      </c>
      <c r="AD328" s="1">
        <f t="shared" si="100"/>
        <v>9553735.0252731554</v>
      </c>
    </row>
    <row r="329" spans="1:30">
      <c r="A329" s="1">
        <f t="shared" si="101"/>
        <v>25.5</v>
      </c>
      <c r="B329" s="1">
        <f t="shared" si="102"/>
        <v>306</v>
      </c>
      <c r="C329" s="2">
        <f t="shared" si="107"/>
        <v>25</v>
      </c>
      <c r="D329" s="2">
        <f t="shared" si="108"/>
        <v>6</v>
      </c>
      <c r="E329" s="2">
        <f t="shared" si="109"/>
        <v>54</v>
      </c>
      <c r="F329" s="1">
        <f t="shared" si="103"/>
        <v>476914.30194486066</v>
      </c>
      <c r="H329" s="1">
        <f t="shared" si="96"/>
        <v>3802.9816162609304</v>
      </c>
      <c r="I329" s="1">
        <v>0</v>
      </c>
      <c r="J329" s="69">
        <f>-SUM(F329:H329)*$J$21*1.16</f>
        <v>-5018.6884403781105</v>
      </c>
      <c r="K329" s="1">
        <f t="shared" si="104"/>
        <v>-551.81037034006238</v>
      </c>
      <c r="L329" s="1">
        <f t="shared" si="97"/>
        <v>475146.78475040343</v>
      </c>
      <c r="N329" s="1">
        <f t="shared" si="105"/>
        <v>306</v>
      </c>
      <c r="O329" s="2">
        <f t="shared" si="110"/>
        <v>25</v>
      </c>
      <c r="P329" s="2">
        <f t="shared" si="111"/>
        <v>6</v>
      </c>
      <c r="Q329" s="2">
        <f t="shared" si="112"/>
        <v>25</v>
      </c>
      <c r="R329" s="1">
        <f t="shared" si="106"/>
        <v>8766283.4349451214</v>
      </c>
      <c r="S329" s="4">
        <f>IF($G$4="mensual",S328,0)</f>
        <v>10000</v>
      </c>
      <c r="U329" s="1">
        <f t="shared" si="113"/>
        <v>69983.316554114295</v>
      </c>
      <c r="V329" s="35">
        <f t="shared" si="115"/>
        <v>-235.63860501283625</v>
      </c>
      <c r="X329" s="35">
        <f t="shared" si="114"/>
        <v>-10261.396090957298</v>
      </c>
      <c r="Y329" s="1">
        <f t="shared" si="98"/>
        <v>8835769.7168032657</v>
      </c>
      <c r="AA329" s="2">
        <f>+Bono!J329</f>
        <v>309647.67671204481</v>
      </c>
      <c r="AC329" s="10">
        <f t="shared" si="99"/>
        <v>25.5</v>
      </c>
      <c r="AD329" s="1">
        <f t="shared" si="100"/>
        <v>9620564.178265715</v>
      </c>
    </row>
    <row r="330" spans="1:30">
      <c r="A330" s="1">
        <f t="shared" si="101"/>
        <v>25.583333333333332</v>
      </c>
      <c r="B330" s="1">
        <f t="shared" si="102"/>
        <v>307</v>
      </c>
      <c r="C330" s="2">
        <f t="shared" si="107"/>
        <v>25</v>
      </c>
      <c r="D330" s="2">
        <f t="shared" si="108"/>
        <v>7</v>
      </c>
      <c r="E330" s="2">
        <f t="shared" si="109"/>
        <v>54</v>
      </c>
      <c r="F330" s="1">
        <f t="shared" si="103"/>
        <v>475146.78475040343</v>
      </c>
      <c r="H330" s="1">
        <f t="shared" si="96"/>
        <v>3788.8871859418264</v>
      </c>
      <c r="I330" s="1">
        <v>0</v>
      </c>
      <c r="J330" s="1">
        <v>0</v>
      </c>
      <c r="K330" s="1">
        <f t="shared" si="104"/>
        <v>-555.56537944616036</v>
      </c>
      <c r="L330" s="1">
        <f t="shared" si="97"/>
        <v>478380.10655689909</v>
      </c>
      <c r="N330" s="1">
        <f t="shared" si="105"/>
        <v>307</v>
      </c>
      <c r="O330" s="2">
        <f t="shared" si="110"/>
        <v>25</v>
      </c>
      <c r="P330" s="2">
        <f t="shared" si="111"/>
        <v>7</v>
      </c>
      <c r="Q330" s="2">
        <f t="shared" si="112"/>
        <v>25</v>
      </c>
      <c r="R330" s="1">
        <f t="shared" si="106"/>
        <v>8835769.7168032657</v>
      </c>
      <c r="S330" s="1">
        <f>+IF($G$4="mensual",S324,IF($G$4="trimestral",S324,IF($G$4="semestral",S324,0)))</f>
        <v>10000</v>
      </c>
      <c r="U330" s="1">
        <f t="shared" si="113"/>
        <v>70537.409923533516</v>
      </c>
      <c r="V330" s="35">
        <f t="shared" si="115"/>
        <v>-235.63860501283625</v>
      </c>
      <c r="X330" s="35">
        <f t="shared" si="114"/>
        <v>-10342.64292622127</v>
      </c>
      <c r="Y330" s="1">
        <f t="shared" si="98"/>
        <v>8905728.8451955635</v>
      </c>
      <c r="AA330" s="2">
        <f>+Bono!J330</f>
        <v>311567.52822456689</v>
      </c>
      <c r="AC330" s="10">
        <f t="shared" si="99"/>
        <v>25.583333333333332</v>
      </c>
      <c r="AD330" s="1">
        <f t="shared" si="100"/>
        <v>9695676.4799770303</v>
      </c>
    </row>
    <row r="331" spans="1:30">
      <c r="A331" s="1">
        <f t="shared" si="101"/>
        <v>25.666666666666668</v>
      </c>
      <c r="B331" s="1">
        <f t="shared" si="102"/>
        <v>308</v>
      </c>
      <c r="C331" s="2">
        <f t="shared" si="107"/>
        <v>25</v>
      </c>
      <c r="D331" s="2">
        <f t="shared" si="108"/>
        <v>8</v>
      </c>
      <c r="E331" s="2">
        <f t="shared" si="109"/>
        <v>54</v>
      </c>
      <c r="F331" s="1">
        <f t="shared" si="103"/>
        <v>478380.10655689909</v>
      </c>
      <c r="H331" s="1">
        <f t="shared" si="96"/>
        <v>3814.6701480786596</v>
      </c>
      <c r="I331" s="1">
        <v>0</v>
      </c>
      <c r="J331" s="1">
        <v>0</v>
      </c>
      <c r="K331" s="1">
        <f t="shared" si="104"/>
        <v>-559.34594097777415</v>
      </c>
      <c r="L331" s="1">
        <f t="shared" si="97"/>
        <v>481635.43076399993</v>
      </c>
      <c r="N331" s="1">
        <f t="shared" si="105"/>
        <v>308</v>
      </c>
      <c r="O331" s="2">
        <f t="shared" si="110"/>
        <v>25</v>
      </c>
      <c r="P331" s="2">
        <f t="shared" si="111"/>
        <v>8</v>
      </c>
      <c r="Q331" s="2">
        <f t="shared" si="112"/>
        <v>25</v>
      </c>
      <c r="R331" s="1">
        <f t="shared" si="106"/>
        <v>8905728.8451955635</v>
      </c>
      <c r="S331" s="4">
        <f>IF($G$4="mensual",S330,0)</f>
        <v>10000</v>
      </c>
      <c r="U331" s="1">
        <f t="shared" si="113"/>
        <v>71095.273837617409</v>
      </c>
      <c r="V331" s="35">
        <f t="shared" si="115"/>
        <v>-235.63860501283625</v>
      </c>
      <c r="X331" s="35">
        <f t="shared" si="114"/>
        <v>-10424.442637296674</v>
      </c>
      <c r="Y331" s="1">
        <f t="shared" si="98"/>
        <v>8976164.0377908703</v>
      </c>
      <c r="AA331" s="2">
        <f>+Bono!J331</f>
        <v>313499.28303915565</v>
      </c>
      <c r="AC331" s="10">
        <f t="shared" si="99"/>
        <v>25.666666666666668</v>
      </c>
      <c r="AD331" s="1">
        <f t="shared" si="100"/>
        <v>9771298.7515940256</v>
      </c>
    </row>
    <row r="332" spans="1:30">
      <c r="A332" s="1">
        <f t="shared" si="101"/>
        <v>25.75</v>
      </c>
      <c r="B332" s="1">
        <f t="shared" si="102"/>
        <v>309</v>
      </c>
      <c r="C332" s="2">
        <f t="shared" si="107"/>
        <v>25</v>
      </c>
      <c r="D332" s="2">
        <f t="shared" si="108"/>
        <v>9</v>
      </c>
      <c r="E332" s="2">
        <f t="shared" si="109"/>
        <v>54</v>
      </c>
      <c r="F332" s="1">
        <f t="shared" si="103"/>
        <v>481635.43076399993</v>
      </c>
      <c r="H332" s="1">
        <f t="shared" si="96"/>
        <v>3840.6285604476916</v>
      </c>
      <c r="I332" s="1">
        <v>0</v>
      </c>
      <c r="J332" s="69">
        <f>-SUM(F332:H332)*$J$21*1.16</f>
        <v>-5068.370059347234</v>
      </c>
      <c r="K332" s="1">
        <f t="shared" si="104"/>
        <v>-557.27291954751649</v>
      </c>
      <c r="L332" s="1">
        <f t="shared" si="97"/>
        <v>479850.41634555289</v>
      </c>
      <c r="N332" s="1">
        <f t="shared" si="105"/>
        <v>309</v>
      </c>
      <c r="O332" s="2">
        <f t="shared" si="110"/>
        <v>25</v>
      </c>
      <c r="P332" s="2">
        <f t="shared" si="111"/>
        <v>9</v>
      </c>
      <c r="Q332" s="2">
        <f t="shared" si="112"/>
        <v>25</v>
      </c>
      <c r="R332" s="1">
        <f t="shared" si="106"/>
        <v>8976164.0377908703</v>
      </c>
      <c r="S332" s="4">
        <f>IF($G$4="mensual",S331,0)</f>
        <v>10000</v>
      </c>
      <c r="U332" s="1">
        <f t="shared" si="113"/>
        <v>71656.933954509266</v>
      </c>
      <c r="V332" s="35">
        <f t="shared" si="115"/>
        <v>-235.63860501283625</v>
      </c>
      <c r="X332" s="35">
        <f t="shared" si="114"/>
        <v>-10506.798986442825</v>
      </c>
      <c r="Y332" s="1">
        <f t="shared" si="98"/>
        <v>9047078.5341539234</v>
      </c>
      <c r="AA332" s="2">
        <f>+Bono!J332</f>
        <v>312601.1859940819</v>
      </c>
      <c r="AC332" s="10">
        <f t="shared" si="99"/>
        <v>25.75</v>
      </c>
      <c r="AD332" s="1">
        <f t="shared" si="100"/>
        <v>9839530.1364935581</v>
      </c>
    </row>
    <row r="333" spans="1:30">
      <c r="A333" s="1">
        <f t="shared" si="101"/>
        <v>25.833333333333332</v>
      </c>
      <c r="B333" s="1">
        <f t="shared" si="102"/>
        <v>310</v>
      </c>
      <c r="C333" s="2">
        <f t="shared" si="107"/>
        <v>25</v>
      </c>
      <c r="D333" s="2">
        <f t="shared" si="108"/>
        <v>10</v>
      </c>
      <c r="E333" s="2">
        <f t="shared" si="109"/>
        <v>54</v>
      </c>
      <c r="F333" s="1">
        <f t="shared" si="103"/>
        <v>479850.41634555289</v>
      </c>
      <c r="H333" s="1">
        <f t="shared" si="96"/>
        <v>3826.3946048073772</v>
      </c>
      <c r="I333" s="1">
        <v>0</v>
      </c>
      <c r="J333" s="1">
        <v>0</v>
      </c>
      <c r="K333" s="1">
        <f t="shared" si="104"/>
        <v>-561.06510070241791</v>
      </c>
      <c r="L333" s="1">
        <f t="shared" si="97"/>
        <v>483115.74584965786</v>
      </c>
      <c r="N333" s="1">
        <f t="shared" si="105"/>
        <v>310</v>
      </c>
      <c r="O333" s="2">
        <f t="shared" si="110"/>
        <v>25</v>
      </c>
      <c r="P333" s="2">
        <f t="shared" si="111"/>
        <v>10</v>
      </c>
      <c r="Q333" s="2">
        <f t="shared" si="112"/>
        <v>25</v>
      </c>
      <c r="R333" s="1">
        <f t="shared" si="106"/>
        <v>9047078.5341539234</v>
      </c>
      <c r="S333" s="4">
        <f>IF($G$4="mensual",S324,IF($G$4="trimestral",S324,0))</f>
        <v>10000</v>
      </c>
      <c r="U333" s="1">
        <f t="shared" si="113"/>
        <v>72222.416106953242</v>
      </c>
      <c r="V333" s="35">
        <f t="shared" si="115"/>
        <v>-235.63860501283625</v>
      </c>
      <c r="X333" s="35">
        <f t="shared" si="114"/>
        <v>-10589.7157615208</v>
      </c>
      <c r="Y333" s="1">
        <f t="shared" si="98"/>
        <v>9118475.5958943423</v>
      </c>
      <c r="AA333" s="2">
        <f>+Bono!J333</f>
        <v>314539.34960673848</v>
      </c>
      <c r="AC333" s="10">
        <f t="shared" si="99"/>
        <v>25.833333333333332</v>
      </c>
      <c r="AD333" s="1">
        <f t="shared" si="100"/>
        <v>9916130.6913507394</v>
      </c>
    </row>
    <row r="334" spans="1:30">
      <c r="A334" s="1">
        <f t="shared" si="101"/>
        <v>25.916666666666668</v>
      </c>
      <c r="B334" s="1">
        <f t="shared" si="102"/>
        <v>311</v>
      </c>
      <c r="C334" s="2">
        <f t="shared" si="107"/>
        <v>25</v>
      </c>
      <c r="D334" s="2">
        <f t="shared" si="108"/>
        <v>11</v>
      </c>
      <c r="E334" s="2">
        <f t="shared" si="109"/>
        <v>54</v>
      </c>
      <c r="F334" s="1">
        <f t="shared" si="103"/>
        <v>483115.74584965786</v>
      </c>
      <c r="H334" s="1">
        <f t="shared" si="96"/>
        <v>3852.4328008197526</v>
      </c>
      <c r="I334" s="1">
        <v>0</v>
      </c>
      <c r="J334" s="1">
        <v>0</v>
      </c>
      <c r="K334" s="1">
        <f t="shared" si="104"/>
        <v>-564.88308723455395</v>
      </c>
      <c r="L334" s="1">
        <f t="shared" si="97"/>
        <v>486403.29556324304</v>
      </c>
      <c r="N334" s="1">
        <f t="shared" si="105"/>
        <v>311</v>
      </c>
      <c r="O334" s="2">
        <f t="shared" si="110"/>
        <v>25</v>
      </c>
      <c r="P334" s="2">
        <f t="shared" si="111"/>
        <v>11</v>
      </c>
      <c r="Q334" s="2">
        <f t="shared" si="112"/>
        <v>25</v>
      </c>
      <c r="R334" s="1">
        <f t="shared" si="106"/>
        <v>9118475.5958943423</v>
      </c>
      <c r="S334" s="1">
        <f>IF($G$17="si",S322*(1+$G$20),S322)</f>
        <v>10000</v>
      </c>
      <c r="U334" s="1">
        <f t="shared" si="113"/>
        <v>72791.746303482461</v>
      </c>
      <c r="V334" s="35">
        <f t="shared" si="115"/>
        <v>-235.63860501283625</v>
      </c>
      <c r="X334" s="35">
        <f t="shared" si="114"/>
        <v>-10673.196776167661</v>
      </c>
      <c r="Y334" s="1">
        <f t="shared" si="98"/>
        <v>9190358.5068166424</v>
      </c>
      <c r="AA334" s="2">
        <f>+Bono!J334</f>
        <v>316489.53005860664</v>
      </c>
      <c r="AC334" s="10">
        <f t="shared" si="99"/>
        <v>25.916666666666668</v>
      </c>
      <c r="AD334" s="1">
        <f t="shared" si="100"/>
        <v>9993251.3324384931</v>
      </c>
    </row>
    <row r="335" spans="1:30">
      <c r="A335" s="1">
        <f t="shared" si="101"/>
        <v>26</v>
      </c>
      <c r="B335" s="1">
        <f t="shared" si="102"/>
        <v>312</v>
      </c>
      <c r="C335" s="2">
        <f t="shared" si="107"/>
        <v>25</v>
      </c>
      <c r="D335" s="2">
        <f t="shared" si="108"/>
        <v>12</v>
      </c>
      <c r="E335" s="2">
        <f t="shared" si="109"/>
        <v>54</v>
      </c>
      <c r="F335" s="1">
        <f t="shared" si="103"/>
        <v>486403.29556324304</v>
      </c>
      <c r="H335" s="1">
        <f t="shared" si="96"/>
        <v>3878.6481839028834</v>
      </c>
      <c r="I335" s="1">
        <v>0</v>
      </c>
      <c r="J335" s="69">
        <f>-SUM(F335:H335)*$J$21*1.16</f>
        <v>-5118.5434927202041</v>
      </c>
      <c r="K335" s="1">
        <f t="shared" si="104"/>
        <v>-562.78954429513374</v>
      </c>
      <c r="L335" s="1">
        <f t="shared" si="97"/>
        <v>484600.6107101306</v>
      </c>
      <c r="N335" s="1">
        <f t="shared" si="105"/>
        <v>312</v>
      </c>
      <c r="O335" s="2">
        <f t="shared" si="110"/>
        <v>25</v>
      </c>
      <c r="P335" s="2">
        <f t="shared" si="111"/>
        <v>12</v>
      </c>
      <c r="Q335" s="2">
        <f t="shared" si="112"/>
        <v>25</v>
      </c>
      <c r="R335" s="1">
        <f t="shared" si="106"/>
        <v>9190358.5068166424</v>
      </c>
      <c r="S335" s="4">
        <f>IF($G$4="mensual",S334,0)</f>
        <v>10000</v>
      </c>
      <c r="U335" s="1">
        <f t="shared" si="113"/>
        <v>73364.950729615259</v>
      </c>
      <c r="V335" s="35">
        <f t="shared" si="115"/>
        <v>-235.63860501283625</v>
      </c>
      <c r="X335" s="35">
        <f t="shared" si="114"/>
        <v>-10757.245869971843</v>
      </c>
      <c r="Y335" s="1">
        <f t="shared" si="98"/>
        <v>9262730.573071273</v>
      </c>
      <c r="AA335" s="2">
        <f>+Bono!J335</f>
        <v>315582.86670363211</v>
      </c>
      <c r="AC335" s="10">
        <f t="shared" si="99"/>
        <v>26</v>
      </c>
      <c r="AD335" s="1">
        <f t="shared" si="100"/>
        <v>10062914.050485035</v>
      </c>
    </row>
    <row r="336" spans="1:30">
      <c r="A336" s="1">
        <f t="shared" si="101"/>
        <v>26.083333333333332</v>
      </c>
      <c r="B336" s="1">
        <f t="shared" si="102"/>
        <v>313</v>
      </c>
      <c r="C336" s="2">
        <f t="shared" si="107"/>
        <v>26</v>
      </c>
      <c r="D336" s="2">
        <f t="shared" si="108"/>
        <v>1</v>
      </c>
      <c r="E336" s="2">
        <f t="shared" si="109"/>
        <v>55</v>
      </c>
      <c r="F336" s="1">
        <f t="shared" si="103"/>
        <v>484600.6107101306</v>
      </c>
      <c r="H336" s="1">
        <f t="shared" si="96"/>
        <v>3864.2733217351069</v>
      </c>
      <c r="I336" s="1">
        <v>0</v>
      </c>
      <c r="J336" s="1">
        <v>0</v>
      </c>
      <c r="K336" s="1">
        <f t="shared" si="104"/>
        <v>-566.61926547696419</v>
      </c>
      <c r="L336" s="1">
        <f t="shared" si="97"/>
        <v>487898.26476638875</v>
      </c>
      <c r="N336" s="1">
        <f t="shared" si="105"/>
        <v>313</v>
      </c>
      <c r="O336" s="2">
        <f t="shared" si="110"/>
        <v>26</v>
      </c>
      <c r="P336" s="2">
        <f t="shared" si="111"/>
        <v>1</v>
      </c>
      <c r="Q336" s="2">
        <f t="shared" si="112"/>
        <v>26</v>
      </c>
      <c r="R336" s="1">
        <f t="shared" si="106"/>
        <v>9262730.573071273</v>
      </c>
      <c r="S336" s="1">
        <f>IF($G$17="si",S324*(1+$G$20),S324)</f>
        <v>10000</v>
      </c>
      <c r="U336" s="1">
        <f t="shared" si="113"/>
        <v>73942.055749059611</v>
      </c>
      <c r="V336" s="35">
        <f>V335*(1+$G$18)</f>
        <v>-245.06414921334971</v>
      </c>
      <c r="X336" s="35">
        <f t="shared" si="114"/>
        <v>-10841.855975018496</v>
      </c>
      <c r="Y336" s="1">
        <f t="shared" si="98"/>
        <v>9335585.708696099</v>
      </c>
      <c r="AA336" s="2">
        <f>+Bono!J336</f>
        <v>317539.51708254148</v>
      </c>
      <c r="AC336" s="10">
        <f t="shared" si="99"/>
        <v>26.083333333333332</v>
      </c>
      <c r="AD336" s="1">
        <f t="shared" si="100"/>
        <v>10141023.490545031</v>
      </c>
    </row>
    <row r="337" spans="1:30">
      <c r="A337" s="1">
        <f t="shared" si="101"/>
        <v>26.166666666666668</v>
      </c>
      <c r="B337" s="1">
        <f t="shared" si="102"/>
        <v>314</v>
      </c>
      <c r="C337" s="2">
        <f t="shared" si="107"/>
        <v>26</v>
      </c>
      <c r="D337" s="2">
        <f t="shared" si="108"/>
        <v>2</v>
      </c>
      <c r="E337" s="2">
        <f t="shared" si="109"/>
        <v>55</v>
      </c>
      <c r="F337" s="1">
        <f t="shared" si="103"/>
        <v>487898.26476638875</v>
      </c>
      <c r="H337" s="1">
        <f t="shared" si="96"/>
        <v>3890.5692782656533</v>
      </c>
      <c r="I337" s="1">
        <v>0</v>
      </c>
      <c r="J337" s="1">
        <v>0</v>
      </c>
      <c r="K337" s="1">
        <f t="shared" si="104"/>
        <v>-570.47504749179905</v>
      </c>
      <c r="L337" s="1">
        <f t="shared" si="97"/>
        <v>491218.35899716261</v>
      </c>
      <c r="N337" s="1">
        <f t="shared" si="105"/>
        <v>314</v>
      </c>
      <c r="O337" s="2">
        <f t="shared" si="110"/>
        <v>26</v>
      </c>
      <c r="P337" s="2">
        <f t="shared" si="111"/>
        <v>2</v>
      </c>
      <c r="Q337" s="2">
        <f t="shared" si="112"/>
        <v>26</v>
      </c>
      <c r="R337" s="1">
        <f t="shared" si="106"/>
        <v>9335585.708696099</v>
      </c>
      <c r="S337" s="4">
        <f>IF($G$4="mensual",S336,0)</f>
        <v>10000</v>
      </c>
      <c r="U337" s="1">
        <f t="shared" si="113"/>
        <v>74523.012831498796</v>
      </c>
      <c r="V337" s="35">
        <f t="shared" si="115"/>
        <v>-245.06414921334971</v>
      </c>
      <c r="X337" s="35">
        <f t="shared" si="114"/>
        <v>-10927.041842558923</v>
      </c>
      <c r="Y337" s="1">
        <f t="shared" si="98"/>
        <v>9408936.6155358236</v>
      </c>
      <c r="AA337" s="2">
        <f>+Bono!J337</f>
        <v>319508.29892075749</v>
      </c>
      <c r="AC337" s="10">
        <f t="shared" si="99"/>
        <v>26.166666666666668</v>
      </c>
      <c r="AD337" s="1">
        <f t="shared" si="100"/>
        <v>10219663.273453744</v>
      </c>
    </row>
    <row r="338" spans="1:30">
      <c r="A338" s="1">
        <f t="shared" si="101"/>
        <v>26.25</v>
      </c>
      <c r="B338" s="1">
        <f t="shared" si="102"/>
        <v>315</v>
      </c>
      <c r="C338" s="2">
        <f t="shared" si="107"/>
        <v>26</v>
      </c>
      <c r="D338" s="2">
        <f t="shared" si="108"/>
        <v>3</v>
      </c>
      <c r="E338" s="2">
        <f t="shared" si="109"/>
        <v>55</v>
      </c>
      <c r="F338" s="1">
        <f t="shared" si="103"/>
        <v>491218.35899716261</v>
      </c>
      <c r="H338" s="1">
        <f t="shared" si="96"/>
        <v>3917.0441758990373</v>
      </c>
      <c r="I338" s="1">
        <v>0</v>
      </c>
      <c r="J338" s="69">
        <f>-SUM(F338:H338)*$J$21*1.16</f>
        <v>-5169.2136091267639</v>
      </c>
      <c r="K338" s="1">
        <f t="shared" si="104"/>
        <v>-568.36077989416447</v>
      </c>
      <c r="L338" s="1">
        <f t="shared" si="97"/>
        <v>489397.82878404076</v>
      </c>
      <c r="N338" s="1">
        <f t="shared" si="105"/>
        <v>315</v>
      </c>
      <c r="O338" s="2">
        <f t="shared" si="110"/>
        <v>26</v>
      </c>
      <c r="P338" s="2">
        <f t="shared" si="111"/>
        <v>3</v>
      </c>
      <c r="Q338" s="2">
        <f t="shared" si="112"/>
        <v>26</v>
      </c>
      <c r="R338" s="1">
        <f t="shared" si="106"/>
        <v>9408936.6155358236</v>
      </c>
      <c r="S338" s="4">
        <f>IF($G$4="mensual",S337,0)</f>
        <v>10000</v>
      </c>
      <c r="U338" s="1">
        <f t="shared" si="113"/>
        <v>75107.923263226199</v>
      </c>
      <c r="V338" s="35">
        <f t="shared" si="115"/>
        <v>-245.06414921334971</v>
      </c>
      <c r="X338" s="35">
        <f t="shared" si="114"/>
        <v>-11012.807390593809</v>
      </c>
      <c r="Y338" s="1">
        <f t="shared" si="98"/>
        <v>9482786.6672592424</v>
      </c>
      <c r="AA338" s="2">
        <f>+Bono!J338</f>
        <v>318592.98754793557</v>
      </c>
      <c r="AC338" s="10">
        <f t="shared" si="99"/>
        <v>26.25</v>
      </c>
      <c r="AD338" s="1">
        <f t="shared" si="100"/>
        <v>10290777.483591219</v>
      </c>
    </row>
    <row r="339" spans="1:30">
      <c r="A339" s="1">
        <f t="shared" si="101"/>
        <v>26.333333333333332</v>
      </c>
      <c r="B339" s="1">
        <f t="shared" si="102"/>
        <v>316</v>
      </c>
      <c r="C339" s="2">
        <f t="shared" si="107"/>
        <v>26</v>
      </c>
      <c r="D339" s="2">
        <f t="shared" si="108"/>
        <v>4</v>
      </c>
      <c r="E339" s="2">
        <f t="shared" si="109"/>
        <v>55</v>
      </c>
      <c r="F339" s="1">
        <f t="shared" si="103"/>
        <v>489397.82878404076</v>
      </c>
      <c r="H339" s="1">
        <f t="shared" si="96"/>
        <v>3902.5270123245418</v>
      </c>
      <c r="I339" s="1">
        <v>0</v>
      </c>
      <c r="J339" s="1">
        <v>0</v>
      </c>
      <c r="K339" s="1">
        <f t="shared" si="104"/>
        <v>-572.22841272378366</v>
      </c>
      <c r="L339" s="1">
        <f t="shared" si="97"/>
        <v>492728.12738364149</v>
      </c>
      <c r="N339" s="1">
        <f t="shared" si="105"/>
        <v>316</v>
      </c>
      <c r="O339" s="2">
        <f t="shared" si="110"/>
        <v>26</v>
      </c>
      <c r="P339" s="2">
        <f t="shared" si="111"/>
        <v>4</v>
      </c>
      <c r="Q339" s="2">
        <f t="shared" si="112"/>
        <v>26</v>
      </c>
      <c r="R339" s="1">
        <f t="shared" si="106"/>
        <v>9482786.6672592424</v>
      </c>
      <c r="S339" s="4">
        <f>IF($G$4="mensual",S336,IF($G$4="trimestral",S336,0))</f>
        <v>10000</v>
      </c>
      <c r="U339" s="1">
        <f t="shared" si="113"/>
        <v>75696.81394635055</v>
      </c>
      <c r="V339" s="35">
        <f t="shared" si="115"/>
        <v>-245.06414921334971</v>
      </c>
      <c r="X339" s="35">
        <f t="shared" si="114"/>
        <v>-11099.1565637854</v>
      </c>
      <c r="Y339" s="1">
        <f t="shared" si="98"/>
        <v>9557139.2604925949</v>
      </c>
      <c r="AA339" s="2">
        <f>+Bono!J339</f>
        <v>320568.30102523201</v>
      </c>
      <c r="AC339" s="10">
        <f t="shared" si="99"/>
        <v>26.333333333333332</v>
      </c>
      <c r="AD339" s="1">
        <f t="shared" si="100"/>
        <v>10370435.688901469</v>
      </c>
    </row>
    <row r="340" spans="1:30">
      <c r="A340" s="1">
        <f t="shared" si="101"/>
        <v>26.416666666666668</v>
      </c>
      <c r="B340" s="1">
        <f t="shared" si="102"/>
        <v>317</v>
      </c>
      <c r="C340" s="2">
        <f t="shared" si="107"/>
        <v>26</v>
      </c>
      <c r="D340" s="2">
        <f t="shared" si="108"/>
        <v>5</v>
      </c>
      <c r="E340" s="2">
        <f t="shared" si="109"/>
        <v>55</v>
      </c>
      <c r="F340" s="1">
        <f t="shared" si="103"/>
        <v>492728.12738364149</v>
      </c>
      <c r="H340" s="1">
        <f t="shared" si="96"/>
        <v>3929.0832810279394</v>
      </c>
      <c r="I340" s="1">
        <v>0</v>
      </c>
      <c r="J340" s="1">
        <v>0</v>
      </c>
      <c r="K340" s="1">
        <f t="shared" si="104"/>
        <v>-576.1223643710166</v>
      </c>
      <c r="L340" s="1">
        <f t="shared" si="97"/>
        <v>496081.08830029843</v>
      </c>
      <c r="N340" s="1">
        <f t="shared" si="105"/>
        <v>317</v>
      </c>
      <c r="O340" s="2">
        <f t="shared" si="110"/>
        <v>26</v>
      </c>
      <c r="P340" s="2">
        <f t="shared" si="111"/>
        <v>5</v>
      </c>
      <c r="Q340" s="2">
        <f t="shared" si="112"/>
        <v>26</v>
      </c>
      <c r="R340" s="1">
        <f t="shared" si="106"/>
        <v>9557139.2604925949</v>
      </c>
      <c r="S340" s="4">
        <f>IF($G$4="mensual",S339,0)</f>
        <v>10000</v>
      </c>
      <c r="U340" s="1">
        <f t="shared" si="113"/>
        <v>76289.711966046467</v>
      </c>
      <c r="V340" s="35">
        <f t="shared" si="115"/>
        <v>-245.06414921334971</v>
      </c>
      <c r="X340" s="35">
        <f t="shared" si="114"/>
        <v>-11186.093333638935</v>
      </c>
      <c r="Y340" s="1">
        <f t="shared" si="98"/>
        <v>9631997.8149757888</v>
      </c>
      <c r="AA340" s="2">
        <f>+Bono!J340</f>
        <v>322555.86167520989</v>
      </c>
      <c r="AC340" s="10">
        <f t="shared" si="99"/>
        <v>26.416666666666668</v>
      </c>
      <c r="AD340" s="1">
        <f t="shared" si="100"/>
        <v>10450634.764951298</v>
      </c>
    </row>
    <row r="341" spans="1:30">
      <c r="A341" s="1">
        <f t="shared" si="101"/>
        <v>26.5</v>
      </c>
      <c r="B341" s="1">
        <f t="shared" si="102"/>
        <v>318</v>
      </c>
      <c r="C341" s="2">
        <f t="shared" si="107"/>
        <v>26</v>
      </c>
      <c r="D341" s="2">
        <f t="shared" si="108"/>
        <v>6</v>
      </c>
      <c r="E341" s="2">
        <f t="shared" si="109"/>
        <v>55</v>
      </c>
      <c r="F341" s="1">
        <f t="shared" si="103"/>
        <v>496081.08830029843</v>
      </c>
      <c r="H341" s="1">
        <f t="shared" si="96"/>
        <v>3955.8202622299877</v>
      </c>
      <c r="I341" s="1">
        <v>0</v>
      </c>
      <c r="J341" s="69">
        <f>-SUM(F341:H341)*$J$21*1.16</f>
        <v>-5220.3853253927973</v>
      </c>
      <c r="K341" s="1">
        <f t="shared" si="104"/>
        <v>-573.98716695507733</v>
      </c>
      <c r="L341" s="1">
        <f t="shared" si="97"/>
        <v>494242.53607018053</v>
      </c>
      <c r="N341" s="1">
        <f t="shared" si="105"/>
        <v>318</v>
      </c>
      <c r="O341" s="2">
        <f t="shared" si="110"/>
        <v>26</v>
      </c>
      <c r="P341" s="2">
        <f t="shared" si="111"/>
        <v>6</v>
      </c>
      <c r="Q341" s="2">
        <f t="shared" si="112"/>
        <v>26</v>
      </c>
      <c r="R341" s="1">
        <f t="shared" si="106"/>
        <v>9631997.8149757888</v>
      </c>
      <c r="S341" s="4">
        <f>IF($G$4="mensual",S340,0)</f>
        <v>10000</v>
      </c>
      <c r="U341" s="1">
        <f t="shared" si="113"/>
        <v>76886.644591800199</v>
      </c>
      <c r="V341" s="35">
        <f t="shared" si="115"/>
        <v>-245.06414921334971</v>
      </c>
      <c r="X341" s="35">
        <f t="shared" si="114"/>
        <v>-11273.621698685316</v>
      </c>
      <c r="Y341" s="1">
        <f t="shared" si="98"/>
        <v>9707365.7737196907</v>
      </c>
      <c r="AA341" s="2">
        <f>+Bono!J341</f>
        <v>321631.81979724002</v>
      </c>
      <c r="AC341" s="10">
        <f t="shared" si="99"/>
        <v>26.5</v>
      </c>
      <c r="AD341" s="1">
        <f t="shared" si="100"/>
        <v>10523240.129587112</v>
      </c>
    </row>
    <row r="342" spans="1:30">
      <c r="A342" s="1">
        <f t="shared" si="101"/>
        <v>26.583333333333332</v>
      </c>
      <c r="B342" s="1">
        <f t="shared" si="102"/>
        <v>319</v>
      </c>
      <c r="C342" s="2">
        <f t="shared" si="107"/>
        <v>26</v>
      </c>
      <c r="D342" s="2">
        <f t="shared" si="108"/>
        <v>7</v>
      </c>
      <c r="E342" s="2">
        <f t="shared" si="109"/>
        <v>55</v>
      </c>
      <c r="F342" s="1">
        <f t="shared" si="103"/>
        <v>494242.53607018053</v>
      </c>
      <c r="H342" s="1">
        <f t="shared" si="96"/>
        <v>3941.1593885611537</v>
      </c>
      <c r="I342" s="1">
        <v>0</v>
      </c>
      <c r="J342" s="1">
        <v>0</v>
      </c>
      <c r="K342" s="1">
        <f t="shared" si="104"/>
        <v>-577.89308673214032</v>
      </c>
      <c r="L342" s="1">
        <f t="shared" si="97"/>
        <v>497605.80237200955</v>
      </c>
      <c r="N342" s="1">
        <f t="shared" si="105"/>
        <v>319</v>
      </c>
      <c r="O342" s="2">
        <f t="shared" si="110"/>
        <v>26</v>
      </c>
      <c r="P342" s="2">
        <f t="shared" si="111"/>
        <v>7</v>
      </c>
      <c r="Q342" s="2">
        <f t="shared" si="112"/>
        <v>26</v>
      </c>
      <c r="R342" s="1">
        <f t="shared" si="106"/>
        <v>9707365.7737196907</v>
      </c>
      <c r="S342" s="1">
        <f>+IF($G$4="mensual",S336,IF($G$4="trimestral",S336,IF($G$4="semestral",S336,0)))</f>
        <v>10000</v>
      </c>
      <c r="U342" s="1">
        <f t="shared" si="113"/>
        <v>77487.63927866389</v>
      </c>
      <c r="V342" s="35">
        <f t="shared" si="115"/>
        <v>-245.06414921334971</v>
      </c>
      <c r="X342" s="35">
        <f t="shared" si="114"/>
        <v>-11361.745684665002</v>
      </c>
      <c r="Y342" s="1">
        <f t="shared" si="98"/>
        <v>9783246.6031644754</v>
      </c>
      <c r="AA342" s="2">
        <f>+Bono!J342</f>
        <v>323625.97438696492</v>
      </c>
      <c r="AC342" s="10">
        <f t="shared" si="99"/>
        <v>26.583333333333332</v>
      </c>
      <c r="AD342" s="1">
        <f t="shared" si="100"/>
        <v>10604478.37992345</v>
      </c>
    </row>
    <row r="343" spans="1:30">
      <c r="A343" s="1">
        <f t="shared" si="101"/>
        <v>26.666666666666668</v>
      </c>
      <c r="B343" s="1">
        <f t="shared" si="102"/>
        <v>320</v>
      </c>
      <c r="C343" s="2">
        <f t="shared" si="107"/>
        <v>26</v>
      </c>
      <c r="D343" s="2">
        <f t="shared" si="108"/>
        <v>8</v>
      </c>
      <c r="E343" s="2">
        <f t="shared" si="109"/>
        <v>55</v>
      </c>
      <c r="F343" s="1">
        <f t="shared" si="103"/>
        <v>497605.80237200955</v>
      </c>
      <c r="H343" s="1">
        <f t="shared" si="96"/>
        <v>3967.9785463517378</v>
      </c>
      <c r="I343" s="1">
        <v>0</v>
      </c>
      <c r="J343" s="1">
        <v>0</v>
      </c>
      <c r="K343" s="1">
        <f t="shared" si="104"/>
        <v>-581.8255858652991</v>
      </c>
      <c r="L343" s="1">
        <f t="shared" si="97"/>
        <v>500991.95533249597</v>
      </c>
      <c r="N343" s="1">
        <f t="shared" si="105"/>
        <v>320</v>
      </c>
      <c r="O343" s="2">
        <f t="shared" si="110"/>
        <v>26</v>
      </c>
      <c r="P343" s="2">
        <f t="shared" si="111"/>
        <v>8</v>
      </c>
      <c r="Q343" s="2">
        <f t="shared" si="112"/>
        <v>26</v>
      </c>
      <c r="R343" s="1">
        <f t="shared" si="106"/>
        <v>9783246.6031644754</v>
      </c>
      <c r="S343" s="4">
        <f>IF($G$4="mensual",S342,0)</f>
        <v>10000</v>
      </c>
      <c r="U343" s="1">
        <f t="shared" si="113"/>
        <v>78092.723668518302</v>
      </c>
      <c r="V343" s="35">
        <f t="shared" si="115"/>
        <v>-245.06414921334971</v>
      </c>
      <c r="X343" s="35">
        <f t="shared" si="114"/>
        <v>-11450.469344713183</v>
      </c>
      <c r="Y343" s="1">
        <f t="shared" si="98"/>
        <v>9859643.7933390662</v>
      </c>
      <c r="AA343" s="2">
        <f>+Bono!J343</f>
        <v>325632.49296645372</v>
      </c>
      <c r="AC343" s="10">
        <f t="shared" si="99"/>
        <v>26.666666666666668</v>
      </c>
      <c r="AD343" s="1">
        <f t="shared" si="100"/>
        <v>10686268.241638016</v>
      </c>
    </row>
    <row r="344" spans="1:30">
      <c r="A344" s="1">
        <f t="shared" si="101"/>
        <v>26.75</v>
      </c>
      <c r="B344" s="1">
        <f t="shared" si="102"/>
        <v>321</v>
      </c>
      <c r="C344" s="2">
        <f t="shared" si="107"/>
        <v>26</v>
      </c>
      <c r="D344" s="2">
        <f t="shared" si="108"/>
        <v>9</v>
      </c>
      <c r="E344" s="2">
        <f t="shared" si="109"/>
        <v>55</v>
      </c>
      <c r="F344" s="1">
        <f t="shared" si="103"/>
        <v>500991.95533249597</v>
      </c>
      <c r="H344" s="1">
        <f t="shared" ref="H344:H407" si="116">SUM(F344:G344)*$G$8</f>
        <v>3994.9802055724049</v>
      </c>
      <c r="I344" s="1">
        <v>0</v>
      </c>
      <c r="J344" s="69">
        <f>-SUM(F344:H344)*$J$21*1.16</f>
        <v>-5272.0636070174332</v>
      </c>
      <c r="K344" s="1">
        <f t="shared" si="104"/>
        <v>-579.66925144001902</v>
      </c>
      <c r="L344" s="1">
        <f t="shared" ref="L344:L407" si="117">SUM(F344:K344)</f>
        <v>499135.20267961087</v>
      </c>
      <c r="N344" s="1">
        <f t="shared" si="105"/>
        <v>321</v>
      </c>
      <c r="O344" s="2">
        <f t="shared" si="110"/>
        <v>26</v>
      </c>
      <c r="P344" s="2">
        <f t="shared" si="111"/>
        <v>9</v>
      </c>
      <c r="Q344" s="2">
        <f t="shared" si="112"/>
        <v>26</v>
      </c>
      <c r="R344" s="1">
        <f t="shared" si="106"/>
        <v>9859643.7933390662</v>
      </c>
      <c r="S344" s="4">
        <f>IF($G$4="mensual",S343,0)</f>
        <v>10000</v>
      </c>
      <c r="U344" s="1">
        <f t="shared" si="113"/>
        <v>78701.925591344159</v>
      </c>
      <c r="V344" s="35">
        <f t="shared" si="115"/>
        <v>-245.06414921334971</v>
      </c>
      <c r="X344" s="35">
        <f t="shared" si="114"/>
        <v>-11539.796759546187</v>
      </c>
      <c r="Y344" s="1">
        <f t="shared" ref="Y344:Y407" si="118">SUM(R344:X344)</f>
        <v>9936560.8580216505</v>
      </c>
      <c r="AA344" s="2">
        <f>+Bono!J344</f>
        <v>324699.63730924757</v>
      </c>
      <c r="AC344" s="10">
        <f t="shared" ref="AC344:AC407" si="119">+B344/12</f>
        <v>26.75</v>
      </c>
      <c r="AD344" s="1">
        <f t="shared" ref="AD344:AD407" si="120">+AA344+Y344+L344</f>
        <v>10760395.69801051</v>
      </c>
    </row>
    <row r="345" spans="1:30">
      <c r="A345" s="1">
        <f t="shared" ref="A345:A408" si="121">+B345/12</f>
        <v>26.833333333333332</v>
      </c>
      <c r="B345" s="1">
        <f t="shared" ref="B345:B408" si="122">+B344+1</f>
        <v>322</v>
      </c>
      <c r="C345" s="2">
        <f t="shared" si="107"/>
        <v>26</v>
      </c>
      <c r="D345" s="2">
        <f t="shared" si="108"/>
        <v>10</v>
      </c>
      <c r="E345" s="2">
        <f t="shared" si="109"/>
        <v>55</v>
      </c>
      <c r="F345" s="1">
        <f t="shared" ref="F345:F408" si="123">L344</f>
        <v>499135.20267961087</v>
      </c>
      <c r="H345" s="1">
        <f t="shared" si="116"/>
        <v>3980.1741991765593</v>
      </c>
      <c r="I345" s="1">
        <v>0</v>
      </c>
      <c r="J345" s="1">
        <v>0</v>
      </c>
      <c r="K345" s="1">
        <f t="shared" ref="K345:K408" si="124">-SUM(F345:J345)*0.1%*1.16</f>
        <v>-583.61383717939339</v>
      </c>
      <c r="L345" s="1">
        <f t="shared" si="117"/>
        <v>502531.76304160804</v>
      </c>
      <c r="N345" s="1">
        <f t="shared" ref="N345:N408" si="125">+N344+1</f>
        <v>322</v>
      </c>
      <c r="O345" s="2">
        <f t="shared" si="110"/>
        <v>26</v>
      </c>
      <c r="P345" s="2">
        <f t="shared" si="111"/>
        <v>10</v>
      </c>
      <c r="Q345" s="2">
        <f t="shared" si="112"/>
        <v>26</v>
      </c>
      <c r="R345" s="1">
        <f t="shared" ref="R345:R408" si="126">Y344</f>
        <v>9936560.8580216505</v>
      </c>
      <c r="S345" s="4">
        <f>IF($G$4="mensual",S336,IF($G$4="trimestral",S336,0))</f>
        <v>10000</v>
      </c>
      <c r="U345" s="1">
        <f t="shared" si="113"/>
        <v>79315.273066502152</v>
      </c>
      <c r="V345" s="35">
        <f t="shared" si="115"/>
        <v>-245.06414921334971</v>
      </c>
      <c r="X345" s="35">
        <f t="shared" si="114"/>
        <v>-11629.732037649168</v>
      </c>
      <c r="Y345" s="1">
        <f t="shared" si="118"/>
        <v>10014001.33490129</v>
      </c>
      <c r="AA345" s="2">
        <f>+Bono!J345</f>
        <v>326712.81272339169</v>
      </c>
      <c r="AC345" s="10">
        <f t="shared" si="119"/>
        <v>26.833333333333332</v>
      </c>
      <c r="AD345" s="1">
        <f t="shared" si="120"/>
        <v>10843245.910666291</v>
      </c>
    </row>
    <row r="346" spans="1:30">
      <c r="A346" s="1">
        <f t="shared" si="121"/>
        <v>26.916666666666668</v>
      </c>
      <c r="B346" s="1">
        <f t="shared" si="122"/>
        <v>323</v>
      </c>
      <c r="C346" s="2">
        <f t="shared" si="107"/>
        <v>26</v>
      </c>
      <c r="D346" s="2">
        <f t="shared" si="108"/>
        <v>11</v>
      </c>
      <c r="E346" s="2">
        <f t="shared" si="109"/>
        <v>55</v>
      </c>
      <c r="F346" s="1">
        <f t="shared" si="123"/>
        <v>502531.76304160804</v>
      </c>
      <c r="H346" s="1">
        <f t="shared" si="116"/>
        <v>4007.2588484783732</v>
      </c>
      <c r="I346" s="1">
        <v>0</v>
      </c>
      <c r="J346" s="1">
        <v>0</v>
      </c>
      <c r="K346" s="1">
        <f t="shared" si="124"/>
        <v>-587.58526539250022</v>
      </c>
      <c r="L346" s="1">
        <f t="shared" si="117"/>
        <v>505951.43662469392</v>
      </c>
      <c r="N346" s="1">
        <f t="shared" si="125"/>
        <v>323</v>
      </c>
      <c r="O346" s="2">
        <f t="shared" si="110"/>
        <v>26</v>
      </c>
      <c r="P346" s="2">
        <f t="shared" si="111"/>
        <v>11</v>
      </c>
      <c r="Q346" s="2">
        <f t="shared" si="112"/>
        <v>26</v>
      </c>
      <c r="R346" s="1">
        <f t="shared" si="126"/>
        <v>10014001.33490129</v>
      </c>
      <c r="S346" s="1">
        <f>IF($G$17="si",S334*(1+$G$20),S334)</f>
        <v>10000</v>
      </c>
      <c r="U346" s="1">
        <f t="shared" si="113"/>
        <v>79932.794304021678</v>
      </c>
      <c r="V346" s="35">
        <f t="shared" si="115"/>
        <v>-245.06414921334971</v>
      </c>
      <c r="X346" s="35">
        <f t="shared" si="114"/>
        <v>-11720.279315465074</v>
      </c>
      <c r="Y346" s="1">
        <f t="shared" si="118"/>
        <v>10091968.785740634</v>
      </c>
      <c r="AA346" s="2">
        <f>+Bono!J346</f>
        <v>328738.47005861736</v>
      </c>
      <c r="AC346" s="10">
        <f t="shared" si="119"/>
        <v>26.916666666666668</v>
      </c>
      <c r="AD346" s="1">
        <f t="shared" si="120"/>
        <v>10926658.692423947</v>
      </c>
    </row>
    <row r="347" spans="1:30">
      <c r="A347" s="1">
        <f t="shared" si="121"/>
        <v>27</v>
      </c>
      <c r="B347" s="1">
        <f t="shared" si="122"/>
        <v>324</v>
      </c>
      <c r="C347" s="2">
        <f t="shared" si="107"/>
        <v>26</v>
      </c>
      <c r="D347" s="2">
        <f t="shared" si="108"/>
        <v>12</v>
      </c>
      <c r="E347" s="2">
        <f t="shared" si="109"/>
        <v>55</v>
      </c>
      <c r="F347" s="1">
        <f t="shared" si="123"/>
        <v>505951.43662469392</v>
      </c>
      <c r="H347" s="1">
        <f t="shared" si="116"/>
        <v>4034.5278058509125</v>
      </c>
      <c r="I347" s="1">
        <v>0</v>
      </c>
      <c r="J347" s="69">
        <f>-SUM(F347:H347)*$J$21*1.16</f>
        <v>-5324.2534686548888</v>
      </c>
      <c r="K347" s="1">
        <f t="shared" si="124"/>
        <v>-585.40758471579227</v>
      </c>
      <c r="L347" s="1">
        <f t="shared" si="117"/>
        <v>504076.30337717413</v>
      </c>
      <c r="N347" s="1">
        <f t="shared" si="125"/>
        <v>324</v>
      </c>
      <c r="O347" s="2">
        <f t="shared" si="110"/>
        <v>26</v>
      </c>
      <c r="P347" s="2">
        <f t="shared" si="111"/>
        <v>12</v>
      </c>
      <c r="Q347" s="2">
        <f t="shared" si="112"/>
        <v>26</v>
      </c>
      <c r="R347" s="1">
        <f t="shared" si="126"/>
        <v>10091968.785740634</v>
      </c>
      <c r="S347" s="4">
        <f>IF($G$4="mensual",S346,0)</f>
        <v>10000</v>
      </c>
      <c r="U347" s="1">
        <f t="shared" si="113"/>
        <v>80554.517705898266</v>
      </c>
      <c r="V347" s="35">
        <f t="shared" si="115"/>
        <v>-245.06414921334971</v>
      </c>
      <c r="X347" s="35">
        <f t="shared" si="114"/>
        <v>-11811.442757584889</v>
      </c>
      <c r="Y347" s="1">
        <f t="shared" si="118"/>
        <v>10170466.796539735</v>
      </c>
      <c r="AA347" s="2">
        <f>+Bono!J347</f>
        <v>327796.71655379416</v>
      </c>
      <c r="AC347" s="10">
        <f t="shared" si="119"/>
        <v>27</v>
      </c>
      <c r="AD347" s="1">
        <f t="shared" si="120"/>
        <v>11002339.816470703</v>
      </c>
    </row>
    <row r="348" spans="1:30">
      <c r="A348" s="1">
        <f t="shared" si="121"/>
        <v>27.083333333333332</v>
      </c>
      <c r="B348" s="1">
        <f t="shared" si="122"/>
        <v>325</v>
      </c>
      <c r="C348" s="2">
        <f t="shared" si="107"/>
        <v>27</v>
      </c>
      <c r="D348" s="2">
        <f t="shared" si="108"/>
        <v>1</v>
      </c>
      <c r="E348" s="2">
        <f t="shared" si="109"/>
        <v>56</v>
      </c>
      <c r="F348" s="1">
        <f t="shared" si="123"/>
        <v>504076.30337717413</v>
      </c>
      <c r="H348" s="1">
        <f t="shared" si="116"/>
        <v>4019.5752300122836</v>
      </c>
      <c r="I348" s="1">
        <v>0</v>
      </c>
      <c r="J348" s="1">
        <v>0</v>
      </c>
      <c r="K348" s="1">
        <f t="shared" si="124"/>
        <v>-589.39121918433625</v>
      </c>
      <c r="L348" s="1">
        <f t="shared" si="117"/>
        <v>507506.4873880021</v>
      </c>
      <c r="N348" s="1">
        <f t="shared" si="125"/>
        <v>325</v>
      </c>
      <c r="O348" s="2">
        <f t="shared" si="110"/>
        <v>27</v>
      </c>
      <c r="P348" s="2">
        <f t="shared" si="111"/>
        <v>1</v>
      </c>
      <c r="Q348" s="2">
        <f t="shared" si="112"/>
        <v>27</v>
      </c>
      <c r="R348" s="1">
        <f t="shared" si="126"/>
        <v>10170466.796539735</v>
      </c>
      <c r="S348" s="1">
        <f>IF($G$17="si",S336*(1+$G$20),S336)</f>
        <v>10000</v>
      </c>
      <c r="U348" s="1">
        <f t="shared" si="113"/>
        <v>81180.471867399887</v>
      </c>
      <c r="V348" s="35">
        <f>V347*(1+$G$18)</f>
        <v>-254.86671518188371</v>
      </c>
      <c r="X348" s="35">
        <f t="shared" si="114"/>
        <v>-11903.215185962665</v>
      </c>
      <c r="Y348" s="1">
        <f t="shared" si="118"/>
        <v>10249489.18650599</v>
      </c>
      <c r="AA348" s="2">
        <f>+Bono!J348</f>
        <v>329829.09421849344</v>
      </c>
      <c r="AC348" s="10">
        <f t="shared" si="119"/>
        <v>27.083333333333332</v>
      </c>
      <c r="AD348" s="1">
        <f t="shared" si="120"/>
        <v>11086824.768112486</v>
      </c>
    </row>
    <row r="349" spans="1:30">
      <c r="A349" s="1">
        <f t="shared" si="121"/>
        <v>27.166666666666668</v>
      </c>
      <c r="B349" s="1">
        <f t="shared" si="122"/>
        <v>326</v>
      </c>
      <c r="C349" s="2">
        <f t="shared" si="107"/>
        <v>27</v>
      </c>
      <c r="D349" s="2">
        <f t="shared" si="108"/>
        <v>2</v>
      </c>
      <c r="E349" s="2">
        <f t="shared" si="109"/>
        <v>56</v>
      </c>
      <c r="F349" s="1">
        <f t="shared" si="123"/>
        <v>507506.4873880021</v>
      </c>
      <c r="H349" s="1">
        <f t="shared" si="116"/>
        <v>4046.9279990116061</v>
      </c>
      <c r="I349" s="1">
        <v>0</v>
      </c>
      <c r="J349" s="1">
        <v>0</v>
      </c>
      <c r="K349" s="1">
        <f t="shared" si="124"/>
        <v>-593.40196184893591</v>
      </c>
      <c r="L349" s="1">
        <f t="shared" si="117"/>
        <v>510960.01342516474</v>
      </c>
      <c r="N349" s="1">
        <f t="shared" si="125"/>
        <v>326</v>
      </c>
      <c r="O349" s="2">
        <f t="shared" si="110"/>
        <v>27</v>
      </c>
      <c r="P349" s="2">
        <f t="shared" si="111"/>
        <v>2</v>
      </c>
      <c r="Q349" s="2">
        <f t="shared" si="112"/>
        <v>27</v>
      </c>
      <c r="R349" s="1">
        <f t="shared" si="126"/>
        <v>10249489.18650599</v>
      </c>
      <c r="S349" s="4">
        <f>IF($G$4="mensual",S348,0)</f>
        <v>10000</v>
      </c>
      <c r="U349" s="1">
        <f t="shared" si="113"/>
        <v>81810.607502018407</v>
      </c>
      <c r="V349" s="35">
        <f t="shared" si="115"/>
        <v>-254.86671518188371</v>
      </c>
      <c r="X349" s="35">
        <f t="shared" si="114"/>
        <v>-11995.612115659678</v>
      </c>
      <c r="Y349" s="1">
        <f t="shared" si="118"/>
        <v>10329049.315177169</v>
      </c>
      <c r="AA349" s="2">
        <f>+Bono!J349</f>
        <v>331874.07286045502</v>
      </c>
      <c r="AC349" s="10">
        <f t="shared" si="119"/>
        <v>27.166666666666668</v>
      </c>
      <c r="AD349" s="1">
        <f t="shared" si="120"/>
        <v>11171883.401462788</v>
      </c>
    </row>
    <row r="350" spans="1:30">
      <c r="A350" s="1">
        <f t="shared" si="121"/>
        <v>27.25</v>
      </c>
      <c r="B350" s="1">
        <f t="shared" si="122"/>
        <v>327</v>
      </c>
      <c r="C350" s="2">
        <f t="shared" si="107"/>
        <v>27</v>
      </c>
      <c r="D350" s="2">
        <f t="shared" si="108"/>
        <v>3</v>
      </c>
      <c r="E350" s="2">
        <f t="shared" si="109"/>
        <v>56</v>
      </c>
      <c r="F350" s="1">
        <f t="shared" si="123"/>
        <v>510960.01342516474</v>
      </c>
      <c r="H350" s="1">
        <f t="shared" si="116"/>
        <v>4074.4669006068161</v>
      </c>
      <c r="I350" s="1">
        <v>0</v>
      </c>
      <c r="J350" s="69">
        <f>-SUM(F350:H350)*$J$21*1.16</f>
        <v>-5376.9599746010554</v>
      </c>
      <c r="K350" s="1">
        <f t="shared" si="124"/>
        <v>-591.20272360735771</v>
      </c>
      <c r="L350" s="1">
        <f t="shared" si="117"/>
        <v>509066.31762756314</v>
      </c>
      <c r="N350" s="1">
        <f t="shared" si="125"/>
        <v>327</v>
      </c>
      <c r="O350" s="2">
        <f t="shared" si="110"/>
        <v>27</v>
      </c>
      <c r="P350" s="2">
        <f t="shared" si="111"/>
        <v>3</v>
      </c>
      <c r="Q350" s="2">
        <f t="shared" si="112"/>
        <v>27</v>
      </c>
      <c r="R350" s="1">
        <f t="shared" si="126"/>
        <v>10329049.315177169</v>
      </c>
      <c r="S350" s="4">
        <f>IF($G$4="mensual",S349,0)</f>
        <v>10000</v>
      </c>
      <c r="U350" s="1">
        <f t="shared" si="113"/>
        <v>82445.031140584033</v>
      </c>
      <c r="V350" s="35">
        <f t="shared" si="115"/>
        <v>-254.86671518188371</v>
      </c>
      <c r="X350" s="35">
        <f t="shared" si="114"/>
        <v>-12088.637796338982</v>
      </c>
      <c r="Y350" s="1">
        <f t="shared" si="118"/>
        <v>10409150.841806233</v>
      </c>
      <c r="AA350" s="2">
        <f>+Bono!J350</f>
        <v>330923.33663776534</v>
      </c>
      <c r="AC350" s="10">
        <f t="shared" si="119"/>
        <v>27.25</v>
      </c>
      <c r="AD350" s="1">
        <f t="shared" si="120"/>
        <v>11249140.496071562</v>
      </c>
    </row>
    <row r="351" spans="1:30">
      <c r="A351" s="1">
        <f t="shared" si="121"/>
        <v>27.333333333333332</v>
      </c>
      <c r="B351" s="1">
        <f t="shared" si="122"/>
        <v>328</v>
      </c>
      <c r="C351" s="2">
        <f t="shared" si="107"/>
        <v>27</v>
      </c>
      <c r="D351" s="2">
        <f t="shared" si="108"/>
        <v>4</v>
      </c>
      <c r="E351" s="2">
        <f t="shared" si="109"/>
        <v>56</v>
      </c>
      <c r="F351" s="1">
        <f t="shared" si="123"/>
        <v>509066.31762756314</v>
      </c>
      <c r="H351" s="1">
        <f t="shared" si="116"/>
        <v>4059.3663043871161</v>
      </c>
      <c r="I351" s="1">
        <v>0</v>
      </c>
      <c r="J351" s="1">
        <v>0</v>
      </c>
      <c r="K351" s="1">
        <f t="shared" si="124"/>
        <v>-595.22579336106219</v>
      </c>
      <c r="L351" s="1">
        <f t="shared" si="117"/>
        <v>512530.45813858917</v>
      </c>
      <c r="N351" s="1">
        <f t="shared" si="125"/>
        <v>328</v>
      </c>
      <c r="O351" s="2">
        <f t="shared" si="110"/>
        <v>27</v>
      </c>
      <c r="P351" s="2">
        <f t="shared" si="111"/>
        <v>4</v>
      </c>
      <c r="Q351" s="2">
        <f t="shared" si="112"/>
        <v>27</v>
      </c>
      <c r="R351" s="1">
        <f t="shared" si="126"/>
        <v>10409150.841806233</v>
      </c>
      <c r="S351" s="4">
        <f>IF($G$4="mensual",S348,IF($G$4="trimestral",S348,0))</f>
        <v>10000</v>
      </c>
      <c r="U351" s="1">
        <f t="shared" si="113"/>
        <v>83083.771962493774</v>
      </c>
      <c r="V351" s="35">
        <f t="shared" si="115"/>
        <v>-254.86671518188371</v>
      </c>
      <c r="X351" s="35">
        <f t="shared" si="114"/>
        <v>-12182.296506582112</v>
      </c>
      <c r="Y351" s="1">
        <f t="shared" si="118"/>
        <v>10489797.450546963</v>
      </c>
      <c r="AA351" s="2">
        <f>+Bono!J351</f>
        <v>332975.09970965068</v>
      </c>
      <c r="AC351" s="10">
        <f t="shared" si="119"/>
        <v>27.333333333333332</v>
      </c>
      <c r="AD351" s="1">
        <f t="shared" si="120"/>
        <v>11335303.008395202</v>
      </c>
    </row>
    <row r="352" spans="1:30">
      <c r="A352" s="1">
        <f t="shared" si="121"/>
        <v>27.416666666666668</v>
      </c>
      <c r="B352" s="1">
        <f t="shared" si="122"/>
        <v>329</v>
      </c>
      <c r="C352" s="2">
        <f t="shared" si="107"/>
        <v>27</v>
      </c>
      <c r="D352" s="2">
        <f t="shared" si="108"/>
        <v>5</v>
      </c>
      <c r="E352" s="2">
        <f t="shared" si="109"/>
        <v>56</v>
      </c>
      <c r="F352" s="1">
        <f t="shared" si="123"/>
        <v>512530.45813858917</v>
      </c>
      <c r="H352" s="1">
        <f t="shared" si="116"/>
        <v>4086.989847287492</v>
      </c>
      <c r="I352" s="1">
        <v>0</v>
      </c>
      <c r="J352" s="1">
        <v>0</v>
      </c>
      <c r="K352" s="1">
        <f t="shared" si="124"/>
        <v>-599.27623966361682</v>
      </c>
      <c r="L352" s="1">
        <f t="shared" si="117"/>
        <v>516018.17174621305</v>
      </c>
      <c r="N352" s="1">
        <f t="shared" si="125"/>
        <v>329</v>
      </c>
      <c r="O352" s="2">
        <f t="shared" si="110"/>
        <v>27</v>
      </c>
      <c r="P352" s="2">
        <f t="shared" si="111"/>
        <v>5</v>
      </c>
      <c r="Q352" s="2">
        <f t="shared" si="112"/>
        <v>27</v>
      </c>
      <c r="R352" s="1">
        <f t="shared" si="126"/>
        <v>10489797.450546963</v>
      </c>
      <c r="S352" s="4">
        <f>IF($G$4="mensual",S351,0)</f>
        <v>10000</v>
      </c>
      <c r="U352" s="1">
        <f t="shared" si="113"/>
        <v>83726.859345707213</v>
      </c>
      <c r="V352" s="35">
        <f t="shared" si="115"/>
        <v>-254.86671518188371</v>
      </c>
      <c r="X352" s="35">
        <f t="shared" si="114"/>
        <v>-12276.592554085886</v>
      </c>
      <c r="Y352" s="1">
        <f t="shared" si="118"/>
        <v>10570992.850623405</v>
      </c>
      <c r="AA352" s="2">
        <f>+Bono!J352</f>
        <v>335039.58395057154</v>
      </c>
      <c r="AC352" s="10">
        <f t="shared" si="119"/>
        <v>27.416666666666668</v>
      </c>
      <c r="AD352" s="1">
        <f t="shared" si="120"/>
        <v>11422050.606320189</v>
      </c>
    </row>
    <row r="353" spans="1:30">
      <c r="A353" s="1">
        <f t="shared" si="121"/>
        <v>27.5</v>
      </c>
      <c r="B353" s="1">
        <f t="shared" si="122"/>
        <v>330</v>
      </c>
      <c r="C353" s="2">
        <f t="shared" si="107"/>
        <v>27</v>
      </c>
      <c r="D353" s="2">
        <f t="shared" si="108"/>
        <v>6</v>
      </c>
      <c r="E353" s="2">
        <f t="shared" si="109"/>
        <v>56</v>
      </c>
      <c r="F353" s="1">
        <f t="shared" si="123"/>
        <v>516018.17174621305</v>
      </c>
      <c r="H353" s="1">
        <f t="shared" si="116"/>
        <v>4114.8013653704838</v>
      </c>
      <c r="I353" s="1">
        <v>0</v>
      </c>
      <c r="J353" s="69">
        <f>-SUM(F353:H353)*$J$21*1.16</f>
        <v>-5430.188239284932</v>
      </c>
      <c r="K353" s="1">
        <f t="shared" si="124"/>
        <v>-597.05523045186635</v>
      </c>
      <c r="L353" s="1">
        <f t="shared" si="117"/>
        <v>514105.72964184673</v>
      </c>
      <c r="N353" s="1">
        <f t="shared" si="125"/>
        <v>330</v>
      </c>
      <c r="O353" s="2">
        <f t="shared" si="110"/>
        <v>27</v>
      </c>
      <c r="P353" s="2">
        <f t="shared" si="111"/>
        <v>6</v>
      </c>
      <c r="Q353" s="2">
        <f t="shared" si="112"/>
        <v>27</v>
      </c>
      <c r="R353" s="1">
        <f t="shared" si="126"/>
        <v>10570992.850623405</v>
      </c>
      <c r="S353" s="4">
        <f>IF($G$4="mensual",S352,0)</f>
        <v>10000</v>
      </c>
      <c r="U353" s="1">
        <f t="shared" si="113"/>
        <v>84374.322868097777</v>
      </c>
      <c r="V353" s="35">
        <f t="shared" si="115"/>
        <v>-254.86671518188371</v>
      </c>
      <c r="X353" s="35">
        <f t="shared" si="114"/>
        <v>-12371.53027586053</v>
      </c>
      <c r="Y353" s="1">
        <f t="shared" si="118"/>
        <v>10652740.77650046</v>
      </c>
      <c r="AA353" s="2">
        <f>+Bono!J353</f>
        <v>334079.77933024918</v>
      </c>
      <c r="AC353" s="10">
        <f t="shared" si="119"/>
        <v>27.5</v>
      </c>
      <c r="AD353" s="1">
        <f t="shared" si="120"/>
        <v>11500926.285472557</v>
      </c>
    </row>
    <row r="354" spans="1:30">
      <c r="A354" s="1">
        <f t="shared" si="121"/>
        <v>27.583333333333332</v>
      </c>
      <c r="B354" s="1">
        <f t="shared" si="122"/>
        <v>331</v>
      </c>
      <c r="C354" s="2">
        <f t="shared" si="107"/>
        <v>27</v>
      </c>
      <c r="D354" s="2">
        <f t="shared" si="108"/>
        <v>7</v>
      </c>
      <c r="E354" s="2">
        <f t="shared" si="109"/>
        <v>56</v>
      </c>
      <c r="F354" s="1">
        <f t="shared" si="123"/>
        <v>514105.72964184673</v>
      </c>
      <c r="H354" s="1">
        <f t="shared" si="116"/>
        <v>4099.5512834681185</v>
      </c>
      <c r="I354" s="1">
        <v>0</v>
      </c>
      <c r="J354" s="1">
        <v>0</v>
      </c>
      <c r="K354" s="1">
        <f t="shared" si="124"/>
        <v>-601.11812587336522</v>
      </c>
      <c r="L354" s="1">
        <f t="shared" si="117"/>
        <v>517604.16279944149</v>
      </c>
      <c r="N354" s="1">
        <f t="shared" si="125"/>
        <v>331</v>
      </c>
      <c r="O354" s="2">
        <f t="shared" si="110"/>
        <v>27</v>
      </c>
      <c r="P354" s="2">
        <f t="shared" si="111"/>
        <v>7</v>
      </c>
      <c r="Q354" s="2">
        <f t="shared" si="112"/>
        <v>27</v>
      </c>
      <c r="R354" s="1">
        <f t="shared" si="126"/>
        <v>10652740.77650046</v>
      </c>
      <c r="S354" s="1">
        <f>+IF($G$4="mensual",S348,IF($G$4="trimestral",S348,IF($G$4="semestral",S348,0)))</f>
        <v>10000</v>
      </c>
      <c r="U354" s="1">
        <f t="shared" si="113"/>
        <v>85026.192308813028</v>
      </c>
      <c r="V354" s="35">
        <f t="shared" si="115"/>
        <v>-254.86671518188371</v>
      </c>
      <c r="X354" s="35">
        <f t="shared" si="114"/>
        <v>-12467.114038429145</v>
      </c>
      <c r="Y354" s="1">
        <f t="shared" si="118"/>
        <v>10735044.988055663</v>
      </c>
      <c r="AA354" s="2">
        <f>+Bono!J354</f>
        <v>336151.1127129526</v>
      </c>
      <c r="AC354" s="10">
        <f t="shared" si="119"/>
        <v>27.583333333333332</v>
      </c>
      <c r="AD354" s="1">
        <f t="shared" si="120"/>
        <v>11588800.263568059</v>
      </c>
    </row>
    <row r="355" spans="1:30">
      <c r="A355" s="1">
        <f t="shared" si="121"/>
        <v>27.666666666666668</v>
      </c>
      <c r="B355" s="1">
        <f t="shared" si="122"/>
        <v>332</v>
      </c>
      <c r="C355" s="2">
        <f t="shared" si="107"/>
        <v>27</v>
      </c>
      <c r="D355" s="2">
        <f t="shared" si="108"/>
        <v>8</v>
      </c>
      <c r="E355" s="2">
        <f t="shared" si="109"/>
        <v>56</v>
      </c>
      <c r="F355" s="1">
        <f t="shared" si="123"/>
        <v>517604.16279944149</v>
      </c>
      <c r="H355" s="1">
        <f t="shared" si="116"/>
        <v>4127.4482807479126</v>
      </c>
      <c r="I355" s="1">
        <v>0</v>
      </c>
      <c r="J355" s="1">
        <v>0</v>
      </c>
      <c r="K355" s="1">
        <f t="shared" si="124"/>
        <v>-605.20866885301962</v>
      </c>
      <c r="L355" s="1">
        <f t="shared" si="117"/>
        <v>521126.40241133637</v>
      </c>
      <c r="N355" s="1">
        <f t="shared" si="125"/>
        <v>332</v>
      </c>
      <c r="O355" s="2">
        <f t="shared" si="110"/>
        <v>27</v>
      </c>
      <c r="P355" s="2">
        <f t="shared" si="111"/>
        <v>8</v>
      </c>
      <c r="Q355" s="2">
        <f t="shared" si="112"/>
        <v>27</v>
      </c>
      <c r="R355" s="1">
        <f t="shared" si="126"/>
        <v>10735044.988055663</v>
      </c>
      <c r="S355" s="4">
        <f>IF($G$4="mensual",S354,0)</f>
        <v>10000</v>
      </c>
      <c r="U355" s="1">
        <f t="shared" si="113"/>
        <v>85682.497649644429</v>
      </c>
      <c r="V355" s="35">
        <f t="shared" si="115"/>
        <v>-254.86671518188371</v>
      </c>
      <c r="X355" s="35">
        <f t="shared" si="114"/>
        <v>-12563.348238028544</v>
      </c>
      <c r="Y355" s="1">
        <f t="shared" si="118"/>
        <v>10817909.270752097</v>
      </c>
      <c r="AA355" s="2">
        <f>+Bono!J355</f>
        <v>338235.28860288864</v>
      </c>
      <c r="AC355" s="10">
        <f t="shared" si="119"/>
        <v>27.666666666666668</v>
      </c>
      <c r="AD355" s="1">
        <f t="shared" si="120"/>
        <v>11677270.961766321</v>
      </c>
    </row>
    <row r="356" spans="1:30">
      <c r="A356" s="1">
        <f t="shared" si="121"/>
        <v>27.75</v>
      </c>
      <c r="B356" s="1">
        <f t="shared" si="122"/>
        <v>333</v>
      </c>
      <c r="C356" s="2">
        <f t="shared" ref="C356:C419" si="127">C344+1</f>
        <v>27</v>
      </c>
      <c r="D356" s="2">
        <f t="shared" ref="D356:D419" si="128">D344</f>
        <v>9</v>
      </c>
      <c r="E356" s="2">
        <f t="shared" ref="E356:E419" si="129">E344+1</f>
        <v>56</v>
      </c>
      <c r="F356" s="1">
        <f t="shared" si="123"/>
        <v>521126.40241133637</v>
      </c>
      <c r="H356" s="1">
        <f t="shared" si="116"/>
        <v>4155.5351140374096</v>
      </c>
      <c r="I356" s="1">
        <v>0</v>
      </c>
      <c r="J356" s="69">
        <f>-SUM(F356:H356)*$J$21*1.16</f>
        <v>-5483.9434277649025</v>
      </c>
      <c r="K356" s="1">
        <f t="shared" si="124"/>
        <v>-602.96567315322613</v>
      </c>
      <c r="L356" s="1">
        <f t="shared" si="117"/>
        <v>519195.02842445561</v>
      </c>
      <c r="N356" s="1">
        <f t="shared" si="125"/>
        <v>333</v>
      </c>
      <c r="O356" s="2">
        <f t="shared" ref="O356:O419" si="130">O344+1</f>
        <v>27</v>
      </c>
      <c r="P356" s="2">
        <f t="shared" ref="P356:P419" si="131">P344</f>
        <v>9</v>
      </c>
      <c r="Q356" s="2">
        <f t="shared" ref="Q356:Q419" si="132">Q344+1</f>
        <v>27</v>
      </c>
      <c r="R356" s="1">
        <f t="shared" si="126"/>
        <v>10817909.270752097</v>
      </c>
      <c r="S356" s="4">
        <f>IF($G$4="mensual",S355,0)</f>
        <v>10000</v>
      </c>
      <c r="U356" s="1">
        <f t="shared" ref="U356:U419" si="133">SUM(R356:T356)*$G$8</f>
        <v>86343.26907640617</v>
      </c>
      <c r="V356" s="35">
        <f t="shared" si="115"/>
        <v>-254.86671518188371</v>
      </c>
      <c r="X356" s="35">
        <f t="shared" si="114"/>
        <v>-12660.237300811454</v>
      </c>
      <c r="Y356" s="1">
        <f t="shared" si="118"/>
        <v>10901337.435812511</v>
      </c>
      <c r="AA356" s="2">
        <f>+Bono!J356</f>
        <v>337266.32908792875</v>
      </c>
      <c r="AC356" s="10">
        <f t="shared" si="119"/>
        <v>27.75</v>
      </c>
      <c r="AD356" s="1">
        <f t="shared" si="120"/>
        <v>11757798.793324893</v>
      </c>
    </row>
    <row r="357" spans="1:30">
      <c r="A357" s="1">
        <f t="shared" si="121"/>
        <v>27.833333333333332</v>
      </c>
      <c r="B357" s="1">
        <f t="shared" si="122"/>
        <v>334</v>
      </c>
      <c r="C357" s="2">
        <f t="shared" si="127"/>
        <v>27</v>
      </c>
      <c r="D357" s="2">
        <f t="shared" si="128"/>
        <v>10</v>
      </c>
      <c r="E357" s="2">
        <f t="shared" si="129"/>
        <v>56</v>
      </c>
      <c r="F357" s="1">
        <f t="shared" si="123"/>
        <v>519195.02842445561</v>
      </c>
      <c r="H357" s="1">
        <f t="shared" si="116"/>
        <v>4140.1340666452907</v>
      </c>
      <c r="I357" s="1">
        <v>0</v>
      </c>
      <c r="J357" s="1">
        <v>0</v>
      </c>
      <c r="K357" s="1">
        <f t="shared" si="124"/>
        <v>-607.0687884896771</v>
      </c>
      <c r="L357" s="1">
        <f t="shared" si="117"/>
        <v>522728.09370261122</v>
      </c>
      <c r="N357" s="1">
        <f t="shared" si="125"/>
        <v>334</v>
      </c>
      <c r="O357" s="2">
        <f t="shared" si="130"/>
        <v>27</v>
      </c>
      <c r="P357" s="2">
        <f t="shared" si="131"/>
        <v>10</v>
      </c>
      <c r="Q357" s="2">
        <f t="shared" si="132"/>
        <v>27</v>
      </c>
      <c r="R357" s="1">
        <f t="shared" si="126"/>
        <v>10901337.435812511</v>
      </c>
      <c r="S357" s="4">
        <f>IF($G$4="mensual",S348,IF($G$4="trimestral",S348,0))</f>
        <v>10000</v>
      </c>
      <c r="U357" s="1">
        <f t="shared" si="133"/>
        <v>87008.536980323668</v>
      </c>
      <c r="V357" s="35">
        <f t="shared" si="115"/>
        <v>-254.86671518188371</v>
      </c>
      <c r="X357" s="35">
        <f t="shared" si="114"/>
        <v>-12757.785683050077</v>
      </c>
      <c r="Y357" s="1">
        <f t="shared" si="118"/>
        <v>10985333.320394602</v>
      </c>
      <c r="AA357" s="2">
        <f>+Bono!J357</f>
        <v>339357.41944874672</v>
      </c>
      <c r="AC357" s="10">
        <f t="shared" si="119"/>
        <v>27.833333333333332</v>
      </c>
      <c r="AD357" s="1">
        <f t="shared" si="120"/>
        <v>11847418.833545959</v>
      </c>
    </row>
    <row r="358" spans="1:30">
      <c r="A358" s="1">
        <f t="shared" si="121"/>
        <v>27.916666666666668</v>
      </c>
      <c r="B358" s="1">
        <f t="shared" si="122"/>
        <v>335</v>
      </c>
      <c r="C358" s="2">
        <f t="shared" si="127"/>
        <v>27</v>
      </c>
      <c r="D358" s="2">
        <f t="shared" si="128"/>
        <v>11</v>
      </c>
      <c r="E358" s="2">
        <f t="shared" si="129"/>
        <v>56</v>
      </c>
      <c r="F358" s="1">
        <f t="shared" si="123"/>
        <v>522728.09370261122</v>
      </c>
      <c r="H358" s="1">
        <f t="shared" si="116"/>
        <v>4168.307225317787</v>
      </c>
      <c r="I358" s="1">
        <v>0</v>
      </c>
      <c r="J358" s="1">
        <v>0</v>
      </c>
      <c r="K358" s="1">
        <f t="shared" si="124"/>
        <v>-611.19982507639759</v>
      </c>
      <c r="L358" s="1">
        <f t="shared" si="117"/>
        <v>526285.20110285259</v>
      </c>
      <c r="N358" s="1">
        <f t="shared" si="125"/>
        <v>335</v>
      </c>
      <c r="O358" s="2">
        <f t="shared" si="130"/>
        <v>27</v>
      </c>
      <c r="P358" s="2">
        <f t="shared" si="131"/>
        <v>11</v>
      </c>
      <c r="Q358" s="2">
        <f t="shared" si="132"/>
        <v>27</v>
      </c>
      <c r="R358" s="1">
        <f t="shared" si="126"/>
        <v>10985333.320394602</v>
      </c>
      <c r="S358" s="1">
        <f>IF($G$17="si",S346*(1+$G$20),S346)</f>
        <v>10000</v>
      </c>
      <c r="U358" s="1">
        <f t="shared" si="133"/>
        <v>87678.331959431263</v>
      </c>
      <c r="V358" s="35">
        <f t="shared" si="115"/>
        <v>-254.86671518188371</v>
      </c>
      <c r="X358" s="35">
        <f t="shared" si="114"/>
        <v>-12855.997871341067</v>
      </c>
      <c r="Y358" s="1">
        <f t="shared" si="118"/>
        <v>11069900.787767511</v>
      </c>
      <c r="AA358" s="2">
        <f>+Bono!J358</f>
        <v>341461.4748123532</v>
      </c>
      <c r="AC358" s="10">
        <f t="shared" si="119"/>
        <v>27.916666666666668</v>
      </c>
      <c r="AD358" s="1">
        <f t="shared" si="120"/>
        <v>11937647.463682717</v>
      </c>
    </row>
    <row r="359" spans="1:30">
      <c r="A359" s="1">
        <f t="shared" si="121"/>
        <v>28</v>
      </c>
      <c r="B359" s="1">
        <f t="shared" si="122"/>
        <v>336</v>
      </c>
      <c r="C359" s="2">
        <f t="shared" si="127"/>
        <v>27</v>
      </c>
      <c r="D359" s="2">
        <f t="shared" si="128"/>
        <v>12</v>
      </c>
      <c r="E359" s="2">
        <f t="shared" si="129"/>
        <v>56</v>
      </c>
      <c r="F359" s="1">
        <f t="shared" si="123"/>
        <v>526285.20110285259</v>
      </c>
      <c r="H359" s="1">
        <f t="shared" si="116"/>
        <v>4196.672099248005</v>
      </c>
      <c r="I359" s="1">
        <v>0</v>
      </c>
      <c r="J359" s="69">
        <f>-SUM(F359:H359)*$J$21*1.16</f>
        <v>-5538.2307562299302</v>
      </c>
      <c r="K359" s="1">
        <f t="shared" si="124"/>
        <v>-608.93462523720984</v>
      </c>
      <c r="L359" s="1">
        <f t="shared" si="117"/>
        <v>524334.70782063343</v>
      </c>
      <c r="N359" s="1">
        <f t="shared" si="125"/>
        <v>336</v>
      </c>
      <c r="O359" s="2">
        <f t="shared" si="130"/>
        <v>27</v>
      </c>
      <c r="P359" s="2">
        <f t="shared" si="131"/>
        <v>12</v>
      </c>
      <c r="Q359" s="2">
        <f t="shared" si="132"/>
        <v>27</v>
      </c>
      <c r="R359" s="1">
        <f t="shared" si="126"/>
        <v>11069900.787767511</v>
      </c>
      <c r="S359" s="4">
        <f>IF($G$4="mensual",S358,0)</f>
        <v>10000</v>
      </c>
      <c r="U359" s="1">
        <f t="shared" si="133"/>
        <v>88352.684819979579</v>
      </c>
      <c r="V359" s="35">
        <f t="shared" si="115"/>
        <v>-254.86671518188371</v>
      </c>
      <c r="X359" s="35">
        <f t="shared" si="114"/>
        <v>-12954.878382811878</v>
      </c>
      <c r="Y359" s="1">
        <f t="shared" si="118"/>
        <v>11155043.727489498</v>
      </c>
      <c r="AA359" s="2">
        <f>+Bono!J359</f>
        <v>340483.27308071742</v>
      </c>
      <c r="AC359" s="10">
        <f t="shared" si="119"/>
        <v>28</v>
      </c>
      <c r="AD359" s="1">
        <f t="shared" si="120"/>
        <v>12019861.708390849</v>
      </c>
    </row>
    <row r="360" spans="1:30">
      <c r="A360" s="1">
        <f t="shared" si="121"/>
        <v>28.083333333333332</v>
      </c>
      <c r="B360" s="1">
        <f t="shared" si="122"/>
        <v>337</v>
      </c>
      <c r="C360" s="2">
        <f t="shared" si="127"/>
        <v>28</v>
      </c>
      <c r="D360" s="2">
        <f t="shared" si="128"/>
        <v>1</v>
      </c>
      <c r="E360" s="2">
        <f t="shared" si="129"/>
        <v>57</v>
      </c>
      <c r="F360" s="1">
        <f t="shared" si="123"/>
        <v>524334.70782063343</v>
      </c>
      <c r="H360" s="1">
        <f t="shared" si="116"/>
        <v>4181.1185919099562</v>
      </c>
      <c r="I360" s="1">
        <v>0</v>
      </c>
      <c r="J360" s="1">
        <v>0</v>
      </c>
      <c r="K360" s="1">
        <f t="shared" si="124"/>
        <v>-613.07835863855041</v>
      </c>
      <c r="L360" s="1">
        <f t="shared" si="117"/>
        <v>527902.74805390486</v>
      </c>
      <c r="N360" s="1">
        <f t="shared" si="125"/>
        <v>337</v>
      </c>
      <c r="O360" s="2">
        <f t="shared" si="130"/>
        <v>28</v>
      </c>
      <c r="P360" s="2">
        <f t="shared" si="131"/>
        <v>1</v>
      </c>
      <c r="Q360" s="2">
        <f t="shared" si="132"/>
        <v>28</v>
      </c>
      <c r="R360" s="1">
        <f t="shared" si="126"/>
        <v>11155043.727489498</v>
      </c>
      <c r="S360" s="1">
        <f>IF($G$17="si",S348*(1+$G$20),S348)</f>
        <v>10000</v>
      </c>
      <c r="U360" s="1">
        <f t="shared" si="133"/>
        <v>89031.626577852381</v>
      </c>
      <c r="V360" s="35">
        <f>V359*(1+$G$18)</f>
        <v>-265.06138378915904</v>
      </c>
      <c r="X360" s="35">
        <f t="shared" si="114"/>
        <v>-13054.419939512929</v>
      </c>
      <c r="Y360" s="1">
        <f t="shared" si="118"/>
        <v>11240755.872744048</v>
      </c>
      <c r="AA360" s="2">
        <f>+Bono!J360</f>
        <v>342594.30886743305</v>
      </c>
      <c r="AC360" s="10">
        <f t="shared" si="119"/>
        <v>28.083333333333332</v>
      </c>
      <c r="AD360" s="1">
        <f t="shared" si="120"/>
        <v>12111252.929665385</v>
      </c>
    </row>
    <row r="361" spans="1:30">
      <c r="A361" s="1">
        <f t="shared" si="121"/>
        <v>28.166666666666668</v>
      </c>
      <c r="B361" s="1">
        <f t="shared" si="122"/>
        <v>338</v>
      </c>
      <c r="C361" s="2">
        <f t="shared" si="127"/>
        <v>28</v>
      </c>
      <c r="D361" s="2">
        <f t="shared" si="128"/>
        <v>2</v>
      </c>
      <c r="E361" s="2">
        <f t="shared" si="129"/>
        <v>57</v>
      </c>
      <c r="F361" s="1">
        <f t="shared" si="123"/>
        <v>527902.74805390486</v>
      </c>
      <c r="H361" s="1">
        <f t="shared" si="116"/>
        <v>4209.5706457860406</v>
      </c>
      <c r="I361" s="1">
        <v>0</v>
      </c>
      <c r="J361" s="1">
        <v>0</v>
      </c>
      <c r="K361" s="1">
        <f t="shared" si="124"/>
        <v>-617.25028969164134</v>
      </c>
      <c r="L361" s="1">
        <f t="shared" si="117"/>
        <v>531495.06840999925</v>
      </c>
      <c r="N361" s="1">
        <f t="shared" si="125"/>
        <v>338</v>
      </c>
      <c r="O361" s="2">
        <f t="shared" si="130"/>
        <v>28</v>
      </c>
      <c r="P361" s="2">
        <f t="shared" si="131"/>
        <v>2</v>
      </c>
      <c r="Q361" s="2">
        <f t="shared" si="132"/>
        <v>28</v>
      </c>
      <c r="R361" s="1">
        <f t="shared" si="126"/>
        <v>11240755.872744048</v>
      </c>
      <c r="S361" s="4">
        <f>IF($G$4="mensual",S360,0)</f>
        <v>10000</v>
      </c>
      <c r="U361" s="1">
        <f t="shared" si="133"/>
        <v>89715.107260574761</v>
      </c>
      <c r="V361" s="35">
        <f t="shared" si="115"/>
        <v>-265.06138378915904</v>
      </c>
      <c r="X361" s="35">
        <f t="shared" si="114"/>
        <v>-13154.638865600165</v>
      </c>
      <c r="Y361" s="1">
        <f t="shared" si="118"/>
        <v>11327051.279755235</v>
      </c>
      <c r="AA361" s="2">
        <f>+Bono!J361</f>
        <v>344718.43332089134</v>
      </c>
      <c r="AC361" s="10">
        <f t="shared" si="119"/>
        <v>28.166666666666668</v>
      </c>
      <c r="AD361" s="1">
        <f t="shared" si="120"/>
        <v>12203264.781486126</v>
      </c>
    </row>
    <row r="362" spans="1:30">
      <c r="A362" s="1">
        <f t="shared" si="121"/>
        <v>28.25</v>
      </c>
      <c r="B362" s="1">
        <f t="shared" si="122"/>
        <v>339</v>
      </c>
      <c r="C362" s="2">
        <f t="shared" si="127"/>
        <v>28</v>
      </c>
      <c r="D362" s="2">
        <f t="shared" si="128"/>
        <v>3</v>
      </c>
      <c r="E362" s="2">
        <f t="shared" si="129"/>
        <v>57</v>
      </c>
      <c r="F362" s="1">
        <f t="shared" si="123"/>
        <v>531495.06840999925</v>
      </c>
      <c r="H362" s="1">
        <f t="shared" si="116"/>
        <v>4238.2163127711474</v>
      </c>
      <c r="I362" s="1">
        <v>0</v>
      </c>
      <c r="J362" s="69">
        <f>-SUM(F362:H362)*$J$21*1.16</f>
        <v>-5593.055492505724</v>
      </c>
      <c r="K362" s="1">
        <f t="shared" si="124"/>
        <v>-614.96266590710707</v>
      </c>
      <c r="L362" s="1">
        <f t="shared" si="117"/>
        <v>529525.26656435756</v>
      </c>
      <c r="N362" s="1">
        <f t="shared" si="125"/>
        <v>339</v>
      </c>
      <c r="O362" s="2">
        <f t="shared" si="130"/>
        <v>28</v>
      </c>
      <c r="P362" s="2">
        <f t="shared" si="131"/>
        <v>3</v>
      </c>
      <c r="Q362" s="2">
        <f t="shared" si="132"/>
        <v>28</v>
      </c>
      <c r="R362" s="1">
        <f t="shared" si="126"/>
        <v>11327051.279755235</v>
      </c>
      <c r="S362" s="4">
        <f>IF($G$4="mensual",S361,0)</f>
        <v>10000</v>
      </c>
      <c r="U362" s="1">
        <f t="shared" si="133"/>
        <v>90403.238954451372</v>
      </c>
      <c r="V362" s="35">
        <f t="shared" si="115"/>
        <v>-265.06138378915904</v>
      </c>
      <c r="X362" s="35">
        <f t="shared" si="114"/>
        <v>-13255.539770498039</v>
      </c>
      <c r="Y362" s="1">
        <f t="shared" si="118"/>
        <v>11413933.917555397</v>
      </c>
      <c r="AA362" s="2">
        <f>+Bono!J362</f>
        <v>343730.90121763846</v>
      </c>
      <c r="AC362" s="10">
        <f t="shared" si="119"/>
        <v>28.25</v>
      </c>
      <c r="AD362" s="1">
        <f t="shared" si="120"/>
        <v>12287190.085337393</v>
      </c>
    </row>
    <row r="363" spans="1:30">
      <c r="A363" s="1">
        <f t="shared" si="121"/>
        <v>28.333333333333332</v>
      </c>
      <c r="B363" s="1">
        <f t="shared" si="122"/>
        <v>340</v>
      </c>
      <c r="C363" s="2">
        <f t="shared" si="127"/>
        <v>28</v>
      </c>
      <c r="D363" s="2">
        <f t="shared" si="128"/>
        <v>4</v>
      </c>
      <c r="E363" s="2">
        <f t="shared" si="129"/>
        <v>57</v>
      </c>
      <c r="F363" s="1">
        <f t="shared" si="123"/>
        <v>529525.26656435756</v>
      </c>
      <c r="H363" s="1">
        <f t="shared" si="116"/>
        <v>4222.5088362368861</v>
      </c>
      <c r="I363" s="1">
        <v>0</v>
      </c>
      <c r="J363" s="1">
        <v>0</v>
      </c>
      <c r="K363" s="1">
        <f t="shared" si="124"/>
        <v>-619.14741946468962</v>
      </c>
      <c r="L363" s="1">
        <f t="shared" si="117"/>
        <v>533128.6279811298</v>
      </c>
      <c r="N363" s="1">
        <f t="shared" si="125"/>
        <v>340</v>
      </c>
      <c r="O363" s="2">
        <f t="shared" si="130"/>
        <v>28</v>
      </c>
      <c r="P363" s="2">
        <f t="shared" si="131"/>
        <v>4</v>
      </c>
      <c r="Q363" s="2">
        <f t="shared" si="132"/>
        <v>28</v>
      </c>
      <c r="R363" s="1">
        <f t="shared" si="126"/>
        <v>11413933.917555397</v>
      </c>
      <c r="S363" s="4">
        <f>IF($G$4="mensual",S360,IF($G$4="trimestral",S360,0))</f>
        <v>10000</v>
      </c>
      <c r="U363" s="1">
        <f t="shared" si="133"/>
        <v>91096.053309103459</v>
      </c>
      <c r="V363" s="35">
        <f t="shared" si="115"/>
        <v>-265.06138378915904</v>
      </c>
      <c r="X363" s="35">
        <f t="shared" ref="X363:X426" si="134">-SUM(R363:V363)*0.1%*1.16</f>
        <v>-13357.127294997625</v>
      </c>
      <c r="Y363" s="1">
        <f t="shared" si="118"/>
        <v>11501407.782185715</v>
      </c>
      <c r="AA363" s="2">
        <f>+Bono!J363</f>
        <v>345862.07267550455</v>
      </c>
      <c r="AC363" s="10">
        <f t="shared" si="119"/>
        <v>28.333333333333332</v>
      </c>
      <c r="AD363" s="1">
        <f t="shared" si="120"/>
        <v>12380398.482842349</v>
      </c>
    </row>
    <row r="364" spans="1:30">
      <c r="A364" s="1">
        <f t="shared" si="121"/>
        <v>28.416666666666668</v>
      </c>
      <c r="B364" s="1">
        <f t="shared" si="122"/>
        <v>341</v>
      </c>
      <c r="C364" s="2">
        <f t="shared" si="127"/>
        <v>28</v>
      </c>
      <c r="D364" s="2">
        <f t="shared" si="128"/>
        <v>5</v>
      </c>
      <c r="E364" s="2">
        <f t="shared" si="129"/>
        <v>57</v>
      </c>
      <c r="F364" s="1">
        <f t="shared" si="123"/>
        <v>533128.6279811298</v>
      </c>
      <c r="H364" s="1">
        <f t="shared" si="116"/>
        <v>4251.2425461903222</v>
      </c>
      <c r="I364" s="1">
        <v>0</v>
      </c>
      <c r="J364" s="1">
        <v>0</v>
      </c>
      <c r="K364" s="1">
        <f t="shared" si="124"/>
        <v>-623.36064981169125</v>
      </c>
      <c r="L364" s="1">
        <f t="shared" si="117"/>
        <v>536756.50987750839</v>
      </c>
      <c r="N364" s="1">
        <f t="shared" si="125"/>
        <v>341</v>
      </c>
      <c r="O364" s="2">
        <f t="shared" si="130"/>
        <v>28</v>
      </c>
      <c r="P364" s="2">
        <f t="shared" si="131"/>
        <v>5</v>
      </c>
      <c r="Q364" s="2">
        <f t="shared" si="132"/>
        <v>28</v>
      </c>
      <c r="R364" s="1">
        <f t="shared" si="126"/>
        <v>11501407.782185715</v>
      </c>
      <c r="S364" s="4">
        <f>IF($G$4="mensual",S363,0)</f>
        <v>10000</v>
      </c>
      <c r="U364" s="1">
        <f t="shared" si="133"/>
        <v>91793.582189524532</v>
      </c>
      <c r="V364" s="35">
        <f t="shared" si="115"/>
        <v>-265.06138378915904</v>
      </c>
      <c r="X364" s="35">
        <f t="shared" si="134"/>
        <v>-13459.40611147008</v>
      </c>
      <c r="Y364" s="1">
        <f t="shared" si="118"/>
        <v>11589476.89687998</v>
      </c>
      <c r="AA364" s="2">
        <f>+Bono!J364</f>
        <v>348006.45764361002</v>
      </c>
      <c r="AC364" s="10">
        <f t="shared" si="119"/>
        <v>28.416666666666668</v>
      </c>
      <c r="AD364" s="1">
        <f t="shared" si="120"/>
        <v>12474239.864401098</v>
      </c>
    </row>
    <row r="365" spans="1:30">
      <c r="A365" s="1">
        <f t="shared" si="121"/>
        <v>28.5</v>
      </c>
      <c r="B365" s="1">
        <f t="shared" si="122"/>
        <v>342</v>
      </c>
      <c r="C365" s="2">
        <f t="shared" si="127"/>
        <v>28</v>
      </c>
      <c r="D365" s="2">
        <f t="shared" si="128"/>
        <v>6</v>
      </c>
      <c r="E365" s="2">
        <f t="shared" si="129"/>
        <v>57</v>
      </c>
      <c r="F365" s="1">
        <f t="shared" si="123"/>
        <v>536756.50987750839</v>
      </c>
      <c r="H365" s="1">
        <f t="shared" si="116"/>
        <v>4280.1717858915226</v>
      </c>
      <c r="I365" s="1">
        <v>0</v>
      </c>
      <c r="J365" s="69">
        <f>-SUM(F365:H365)*$J$21*1.16</f>
        <v>-5648.4229565658952</v>
      </c>
      <c r="K365" s="1">
        <f t="shared" si="124"/>
        <v>-621.05038009992757</v>
      </c>
      <c r="L365" s="1">
        <f t="shared" si="117"/>
        <v>534767.20832673414</v>
      </c>
      <c r="N365" s="1">
        <f t="shared" si="125"/>
        <v>342</v>
      </c>
      <c r="O365" s="2">
        <f t="shared" si="130"/>
        <v>28</v>
      </c>
      <c r="P365" s="2">
        <f t="shared" si="131"/>
        <v>6</v>
      </c>
      <c r="Q365" s="2">
        <f t="shared" si="132"/>
        <v>28</v>
      </c>
      <c r="R365" s="1">
        <f t="shared" si="126"/>
        <v>11589476.89687998</v>
      </c>
      <c r="S365" s="4">
        <f>IF($G$4="mensual",S364,0)</f>
        <v>10000</v>
      </c>
      <c r="U365" s="1">
        <f t="shared" si="133"/>
        <v>92495.857677545835</v>
      </c>
      <c r="V365" s="35">
        <f t="shared" si="115"/>
        <v>-265.06138378915904</v>
      </c>
      <c r="X365" s="35">
        <f t="shared" si="134"/>
        <v>-13562.380924081535</v>
      </c>
      <c r="Y365" s="1">
        <f t="shared" si="118"/>
        <v>11678145.312249655</v>
      </c>
      <c r="AA365" s="2">
        <f>+Bono!J365</f>
        <v>347009.50617295149</v>
      </c>
      <c r="AC365" s="10">
        <f t="shared" si="119"/>
        <v>28.5</v>
      </c>
      <c r="AD365" s="1">
        <f t="shared" si="120"/>
        <v>12559922.026749341</v>
      </c>
    </row>
    <row r="366" spans="1:30">
      <c r="A366" s="1">
        <f t="shared" si="121"/>
        <v>28.583333333333332</v>
      </c>
      <c r="B366" s="1">
        <f t="shared" si="122"/>
        <v>343</v>
      </c>
      <c r="C366" s="2">
        <f t="shared" si="127"/>
        <v>28</v>
      </c>
      <c r="D366" s="2">
        <f t="shared" si="128"/>
        <v>7</v>
      </c>
      <c r="E366" s="2">
        <f t="shared" si="129"/>
        <v>57</v>
      </c>
      <c r="F366" s="1">
        <f t="shared" si="123"/>
        <v>534767.20832673414</v>
      </c>
      <c r="H366" s="1">
        <f t="shared" si="116"/>
        <v>4264.308815970212</v>
      </c>
      <c r="I366" s="1">
        <v>0</v>
      </c>
      <c r="J366" s="1">
        <v>0</v>
      </c>
      <c r="K366" s="1">
        <f t="shared" si="124"/>
        <v>-625.27655988553704</v>
      </c>
      <c r="L366" s="1">
        <f t="shared" si="117"/>
        <v>538406.24058281875</v>
      </c>
      <c r="N366" s="1">
        <f t="shared" si="125"/>
        <v>343</v>
      </c>
      <c r="O366" s="2">
        <f t="shared" si="130"/>
        <v>28</v>
      </c>
      <c r="P366" s="2">
        <f t="shared" si="131"/>
        <v>7</v>
      </c>
      <c r="Q366" s="2">
        <f t="shared" si="132"/>
        <v>28</v>
      </c>
      <c r="R366" s="1">
        <f t="shared" si="126"/>
        <v>11678145.312249655</v>
      </c>
      <c r="S366" s="1">
        <f>+IF($G$4="mensual",S360,IF($G$4="trimestral",S360,IF($G$4="semestral",S360,0)))</f>
        <v>10000</v>
      </c>
      <c r="U366" s="1">
        <f t="shared" si="133"/>
        <v>93202.912073311978</v>
      </c>
      <c r="V366" s="35">
        <f t="shared" si="115"/>
        <v>-265.06138378915904</v>
      </c>
      <c r="X366" s="35">
        <f t="shared" si="134"/>
        <v>-13666.056469009445</v>
      </c>
      <c r="Y366" s="1">
        <f t="shared" si="118"/>
        <v>11767417.106470168</v>
      </c>
      <c r="AA366" s="2">
        <f>+Bono!J366</f>
        <v>349161.00536183518</v>
      </c>
      <c r="AC366" s="10">
        <f t="shared" si="119"/>
        <v>28.583333333333332</v>
      </c>
      <c r="AD366" s="1">
        <f t="shared" si="120"/>
        <v>12654984.35241482</v>
      </c>
    </row>
    <row r="367" spans="1:30">
      <c r="A367" s="1">
        <f t="shared" si="121"/>
        <v>28.666666666666668</v>
      </c>
      <c r="B367" s="1">
        <f t="shared" si="122"/>
        <v>344</v>
      </c>
      <c r="C367" s="2">
        <f t="shared" si="127"/>
        <v>28</v>
      </c>
      <c r="D367" s="2">
        <f t="shared" si="128"/>
        <v>8</v>
      </c>
      <c r="E367" s="2">
        <f t="shared" si="129"/>
        <v>57</v>
      </c>
      <c r="F367" s="1">
        <f t="shared" si="123"/>
        <v>538406.24058281875</v>
      </c>
      <c r="H367" s="1">
        <f t="shared" si="116"/>
        <v>4293.3269702055413</v>
      </c>
      <c r="I367" s="1">
        <v>0</v>
      </c>
      <c r="J367" s="1">
        <v>0</v>
      </c>
      <c r="K367" s="1">
        <f t="shared" si="124"/>
        <v>-629.53149836150817</v>
      </c>
      <c r="L367" s="1">
        <f t="shared" si="117"/>
        <v>542070.03605466278</v>
      </c>
      <c r="N367" s="1">
        <f t="shared" si="125"/>
        <v>344</v>
      </c>
      <c r="O367" s="2">
        <f t="shared" si="130"/>
        <v>28</v>
      </c>
      <c r="P367" s="2">
        <f t="shared" si="131"/>
        <v>8</v>
      </c>
      <c r="Q367" s="2">
        <f t="shared" si="132"/>
        <v>28</v>
      </c>
      <c r="R367" s="1">
        <f t="shared" si="126"/>
        <v>11767417.106470168</v>
      </c>
      <c r="S367" s="4">
        <f>IF($G$4="mensual",S366,0)</f>
        <v>10000</v>
      </c>
      <c r="U367" s="1">
        <f t="shared" si="133"/>
        <v>93914.777896766551</v>
      </c>
      <c r="V367" s="35">
        <f t="shared" si="115"/>
        <v>-265.06138378915904</v>
      </c>
      <c r="X367" s="35">
        <f t="shared" si="134"/>
        <v>-13770.437514660447</v>
      </c>
      <c r="Y367" s="1">
        <f t="shared" si="118"/>
        <v>11857296.385468483</v>
      </c>
      <c r="AA367" s="2">
        <f>+Bono!J367</f>
        <v>351325.84409524844</v>
      </c>
      <c r="AC367" s="10">
        <f t="shared" si="119"/>
        <v>28.666666666666668</v>
      </c>
      <c r="AD367" s="1">
        <f t="shared" si="120"/>
        <v>12750692.265618395</v>
      </c>
    </row>
    <row r="368" spans="1:30">
      <c r="A368" s="1">
        <f t="shared" si="121"/>
        <v>28.75</v>
      </c>
      <c r="B368" s="1">
        <f t="shared" si="122"/>
        <v>345</v>
      </c>
      <c r="C368" s="2">
        <f t="shared" si="127"/>
        <v>28</v>
      </c>
      <c r="D368" s="2">
        <f t="shared" si="128"/>
        <v>9</v>
      </c>
      <c r="E368" s="2">
        <f t="shared" si="129"/>
        <v>57</v>
      </c>
      <c r="F368" s="1">
        <f t="shared" si="123"/>
        <v>542070.03605466278</v>
      </c>
      <c r="H368" s="1">
        <f t="shared" si="116"/>
        <v>4322.5425898008079</v>
      </c>
      <c r="I368" s="1">
        <v>0</v>
      </c>
      <c r="J368" s="69">
        <f>-SUM(F368:H368)*$J$21*1.16</f>
        <v>-5704.3385210482002</v>
      </c>
      <c r="K368" s="1">
        <f t="shared" si="124"/>
        <v>-627.19835854316182</v>
      </c>
      <c r="L368" s="1">
        <f t="shared" si="117"/>
        <v>540061.04176487215</v>
      </c>
      <c r="N368" s="1">
        <f t="shared" si="125"/>
        <v>345</v>
      </c>
      <c r="O368" s="2">
        <f t="shared" si="130"/>
        <v>28</v>
      </c>
      <c r="P368" s="2">
        <f t="shared" si="131"/>
        <v>9</v>
      </c>
      <c r="Q368" s="2">
        <f t="shared" si="132"/>
        <v>28</v>
      </c>
      <c r="R368" s="1">
        <f t="shared" si="126"/>
        <v>11857296.385468483</v>
      </c>
      <c r="S368" s="4">
        <f>IF($G$4="mensual",S367,0)</f>
        <v>10000</v>
      </c>
      <c r="U368" s="1">
        <f t="shared" si="133"/>
        <v>94631.487889147742</v>
      </c>
      <c r="V368" s="35">
        <f t="shared" si="115"/>
        <v>-265.06138378915904</v>
      </c>
      <c r="X368" s="35">
        <f t="shared" si="134"/>
        <v>-13875.528861889656</v>
      </c>
      <c r="Y368" s="1">
        <f t="shared" si="118"/>
        <v>11947787.283111952</v>
      </c>
      <c r="AA368" s="2">
        <f>+Bono!J368</f>
        <v>350319.38341252797</v>
      </c>
      <c r="AC368" s="10">
        <f t="shared" si="119"/>
        <v>28.75</v>
      </c>
      <c r="AD368" s="1">
        <f t="shared" si="120"/>
        <v>12838167.708289353</v>
      </c>
    </row>
    <row r="369" spans="1:30">
      <c r="A369" s="1">
        <f t="shared" si="121"/>
        <v>28.833333333333332</v>
      </c>
      <c r="B369" s="1">
        <f t="shared" si="122"/>
        <v>346</v>
      </c>
      <c r="C369" s="2">
        <f t="shared" si="127"/>
        <v>28</v>
      </c>
      <c r="D369" s="2">
        <f t="shared" si="128"/>
        <v>10</v>
      </c>
      <c r="E369" s="2">
        <f t="shared" si="129"/>
        <v>57</v>
      </c>
      <c r="F369" s="1">
        <f t="shared" si="123"/>
        <v>540061.04176487215</v>
      </c>
      <c r="H369" s="1">
        <f t="shared" si="116"/>
        <v>4306.5225872131514</v>
      </c>
      <c r="I369" s="1">
        <v>0</v>
      </c>
      <c r="J369" s="1">
        <v>0</v>
      </c>
      <c r="K369" s="1">
        <f t="shared" si="124"/>
        <v>-631.46637464841888</v>
      </c>
      <c r="L369" s="1">
        <f t="shared" si="117"/>
        <v>543736.09797743696</v>
      </c>
      <c r="N369" s="1">
        <f t="shared" si="125"/>
        <v>346</v>
      </c>
      <c r="O369" s="2">
        <f t="shared" si="130"/>
        <v>28</v>
      </c>
      <c r="P369" s="2">
        <f t="shared" si="131"/>
        <v>10</v>
      </c>
      <c r="Q369" s="2">
        <f t="shared" si="132"/>
        <v>28</v>
      </c>
      <c r="R369" s="1">
        <f t="shared" si="126"/>
        <v>11947787.283111952</v>
      </c>
      <c r="S369" s="4">
        <f>IF($G$4="mensual",S360,IF($G$4="trimestral",S360,0))</f>
        <v>10000</v>
      </c>
      <c r="U369" s="1">
        <f t="shared" si="133"/>
        <v>95353.075014494316</v>
      </c>
      <c r="V369" s="35">
        <f t="shared" si="115"/>
        <v>-265.06138378915904</v>
      </c>
      <c r="X369" s="35">
        <f t="shared" si="134"/>
        <v>-13981.335344221481</v>
      </c>
      <c r="Y369" s="1">
        <f t="shared" si="118"/>
        <v>12038893.961398436</v>
      </c>
      <c r="AA369" s="2">
        <f>+Bono!J369</f>
        <v>352491.40422421903</v>
      </c>
      <c r="AC369" s="10">
        <f t="shared" si="119"/>
        <v>28.833333333333332</v>
      </c>
      <c r="AD369" s="1">
        <f t="shared" si="120"/>
        <v>12935121.463600092</v>
      </c>
    </row>
    <row r="370" spans="1:30">
      <c r="A370" s="1">
        <f t="shared" si="121"/>
        <v>28.916666666666668</v>
      </c>
      <c r="B370" s="1">
        <f t="shared" si="122"/>
        <v>347</v>
      </c>
      <c r="C370" s="2">
        <f t="shared" si="127"/>
        <v>28</v>
      </c>
      <c r="D370" s="2">
        <f t="shared" si="128"/>
        <v>11</v>
      </c>
      <c r="E370" s="2">
        <f t="shared" si="129"/>
        <v>57</v>
      </c>
      <c r="F370" s="1">
        <f t="shared" si="123"/>
        <v>543736.09797743696</v>
      </c>
      <c r="H370" s="1">
        <f t="shared" si="116"/>
        <v>4335.8280015362579</v>
      </c>
      <c r="I370" s="1">
        <v>0</v>
      </c>
      <c r="J370" s="1">
        <v>0</v>
      </c>
      <c r="K370" s="1">
        <f t="shared" si="124"/>
        <v>-635.76343413560892</v>
      </c>
      <c r="L370" s="1">
        <f t="shared" si="117"/>
        <v>547436.16254483769</v>
      </c>
      <c r="N370" s="1">
        <f t="shared" si="125"/>
        <v>347</v>
      </c>
      <c r="O370" s="2">
        <f t="shared" si="130"/>
        <v>28</v>
      </c>
      <c r="P370" s="2">
        <f t="shared" si="131"/>
        <v>11</v>
      </c>
      <c r="Q370" s="2">
        <f t="shared" si="132"/>
        <v>28</v>
      </c>
      <c r="R370" s="1">
        <f t="shared" si="126"/>
        <v>12038893.961398436</v>
      </c>
      <c r="S370" s="1">
        <f>IF($G$17="si",S358*(1+$G$20),S358)</f>
        <v>10000</v>
      </c>
      <c r="U370" s="1">
        <f t="shared" si="133"/>
        <v>96079.572461161704</v>
      </c>
      <c r="V370" s="35">
        <f t="shared" si="115"/>
        <v>-265.06138378915904</v>
      </c>
      <c r="X370" s="35">
        <f t="shared" si="134"/>
        <v>-14087.861828071937</v>
      </c>
      <c r="Y370" s="1">
        <f t="shared" si="118"/>
        <v>12130620.610647736</v>
      </c>
      <c r="AA370" s="2">
        <f>+Bono!J370</f>
        <v>354676.89181688137</v>
      </c>
      <c r="AC370" s="10">
        <f t="shared" si="119"/>
        <v>28.916666666666668</v>
      </c>
      <c r="AD370" s="1">
        <f t="shared" si="120"/>
        <v>13032733.665009454</v>
      </c>
    </row>
    <row r="371" spans="1:30">
      <c r="A371" s="1">
        <f t="shared" si="121"/>
        <v>29</v>
      </c>
      <c r="B371" s="1">
        <f t="shared" si="122"/>
        <v>348</v>
      </c>
      <c r="C371" s="2">
        <f t="shared" si="127"/>
        <v>28</v>
      </c>
      <c r="D371" s="2">
        <f t="shared" si="128"/>
        <v>12</v>
      </c>
      <c r="E371" s="2">
        <f t="shared" si="129"/>
        <v>57</v>
      </c>
      <c r="F371" s="1">
        <f t="shared" si="123"/>
        <v>547436.16254483769</v>
      </c>
      <c r="H371" s="1">
        <f t="shared" si="116"/>
        <v>4365.3328359927227</v>
      </c>
      <c r="I371" s="1">
        <v>0</v>
      </c>
      <c r="J371" s="69">
        <f>-SUM(F371:H371)*$J$21*1.16</f>
        <v>-5760.8076117758692</v>
      </c>
      <c r="K371" s="1">
        <f t="shared" si="124"/>
        <v>-633.40719781210328</v>
      </c>
      <c r="L371" s="1">
        <f t="shared" si="117"/>
        <v>545407.28057124245</v>
      </c>
      <c r="N371" s="1">
        <f t="shared" si="125"/>
        <v>348</v>
      </c>
      <c r="O371" s="2">
        <f t="shared" si="130"/>
        <v>28</v>
      </c>
      <c r="P371" s="2">
        <f t="shared" si="131"/>
        <v>12</v>
      </c>
      <c r="Q371" s="2">
        <f t="shared" si="132"/>
        <v>28</v>
      </c>
      <c r="R371" s="1">
        <f t="shared" si="126"/>
        <v>12130620.610647736</v>
      </c>
      <c r="S371" s="4">
        <f>IF($G$4="mensual",S370,0)</f>
        <v>10000</v>
      </c>
      <c r="U371" s="1">
        <f t="shared" si="133"/>
        <v>96811.013643348415</v>
      </c>
      <c r="V371" s="35">
        <f t="shared" si="115"/>
        <v>-265.06138378915904</v>
      </c>
      <c r="X371" s="35">
        <f t="shared" si="134"/>
        <v>-14195.113212972463</v>
      </c>
      <c r="Y371" s="1">
        <f t="shared" si="118"/>
        <v>12222971.449694322</v>
      </c>
      <c r="AA371" s="2">
        <f>+Bono!J371</f>
        <v>353660.83122047834</v>
      </c>
      <c r="AC371" s="10">
        <f t="shared" si="119"/>
        <v>29</v>
      </c>
      <c r="AD371" s="1">
        <f t="shared" si="120"/>
        <v>13122039.561486043</v>
      </c>
    </row>
    <row r="372" spans="1:30">
      <c r="A372" s="1">
        <f t="shared" si="121"/>
        <v>29.083333333333332</v>
      </c>
      <c r="B372" s="1">
        <f t="shared" si="122"/>
        <v>349</v>
      </c>
      <c r="C372" s="2">
        <f t="shared" si="127"/>
        <v>29</v>
      </c>
      <c r="D372" s="2">
        <f t="shared" si="128"/>
        <v>1</v>
      </c>
      <c r="E372" s="2">
        <f t="shared" si="129"/>
        <v>58</v>
      </c>
      <c r="F372" s="1">
        <f t="shared" si="123"/>
        <v>545407.28057124245</v>
      </c>
      <c r="H372" s="1">
        <f t="shared" si="116"/>
        <v>4349.154246221603</v>
      </c>
      <c r="I372" s="1">
        <v>0</v>
      </c>
      <c r="J372" s="1">
        <v>0</v>
      </c>
      <c r="K372" s="1">
        <f t="shared" si="124"/>
        <v>-637.71746438825824</v>
      </c>
      <c r="L372" s="1">
        <f t="shared" si="117"/>
        <v>549118.71735307586</v>
      </c>
      <c r="N372" s="1">
        <f t="shared" si="125"/>
        <v>349</v>
      </c>
      <c r="O372" s="2">
        <f t="shared" si="130"/>
        <v>29</v>
      </c>
      <c r="P372" s="2">
        <f t="shared" si="131"/>
        <v>1</v>
      </c>
      <c r="Q372" s="2">
        <f t="shared" si="132"/>
        <v>29</v>
      </c>
      <c r="R372" s="1">
        <f t="shared" si="126"/>
        <v>12222971.449694322</v>
      </c>
      <c r="S372" s="1">
        <f>IF($G$17="si",S360*(1+$G$20),S360)</f>
        <v>10000</v>
      </c>
      <c r="U372" s="1">
        <f t="shared" si="133"/>
        <v>97547.43220263299</v>
      </c>
      <c r="V372" s="35">
        <f>V371*(1+$G$18)</f>
        <v>-275.66383914072543</v>
      </c>
      <c r="X372" s="35">
        <f t="shared" si="134"/>
        <v>-14303.082132947064</v>
      </c>
      <c r="Y372" s="1">
        <f t="shared" si="118"/>
        <v>12315940.135924868</v>
      </c>
      <c r="AA372" s="2">
        <f>+Bono!J372</f>
        <v>355853.56939616264</v>
      </c>
      <c r="AC372" s="10">
        <f t="shared" si="119"/>
        <v>29.083333333333332</v>
      </c>
      <c r="AD372" s="1">
        <f t="shared" si="120"/>
        <v>13220912.422674106</v>
      </c>
    </row>
    <row r="373" spans="1:30">
      <c r="A373" s="1">
        <f t="shared" si="121"/>
        <v>29.166666666666668</v>
      </c>
      <c r="B373" s="1">
        <f t="shared" si="122"/>
        <v>350</v>
      </c>
      <c r="C373" s="2">
        <f t="shared" si="127"/>
        <v>29</v>
      </c>
      <c r="D373" s="2">
        <f t="shared" si="128"/>
        <v>2</v>
      </c>
      <c r="E373" s="2">
        <f t="shared" si="129"/>
        <v>58</v>
      </c>
      <c r="F373" s="1">
        <f t="shared" si="123"/>
        <v>549118.71735307586</v>
      </c>
      <c r="H373" s="1">
        <f t="shared" si="116"/>
        <v>4378.7497643129409</v>
      </c>
      <c r="I373" s="1">
        <v>0</v>
      </c>
      <c r="J373" s="1">
        <v>0</v>
      </c>
      <c r="K373" s="1">
        <f t="shared" si="124"/>
        <v>-642.057061856171</v>
      </c>
      <c r="L373" s="1">
        <f t="shared" si="117"/>
        <v>552855.4100555327</v>
      </c>
      <c r="N373" s="1">
        <f t="shared" si="125"/>
        <v>350</v>
      </c>
      <c r="O373" s="2">
        <f t="shared" si="130"/>
        <v>29</v>
      </c>
      <c r="P373" s="2">
        <f t="shared" si="131"/>
        <v>2</v>
      </c>
      <c r="Q373" s="2">
        <f t="shared" si="132"/>
        <v>29</v>
      </c>
      <c r="R373" s="1">
        <f t="shared" si="126"/>
        <v>12315940.135924868</v>
      </c>
      <c r="S373" s="4">
        <f>IF($G$4="mensual",S372,0)</f>
        <v>10000</v>
      </c>
      <c r="U373" s="1">
        <f t="shared" si="133"/>
        <v>98288.777562126052</v>
      </c>
      <c r="V373" s="35">
        <f t="shared" si="115"/>
        <v>-275.66383914072543</v>
      </c>
      <c r="X373" s="35">
        <f t="shared" si="134"/>
        <v>-14411.78576959151</v>
      </c>
      <c r="Y373" s="1">
        <f t="shared" si="118"/>
        <v>12409541.463878263</v>
      </c>
      <c r="AA373" s="2">
        <f>+Bono!J373</f>
        <v>358059.90280287812</v>
      </c>
      <c r="AC373" s="10">
        <f t="shared" si="119"/>
        <v>29.166666666666668</v>
      </c>
      <c r="AD373" s="1">
        <f t="shared" si="120"/>
        <v>13320456.776736675</v>
      </c>
    </row>
    <row r="374" spans="1:30">
      <c r="A374" s="1">
        <f t="shared" si="121"/>
        <v>29.25</v>
      </c>
      <c r="B374" s="1">
        <f t="shared" si="122"/>
        <v>351</v>
      </c>
      <c r="C374" s="2">
        <f t="shared" si="127"/>
        <v>29</v>
      </c>
      <c r="D374" s="2">
        <f t="shared" si="128"/>
        <v>3</v>
      </c>
      <c r="E374" s="2">
        <f t="shared" si="129"/>
        <v>58</v>
      </c>
      <c r="F374" s="1">
        <f t="shared" si="123"/>
        <v>552855.4100555327</v>
      </c>
      <c r="H374" s="1">
        <f t="shared" si="116"/>
        <v>4408.546676661992</v>
      </c>
      <c r="I374" s="1">
        <v>0</v>
      </c>
      <c r="J374" s="69">
        <f>-SUM(F374:H374)*$J$21*1.16</f>
        <v>-5817.8357082841121</v>
      </c>
      <c r="K374" s="1">
        <f t="shared" si="124"/>
        <v>-639.67750038773613</v>
      </c>
      <c r="L374" s="1">
        <f t="shared" si="117"/>
        <v>550806.4435235227</v>
      </c>
      <c r="N374" s="1">
        <f t="shared" si="125"/>
        <v>351</v>
      </c>
      <c r="O374" s="2">
        <f t="shared" si="130"/>
        <v>29</v>
      </c>
      <c r="P374" s="2">
        <f t="shared" si="131"/>
        <v>3</v>
      </c>
      <c r="Q374" s="2">
        <f t="shared" si="132"/>
        <v>29</v>
      </c>
      <c r="R374" s="1">
        <f t="shared" si="126"/>
        <v>12409541.463878263</v>
      </c>
      <c r="S374" s="4">
        <f>IF($G$4="mensual",S373,0)</f>
        <v>10000</v>
      </c>
      <c r="U374" s="1">
        <f t="shared" si="133"/>
        <v>99035.167695558295</v>
      </c>
      <c r="V374" s="35">
        <f t="shared" si="115"/>
        <v>-275.66383914072543</v>
      </c>
      <c r="X374" s="35">
        <f t="shared" si="134"/>
        <v>-14521.229122572227</v>
      </c>
      <c r="Y374" s="1">
        <f t="shared" si="118"/>
        <v>12503779.738612108</v>
      </c>
      <c r="AA374" s="2">
        <f>+Bono!J374</f>
        <v>357034.15072603372</v>
      </c>
      <c r="AC374" s="10">
        <f t="shared" si="119"/>
        <v>29.25</v>
      </c>
      <c r="AD374" s="1">
        <f t="shared" si="120"/>
        <v>13411620.332861664</v>
      </c>
    </row>
    <row r="375" spans="1:30">
      <c r="A375" s="1">
        <f t="shared" si="121"/>
        <v>29.333333333333332</v>
      </c>
      <c r="B375" s="1">
        <f t="shared" si="122"/>
        <v>352</v>
      </c>
      <c r="C375" s="2">
        <f t="shared" si="127"/>
        <v>29</v>
      </c>
      <c r="D375" s="2">
        <f t="shared" si="128"/>
        <v>4</v>
      </c>
      <c r="E375" s="2">
        <f t="shared" si="129"/>
        <v>58</v>
      </c>
      <c r="F375" s="1">
        <f t="shared" si="123"/>
        <v>550806.4435235227</v>
      </c>
      <c r="H375" s="1">
        <f t="shared" si="116"/>
        <v>4392.2079298016206</v>
      </c>
      <c r="I375" s="1">
        <v>0</v>
      </c>
      <c r="J375" s="1">
        <v>0</v>
      </c>
      <c r="K375" s="1">
        <f t="shared" si="124"/>
        <v>-644.03043568585622</v>
      </c>
      <c r="L375" s="1">
        <f t="shared" si="117"/>
        <v>554554.62101763848</v>
      </c>
      <c r="N375" s="1">
        <f t="shared" si="125"/>
        <v>352</v>
      </c>
      <c r="O375" s="2">
        <f t="shared" si="130"/>
        <v>29</v>
      </c>
      <c r="P375" s="2">
        <f t="shared" si="131"/>
        <v>4</v>
      </c>
      <c r="Q375" s="2">
        <f t="shared" si="132"/>
        <v>29</v>
      </c>
      <c r="R375" s="1">
        <f t="shared" si="126"/>
        <v>12503779.738612108</v>
      </c>
      <c r="S375" s="4">
        <f>IF($G$4="mensual",S372,IF($G$4="trimestral",S372,0))</f>
        <v>10000</v>
      </c>
      <c r="U375" s="1">
        <f t="shared" si="133"/>
        <v>99786.636932063586</v>
      </c>
      <c r="V375" s="35">
        <f t="shared" si="115"/>
        <v>-275.66383914072543</v>
      </c>
      <c r="X375" s="35">
        <f t="shared" si="134"/>
        <v>-14631.417225577834</v>
      </c>
      <c r="Y375" s="1">
        <f t="shared" si="118"/>
        <v>12598659.294479454</v>
      </c>
      <c r="AA375" s="2">
        <f>+Bono!J375</f>
        <v>359247.80387393333</v>
      </c>
      <c r="AC375" s="10">
        <f t="shared" si="119"/>
        <v>29.333333333333332</v>
      </c>
      <c r="AD375" s="1">
        <f t="shared" si="120"/>
        <v>13512461.719371026</v>
      </c>
    </row>
    <row r="376" spans="1:30">
      <c r="A376" s="1">
        <f t="shared" si="121"/>
        <v>29.416666666666668</v>
      </c>
      <c r="B376" s="1">
        <f t="shared" si="122"/>
        <v>353</v>
      </c>
      <c r="C376" s="2">
        <f t="shared" si="127"/>
        <v>29</v>
      </c>
      <c r="D376" s="2">
        <f t="shared" si="128"/>
        <v>5</v>
      </c>
      <c r="E376" s="2">
        <f t="shared" si="129"/>
        <v>58</v>
      </c>
      <c r="F376" s="1">
        <f t="shared" si="123"/>
        <v>554554.62101763848</v>
      </c>
      <c r="H376" s="1">
        <f t="shared" si="116"/>
        <v>4422.0964234921557</v>
      </c>
      <c r="I376" s="1">
        <v>0</v>
      </c>
      <c r="J376" s="1">
        <v>0</v>
      </c>
      <c r="K376" s="1">
        <f t="shared" si="124"/>
        <v>-648.41299223171154</v>
      </c>
      <c r="L376" s="1">
        <f t="shared" si="117"/>
        <v>558328.304448899</v>
      </c>
      <c r="N376" s="1">
        <f t="shared" si="125"/>
        <v>353</v>
      </c>
      <c r="O376" s="2">
        <f t="shared" si="130"/>
        <v>29</v>
      </c>
      <c r="P376" s="2">
        <f t="shared" si="131"/>
        <v>5</v>
      </c>
      <c r="Q376" s="2">
        <f t="shared" si="132"/>
        <v>29</v>
      </c>
      <c r="R376" s="1">
        <f t="shared" si="126"/>
        <v>12598659.294479454</v>
      </c>
      <c r="S376" s="4">
        <f>IF($G$4="mensual",S375,0)</f>
        <v>10000</v>
      </c>
      <c r="U376" s="1">
        <f t="shared" si="133"/>
        <v>100543.21983438183</v>
      </c>
      <c r="V376" s="35">
        <f t="shared" si="115"/>
        <v>-275.66383914072543</v>
      </c>
      <c r="X376" s="35">
        <f t="shared" si="134"/>
        <v>-14742.355146550644</v>
      </c>
      <c r="Y376" s="1">
        <f t="shared" si="118"/>
        <v>12694184.495328143</v>
      </c>
      <c r="AA376" s="2">
        <f>+Bono!J376</f>
        <v>361475.18192811776</v>
      </c>
      <c r="AC376" s="10">
        <f t="shared" si="119"/>
        <v>29.416666666666668</v>
      </c>
      <c r="AD376" s="1">
        <f t="shared" si="120"/>
        <v>13613987.981705159</v>
      </c>
    </row>
    <row r="377" spans="1:30">
      <c r="A377" s="1">
        <f t="shared" si="121"/>
        <v>29.5</v>
      </c>
      <c r="B377" s="1">
        <f t="shared" si="122"/>
        <v>354</v>
      </c>
      <c r="C377" s="2">
        <f t="shared" si="127"/>
        <v>29</v>
      </c>
      <c r="D377" s="2">
        <f t="shared" si="128"/>
        <v>6</v>
      </c>
      <c r="E377" s="2">
        <f t="shared" si="129"/>
        <v>58</v>
      </c>
      <c r="F377" s="1">
        <f t="shared" si="123"/>
        <v>558328.304448899</v>
      </c>
      <c r="H377" s="1">
        <f t="shared" si="116"/>
        <v>4452.1883051072546</v>
      </c>
      <c r="I377" s="1">
        <v>0</v>
      </c>
      <c r="J377" s="69">
        <f>-SUM(F377:H377)*$J$21*1.16</f>
        <v>-5875.4283443518261</v>
      </c>
      <c r="K377" s="1">
        <f t="shared" si="124"/>
        <v>-646.0098747151992</v>
      </c>
      <c r="L377" s="1">
        <f t="shared" si="117"/>
        <v>556259.05453493923</v>
      </c>
      <c r="N377" s="1">
        <f t="shared" si="125"/>
        <v>354</v>
      </c>
      <c r="O377" s="2">
        <f t="shared" si="130"/>
        <v>29</v>
      </c>
      <c r="P377" s="2">
        <f t="shared" si="131"/>
        <v>6</v>
      </c>
      <c r="Q377" s="2">
        <f t="shared" si="132"/>
        <v>29</v>
      </c>
      <c r="R377" s="1">
        <f t="shared" si="126"/>
        <v>12694184.495328143</v>
      </c>
      <c r="S377" s="4">
        <f>IF($G$4="mensual",S376,0)</f>
        <v>10000</v>
      </c>
      <c r="U377" s="1">
        <f t="shared" si="133"/>
        <v>101304.95120044852</v>
      </c>
      <c r="V377" s="35">
        <f t="shared" si="115"/>
        <v>-275.66383914072543</v>
      </c>
      <c r="X377" s="35">
        <f t="shared" si="134"/>
        <v>-14854.047987919761</v>
      </c>
      <c r="Y377" s="1">
        <f t="shared" si="118"/>
        <v>12790359.734701531</v>
      </c>
      <c r="AA377" s="2">
        <f>+Bono!J377</f>
        <v>360439.64593068272</v>
      </c>
      <c r="AC377" s="10">
        <f t="shared" si="119"/>
        <v>29.5</v>
      </c>
      <c r="AD377" s="1">
        <f t="shared" si="120"/>
        <v>13707058.435167154</v>
      </c>
    </row>
    <row r="378" spans="1:30">
      <c r="A378" s="1">
        <f t="shared" si="121"/>
        <v>29.583333333333332</v>
      </c>
      <c r="B378" s="1">
        <f t="shared" si="122"/>
        <v>355</v>
      </c>
      <c r="C378" s="2">
        <f t="shared" si="127"/>
        <v>29</v>
      </c>
      <c r="D378" s="2">
        <f t="shared" si="128"/>
        <v>7</v>
      </c>
      <c r="E378" s="2">
        <f t="shared" si="129"/>
        <v>58</v>
      </c>
      <c r="F378" s="1">
        <f t="shared" si="123"/>
        <v>556259.05453493923</v>
      </c>
      <c r="H378" s="1">
        <f t="shared" si="116"/>
        <v>4435.6878157108431</v>
      </c>
      <c r="I378" s="1">
        <v>0</v>
      </c>
      <c r="J378" s="1">
        <v>0</v>
      </c>
      <c r="K378" s="1">
        <f t="shared" si="124"/>
        <v>-650.40590112675397</v>
      </c>
      <c r="L378" s="1">
        <f t="shared" si="117"/>
        <v>560044.33644952322</v>
      </c>
      <c r="N378" s="1">
        <f t="shared" si="125"/>
        <v>355</v>
      </c>
      <c r="O378" s="2">
        <f t="shared" si="130"/>
        <v>29</v>
      </c>
      <c r="P378" s="2">
        <f t="shared" si="131"/>
        <v>7</v>
      </c>
      <c r="Q378" s="2">
        <f t="shared" si="132"/>
        <v>29</v>
      </c>
      <c r="R378" s="1">
        <f t="shared" si="126"/>
        <v>12790359.734701531</v>
      </c>
      <c r="S378" s="1">
        <f>+IF($G$4="mensual",S372,IF($G$4="trimestral",S372,IF($G$4="semestral",S372,0)))</f>
        <v>10000</v>
      </c>
      <c r="U378" s="1">
        <f t="shared" si="133"/>
        <v>102071.86606499534</v>
      </c>
      <c r="V378" s="35">
        <f t="shared" si="115"/>
        <v>-275.66383914072543</v>
      </c>
      <c r="X378" s="35">
        <f t="shared" si="134"/>
        <v>-14966.500886835765</v>
      </c>
      <c r="Y378" s="1">
        <f t="shared" si="118"/>
        <v>12887189.43604055</v>
      </c>
      <c r="AA378" s="2">
        <f>+Bono!J378</f>
        <v>362674.41354386415</v>
      </c>
      <c r="AC378" s="10">
        <f t="shared" si="119"/>
        <v>29.583333333333332</v>
      </c>
      <c r="AD378" s="1">
        <f t="shared" si="120"/>
        <v>13809908.186033938</v>
      </c>
    </row>
    <row r="379" spans="1:30">
      <c r="A379" s="1">
        <f t="shared" si="121"/>
        <v>29.666666666666668</v>
      </c>
      <c r="B379" s="1">
        <f t="shared" si="122"/>
        <v>356</v>
      </c>
      <c r="C379" s="2">
        <f t="shared" si="127"/>
        <v>29</v>
      </c>
      <c r="D379" s="2">
        <f t="shared" si="128"/>
        <v>8</v>
      </c>
      <c r="E379" s="2">
        <f t="shared" si="129"/>
        <v>58</v>
      </c>
      <c r="F379" s="1">
        <f t="shared" si="123"/>
        <v>560044.33644952322</v>
      </c>
      <c r="H379" s="1">
        <f t="shared" si="116"/>
        <v>4465.872185260725</v>
      </c>
      <c r="I379" s="1">
        <v>0</v>
      </c>
      <c r="J379" s="1">
        <v>0</v>
      </c>
      <c r="K379" s="1">
        <f t="shared" si="124"/>
        <v>-654.83184201634947</v>
      </c>
      <c r="L379" s="1">
        <f t="shared" si="117"/>
        <v>563855.37679276767</v>
      </c>
      <c r="N379" s="1">
        <f t="shared" si="125"/>
        <v>356</v>
      </c>
      <c r="O379" s="2">
        <f t="shared" si="130"/>
        <v>29</v>
      </c>
      <c r="P379" s="2">
        <f t="shared" si="131"/>
        <v>8</v>
      </c>
      <c r="Q379" s="2">
        <f t="shared" si="132"/>
        <v>29</v>
      </c>
      <c r="R379" s="1">
        <f t="shared" si="126"/>
        <v>12887189.43604055</v>
      </c>
      <c r="S379" s="4">
        <f>IF($G$4="mensual",S378,0)</f>
        <v>10000</v>
      </c>
      <c r="U379" s="1">
        <f t="shared" si="133"/>
        <v>102843.99970116149</v>
      </c>
      <c r="V379" s="35">
        <f t="shared" si="115"/>
        <v>-275.66383914072543</v>
      </c>
      <c r="X379" s="35">
        <f t="shared" si="134"/>
        <v>-15079.719015406981</v>
      </c>
      <c r="Y379" s="1">
        <f t="shared" si="118"/>
        <v>12984678.052887164</v>
      </c>
      <c r="AA379" s="2">
        <f>+Bono!J379</f>
        <v>364923.03697546426</v>
      </c>
      <c r="AC379" s="10">
        <f t="shared" si="119"/>
        <v>29.666666666666668</v>
      </c>
      <c r="AD379" s="1">
        <f t="shared" si="120"/>
        <v>13913456.466655396</v>
      </c>
    </row>
    <row r="380" spans="1:30">
      <c r="A380" s="1">
        <f t="shared" si="121"/>
        <v>29.75</v>
      </c>
      <c r="B380" s="1">
        <f t="shared" si="122"/>
        <v>357</v>
      </c>
      <c r="C380" s="2">
        <f t="shared" si="127"/>
        <v>29</v>
      </c>
      <c r="D380" s="2">
        <f t="shared" si="128"/>
        <v>9</v>
      </c>
      <c r="E380" s="2">
        <f t="shared" si="129"/>
        <v>58</v>
      </c>
      <c r="F380" s="1">
        <f t="shared" si="123"/>
        <v>563855.37679276767</v>
      </c>
      <c r="H380" s="1">
        <f t="shared" si="116"/>
        <v>4496.2619561379743</v>
      </c>
      <c r="I380" s="1">
        <v>0</v>
      </c>
      <c r="J380" s="69">
        <f>-SUM(F380:H380)*$J$21*1.16</f>
        <v>-5933.5911085385751</v>
      </c>
      <c r="K380" s="1">
        <f t="shared" si="124"/>
        <v>-652.40493526282569</v>
      </c>
      <c r="L380" s="1">
        <f t="shared" si="117"/>
        <v>561765.6427051042</v>
      </c>
      <c r="N380" s="1">
        <f t="shared" si="125"/>
        <v>357</v>
      </c>
      <c r="O380" s="2">
        <f t="shared" si="130"/>
        <v>29</v>
      </c>
      <c r="P380" s="2">
        <f t="shared" si="131"/>
        <v>9</v>
      </c>
      <c r="Q380" s="2">
        <f t="shared" si="132"/>
        <v>29</v>
      </c>
      <c r="R380" s="1">
        <f t="shared" si="126"/>
        <v>12984678.052887164</v>
      </c>
      <c r="S380" s="4">
        <f>IF($G$4="mensual",S379,0)</f>
        <v>10000</v>
      </c>
      <c r="U380" s="1">
        <f t="shared" si="133"/>
        <v>103621.38762211599</v>
      </c>
      <c r="V380" s="35">
        <f t="shared" si="115"/>
        <v>-275.66383914072543</v>
      </c>
      <c r="X380" s="35">
        <f t="shared" si="134"/>
        <v>-15193.70758093736</v>
      </c>
      <c r="Y380" s="1">
        <f t="shared" si="118"/>
        <v>13082830.069089202</v>
      </c>
      <c r="AA380" s="2">
        <f>+Bono!J380</f>
        <v>363877.62373556837</v>
      </c>
      <c r="AC380" s="10">
        <f t="shared" si="119"/>
        <v>29.75</v>
      </c>
      <c r="AD380" s="1">
        <f t="shared" si="120"/>
        <v>14008473.335529873</v>
      </c>
    </row>
    <row r="381" spans="1:30">
      <c r="A381" s="1">
        <f t="shared" si="121"/>
        <v>29.833333333333332</v>
      </c>
      <c r="B381" s="1">
        <f t="shared" si="122"/>
        <v>358</v>
      </c>
      <c r="C381" s="2">
        <f t="shared" si="127"/>
        <v>29</v>
      </c>
      <c r="D381" s="2">
        <f t="shared" si="128"/>
        <v>10</v>
      </c>
      <c r="E381" s="2">
        <f t="shared" si="129"/>
        <v>58</v>
      </c>
      <c r="F381" s="1">
        <f t="shared" si="123"/>
        <v>561765.6427051042</v>
      </c>
      <c r="H381" s="1">
        <f t="shared" si="116"/>
        <v>4479.5981230638781</v>
      </c>
      <c r="I381" s="1">
        <v>0</v>
      </c>
      <c r="J381" s="1">
        <v>0</v>
      </c>
      <c r="K381" s="1">
        <f t="shared" si="124"/>
        <v>-656.844479360675</v>
      </c>
      <c r="L381" s="1">
        <f t="shared" si="117"/>
        <v>565588.3963488075</v>
      </c>
      <c r="N381" s="1">
        <f t="shared" si="125"/>
        <v>358</v>
      </c>
      <c r="O381" s="2">
        <f t="shared" si="130"/>
        <v>29</v>
      </c>
      <c r="P381" s="2">
        <f t="shared" si="131"/>
        <v>10</v>
      </c>
      <c r="Q381" s="2">
        <f t="shared" si="132"/>
        <v>29</v>
      </c>
      <c r="R381" s="1">
        <f t="shared" si="126"/>
        <v>13082830.069089202</v>
      </c>
      <c r="S381" s="4">
        <f>IF($G$4="mensual",S372,IF($G$4="trimestral",S372,0))</f>
        <v>10000</v>
      </c>
      <c r="U381" s="1">
        <f t="shared" si="133"/>
        <v>104404.06558269107</v>
      </c>
      <c r="V381" s="35">
        <f t="shared" si="115"/>
        <v>-275.66383914072543</v>
      </c>
      <c r="X381" s="35">
        <f t="shared" si="134"/>
        <v>-15308.471826165993</v>
      </c>
      <c r="Y381" s="1">
        <f t="shared" si="118"/>
        <v>13181649.999006586</v>
      </c>
      <c r="AA381" s="2">
        <f>+Bono!J381</f>
        <v>366133.7072099208</v>
      </c>
      <c r="AC381" s="10">
        <f t="shared" si="119"/>
        <v>29.833333333333332</v>
      </c>
      <c r="AD381" s="1">
        <f t="shared" si="120"/>
        <v>14113372.102565315</v>
      </c>
    </row>
    <row r="382" spans="1:30">
      <c r="A382" s="1">
        <f t="shared" si="121"/>
        <v>29.916666666666668</v>
      </c>
      <c r="B382" s="1">
        <f t="shared" si="122"/>
        <v>359</v>
      </c>
      <c r="C382" s="2">
        <f t="shared" si="127"/>
        <v>29</v>
      </c>
      <c r="D382" s="2">
        <f t="shared" si="128"/>
        <v>11</v>
      </c>
      <c r="E382" s="2">
        <f t="shared" si="129"/>
        <v>58</v>
      </c>
      <c r="F382" s="1">
        <f t="shared" si="123"/>
        <v>565588.3963488075</v>
      </c>
      <c r="H382" s="1">
        <f t="shared" si="116"/>
        <v>4510.0812974438722</v>
      </c>
      <c r="I382" s="1">
        <v>0</v>
      </c>
      <c r="J382" s="1">
        <v>0</v>
      </c>
      <c r="K382" s="1">
        <f t="shared" si="124"/>
        <v>-661.31423406965155</v>
      </c>
      <c r="L382" s="1">
        <f t="shared" si="117"/>
        <v>569437.16341218166</v>
      </c>
      <c r="N382" s="1">
        <f t="shared" si="125"/>
        <v>359</v>
      </c>
      <c r="O382" s="2">
        <f t="shared" si="130"/>
        <v>29</v>
      </c>
      <c r="P382" s="2">
        <f t="shared" si="131"/>
        <v>11</v>
      </c>
      <c r="Q382" s="2">
        <f t="shared" si="132"/>
        <v>29</v>
      </c>
      <c r="R382" s="1">
        <f t="shared" si="126"/>
        <v>13181649.999006586</v>
      </c>
      <c r="S382" s="1">
        <f>IF($G$17="si",S370*(1+$G$20),S370)</f>
        <v>10000</v>
      </c>
      <c r="U382" s="1">
        <f t="shared" si="133"/>
        <v>105192.06958102672</v>
      </c>
      <c r="V382" s="35">
        <f t="shared" si="115"/>
        <v>-275.66383914072543</v>
      </c>
      <c r="X382" s="35">
        <f t="shared" si="134"/>
        <v>-15424.017029508226</v>
      </c>
      <c r="Y382" s="1">
        <f t="shared" si="118"/>
        <v>13281142.387718963</v>
      </c>
      <c r="AA382" s="2">
        <f>+Bono!J382</f>
        <v>368403.7786635037</v>
      </c>
      <c r="AC382" s="10">
        <f t="shared" si="119"/>
        <v>29.916666666666668</v>
      </c>
      <c r="AD382" s="1">
        <f t="shared" si="120"/>
        <v>14218983.329794647</v>
      </c>
    </row>
    <row r="383" spans="1:30">
      <c r="A383" s="1">
        <f t="shared" si="121"/>
        <v>30</v>
      </c>
      <c r="B383" s="1">
        <f t="shared" si="122"/>
        <v>360</v>
      </c>
      <c r="C383" s="2">
        <f t="shared" si="127"/>
        <v>29</v>
      </c>
      <c r="D383" s="2">
        <f t="shared" si="128"/>
        <v>12</v>
      </c>
      <c r="E383" s="2">
        <f t="shared" si="129"/>
        <v>58</v>
      </c>
      <c r="F383" s="1">
        <f t="shared" si="123"/>
        <v>569437.16341218166</v>
      </c>
      <c r="H383" s="1">
        <f t="shared" si="116"/>
        <v>4540.7719064853572</v>
      </c>
      <c r="I383" s="1">
        <v>0</v>
      </c>
      <c r="J383" s="69">
        <f>-SUM(F383:H383)*$J$21*1.16</f>
        <v>-5992.3296447268831</v>
      </c>
      <c r="K383" s="1">
        <f t="shared" si="124"/>
        <v>-658.86330258177043</v>
      </c>
      <c r="L383" s="1">
        <f t="shared" si="117"/>
        <v>567326.74237135821</v>
      </c>
      <c r="N383" s="1">
        <f t="shared" si="125"/>
        <v>360</v>
      </c>
      <c r="O383" s="2">
        <f t="shared" si="130"/>
        <v>29</v>
      </c>
      <c r="P383" s="2">
        <f t="shared" si="131"/>
        <v>12</v>
      </c>
      <c r="Q383" s="2">
        <f t="shared" si="132"/>
        <v>29</v>
      </c>
      <c r="R383" s="1">
        <f t="shared" si="126"/>
        <v>13281142.387718963</v>
      </c>
      <c r="S383" s="4">
        <f>IF($G$4="mensual",S382,0)</f>
        <v>10000</v>
      </c>
      <c r="U383" s="1">
        <f t="shared" si="133"/>
        <v>105985.43586022629</v>
      </c>
      <c r="V383" s="35">
        <f t="shared" si="115"/>
        <v>-275.66383914072543</v>
      </c>
      <c r="X383" s="35">
        <f t="shared" si="134"/>
        <v>-15540.348505298456</v>
      </c>
      <c r="Y383" s="1">
        <f t="shared" si="118"/>
        <v>13381311.81123475</v>
      </c>
      <c r="AA383" s="2">
        <f>+Bono!J383</f>
        <v>367348.39396914584</v>
      </c>
      <c r="AC383" s="10">
        <f t="shared" si="119"/>
        <v>30</v>
      </c>
      <c r="AD383" s="1">
        <f t="shared" si="120"/>
        <v>14315986.947575254</v>
      </c>
    </row>
    <row r="384" spans="1:30">
      <c r="A384" s="1">
        <f t="shared" si="121"/>
        <v>30.083333333333332</v>
      </c>
      <c r="B384" s="1">
        <f t="shared" si="122"/>
        <v>361</v>
      </c>
      <c r="C384" s="2">
        <f t="shared" si="127"/>
        <v>30</v>
      </c>
      <c r="D384" s="2">
        <f t="shared" si="128"/>
        <v>1</v>
      </c>
      <c r="E384" s="2">
        <f t="shared" si="129"/>
        <v>59</v>
      </c>
      <c r="F384" s="1">
        <f t="shared" si="123"/>
        <v>567326.74237135821</v>
      </c>
      <c r="H384" s="1">
        <f t="shared" si="116"/>
        <v>4523.9431127417174</v>
      </c>
      <c r="I384" s="1">
        <v>0</v>
      </c>
      <c r="J384" s="1">
        <v>0</v>
      </c>
      <c r="K384" s="1">
        <f t="shared" si="124"/>
        <v>-663.34679516155586</v>
      </c>
      <c r="L384" s="1">
        <f t="shared" si="117"/>
        <v>571187.3386889383</v>
      </c>
      <c r="N384" s="1">
        <f t="shared" si="125"/>
        <v>361</v>
      </c>
      <c r="O384" s="2">
        <f t="shared" si="130"/>
        <v>30</v>
      </c>
      <c r="P384" s="2">
        <f t="shared" si="131"/>
        <v>1</v>
      </c>
      <c r="Q384" s="2">
        <f t="shared" si="132"/>
        <v>30</v>
      </c>
      <c r="R384" s="1">
        <f t="shared" si="126"/>
        <v>13381311.81123475</v>
      </c>
      <c r="S384" s="1">
        <f>IF($G$17="si",S372*(1+$G$20),S372)</f>
        <v>10000</v>
      </c>
      <c r="U384" s="1">
        <f t="shared" si="133"/>
        <v>106784.20091002352</v>
      </c>
      <c r="V384" s="35">
        <f>V383*(1+$G$18)</f>
        <v>-286.69039270635443</v>
      </c>
      <c r="X384" s="35">
        <f t="shared" si="134"/>
        <v>-15657.458813232397</v>
      </c>
      <c r="Y384" s="1">
        <f t="shared" si="118"/>
        <v>13482151.862938834</v>
      </c>
      <c r="AA384" s="2">
        <f>+Bono!J384</f>
        <v>369625.99662153091</v>
      </c>
      <c r="AC384" s="10">
        <f t="shared" si="119"/>
        <v>30.083333333333332</v>
      </c>
      <c r="AD384" s="1">
        <f t="shared" si="120"/>
        <v>14422965.198249303</v>
      </c>
    </row>
    <row r="385" spans="1:30">
      <c r="A385" s="1">
        <f t="shared" si="121"/>
        <v>30.166666666666668</v>
      </c>
      <c r="B385" s="1">
        <f t="shared" si="122"/>
        <v>362</v>
      </c>
      <c r="C385" s="2">
        <f t="shared" si="127"/>
        <v>30</v>
      </c>
      <c r="D385" s="2">
        <f t="shared" si="128"/>
        <v>2</v>
      </c>
      <c r="E385" s="2">
        <f t="shared" si="129"/>
        <v>59</v>
      </c>
      <c r="F385" s="1">
        <f t="shared" si="123"/>
        <v>571187.3386889383</v>
      </c>
      <c r="H385" s="1">
        <f t="shared" si="116"/>
        <v>4554.7280499174103</v>
      </c>
      <c r="I385" s="1">
        <v>0</v>
      </c>
      <c r="J385" s="1">
        <v>0</v>
      </c>
      <c r="K385" s="1">
        <f t="shared" si="124"/>
        <v>-667.86079741707249</v>
      </c>
      <c r="L385" s="1">
        <f t="shared" si="117"/>
        <v>575074.20594143856</v>
      </c>
      <c r="N385" s="1">
        <f t="shared" si="125"/>
        <v>362</v>
      </c>
      <c r="O385" s="2">
        <f t="shared" si="130"/>
        <v>30</v>
      </c>
      <c r="P385" s="2">
        <f t="shared" si="131"/>
        <v>2</v>
      </c>
      <c r="Q385" s="2">
        <f t="shared" si="132"/>
        <v>30</v>
      </c>
      <c r="R385" s="1">
        <f t="shared" si="126"/>
        <v>13482151.862938834</v>
      </c>
      <c r="S385" s="4">
        <f>IF($G$4="mensual",S384,0)</f>
        <v>10000</v>
      </c>
      <c r="U385" s="1">
        <f t="shared" si="133"/>
        <v>107588.31364316979</v>
      </c>
      <c r="V385" s="35">
        <f t="shared" si="115"/>
        <v>-286.69039270635443</v>
      </c>
      <c r="X385" s="35">
        <f t="shared" si="134"/>
        <v>-15775.366043979586</v>
      </c>
      <c r="Y385" s="1">
        <f t="shared" si="118"/>
        <v>13583678.120145319</v>
      </c>
      <c r="AA385" s="2">
        <f>+Bono!J385</f>
        <v>371917.72067454632</v>
      </c>
      <c r="AC385" s="10">
        <f t="shared" si="119"/>
        <v>30.166666666666668</v>
      </c>
      <c r="AD385" s="1">
        <f t="shared" si="120"/>
        <v>14530670.046761304</v>
      </c>
    </row>
    <row r="386" spans="1:30">
      <c r="A386" s="1">
        <f t="shared" si="121"/>
        <v>30.25</v>
      </c>
      <c r="B386" s="1">
        <f t="shared" si="122"/>
        <v>363</v>
      </c>
      <c r="C386" s="2">
        <f t="shared" si="127"/>
        <v>30</v>
      </c>
      <c r="D386" s="2">
        <f t="shared" si="128"/>
        <v>3</v>
      </c>
      <c r="E386" s="2">
        <f t="shared" si="129"/>
        <v>59</v>
      </c>
      <c r="F386" s="1">
        <f t="shared" si="123"/>
        <v>575074.20594143856</v>
      </c>
      <c r="H386" s="1">
        <f t="shared" si="116"/>
        <v>4585.7224752173543</v>
      </c>
      <c r="I386" s="1">
        <v>0</v>
      </c>
      <c r="J386" s="69">
        <f>-SUM(F386:H386)*$J$21*1.16</f>
        <v>-6051.6496526698875</v>
      </c>
      <c r="K386" s="1">
        <f t="shared" si="124"/>
        <v>-665.38560336622368</v>
      </c>
      <c r="L386" s="1">
        <f t="shared" si="117"/>
        <v>572942.89316061977</v>
      </c>
      <c r="N386" s="1">
        <f t="shared" si="125"/>
        <v>363</v>
      </c>
      <c r="O386" s="2">
        <f t="shared" si="130"/>
        <v>30</v>
      </c>
      <c r="P386" s="2">
        <f t="shared" si="131"/>
        <v>3</v>
      </c>
      <c r="Q386" s="2">
        <f t="shared" si="132"/>
        <v>30</v>
      </c>
      <c r="R386" s="1">
        <f t="shared" si="126"/>
        <v>13583678.120145319</v>
      </c>
      <c r="S386" s="4">
        <f>IF($G$4="mensual",S385,0)</f>
        <v>10000</v>
      </c>
      <c r="U386" s="1">
        <f t="shared" si="133"/>
        <v>108397.89827535531</v>
      </c>
      <c r="V386" s="35">
        <f t="shared" si="115"/>
        <v>-286.69039270635443</v>
      </c>
      <c r="X386" s="35">
        <f t="shared" si="134"/>
        <v>-15894.075620512442</v>
      </c>
      <c r="Y386" s="1">
        <f t="shared" si="118"/>
        <v>13685895.252407456</v>
      </c>
      <c r="AA386" s="2">
        <f>+Bono!J386</f>
        <v>370852.26941510389</v>
      </c>
      <c r="AC386" s="10">
        <f t="shared" si="119"/>
        <v>30.25</v>
      </c>
      <c r="AD386" s="1">
        <f t="shared" si="120"/>
        <v>14629690.414983179</v>
      </c>
    </row>
    <row r="387" spans="1:30">
      <c r="A387" s="1">
        <f t="shared" si="121"/>
        <v>30.333333333333332</v>
      </c>
      <c r="B387" s="1">
        <f t="shared" si="122"/>
        <v>364</v>
      </c>
      <c r="C387" s="2">
        <f t="shared" si="127"/>
        <v>30</v>
      </c>
      <c r="D387" s="2">
        <f t="shared" si="128"/>
        <v>4</v>
      </c>
      <c r="E387" s="2">
        <f t="shared" si="129"/>
        <v>59</v>
      </c>
      <c r="F387" s="1">
        <f t="shared" si="123"/>
        <v>572942.89316061977</v>
      </c>
      <c r="H387" s="1">
        <f t="shared" si="116"/>
        <v>4568.7270878051886</v>
      </c>
      <c r="I387" s="1">
        <v>0</v>
      </c>
      <c r="J387" s="1">
        <v>0</v>
      </c>
      <c r="K387" s="1">
        <f t="shared" si="124"/>
        <v>-669.91347948817292</v>
      </c>
      <c r="L387" s="1">
        <f t="shared" si="117"/>
        <v>576841.70676893671</v>
      </c>
      <c r="N387" s="1">
        <f t="shared" si="125"/>
        <v>364</v>
      </c>
      <c r="O387" s="2">
        <f t="shared" si="130"/>
        <v>30</v>
      </c>
      <c r="P387" s="2">
        <f t="shared" si="131"/>
        <v>4</v>
      </c>
      <c r="Q387" s="2">
        <f t="shared" si="132"/>
        <v>30</v>
      </c>
      <c r="R387" s="1">
        <f t="shared" si="126"/>
        <v>13685895.252407456</v>
      </c>
      <c r="S387" s="4">
        <f>IF($G$4="mensual",S384,IF($G$4="trimestral",S384,0))</f>
        <v>10000</v>
      </c>
      <c r="U387" s="1">
        <f t="shared" si="133"/>
        <v>109212.99204225342</v>
      </c>
      <c r="V387" s="35">
        <f t="shared" si="115"/>
        <v>-286.69039270635443</v>
      </c>
      <c r="X387" s="35">
        <f t="shared" si="134"/>
        <v>-16013.59300270612</v>
      </c>
      <c r="Y387" s="1">
        <f t="shared" si="118"/>
        <v>13788807.961054295</v>
      </c>
      <c r="AA387" s="2">
        <f>+Bono!J387</f>
        <v>373151.59650167829</v>
      </c>
      <c r="AC387" s="10">
        <f t="shared" si="119"/>
        <v>30.333333333333332</v>
      </c>
      <c r="AD387" s="1">
        <f t="shared" si="120"/>
        <v>14738801.264324911</v>
      </c>
    </row>
    <row r="388" spans="1:30">
      <c r="A388" s="1">
        <f t="shared" si="121"/>
        <v>30.416666666666668</v>
      </c>
      <c r="B388" s="1">
        <f t="shared" si="122"/>
        <v>365</v>
      </c>
      <c r="C388" s="2">
        <f t="shared" si="127"/>
        <v>30</v>
      </c>
      <c r="D388" s="2">
        <f t="shared" si="128"/>
        <v>5</v>
      </c>
      <c r="E388" s="2">
        <f t="shared" si="129"/>
        <v>59</v>
      </c>
      <c r="F388" s="1">
        <f t="shared" si="123"/>
        <v>576841.70676893671</v>
      </c>
      <c r="H388" s="1">
        <f t="shared" si="116"/>
        <v>4599.8167750240282</v>
      </c>
      <c r="I388" s="1">
        <v>0</v>
      </c>
      <c r="J388" s="1">
        <v>0</v>
      </c>
      <c r="K388" s="1">
        <f t="shared" si="124"/>
        <v>-674.47216731099445</v>
      </c>
      <c r="L388" s="1">
        <f t="shared" si="117"/>
        <v>580767.05137664976</v>
      </c>
      <c r="N388" s="1">
        <f t="shared" si="125"/>
        <v>365</v>
      </c>
      <c r="O388" s="2">
        <f t="shared" si="130"/>
        <v>30</v>
      </c>
      <c r="P388" s="2">
        <f t="shared" si="131"/>
        <v>5</v>
      </c>
      <c r="Q388" s="2">
        <f t="shared" si="132"/>
        <v>30</v>
      </c>
      <c r="R388" s="1">
        <f t="shared" si="126"/>
        <v>13788807.961054295</v>
      </c>
      <c r="S388" s="4">
        <f>IF($G$4="mensual",S387,0)</f>
        <v>10000</v>
      </c>
      <c r="U388" s="1">
        <f t="shared" si="133"/>
        <v>110033.63243292218</v>
      </c>
      <c r="V388" s="35">
        <f t="shared" si="115"/>
        <v>-286.69039270635443</v>
      </c>
      <c r="X388" s="35">
        <f t="shared" si="134"/>
        <v>-16133.923687589631</v>
      </c>
      <c r="Y388" s="1">
        <f t="shared" si="118"/>
        <v>13892420.979406921</v>
      </c>
      <c r="AA388" s="2">
        <f>+Bono!J388</f>
        <v>375465.17968289484</v>
      </c>
      <c r="AC388" s="10">
        <f t="shared" si="119"/>
        <v>30.416666666666668</v>
      </c>
      <c r="AD388" s="1">
        <f t="shared" si="120"/>
        <v>14848653.210466467</v>
      </c>
    </row>
    <row r="389" spans="1:30">
      <c r="A389" s="1">
        <f t="shared" si="121"/>
        <v>30.5</v>
      </c>
      <c r="B389" s="1">
        <f t="shared" si="122"/>
        <v>366</v>
      </c>
      <c r="C389" s="2">
        <f t="shared" si="127"/>
        <v>30</v>
      </c>
      <c r="D389" s="2">
        <f t="shared" si="128"/>
        <v>6</v>
      </c>
      <c r="E389" s="2">
        <f t="shared" si="129"/>
        <v>59</v>
      </c>
      <c r="F389" s="1">
        <f t="shared" si="123"/>
        <v>580767.05137664976</v>
      </c>
      <c r="H389" s="1">
        <f t="shared" si="116"/>
        <v>4631.1180241577722</v>
      </c>
      <c r="I389" s="1">
        <v>0</v>
      </c>
      <c r="J389" s="69">
        <f>-SUM(F389:H389)*$J$21*1.16</f>
        <v>-6111.5568885444318</v>
      </c>
      <c r="K389" s="1">
        <f t="shared" si="124"/>
        <v>-671.97247051422517</v>
      </c>
      <c r="L389" s="1">
        <f t="shared" si="117"/>
        <v>578614.64004174888</v>
      </c>
      <c r="N389" s="1">
        <f t="shared" si="125"/>
        <v>366</v>
      </c>
      <c r="O389" s="2">
        <f t="shared" si="130"/>
        <v>30</v>
      </c>
      <c r="P389" s="2">
        <f t="shared" si="131"/>
        <v>6</v>
      </c>
      <c r="Q389" s="2">
        <f t="shared" si="132"/>
        <v>30</v>
      </c>
      <c r="R389" s="1">
        <f t="shared" si="126"/>
        <v>13892420.979406921</v>
      </c>
      <c r="S389" s="4">
        <f>IF($G$4="mensual",S388,0)</f>
        <v>10000</v>
      </c>
      <c r="U389" s="1">
        <f t="shared" si="133"/>
        <v>110859.8571915286</v>
      </c>
      <c r="V389" s="35">
        <f t="shared" ref="V389:V452" si="135">V388</f>
        <v>-286.69039270635443</v>
      </c>
      <c r="X389" s="35">
        <f t="shared" si="134"/>
        <v>-16255.07320959866</v>
      </c>
      <c r="Y389" s="1">
        <f t="shared" si="118"/>
        <v>13996739.072996145</v>
      </c>
      <c r="AA389" s="2">
        <f>+Bono!J389</f>
        <v>374389.56584055262</v>
      </c>
      <c r="AC389" s="10">
        <f t="shared" si="119"/>
        <v>30.5</v>
      </c>
      <c r="AD389" s="1">
        <f t="shared" si="120"/>
        <v>14949743.278878447</v>
      </c>
    </row>
    <row r="390" spans="1:30">
      <c r="A390" s="1">
        <f t="shared" si="121"/>
        <v>30.583333333333332</v>
      </c>
      <c r="B390" s="1">
        <f t="shared" si="122"/>
        <v>367</v>
      </c>
      <c r="C390" s="2">
        <f t="shared" si="127"/>
        <v>30</v>
      </c>
      <c r="D390" s="2">
        <f t="shared" si="128"/>
        <v>7</v>
      </c>
      <c r="E390" s="2">
        <f t="shared" si="129"/>
        <v>59</v>
      </c>
      <c r="F390" s="1">
        <f t="shared" si="123"/>
        <v>578614.64004174888</v>
      </c>
      <c r="H390" s="1">
        <f t="shared" si="116"/>
        <v>4613.9543939125087</v>
      </c>
      <c r="I390" s="1">
        <v>0</v>
      </c>
      <c r="J390" s="1">
        <v>0</v>
      </c>
      <c r="K390" s="1">
        <f t="shared" si="124"/>
        <v>-676.54516954536712</v>
      </c>
      <c r="L390" s="1">
        <f t="shared" si="117"/>
        <v>582552.049266116</v>
      </c>
      <c r="N390" s="1">
        <f t="shared" si="125"/>
        <v>367</v>
      </c>
      <c r="O390" s="2">
        <f t="shared" si="130"/>
        <v>30</v>
      </c>
      <c r="P390" s="2">
        <f t="shared" si="131"/>
        <v>7</v>
      </c>
      <c r="Q390" s="2">
        <f t="shared" si="132"/>
        <v>30</v>
      </c>
      <c r="R390" s="1">
        <f t="shared" si="126"/>
        <v>13996739.072996145</v>
      </c>
      <c r="S390" s="1">
        <f>+IF($G$4="mensual",S384,IF($G$4="trimestral",S384,IF($G$4="semestral",S384,0)))</f>
        <v>10000</v>
      </c>
      <c r="U390" s="1">
        <f t="shared" si="133"/>
        <v>111691.7043190846</v>
      </c>
      <c r="V390" s="35">
        <f t="shared" si="135"/>
        <v>-286.69039270635443</v>
      </c>
      <c r="X390" s="35">
        <f t="shared" si="134"/>
        <v>-16377.047140830125</v>
      </c>
      <c r="Y390" s="1">
        <f t="shared" si="118"/>
        <v>14101767.039781693</v>
      </c>
      <c r="AA390" s="2">
        <f>+Bono!J390</f>
        <v>376710.82457526581</v>
      </c>
      <c r="AC390" s="10">
        <f t="shared" si="119"/>
        <v>30.583333333333332</v>
      </c>
      <c r="AD390" s="1">
        <f t="shared" si="120"/>
        <v>15061029.913623076</v>
      </c>
    </row>
    <row r="391" spans="1:30">
      <c r="A391" s="1">
        <f t="shared" si="121"/>
        <v>30.666666666666668</v>
      </c>
      <c r="B391" s="1">
        <f t="shared" si="122"/>
        <v>368</v>
      </c>
      <c r="C391" s="2">
        <f t="shared" si="127"/>
        <v>30</v>
      </c>
      <c r="D391" s="2">
        <f t="shared" si="128"/>
        <v>8</v>
      </c>
      <c r="E391" s="2">
        <f t="shared" si="129"/>
        <v>59</v>
      </c>
      <c r="F391" s="1">
        <f t="shared" si="123"/>
        <v>582552.049266116</v>
      </c>
      <c r="H391" s="1">
        <f t="shared" si="116"/>
        <v>4645.3518479936729</v>
      </c>
      <c r="I391" s="1">
        <v>0</v>
      </c>
      <c r="J391" s="1">
        <v>0</v>
      </c>
      <c r="K391" s="1">
        <f t="shared" si="124"/>
        <v>-681.14898529236712</v>
      </c>
      <c r="L391" s="1">
        <f t="shared" si="117"/>
        <v>586516.25212881726</v>
      </c>
      <c r="N391" s="1">
        <f t="shared" si="125"/>
        <v>368</v>
      </c>
      <c r="O391" s="2">
        <f t="shared" si="130"/>
        <v>30</v>
      </c>
      <c r="P391" s="2">
        <f t="shared" si="131"/>
        <v>8</v>
      </c>
      <c r="Q391" s="2">
        <f t="shared" si="132"/>
        <v>30</v>
      </c>
      <c r="R391" s="1">
        <f t="shared" si="126"/>
        <v>14101767.039781693</v>
      </c>
      <c r="S391" s="4">
        <f>IF($G$4="mensual",S390,0)</f>
        <v>10000</v>
      </c>
      <c r="U391" s="1">
        <f t="shared" si="133"/>
        <v>112529.2120751948</v>
      </c>
      <c r="V391" s="35">
        <f t="shared" si="135"/>
        <v>-286.69039270635443</v>
      </c>
      <c r="X391" s="35">
        <f t="shared" si="134"/>
        <v>-16499.851091298449</v>
      </c>
      <c r="Y391" s="1">
        <f t="shared" si="118"/>
        <v>14207509.710372882</v>
      </c>
      <c r="AA391" s="2">
        <f>+Bono!J391</f>
        <v>379046.47538338351</v>
      </c>
      <c r="AC391" s="10">
        <f t="shared" si="119"/>
        <v>30.666666666666668</v>
      </c>
      <c r="AD391" s="1">
        <f t="shared" si="120"/>
        <v>15173072.437885083</v>
      </c>
    </row>
    <row r="392" spans="1:30">
      <c r="A392" s="1">
        <f t="shared" si="121"/>
        <v>30.75</v>
      </c>
      <c r="B392" s="1">
        <f t="shared" si="122"/>
        <v>369</v>
      </c>
      <c r="C392" s="2">
        <f t="shared" si="127"/>
        <v>30</v>
      </c>
      <c r="D392" s="2">
        <f t="shared" si="128"/>
        <v>9</v>
      </c>
      <c r="E392" s="2">
        <f t="shared" si="129"/>
        <v>59</v>
      </c>
      <c r="F392" s="1">
        <f t="shared" si="123"/>
        <v>586516.25212881726</v>
      </c>
      <c r="H392" s="1">
        <f t="shared" si="116"/>
        <v>4676.9629583095148</v>
      </c>
      <c r="I392" s="1">
        <v>0</v>
      </c>
      <c r="J392" s="69">
        <f>-SUM(F392:H392)*$J$21*1.16</f>
        <v>-6172.0571655096046</v>
      </c>
      <c r="K392" s="1">
        <f t="shared" si="124"/>
        <v>-678.62454318907601</v>
      </c>
      <c r="L392" s="1">
        <f t="shared" si="117"/>
        <v>584342.5333784282</v>
      </c>
      <c r="N392" s="1">
        <f t="shared" si="125"/>
        <v>369</v>
      </c>
      <c r="O392" s="2">
        <f t="shared" si="130"/>
        <v>30</v>
      </c>
      <c r="P392" s="2">
        <f t="shared" si="131"/>
        <v>9</v>
      </c>
      <c r="Q392" s="2">
        <f t="shared" si="132"/>
        <v>30</v>
      </c>
      <c r="R392" s="1">
        <f t="shared" si="126"/>
        <v>14207509.710372882</v>
      </c>
      <c r="S392" s="4">
        <f>IF($G$4="mensual",S391,0)</f>
        <v>10000</v>
      </c>
      <c r="U392" s="1">
        <f t="shared" si="133"/>
        <v>113372.41897981624</v>
      </c>
      <c r="V392" s="35">
        <f t="shared" si="135"/>
        <v>-286.69039270635443</v>
      </c>
      <c r="X392" s="35">
        <f t="shared" si="134"/>
        <v>-16623.490709193589</v>
      </c>
      <c r="Y392" s="1">
        <f t="shared" si="118"/>
        <v>14313971.948250799</v>
      </c>
      <c r="AA392" s="2">
        <f>+Bono!J392</f>
        <v>377960.60202448047</v>
      </c>
      <c r="AC392" s="10">
        <f t="shared" si="119"/>
        <v>30.75</v>
      </c>
      <c r="AD392" s="1">
        <f t="shared" si="120"/>
        <v>15276275.083653707</v>
      </c>
    </row>
    <row r="393" spans="1:30">
      <c r="A393" s="1">
        <f t="shared" si="121"/>
        <v>30.833333333333332</v>
      </c>
      <c r="B393" s="1">
        <f t="shared" si="122"/>
        <v>370</v>
      </c>
      <c r="C393" s="2">
        <f t="shared" si="127"/>
        <v>30</v>
      </c>
      <c r="D393" s="2">
        <f t="shared" si="128"/>
        <v>10</v>
      </c>
      <c r="E393" s="2">
        <f t="shared" si="129"/>
        <v>59</v>
      </c>
      <c r="F393" s="1">
        <f t="shared" si="123"/>
        <v>584342.5333784282</v>
      </c>
      <c r="H393" s="1">
        <f t="shared" si="116"/>
        <v>4659.6294197409716</v>
      </c>
      <c r="I393" s="1">
        <v>0</v>
      </c>
      <c r="J393" s="1">
        <v>0</v>
      </c>
      <c r="K393" s="1">
        <f t="shared" si="124"/>
        <v>-683.24250884587627</v>
      </c>
      <c r="L393" s="1">
        <f t="shared" si="117"/>
        <v>588318.92028932332</v>
      </c>
      <c r="N393" s="1">
        <f t="shared" si="125"/>
        <v>370</v>
      </c>
      <c r="O393" s="2">
        <f t="shared" si="130"/>
        <v>30</v>
      </c>
      <c r="P393" s="2">
        <f t="shared" si="131"/>
        <v>10</v>
      </c>
      <c r="Q393" s="2">
        <f t="shared" si="132"/>
        <v>30</v>
      </c>
      <c r="R393" s="1">
        <f t="shared" si="126"/>
        <v>14313971.948250799</v>
      </c>
      <c r="S393" s="4">
        <f>IF($G$4="mensual",S384,IF($G$4="trimestral",S384,0))</f>
        <v>10000</v>
      </c>
      <c r="U393" s="1">
        <f t="shared" si="133"/>
        <v>114221.36381503011</v>
      </c>
      <c r="V393" s="35">
        <f t="shared" si="135"/>
        <v>-286.69039270635443</v>
      </c>
      <c r="X393" s="35">
        <f t="shared" si="134"/>
        <v>-16747.971681140822</v>
      </c>
      <c r="Y393" s="1">
        <f t="shared" si="118"/>
        <v>14421158.649991982</v>
      </c>
      <c r="AA393" s="2">
        <f>+Bono!J393</f>
        <v>380304.00159774855</v>
      </c>
      <c r="AC393" s="10">
        <f t="shared" si="119"/>
        <v>30.833333333333332</v>
      </c>
      <c r="AD393" s="1">
        <f t="shared" si="120"/>
        <v>15389781.571879053</v>
      </c>
    </row>
    <row r="394" spans="1:30">
      <c r="A394" s="1">
        <f t="shared" si="121"/>
        <v>30.916666666666668</v>
      </c>
      <c r="B394" s="1">
        <f t="shared" si="122"/>
        <v>371</v>
      </c>
      <c r="C394" s="2">
        <f t="shared" si="127"/>
        <v>30</v>
      </c>
      <c r="D394" s="2">
        <f t="shared" si="128"/>
        <v>11</v>
      </c>
      <c r="E394" s="2">
        <f t="shared" si="129"/>
        <v>59</v>
      </c>
      <c r="F394" s="1">
        <f t="shared" si="123"/>
        <v>588318.92028932332</v>
      </c>
      <c r="H394" s="1">
        <f t="shared" si="116"/>
        <v>4691.3376873681045</v>
      </c>
      <c r="I394" s="1">
        <v>0</v>
      </c>
      <c r="J394" s="1">
        <v>0</v>
      </c>
      <c r="K394" s="1">
        <f t="shared" si="124"/>
        <v>-687.89189925296205</v>
      </c>
      <c r="L394" s="1">
        <f t="shared" si="117"/>
        <v>592322.36607743846</v>
      </c>
      <c r="N394" s="1">
        <f t="shared" si="125"/>
        <v>371</v>
      </c>
      <c r="O394" s="2">
        <f t="shared" si="130"/>
        <v>30</v>
      </c>
      <c r="P394" s="2">
        <f t="shared" si="131"/>
        <v>11</v>
      </c>
      <c r="Q394" s="2">
        <f t="shared" si="132"/>
        <v>30</v>
      </c>
      <c r="R394" s="1">
        <f t="shared" si="126"/>
        <v>14421158.649991982</v>
      </c>
      <c r="S394" s="1">
        <f>IF($G$17="si",S382*(1+$G$20),S382)</f>
        <v>10000</v>
      </c>
      <c r="U394" s="1">
        <f t="shared" si="133"/>
        <v>115076.08562682533</v>
      </c>
      <c r="V394" s="35">
        <f t="shared" si="135"/>
        <v>-286.69039270635443</v>
      </c>
      <c r="X394" s="35">
        <f t="shared" si="134"/>
        <v>-16873.299732462277</v>
      </c>
      <c r="Y394" s="1">
        <f t="shared" si="118"/>
        <v>14529074.745493639</v>
      </c>
      <c r="AA394" s="2">
        <f>+Bono!J394</f>
        <v>382661.93052018841</v>
      </c>
      <c r="AC394" s="10">
        <f t="shared" si="119"/>
        <v>30.916666666666668</v>
      </c>
      <c r="AD394" s="1">
        <f t="shared" si="120"/>
        <v>15504059.042091265</v>
      </c>
    </row>
    <row r="395" spans="1:30">
      <c r="A395" s="1">
        <f t="shared" si="121"/>
        <v>31</v>
      </c>
      <c r="B395" s="1">
        <f t="shared" si="122"/>
        <v>372</v>
      </c>
      <c r="C395" s="2">
        <f t="shared" si="127"/>
        <v>30</v>
      </c>
      <c r="D395" s="2">
        <f t="shared" si="128"/>
        <v>12</v>
      </c>
      <c r="E395" s="2">
        <f t="shared" si="129"/>
        <v>59</v>
      </c>
      <c r="F395" s="1">
        <f t="shared" si="123"/>
        <v>592322.36607743846</v>
      </c>
      <c r="H395" s="1">
        <f t="shared" si="116"/>
        <v>4723.2617262820377</v>
      </c>
      <c r="I395" s="1">
        <v>0</v>
      </c>
      <c r="J395" s="69">
        <f>-SUM(F395:H395)*$J$21*1.16</f>
        <v>-6233.1563542708427</v>
      </c>
      <c r="K395" s="1">
        <f t="shared" si="124"/>
        <v>-685.34246688136147</v>
      </c>
      <c r="L395" s="1">
        <f t="shared" si="117"/>
        <v>590127.12898256828</v>
      </c>
      <c r="N395" s="1">
        <f t="shared" si="125"/>
        <v>372</v>
      </c>
      <c r="O395" s="2">
        <f t="shared" si="130"/>
        <v>30</v>
      </c>
      <c r="P395" s="2">
        <f t="shared" si="131"/>
        <v>12</v>
      </c>
      <c r="Q395" s="2">
        <f t="shared" si="132"/>
        <v>30</v>
      </c>
      <c r="R395" s="1">
        <f t="shared" si="126"/>
        <v>14529074.745493639</v>
      </c>
      <c r="S395" s="4">
        <f>IF($G$4="mensual",S394,0)</f>
        <v>10000</v>
      </c>
      <c r="U395" s="1">
        <f t="shared" si="133"/>
        <v>115936.62372689454</v>
      </c>
      <c r="V395" s="35">
        <f t="shared" si="135"/>
        <v>-286.69039270635443</v>
      </c>
      <c r="X395" s="35">
        <f t="shared" si="134"/>
        <v>-16999.48062744028</v>
      </c>
      <c r="Y395" s="1">
        <f t="shared" si="118"/>
        <v>14637725.198200388</v>
      </c>
      <c r="AA395" s="2">
        <f>+Bono!J395</f>
        <v>381565.6997864822</v>
      </c>
      <c r="AC395" s="10">
        <f t="shared" si="119"/>
        <v>31</v>
      </c>
      <c r="AD395" s="1">
        <f t="shared" si="120"/>
        <v>15609418.026969438</v>
      </c>
    </row>
    <row r="396" spans="1:30">
      <c r="A396" s="1">
        <f t="shared" si="121"/>
        <v>31.083333333333332</v>
      </c>
      <c r="B396" s="1">
        <f t="shared" si="122"/>
        <v>373</v>
      </c>
      <c r="C396" s="2">
        <f t="shared" si="127"/>
        <v>31</v>
      </c>
      <c r="D396" s="2">
        <f t="shared" si="128"/>
        <v>1</v>
      </c>
      <c r="E396" s="2">
        <f t="shared" si="129"/>
        <v>60</v>
      </c>
      <c r="F396" s="1">
        <f t="shared" si="123"/>
        <v>590127.12898256828</v>
      </c>
      <c r="H396" s="1">
        <f t="shared" si="116"/>
        <v>4705.7565974128038</v>
      </c>
      <c r="I396" s="1">
        <v>0</v>
      </c>
      <c r="J396" s="1">
        <v>0</v>
      </c>
      <c r="K396" s="1">
        <f t="shared" si="124"/>
        <v>-690.00614727277798</v>
      </c>
      <c r="L396" s="1">
        <f t="shared" si="117"/>
        <v>594142.87943270826</v>
      </c>
      <c r="N396" s="1">
        <f t="shared" si="125"/>
        <v>373</v>
      </c>
      <c r="O396" s="2">
        <f t="shared" si="130"/>
        <v>31</v>
      </c>
      <c r="P396" s="2">
        <f t="shared" si="131"/>
        <v>1</v>
      </c>
      <c r="Q396" s="2">
        <f t="shared" si="132"/>
        <v>31</v>
      </c>
      <c r="R396" s="1">
        <f t="shared" si="126"/>
        <v>14637725.198200388</v>
      </c>
      <c r="S396" s="1">
        <f>IF($G$17="si",S384*(1+$G$20),S384)</f>
        <v>10000</v>
      </c>
      <c r="U396" s="1">
        <f t="shared" si="133"/>
        <v>116803.01769444211</v>
      </c>
      <c r="V396" s="35">
        <f>V395*(1+$G$18)</f>
        <v>-298.15800841460862</v>
      </c>
      <c r="X396" s="35">
        <f t="shared" si="134"/>
        <v>-17126.50686714824</v>
      </c>
      <c r="Y396" s="1">
        <f t="shared" si="118"/>
        <v>14747103.551019266</v>
      </c>
      <c r="AA396" s="2">
        <f>+Bono!J396</f>
        <v>383931.45138404018</v>
      </c>
      <c r="AC396" s="10">
        <f t="shared" si="119"/>
        <v>31.083333333333332</v>
      </c>
      <c r="AD396" s="1">
        <f t="shared" si="120"/>
        <v>15725177.881836014</v>
      </c>
    </row>
    <row r="397" spans="1:30">
      <c r="A397" s="1">
        <f t="shared" si="121"/>
        <v>31.166666666666668</v>
      </c>
      <c r="B397" s="1">
        <f t="shared" si="122"/>
        <v>374</v>
      </c>
      <c r="C397" s="2">
        <f t="shared" si="127"/>
        <v>31</v>
      </c>
      <c r="D397" s="2">
        <f t="shared" si="128"/>
        <v>2</v>
      </c>
      <c r="E397" s="2">
        <f t="shared" si="129"/>
        <v>60</v>
      </c>
      <c r="F397" s="1">
        <f t="shared" si="123"/>
        <v>594142.87943270826</v>
      </c>
      <c r="H397" s="1">
        <f t="shared" si="116"/>
        <v>4737.7787554296538</v>
      </c>
      <c r="I397" s="1">
        <v>0</v>
      </c>
      <c r="J397" s="1">
        <v>0</v>
      </c>
      <c r="K397" s="1">
        <f t="shared" si="124"/>
        <v>-694.70156349823992</v>
      </c>
      <c r="L397" s="1">
        <f t="shared" si="117"/>
        <v>598185.95662463969</v>
      </c>
      <c r="N397" s="1">
        <f t="shared" si="125"/>
        <v>374</v>
      </c>
      <c r="O397" s="2">
        <f t="shared" si="130"/>
        <v>31</v>
      </c>
      <c r="P397" s="2">
        <f t="shared" si="131"/>
        <v>2</v>
      </c>
      <c r="Q397" s="2">
        <f t="shared" si="132"/>
        <v>31</v>
      </c>
      <c r="R397" s="1">
        <f t="shared" si="126"/>
        <v>14747103.551019266</v>
      </c>
      <c r="S397" s="4">
        <f>IF($G$4="mensual",S396,0)</f>
        <v>10000</v>
      </c>
      <c r="U397" s="1">
        <f t="shared" si="133"/>
        <v>117675.21603970203</v>
      </c>
      <c r="V397" s="35">
        <f t="shared" si="135"/>
        <v>-298.15800841460862</v>
      </c>
      <c r="X397" s="35">
        <f t="shared" si="134"/>
        <v>-17254.397506498641</v>
      </c>
      <c r="Y397" s="1">
        <f t="shared" si="118"/>
        <v>14857226.211544055</v>
      </c>
      <c r="AA397" s="2">
        <f>+Bono!J397</f>
        <v>386311.8709159132</v>
      </c>
      <c r="AC397" s="10">
        <f t="shared" si="119"/>
        <v>31.166666666666668</v>
      </c>
      <c r="AD397" s="1">
        <f t="shared" si="120"/>
        <v>15841724.03908461</v>
      </c>
    </row>
    <row r="398" spans="1:30">
      <c r="A398" s="1">
        <f t="shared" si="121"/>
        <v>31.25</v>
      </c>
      <c r="B398" s="1">
        <f t="shared" si="122"/>
        <v>375</v>
      </c>
      <c r="C398" s="2">
        <f t="shared" si="127"/>
        <v>31</v>
      </c>
      <c r="D398" s="2">
        <f t="shared" si="128"/>
        <v>3</v>
      </c>
      <c r="E398" s="2">
        <f t="shared" si="129"/>
        <v>60</v>
      </c>
      <c r="F398" s="1">
        <f t="shared" si="123"/>
        <v>598185.95662463969</v>
      </c>
      <c r="H398" s="1">
        <f t="shared" si="116"/>
        <v>4770.0188207230131</v>
      </c>
      <c r="I398" s="1">
        <v>0</v>
      </c>
      <c r="J398" s="69">
        <f>-SUM(F398:H398)*$J$21*1.16</f>
        <v>-6294.8603836495877</v>
      </c>
      <c r="K398" s="1">
        <f t="shared" si="124"/>
        <v>-692.12689347158721</v>
      </c>
      <c r="L398" s="1">
        <f t="shared" si="117"/>
        <v>595968.98816824157</v>
      </c>
      <c r="N398" s="1">
        <f t="shared" si="125"/>
        <v>375</v>
      </c>
      <c r="O398" s="2">
        <f t="shared" si="130"/>
        <v>31</v>
      </c>
      <c r="P398" s="2">
        <f t="shared" si="131"/>
        <v>3</v>
      </c>
      <c r="Q398" s="2">
        <f t="shared" si="132"/>
        <v>31</v>
      </c>
      <c r="R398" s="1">
        <f t="shared" si="126"/>
        <v>14857226.211544055</v>
      </c>
      <c r="S398" s="4">
        <f>IF($G$4="mensual",S397,0)</f>
        <v>10000</v>
      </c>
      <c r="U398" s="1">
        <f t="shared" si="133"/>
        <v>118553.34959913121</v>
      </c>
      <c r="V398" s="35">
        <f t="shared" si="135"/>
        <v>-298.15800841460862</v>
      </c>
      <c r="X398" s="35">
        <f t="shared" si="134"/>
        <v>-17383.158427636332</v>
      </c>
      <c r="Y398" s="1">
        <f t="shared" si="118"/>
        <v>14968098.244707134</v>
      </c>
      <c r="AA398" s="2">
        <f>+Bono!J398</f>
        <v>385205.18401576125</v>
      </c>
      <c r="AC398" s="10">
        <f t="shared" si="119"/>
        <v>31.25</v>
      </c>
      <c r="AD398" s="1">
        <f t="shared" si="120"/>
        <v>15949272.416891137</v>
      </c>
    </row>
    <row r="399" spans="1:30">
      <c r="A399" s="1">
        <f t="shared" si="121"/>
        <v>31.333333333333332</v>
      </c>
      <c r="B399" s="1">
        <f t="shared" si="122"/>
        <v>376</v>
      </c>
      <c r="C399" s="2">
        <f t="shared" si="127"/>
        <v>31</v>
      </c>
      <c r="D399" s="2">
        <f t="shared" si="128"/>
        <v>4</v>
      </c>
      <c r="E399" s="2">
        <f t="shared" si="129"/>
        <v>60</v>
      </c>
      <c r="F399" s="1">
        <f t="shared" si="123"/>
        <v>595968.98816824157</v>
      </c>
      <c r="H399" s="1">
        <f t="shared" si="116"/>
        <v>4752.3404029252442</v>
      </c>
      <c r="I399" s="1">
        <v>0</v>
      </c>
      <c r="J399" s="1">
        <v>0</v>
      </c>
      <c r="K399" s="1">
        <f t="shared" si="124"/>
        <v>-696.83674114255348</v>
      </c>
      <c r="L399" s="1">
        <f t="shared" si="117"/>
        <v>600024.49183002429</v>
      </c>
      <c r="N399" s="1">
        <f t="shared" si="125"/>
        <v>376</v>
      </c>
      <c r="O399" s="2">
        <f t="shared" si="130"/>
        <v>31</v>
      </c>
      <c r="P399" s="2">
        <f t="shared" si="131"/>
        <v>4</v>
      </c>
      <c r="Q399" s="2">
        <f t="shared" si="132"/>
        <v>31</v>
      </c>
      <c r="R399" s="1">
        <f t="shared" si="126"/>
        <v>14968098.244707134</v>
      </c>
      <c r="S399" s="4">
        <f>IF($G$4="mensual",S396,IF($G$4="trimestral",S396,0))</f>
        <v>10000</v>
      </c>
      <c r="U399" s="1">
        <f t="shared" si="133"/>
        <v>119437.45876121166</v>
      </c>
      <c r="V399" s="35">
        <f t="shared" si="135"/>
        <v>-298.15800841460862</v>
      </c>
      <c r="X399" s="35">
        <f t="shared" si="134"/>
        <v>-17512.795552733518</v>
      </c>
      <c r="Y399" s="1">
        <f t="shared" si="118"/>
        <v>15079724.749907196</v>
      </c>
      <c r="AA399" s="2">
        <f>+Bono!J399</f>
        <v>387593.5008376948</v>
      </c>
      <c r="AC399" s="10">
        <f t="shared" si="119"/>
        <v>31.333333333333332</v>
      </c>
      <c r="AD399" s="1">
        <f t="shared" si="120"/>
        <v>16067342.742574915</v>
      </c>
    </row>
    <row r="400" spans="1:30">
      <c r="A400" s="1">
        <f t="shared" si="121"/>
        <v>31.416666666666668</v>
      </c>
      <c r="B400" s="1">
        <f t="shared" si="122"/>
        <v>377</v>
      </c>
      <c r="C400" s="2">
        <f t="shared" si="127"/>
        <v>31</v>
      </c>
      <c r="D400" s="2">
        <f t="shared" si="128"/>
        <v>5</v>
      </c>
      <c r="E400" s="2">
        <f t="shared" si="129"/>
        <v>60</v>
      </c>
      <c r="F400" s="1">
        <f t="shared" si="123"/>
        <v>600024.49183002429</v>
      </c>
      <c r="H400" s="1">
        <f t="shared" si="116"/>
        <v>4784.6795586342332</v>
      </c>
      <c r="I400" s="1">
        <v>0</v>
      </c>
      <c r="J400" s="1">
        <v>0</v>
      </c>
      <c r="K400" s="1">
        <f t="shared" si="124"/>
        <v>-701.57863881084381</v>
      </c>
      <c r="L400" s="1">
        <f t="shared" si="117"/>
        <v>604107.59274984756</v>
      </c>
      <c r="N400" s="1">
        <f t="shared" si="125"/>
        <v>377</v>
      </c>
      <c r="O400" s="2">
        <f t="shared" si="130"/>
        <v>31</v>
      </c>
      <c r="P400" s="2">
        <f t="shared" si="131"/>
        <v>5</v>
      </c>
      <c r="Q400" s="2">
        <f t="shared" si="132"/>
        <v>31</v>
      </c>
      <c r="R400" s="1">
        <f t="shared" si="126"/>
        <v>15079724.749907196</v>
      </c>
      <c r="S400" s="4">
        <f>IF($G$4="mensual",S399,0)</f>
        <v>10000</v>
      </c>
      <c r="U400" s="1">
        <f t="shared" si="133"/>
        <v>120327.58418926471</v>
      </c>
      <c r="V400" s="35">
        <f t="shared" si="135"/>
        <v>-298.15800841460862</v>
      </c>
      <c r="X400" s="35">
        <f t="shared" si="134"/>
        <v>-17643.314844262131</v>
      </c>
      <c r="Y400" s="1">
        <f t="shared" si="118"/>
        <v>15192110.861243783</v>
      </c>
      <c r="AA400" s="2">
        <f>+Bono!J400</f>
        <v>389996.62550095189</v>
      </c>
      <c r="AC400" s="10">
        <f t="shared" si="119"/>
        <v>31.416666666666668</v>
      </c>
      <c r="AD400" s="1">
        <f t="shared" si="120"/>
        <v>16186215.079494582</v>
      </c>
    </row>
    <row r="401" spans="1:30">
      <c r="A401" s="1">
        <f t="shared" si="121"/>
        <v>31.5</v>
      </c>
      <c r="B401" s="1">
        <f t="shared" si="122"/>
        <v>378</v>
      </c>
      <c r="C401" s="2">
        <f t="shared" si="127"/>
        <v>31</v>
      </c>
      <c r="D401" s="2">
        <f t="shared" si="128"/>
        <v>6</v>
      </c>
      <c r="E401" s="2">
        <f t="shared" si="129"/>
        <v>60</v>
      </c>
      <c r="F401" s="1">
        <f t="shared" si="123"/>
        <v>604107.59274984756</v>
      </c>
      <c r="H401" s="1">
        <f t="shared" si="116"/>
        <v>4817.2387787542903</v>
      </c>
      <c r="I401" s="1">
        <v>0</v>
      </c>
      <c r="J401" s="69">
        <f>-SUM(F401:H401)*$J$21*1.16</f>
        <v>-6357.175241158604</v>
      </c>
      <c r="K401" s="1">
        <f t="shared" si="124"/>
        <v>-698.97848129343413</v>
      </c>
      <c r="L401" s="1">
        <f t="shared" si="117"/>
        <v>601868.67780614982</v>
      </c>
      <c r="N401" s="1">
        <f t="shared" si="125"/>
        <v>378</v>
      </c>
      <c r="O401" s="2">
        <f t="shared" si="130"/>
        <v>31</v>
      </c>
      <c r="P401" s="2">
        <f t="shared" si="131"/>
        <v>6</v>
      </c>
      <c r="Q401" s="2">
        <f t="shared" si="132"/>
        <v>31</v>
      </c>
      <c r="R401" s="1">
        <f t="shared" si="126"/>
        <v>15192110.861243783</v>
      </c>
      <c r="S401" s="4">
        <f>IF($G$4="mensual",S400,0)</f>
        <v>10000</v>
      </c>
      <c r="U401" s="1">
        <f t="shared" si="133"/>
        <v>121223.76682332107</v>
      </c>
      <c r="V401" s="35">
        <f t="shared" si="135"/>
        <v>-298.15800841460862</v>
      </c>
      <c r="X401" s="35">
        <f t="shared" si="134"/>
        <v>-17774.722305268078</v>
      </c>
      <c r="Y401" s="1">
        <f t="shared" si="118"/>
        <v>15305261.747753421</v>
      </c>
      <c r="AA401" s="2">
        <f>+Bono!J401</f>
        <v>388879.38270040817</v>
      </c>
      <c r="AC401" s="10">
        <f t="shared" si="119"/>
        <v>31.5</v>
      </c>
      <c r="AD401" s="1">
        <f t="shared" si="120"/>
        <v>16296009.808259979</v>
      </c>
    </row>
    <row r="402" spans="1:30">
      <c r="A402" s="1">
        <f t="shared" si="121"/>
        <v>31.583333333333332</v>
      </c>
      <c r="B402" s="1">
        <f t="shared" si="122"/>
        <v>379</v>
      </c>
      <c r="C402" s="2">
        <f t="shared" si="127"/>
        <v>31</v>
      </c>
      <c r="D402" s="2">
        <f t="shared" si="128"/>
        <v>7</v>
      </c>
      <c r="E402" s="2">
        <f t="shared" si="129"/>
        <v>60</v>
      </c>
      <c r="F402" s="1">
        <f t="shared" si="123"/>
        <v>601868.67780614982</v>
      </c>
      <c r="H402" s="1">
        <f t="shared" si="116"/>
        <v>4799.3853565848731</v>
      </c>
      <c r="I402" s="1">
        <v>0</v>
      </c>
      <c r="J402" s="1">
        <v>0</v>
      </c>
      <c r="K402" s="1">
        <f t="shared" si="124"/>
        <v>-703.73495326877219</v>
      </c>
      <c r="L402" s="1">
        <f t="shared" si="117"/>
        <v>605964.32820946595</v>
      </c>
      <c r="N402" s="1">
        <f t="shared" si="125"/>
        <v>379</v>
      </c>
      <c r="O402" s="2">
        <f t="shared" si="130"/>
        <v>31</v>
      </c>
      <c r="P402" s="2">
        <f t="shared" si="131"/>
        <v>7</v>
      </c>
      <c r="Q402" s="2">
        <f t="shared" si="132"/>
        <v>31</v>
      </c>
      <c r="R402" s="1">
        <f t="shared" si="126"/>
        <v>15305261.747753421</v>
      </c>
      <c r="S402" s="1">
        <f>+IF($G$4="mensual",S396,IF($G$4="trimestral",S396,IF($G$4="semestral",S396,0)))</f>
        <v>10000</v>
      </c>
      <c r="U402" s="1">
        <f t="shared" si="133"/>
        <v>122126.04788200388</v>
      </c>
      <c r="V402" s="35">
        <f t="shared" si="135"/>
        <v>-298.15800841460862</v>
      </c>
      <c r="X402" s="35">
        <f t="shared" si="134"/>
        <v>-17907.023979647332</v>
      </c>
      <c r="Y402" s="1">
        <f t="shared" si="118"/>
        <v>15419182.613647362</v>
      </c>
      <c r="AA402" s="2">
        <f>+Bono!J402</f>
        <v>391290.47998036712</v>
      </c>
      <c r="AC402" s="10">
        <f t="shared" si="119"/>
        <v>31.583333333333332</v>
      </c>
      <c r="AD402" s="1">
        <f t="shared" si="120"/>
        <v>16416437.421837194</v>
      </c>
    </row>
    <row r="403" spans="1:30">
      <c r="A403" s="1">
        <f t="shared" si="121"/>
        <v>31.666666666666668</v>
      </c>
      <c r="B403" s="1">
        <f t="shared" si="122"/>
        <v>380</v>
      </c>
      <c r="C403" s="2">
        <f t="shared" si="127"/>
        <v>31</v>
      </c>
      <c r="D403" s="2">
        <f t="shared" si="128"/>
        <v>8</v>
      </c>
      <c r="E403" s="2">
        <f t="shared" si="129"/>
        <v>60</v>
      </c>
      <c r="F403" s="1">
        <f t="shared" si="123"/>
        <v>605964.32820946595</v>
      </c>
      <c r="H403" s="1">
        <f t="shared" si="116"/>
        <v>4832.0446480486125</v>
      </c>
      <c r="I403" s="1">
        <v>0</v>
      </c>
      <c r="J403" s="1">
        <v>0</v>
      </c>
      <c r="K403" s="1">
        <f t="shared" si="124"/>
        <v>-708.52379251471689</v>
      </c>
      <c r="L403" s="1">
        <f t="shared" si="117"/>
        <v>610087.84906499984</v>
      </c>
      <c r="N403" s="1">
        <f t="shared" si="125"/>
        <v>380</v>
      </c>
      <c r="O403" s="2">
        <f t="shared" si="130"/>
        <v>31</v>
      </c>
      <c r="P403" s="2">
        <f t="shared" si="131"/>
        <v>8</v>
      </c>
      <c r="Q403" s="2">
        <f t="shared" si="132"/>
        <v>31</v>
      </c>
      <c r="R403" s="1">
        <f t="shared" si="126"/>
        <v>15419182.613647362</v>
      </c>
      <c r="S403" s="4">
        <f>IF($G$4="mensual",S402,0)</f>
        <v>10000</v>
      </c>
      <c r="U403" s="1">
        <f t="shared" si="133"/>
        <v>123034.46886442447</v>
      </c>
      <c r="V403" s="35">
        <f t="shared" si="135"/>
        <v>-298.15800841460862</v>
      </c>
      <c r="X403" s="35">
        <f t="shared" si="134"/>
        <v>-18040.225952423909</v>
      </c>
      <c r="Y403" s="1">
        <f t="shared" si="118"/>
        <v>15533878.698550947</v>
      </c>
      <c r="AA403" s="2">
        <f>+Bono!J403</f>
        <v>393716.52634313185</v>
      </c>
      <c r="AC403" s="10">
        <f t="shared" si="119"/>
        <v>31.666666666666668</v>
      </c>
      <c r="AD403" s="1">
        <f t="shared" si="120"/>
        <v>16537683.073959079</v>
      </c>
    </row>
    <row r="404" spans="1:30">
      <c r="A404" s="1">
        <f t="shared" si="121"/>
        <v>31.75</v>
      </c>
      <c r="B404" s="1">
        <f t="shared" si="122"/>
        <v>381</v>
      </c>
      <c r="C404" s="2">
        <f t="shared" si="127"/>
        <v>31</v>
      </c>
      <c r="D404" s="2">
        <f t="shared" si="128"/>
        <v>9</v>
      </c>
      <c r="E404" s="2">
        <f t="shared" si="129"/>
        <v>60</v>
      </c>
      <c r="F404" s="1">
        <f t="shared" si="123"/>
        <v>610087.84906499984</v>
      </c>
      <c r="H404" s="1">
        <f t="shared" si="116"/>
        <v>4864.9261824121531</v>
      </c>
      <c r="I404" s="1">
        <v>0</v>
      </c>
      <c r="J404" s="69">
        <f>-SUM(F404:H404)*$J$21*1.16</f>
        <v>-6420.1069735829824</v>
      </c>
      <c r="K404" s="1">
        <f t="shared" si="124"/>
        <v>-705.89789519764156</v>
      </c>
      <c r="L404" s="1">
        <f t="shared" si="117"/>
        <v>607826.77037863142</v>
      </c>
      <c r="N404" s="1">
        <f t="shared" si="125"/>
        <v>381</v>
      </c>
      <c r="O404" s="2">
        <f t="shared" si="130"/>
        <v>31</v>
      </c>
      <c r="P404" s="2">
        <f t="shared" si="131"/>
        <v>9</v>
      </c>
      <c r="Q404" s="2">
        <f t="shared" si="132"/>
        <v>31</v>
      </c>
      <c r="R404" s="1">
        <f t="shared" si="126"/>
        <v>15533878.698550947</v>
      </c>
      <c r="S404" s="4">
        <f>IF($G$4="mensual",S403,0)</f>
        <v>10000</v>
      </c>
      <c r="U404" s="1">
        <f t="shared" si="133"/>
        <v>123949.07155209113</v>
      </c>
      <c r="V404" s="35">
        <f t="shared" si="135"/>
        <v>-298.15800841460862</v>
      </c>
      <c r="X404" s="35">
        <f t="shared" si="134"/>
        <v>-18174.33435002976</v>
      </c>
      <c r="Y404" s="1">
        <f t="shared" si="118"/>
        <v>15649355.277744593</v>
      </c>
      <c r="AA404" s="2">
        <f>+Bono!J404</f>
        <v>392588.62695695914</v>
      </c>
      <c r="AC404" s="10">
        <f t="shared" si="119"/>
        <v>31.75</v>
      </c>
      <c r="AD404" s="1">
        <f t="shared" si="120"/>
        <v>16649770.675080182</v>
      </c>
    </row>
    <row r="405" spans="1:30">
      <c r="A405" s="1">
        <f t="shared" si="121"/>
        <v>31.833333333333332</v>
      </c>
      <c r="B405" s="1">
        <f t="shared" si="122"/>
        <v>382</v>
      </c>
      <c r="C405" s="2">
        <f t="shared" si="127"/>
        <v>31</v>
      </c>
      <c r="D405" s="2">
        <f t="shared" si="128"/>
        <v>10</v>
      </c>
      <c r="E405" s="2">
        <f t="shared" si="129"/>
        <v>60</v>
      </c>
      <c r="F405" s="1">
        <f t="shared" si="123"/>
        <v>607826.77037863142</v>
      </c>
      <c r="H405" s="1">
        <f t="shared" si="116"/>
        <v>4846.8960234462502</v>
      </c>
      <c r="I405" s="1">
        <v>0</v>
      </c>
      <c r="J405" s="1">
        <v>0</v>
      </c>
      <c r="K405" s="1">
        <f t="shared" si="124"/>
        <v>-710.70145302641004</v>
      </c>
      <c r="L405" s="1">
        <f t="shared" si="117"/>
        <v>611962.96494905127</v>
      </c>
      <c r="N405" s="1">
        <f t="shared" si="125"/>
        <v>382</v>
      </c>
      <c r="O405" s="2">
        <f t="shared" si="130"/>
        <v>31</v>
      </c>
      <c r="P405" s="2">
        <f t="shared" si="131"/>
        <v>10</v>
      </c>
      <c r="Q405" s="2">
        <f t="shared" si="132"/>
        <v>31</v>
      </c>
      <c r="R405" s="1">
        <f t="shared" si="126"/>
        <v>15649355.277744593</v>
      </c>
      <c r="S405" s="4">
        <f>IF($G$4="mensual",S396,IF($G$4="trimestral",S396,0))</f>
        <v>10000</v>
      </c>
      <c r="U405" s="1">
        <f t="shared" si="133"/>
        <v>124869.8980108307</v>
      </c>
      <c r="V405" s="35">
        <f t="shared" si="135"/>
        <v>-298.15800841460862</v>
      </c>
      <c r="X405" s="35">
        <f t="shared" si="134"/>
        <v>-18309.355340586531</v>
      </c>
      <c r="Y405" s="1">
        <f t="shared" si="118"/>
        <v>15765617.662406422</v>
      </c>
      <c r="AA405" s="2">
        <f>+Bono!J405</f>
        <v>395022.72198155447</v>
      </c>
      <c r="AC405" s="10">
        <f t="shared" si="119"/>
        <v>31.833333333333332</v>
      </c>
      <c r="AD405" s="1">
        <f t="shared" si="120"/>
        <v>16772603.349337028</v>
      </c>
    </row>
    <row r="406" spans="1:30">
      <c r="A406" s="1">
        <f t="shared" si="121"/>
        <v>31.916666666666668</v>
      </c>
      <c r="B406" s="1">
        <f t="shared" si="122"/>
        <v>383</v>
      </c>
      <c r="C406" s="2">
        <f t="shared" si="127"/>
        <v>31</v>
      </c>
      <c r="D406" s="2">
        <f t="shared" si="128"/>
        <v>11</v>
      </c>
      <c r="E406" s="2">
        <f t="shared" si="129"/>
        <v>60</v>
      </c>
      <c r="F406" s="1">
        <f t="shared" si="123"/>
        <v>611962.96494905127</v>
      </c>
      <c r="H406" s="1">
        <f t="shared" si="116"/>
        <v>4879.8786197920472</v>
      </c>
      <c r="I406" s="1">
        <v>0</v>
      </c>
      <c r="J406" s="1">
        <v>0</v>
      </c>
      <c r="K406" s="1">
        <f t="shared" si="124"/>
        <v>-715.5376985398583</v>
      </c>
      <c r="L406" s="1">
        <f t="shared" si="117"/>
        <v>616127.30587030342</v>
      </c>
      <c r="N406" s="1">
        <f t="shared" si="125"/>
        <v>383</v>
      </c>
      <c r="O406" s="2">
        <f t="shared" si="130"/>
        <v>31</v>
      </c>
      <c r="P406" s="2">
        <f t="shared" si="131"/>
        <v>11</v>
      </c>
      <c r="Q406" s="2">
        <f t="shared" si="132"/>
        <v>31</v>
      </c>
      <c r="R406" s="1">
        <f t="shared" si="126"/>
        <v>15765617.662406422</v>
      </c>
      <c r="S406" s="1">
        <f>IF($G$17="si",S394*(1+$G$20),S394)</f>
        <v>10000</v>
      </c>
      <c r="U406" s="1">
        <f t="shared" si="133"/>
        <v>125796.99059272335</v>
      </c>
      <c r="V406" s="35">
        <f t="shared" si="135"/>
        <v>-298.15800841460862</v>
      </c>
      <c r="X406" s="35">
        <f t="shared" si="134"/>
        <v>-18445.295134189248</v>
      </c>
      <c r="Y406" s="1">
        <f t="shared" si="118"/>
        <v>15882671.199856542</v>
      </c>
      <c r="AA406" s="2">
        <f>+Bono!J406</f>
        <v>397471.90867763979</v>
      </c>
      <c r="AC406" s="10">
        <f t="shared" si="119"/>
        <v>31.916666666666668</v>
      </c>
      <c r="AD406" s="1">
        <f t="shared" si="120"/>
        <v>16896270.414404485</v>
      </c>
    </row>
    <row r="407" spans="1:30">
      <c r="A407" s="1">
        <f t="shared" si="121"/>
        <v>32</v>
      </c>
      <c r="B407" s="1">
        <f t="shared" si="122"/>
        <v>384</v>
      </c>
      <c r="C407" s="2">
        <f t="shared" si="127"/>
        <v>31</v>
      </c>
      <c r="D407" s="2">
        <f t="shared" si="128"/>
        <v>12</v>
      </c>
      <c r="E407" s="2">
        <f t="shared" si="129"/>
        <v>60</v>
      </c>
      <c r="F407" s="1">
        <f t="shared" si="123"/>
        <v>616127.30587030342</v>
      </c>
      <c r="H407" s="1">
        <f t="shared" si="116"/>
        <v>4913.085659091942</v>
      </c>
      <c r="I407" s="1">
        <v>0</v>
      </c>
      <c r="J407" s="69">
        <f>-SUM(F407:H407)*$J$21*1.16</f>
        <v>-6483.6616875668878</v>
      </c>
      <c r="K407" s="1">
        <f t="shared" si="124"/>
        <v>-712.88580661652088</v>
      </c>
      <c r="L407" s="1">
        <f t="shared" si="117"/>
        <v>613843.84403521195</v>
      </c>
      <c r="N407" s="1">
        <f t="shared" si="125"/>
        <v>384</v>
      </c>
      <c r="O407" s="2">
        <f t="shared" si="130"/>
        <v>31</v>
      </c>
      <c r="P407" s="2">
        <f t="shared" si="131"/>
        <v>12</v>
      </c>
      <c r="Q407" s="2">
        <f t="shared" si="132"/>
        <v>31</v>
      </c>
      <c r="R407" s="1">
        <f t="shared" si="126"/>
        <v>15882671.199856542</v>
      </c>
      <c r="S407" s="4">
        <f>IF($G$4="mensual",S406,0)</f>
        <v>10000</v>
      </c>
      <c r="U407" s="1">
        <f t="shared" si="133"/>
        <v>126730.39193805055</v>
      </c>
      <c r="V407" s="35">
        <f t="shared" si="135"/>
        <v>-298.15800841460862</v>
      </c>
      <c r="X407" s="35">
        <f t="shared" si="134"/>
        <v>-18582.159983191967</v>
      </c>
      <c r="Y407" s="1">
        <f t="shared" si="118"/>
        <v>16000521.273802986</v>
      </c>
      <c r="AA407" s="2">
        <f>+Bono!J407</f>
        <v>396333.25106023595</v>
      </c>
      <c r="AC407" s="10">
        <f t="shared" si="119"/>
        <v>32</v>
      </c>
      <c r="AD407" s="1">
        <f t="shared" si="120"/>
        <v>17010698.368898436</v>
      </c>
    </row>
    <row r="408" spans="1:30">
      <c r="A408" s="1">
        <f t="shared" si="121"/>
        <v>32.083333333333336</v>
      </c>
      <c r="B408" s="1">
        <f t="shared" si="122"/>
        <v>385</v>
      </c>
      <c r="C408" s="2">
        <f t="shared" si="127"/>
        <v>32</v>
      </c>
      <c r="D408" s="2">
        <f t="shared" si="128"/>
        <v>1</v>
      </c>
      <c r="E408" s="2">
        <f t="shared" si="129"/>
        <v>61</v>
      </c>
      <c r="F408" s="1">
        <f t="shared" si="123"/>
        <v>613843.84403521195</v>
      </c>
      <c r="H408" s="1">
        <f t="shared" ref="H408:H471" si="136">SUM(F408:G408)*$G$8</f>
        <v>4894.8770137548809</v>
      </c>
      <c r="I408" s="1">
        <v>0</v>
      </c>
      <c r="J408" s="1">
        <v>0</v>
      </c>
      <c r="K408" s="1">
        <f t="shared" si="124"/>
        <v>-717.73691641680159</v>
      </c>
      <c r="L408" s="1">
        <f t="shared" ref="L408:L471" si="137">SUM(F408:K408)</f>
        <v>618020.98413255007</v>
      </c>
      <c r="N408" s="1">
        <f t="shared" si="125"/>
        <v>385</v>
      </c>
      <c r="O408" s="2">
        <f t="shared" si="130"/>
        <v>32</v>
      </c>
      <c r="P408" s="2">
        <f t="shared" si="131"/>
        <v>1</v>
      </c>
      <c r="Q408" s="2">
        <f t="shared" si="132"/>
        <v>32</v>
      </c>
      <c r="R408" s="1">
        <f t="shared" si="126"/>
        <v>16000521.273802986</v>
      </c>
      <c r="S408" s="1">
        <f>IF($G$17="si",S396*(1+$G$20),S396)</f>
        <v>10000</v>
      </c>
      <c r="U408" s="1">
        <f t="shared" si="133"/>
        <v>127670.14497725619</v>
      </c>
      <c r="V408" s="35">
        <f>V407*(1+$G$18)</f>
        <v>-310.08432875119297</v>
      </c>
      <c r="X408" s="35">
        <f t="shared" si="134"/>
        <v>-18719.94234796373</v>
      </c>
      <c r="Y408" s="1">
        <f t="shared" ref="Y408:Y471" si="138">SUM(R408:X408)</f>
        <v>16119161.392103527</v>
      </c>
      <c r="AA408" s="2">
        <f>+Bono!J408</f>
        <v>398790.56318862113</v>
      </c>
      <c r="AC408" s="10">
        <f t="shared" ref="AC408:AC471" si="139">+B408/12</f>
        <v>32.083333333333336</v>
      </c>
      <c r="AD408" s="1">
        <f t="shared" ref="AD408:AD471" si="140">+AA408+Y408+L408</f>
        <v>17135972.939424697</v>
      </c>
    </row>
    <row r="409" spans="1:30">
      <c r="A409" s="1">
        <f t="shared" ref="A409:A472" si="141">+B409/12</f>
        <v>32.166666666666664</v>
      </c>
      <c r="B409" s="1">
        <f t="shared" ref="B409:B472" si="142">+B408+1</f>
        <v>386</v>
      </c>
      <c r="C409" s="2">
        <f t="shared" si="127"/>
        <v>32</v>
      </c>
      <c r="D409" s="2">
        <f t="shared" si="128"/>
        <v>2</v>
      </c>
      <c r="E409" s="2">
        <f t="shared" si="129"/>
        <v>61</v>
      </c>
      <c r="F409" s="1">
        <f t="shared" ref="F409:F472" si="143">L408</f>
        <v>618020.98413255007</v>
      </c>
      <c r="H409" s="1">
        <f t="shared" si="136"/>
        <v>4928.1861154822591</v>
      </c>
      <c r="I409" s="1">
        <v>0</v>
      </c>
      <c r="J409" s="1">
        <v>0</v>
      </c>
      <c r="K409" s="1">
        <f t="shared" ref="K409:K472" si="144">-SUM(F409:J409)*0.1%*1.16</f>
        <v>-722.62103748771756</v>
      </c>
      <c r="L409" s="1">
        <f t="shared" si="137"/>
        <v>622226.54921054456</v>
      </c>
      <c r="N409" s="1">
        <f t="shared" ref="N409:N472" si="145">+N408+1</f>
        <v>386</v>
      </c>
      <c r="O409" s="2">
        <f t="shared" si="130"/>
        <v>32</v>
      </c>
      <c r="P409" s="2">
        <f t="shared" si="131"/>
        <v>2</v>
      </c>
      <c r="Q409" s="2">
        <f t="shared" si="132"/>
        <v>32</v>
      </c>
      <c r="R409" s="1">
        <f t="shared" ref="R409:R472" si="146">Y408</f>
        <v>16119161.392103527</v>
      </c>
      <c r="S409" s="4">
        <f>IF($G$4="mensual",S408,0)</f>
        <v>10000</v>
      </c>
      <c r="U409" s="1">
        <f t="shared" si="133"/>
        <v>128616.19794108646</v>
      </c>
      <c r="V409" s="35">
        <f t="shared" si="135"/>
        <v>-310.08432875119297</v>
      </c>
      <c r="X409" s="35">
        <f t="shared" si="134"/>
        <v>-18858.662306630398</v>
      </c>
      <c r="Y409" s="1">
        <f t="shared" si="138"/>
        <v>16238608.843409231</v>
      </c>
      <c r="AA409" s="2">
        <f>+Bono!J409</f>
        <v>401263.11093723285</v>
      </c>
      <c r="AC409" s="10">
        <f t="shared" si="139"/>
        <v>32.166666666666664</v>
      </c>
      <c r="AD409" s="1">
        <f t="shared" si="140"/>
        <v>17262098.503557008</v>
      </c>
    </row>
    <row r="410" spans="1:30">
      <c r="A410" s="1">
        <f t="shared" si="141"/>
        <v>32.25</v>
      </c>
      <c r="B410" s="1">
        <f t="shared" si="142"/>
        <v>387</v>
      </c>
      <c r="C410" s="2">
        <f t="shared" si="127"/>
        <v>32</v>
      </c>
      <c r="D410" s="2">
        <f t="shared" si="128"/>
        <v>3</v>
      </c>
      <c r="E410" s="2">
        <f t="shared" si="129"/>
        <v>61</v>
      </c>
      <c r="F410" s="1">
        <f t="shared" si="143"/>
        <v>622226.54921054456</v>
      </c>
      <c r="H410" s="1">
        <f t="shared" si="136"/>
        <v>4961.7218819970813</v>
      </c>
      <c r="I410" s="1">
        <v>0</v>
      </c>
      <c r="J410" s="69">
        <f>-SUM(F410:H410)*$J$21*1.16</f>
        <v>-6547.8455502061342</v>
      </c>
      <c r="K410" s="1">
        <f t="shared" si="144"/>
        <v>-719.94289362910911</v>
      </c>
      <c r="L410" s="1">
        <f t="shared" si="137"/>
        <v>619920.48264870641</v>
      </c>
      <c r="N410" s="1">
        <f t="shared" si="145"/>
        <v>387</v>
      </c>
      <c r="O410" s="2">
        <f t="shared" si="130"/>
        <v>32</v>
      </c>
      <c r="P410" s="2">
        <f t="shared" si="131"/>
        <v>3</v>
      </c>
      <c r="Q410" s="2">
        <f t="shared" si="132"/>
        <v>32</v>
      </c>
      <c r="R410" s="1">
        <f t="shared" si="146"/>
        <v>16238608.843409231</v>
      </c>
      <c r="S410" s="4">
        <f>IF($G$4="mensual",S409,0)</f>
        <v>10000</v>
      </c>
      <c r="U410" s="1">
        <f t="shared" si="133"/>
        <v>129568.68869167278</v>
      </c>
      <c r="V410" s="35">
        <f t="shared" si="135"/>
        <v>-310.08432875119297</v>
      </c>
      <c r="X410" s="35">
        <f t="shared" si="134"/>
        <v>-18998.326239415692</v>
      </c>
      <c r="Y410" s="1">
        <f t="shared" si="138"/>
        <v>16358869.121532734</v>
      </c>
      <c r="AA410" s="2">
        <f>+Bono!J410</f>
        <v>400113.59247347037</v>
      </c>
      <c r="AC410" s="10">
        <f t="shared" si="139"/>
        <v>32.25</v>
      </c>
      <c r="AD410" s="1">
        <f t="shared" si="140"/>
        <v>17378903.196654912</v>
      </c>
    </row>
    <row r="411" spans="1:30">
      <c r="A411" s="1">
        <f t="shared" si="141"/>
        <v>32.333333333333336</v>
      </c>
      <c r="B411" s="1">
        <f t="shared" si="142"/>
        <v>388</v>
      </c>
      <c r="C411" s="2">
        <f t="shared" si="127"/>
        <v>32</v>
      </c>
      <c r="D411" s="2">
        <f t="shared" si="128"/>
        <v>4</v>
      </c>
      <c r="E411" s="2">
        <f t="shared" si="129"/>
        <v>61</v>
      </c>
      <c r="F411" s="1">
        <f t="shared" si="143"/>
        <v>619920.48264870641</v>
      </c>
      <c r="H411" s="1">
        <f t="shared" si="136"/>
        <v>4943.3329833945845</v>
      </c>
      <c r="I411" s="1">
        <v>0</v>
      </c>
      <c r="J411" s="1">
        <v>0</v>
      </c>
      <c r="K411" s="1">
        <f t="shared" si="144"/>
        <v>-724.84202613323714</v>
      </c>
      <c r="L411" s="1">
        <f t="shared" si="137"/>
        <v>624138.97360596783</v>
      </c>
      <c r="N411" s="1">
        <f t="shared" si="145"/>
        <v>388</v>
      </c>
      <c r="O411" s="2">
        <f t="shared" si="130"/>
        <v>32</v>
      </c>
      <c r="P411" s="2">
        <f t="shared" si="131"/>
        <v>4</v>
      </c>
      <c r="Q411" s="2">
        <f t="shared" si="132"/>
        <v>32</v>
      </c>
      <c r="R411" s="1">
        <f t="shared" si="146"/>
        <v>16358869.121532734</v>
      </c>
      <c r="S411" s="4">
        <f>IF($G$4="mensual",S408,IF($G$4="trimestral",S408,0))</f>
        <v>10000</v>
      </c>
      <c r="U411" s="1">
        <f t="shared" si="133"/>
        <v>130527.66103744862</v>
      </c>
      <c r="V411" s="35">
        <f t="shared" si="135"/>
        <v>-310.08432875119297</v>
      </c>
      <c r="X411" s="35">
        <f t="shared" si="134"/>
        <v>-19138.940569960057</v>
      </c>
      <c r="Y411" s="1">
        <f t="shared" si="138"/>
        <v>16479947.757671472</v>
      </c>
      <c r="AA411" s="2">
        <f>+Bono!J411</f>
        <v>402594.34315711004</v>
      </c>
      <c r="AC411" s="10">
        <f t="shared" si="139"/>
        <v>32.333333333333336</v>
      </c>
      <c r="AD411" s="1">
        <f t="shared" si="140"/>
        <v>17506681.074434549</v>
      </c>
    </row>
    <row r="412" spans="1:30">
      <c r="A412" s="1">
        <f t="shared" si="141"/>
        <v>32.416666666666664</v>
      </c>
      <c r="B412" s="1">
        <f t="shared" si="142"/>
        <v>389</v>
      </c>
      <c r="C412" s="2">
        <f t="shared" si="127"/>
        <v>32</v>
      </c>
      <c r="D412" s="2">
        <f t="shared" si="128"/>
        <v>5</v>
      </c>
      <c r="E412" s="2">
        <f t="shared" si="129"/>
        <v>61</v>
      </c>
      <c r="F412" s="1">
        <f t="shared" si="143"/>
        <v>624138.97360596783</v>
      </c>
      <c r="H412" s="1">
        <f t="shared" si="136"/>
        <v>4976.9718226858477</v>
      </c>
      <c r="I412" s="1">
        <v>0</v>
      </c>
      <c r="J412" s="1">
        <v>0</v>
      </c>
      <c r="K412" s="1">
        <f t="shared" si="144"/>
        <v>-729.77449669723819</v>
      </c>
      <c r="L412" s="1">
        <f t="shared" si="137"/>
        <v>628386.17093195638</v>
      </c>
      <c r="N412" s="1">
        <f t="shared" si="145"/>
        <v>389</v>
      </c>
      <c r="O412" s="2">
        <f t="shared" si="130"/>
        <v>32</v>
      </c>
      <c r="P412" s="2">
        <f t="shared" si="131"/>
        <v>5</v>
      </c>
      <c r="Q412" s="2">
        <f t="shared" si="132"/>
        <v>32</v>
      </c>
      <c r="R412" s="1">
        <f t="shared" si="146"/>
        <v>16479947.757671472</v>
      </c>
      <c r="S412" s="4">
        <f>IF($G$4="mensual",S411,0)</f>
        <v>10000</v>
      </c>
      <c r="U412" s="1">
        <f t="shared" si="133"/>
        <v>131493.15908495904</v>
      </c>
      <c r="V412" s="35">
        <f t="shared" si="135"/>
        <v>-310.08432875119297</v>
      </c>
      <c r="X412" s="35">
        <f t="shared" si="134"/>
        <v>-19280.511765616106</v>
      </c>
      <c r="Y412" s="1">
        <f t="shared" si="138"/>
        <v>16601850.320662063</v>
      </c>
      <c r="AA412" s="2">
        <f>+Bono!J412</f>
        <v>405090.47478273755</v>
      </c>
      <c r="AC412" s="10">
        <f t="shared" si="139"/>
        <v>32.416666666666664</v>
      </c>
      <c r="AD412" s="1">
        <f t="shared" si="140"/>
        <v>17635326.966376759</v>
      </c>
    </row>
    <row r="413" spans="1:30">
      <c r="A413" s="1">
        <f t="shared" si="141"/>
        <v>32.5</v>
      </c>
      <c r="B413" s="1">
        <f t="shared" si="142"/>
        <v>390</v>
      </c>
      <c r="C413" s="2">
        <f t="shared" si="127"/>
        <v>32</v>
      </c>
      <c r="D413" s="2">
        <f t="shared" si="128"/>
        <v>6</v>
      </c>
      <c r="E413" s="2">
        <f t="shared" si="129"/>
        <v>61</v>
      </c>
      <c r="F413" s="1">
        <f t="shared" si="143"/>
        <v>628386.17093195638</v>
      </c>
      <c r="H413" s="1">
        <f t="shared" si="136"/>
        <v>5010.839570592545</v>
      </c>
      <c r="I413" s="1">
        <v>0</v>
      </c>
      <c r="J413" s="69">
        <f>-SUM(F413:H413)*$J$21*1.16</f>
        <v>-6612.6647896466111</v>
      </c>
      <c r="K413" s="1">
        <f t="shared" si="144"/>
        <v>-727.06984102696651</v>
      </c>
      <c r="L413" s="1">
        <f t="shared" si="137"/>
        <v>626057.27587187535</v>
      </c>
      <c r="N413" s="1">
        <f t="shared" si="145"/>
        <v>390</v>
      </c>
      <c r="O413" s="2">
        <f t="shared" si="130"/>
        <v>32</v>
      </c>
      <c r="P413" s="2">
        <f t="shared" si="131"/>
        <v>6</v>
      </c>
      <c r="Q413" s="2">
        <f t="shared" si="132"/>
        <v>32</v>
      </c>
      <c r="R413" s="1">
        <f t="shared" si="146"/>
        <v>16601850.320662063</v>
      </c>
      <c r="S413" s="4">
        <f>IF($G$4="mensual",S412,0)</f>
        <v>10000</v>
      </c>
      <c r="U413" s="1">
        <f t="shared" si="133"/>
        <v>132465.2272408893</v>
      </c>
      <c r="V413" s="35">
        <f t="shared" si="135"/>
        <v>-310.08432875119297</v>
      </c>
      <c r="X413" s="35">
        <f t="shared" si="134"/>
        <v>-19423.046337746069</v>
      </c>
      <c r="Y413" s="1">
        <f t="shared" si="138"/>
        <v>16724582.417236453</v>
      </c>
      <c r="AA413" s="2">
        <f>+Bono!J413</f>
        <v>403929.99187871628</v>
      </c>
      <c r="AC413" s="10">
        <f t="shared" si="139"/>
        <v>32.5</v>
      </c>
      <c r="AD413" s="1">
        <f t="shared" si="140"/>
        <v>17754569.684987046</v>
      </c>
    </row>
    <row r="414" spans="1:30">
      <c r="A414" s="1">
        <f t="shared" si="141"/>
        <v>32.583333333333336</v>
      </c>
      <c r="B414" s="1">
        <f t="shared" si="142"/>
        <v>391</v>
      </c>
      <c r="C414" s="2">
        <f t="shared" si="127"/>
        <v>32</v>
      </c>
      <c r="D414" s="2">
        <f t="shared" si="128"/>
        <v>7</v>
      </c>
      <c r="E414" s="2">
        <f t="shared" si="129"/>
        <v>61</v>
      </c>
      <c r="F414" s="1">
        <f t="shared" si="143"/>
        <v>626057.27587187535</v>
      </c>
      <c r="H414" s="1">
        <f t="shared" si="136"/>
        <v>4992.2686343392779</v>
      </c>
      <c r="I414" s="1">
        <v>0</v>
      </c>
      <c r="J414" s="1">
        <v>0</v>
      </c>
      <c r="K414" s="1">
        <f t="shared" si="144"/>
        <v>-732.01747162720903</v>
      </c>
      <c r="L414" s="1">
        <f t="shared" si="137"/>
        <v>630317.52703458746</v>
      </c>
      <c r="N414" s="1">
        <f t="shared" si="145"/>
        <v>391</v>
      </c>
      <c r="O414" s="2">
        <f t="shared" si="130"/>
        <v>32</v>
      </c>
      <c r="P414" s="2">
        <f t="shared" si="131"/>
        <v>7</v>
      </c>
      <c r="Q414" s="2">
        <f t="shared" si="132"/>
        <v>32</v>
      </c>
      <c r="R414" s="1">
        <f t="shared" si="146"/>
        <v>16724582.417236453</v>
      </c>
      <c r="S414" s="1">
        <f>+IF($G$4="mensual",S408,IF($G$4="trimestral",S408,IF($G$4="semestral",S408,0)))</f>
        <v>10000</v>
      </c>
      <c r="U414" s="1">
        <f t="shared" si="133"/>
        <v>133443.91021410728</v>
      </c>
      <c r="V414" s="35">
        <f t="shared" si="135"/>
        <v>-310.08432875119297</v>
      </c>
      <c r="X414" s="35">
        <f t="shared" si="134"/>
        <v>-19566.550842021294</v>
      </c>
      <c r="Y414" s="1">
        <f t="shared" si="138"/>
        <v>16848149.692279786</v>
      </c>
      <c r="AA414" s="2">
        <f>+Bono!J414</f>
        <v>406434.40468134341</v>
      </c>
      <c r="AC414" s="10">
        <f t="shared" si="139"/>
        <v>32.583333333333336</v>
      </c>
      <c r="AD414" s="1">
        <f t="shared" si="140"/>
        <v>17884901.623995718</v>
      </c>
    </row>
    <row r="415" spans="1:30">
      <c r="A415" s="1">
        <f t="shared" si="141"/>
        <v>32.666666666666664</v>
      </c>
      <c r="B415" s="1">
        <f t="shared" si="142"/>
        <v>392</v>
      </c>
      <c r="C415" s="2">
        <f t="shared" si="127"/>
        <v>32</v>
      </c>
      <c r="D415" s="2">
        <f t="shared" si="128"/>
        <v>8</v>
      </c>
      <c r="E415" s="2">
        <f t="shared" si="129"/>
        <v>61</v>
      </c>
      <c r="F415" s="1">
        <f t="shared" si="143"/>
        <v>630317.52703458746</v>
      </c>
      <c r="H415" s="1">
        <f t="shared" si="136"/>
        <v>5026.2404753731453</v>
      </c>
      <c r="I415" s="1">
        <v>0</v>
      </c>
      <c r="J415" s="1">
        <v>0</v>
      </c>
      <c r="K415" s="1">
        <f t="shared" si="144"/>
        <v>-736.99877031155427</v>
      </c>
      <c r="L415" s="1">
        <f t="shared" si="137"/>
        <v>634606.76873964898</v>
      </c>
      <c r="N415" s="1">
        <f t="shared" si="145"/>
        <v>392</v>
      </c>
      <c r="O415" s="2">
        <f t="shared" si="130"/>
        <v>32</v>
      </c>
      <c r="P415" s="2">
        <f t="shared" si="131"/>
        <v>8</v>
      </c>
      <c r="Q415" s="2">
        <f t="shared" si="132"/>
        <v>32</v>
      </c>
      <c r="R415" s="1">
        <f t="shared" si="146"/>
        <v>16848149.692279786</v>
      </c>
      <c r="S415" s="4">
        <f>IF($G$4="mensual",S414,0)</f>
        <v>10000</v>
      </c>
      <c r="U415" s="1">
        <f t="shared" si="133"/>
        <v>134429.25301771981</v>
      </c>
      <c r="V415" s="35">
        <f t="shared" si="135"/>
        <v>-310.08432875119297</v>
      </c>
      <c r="X415" s="35">
        <f t="shared" si="134"/>
        <v>-19711.031878723752</v>
      </c>
      <c r="Y415" s="1">
        <f t="shared" si="138"/>
        <v>16972557.829090029</v>
      </c>
      <c r="AA415" s="2">
        <f>+Bono!J415</f>
        <v>408954.34513384075</v>
      </c>
      <c r="AC415" s="10">
        <f t="shared" si="139"/>
        <v>32.666666666666664</v>
      </c>
      <c r="AD415" s="1">
        <f t="shared" si="140"/>
        <v>18016118.942963518</v>
      </c>
    </row>
    <row r="416" spans="1:30">
      <c r="A416" s="1">
        <f t="shared" si="141"/>
        <v>32.75</v>
      </c>
      <c r="B416" s="1">
        <f t="shared" si="142"/>
        <v>393</v>
      </c>
      <c r="C416" s="2">
        <f t="shared" si="127"/>
        <v>32</v>
      </c>
      <c r="D416" s="2">
        <f t="shared" si="128"/>
        <v>9</v>
      </c>
      <c r="E416" s="2">
        <f t="shared" si="129"/>
        <v>61</v>
      </c>
      <c r="F416" s="1">
        <f t="shared" si="143"/>
        <v>634606.76873964898</v>
      </c>
      <c r="H416" s="1">
        <f t="shared" si="136"/>
        <v>5060.4434910628161</v>
      </c>
      <c r="I416" s="1">
        <v>0</v>
      </c>
      <c r="J416" s="69">
        <f>-SUM(F416:H416)*$J$21*1.16</f>
        <v>-6678.1256956886318</v>
      </c>
      <c r="K416" s="1">
        <f t="shared" si="144"/>
        <v>-734.26734038062682</v>
      </c>
      <c r="L416" s="1">
        <f t="shared" si="137"/>
        <v>632254.81919464259</v>
      </c>
      <c r="N416" s="1">
        <f t="shared" si="145"/>
        <v>393</v>
      </c>
      <c r="O416" s="2">
        <f t="shared" si="130"/>
        <v>32</v>
      </c>
      <c r="P416" s="2">
        <f t="shared" si="131"/>
        <v>9</v>
      </c>
      <c r="Q416" s="2">
        <f t="shared" si="132"/>
        <v>32</v>
      </c>
      <c r="R416" s="1">
        <f t="shared" si="146"/>
        <v>16972557.829090029</v>
      </c>
      <c r="S416" s="4">
        <f>IF($G$4="mensual",S415,0)</f>
        <v>10000</v>
      </c>
      <c r="U416" s="1">
        <f t="shared" si="133"/>
        <v>135421.30097114295</v>
      </c>
      <c r="V416" s="35">
        <f t="shared" si="135"/>
        <v>-310.08432875119297</v>
      </c>
      <c r="X416" s="35">
        <f t="shared" si="134"/>
        <v>-19856.496093049609</v>
      </c>
      <c r="Y416" s="1">
        <f t="shared" si="138"/>
        <v>17097812.54963937</v>
      </c>
      <c r="AA416" s="2">
        <f>+Bono!J416</f>
        <v>407782.7932075517</v>
      </c>
      <c r="AC416" s="10">
        <f t="shared" si="139"/>
        <v>32.75</v>
      </c>
      <c r="AD416" s="1">
        <f t="shared" si="140"/>
        <v>18137850.162041564</v>
      </c>
    </row>
    <row r="417" spans="1:30">
      <c r="A417" s="1">
        <f t="shared" si="141"/>
        <v>32.833333333333336</v>
      </c>
      <c r="B417" s="1">
        <f t="shared" si="142"/>
        <v>394</v>
      </c>
      <c r="C417" s="2">
        <f t="shared" si="127"/>
        <v>32</v>
      </c>
      <c r="D417" s="2">
        <f t="shared" si="128"/>
        <v>10</v>
      </c>
      <c r="E417" s="2">
        <f t="shared" si="129"/>
        <v>61</v>
      </c>
      <c r="F417" s="1">
        <f t="shared" si="143"/>
        <v>632254.81919464259</v>
      </c>
      <c r="H417" s="1">
        <f t="shared" si="136"/>
        <v>5041.6887151092396</v>
      </c>
      <c r="I417" s="1">
        <v>0</v>
      </c>
      <c r="J417" s="1">
        <v>0</v>
      </c>
      <c r="K417" s="1">
        <f t="shared" si="144"/>
        <v>-739.26394917531218</v>
      </c>
      <c r="L417" s="1">
        <f t="shared" si="137"/>
        <v>636557.24396057648</v>
      </c>
      <c r="N417" s="1">
        <f t="shared" si="145"/>
        <v>394</v>
      </c>
      <c r="O417" s="2">
        <f t="shared" si="130"/>
        <v>32</v>
      </c>
      <c r="P417" s="2">
        <f t="shared" si="131"/>
        <v>10</v>
      </c>
      <c r="Q417" s="2">
        <f t="shared" si="132"/>
        <v>32</v>
      </c>
      <c r="R417" s="1">
        <f t="shared" si="146"/>
        <v>17097812.54963937</v>
      </c>
      <c r="S417" s="4">
        <f>IF($G$4="mensual",S408,IF($G$4="trimestral",S408,0))</f>
        <v>10000</v>
      </c>
      <c r="U417" s="1">
        <f t="shared" si="133"/>
        <v>136420.09970218648</v>
      </c>
      <c r="V417" s="35">
        <f t="shared" si="135"/>
        <v>-310.08432875119297</v>
      </c>
      <c r="X417" s="35">
        <f t="shared" si="134"/>
        <v>-20002.950175414855</v>
      </c>
      <c r="Y417" s="1">
        <f t="shared" si="138"/>
        <v>17223919.614837389</v>
      </c>
      <c r="AA417" s="2">
        <f>+Bono!J417</f>
        <v>410311.09382531489</v>
      </c>
      <c r="AC417" s="10">
        <f t="shared" si="139"/>
        <v>32.833333333333336</v>
      </c>
      <c r="AD417" s="1">
        <f t="shared" si="140"/>
        <v>18270787.952623282</v>
      </c>
    </row>
    <row r="418" spans="1:30">
      <c r="A418" s="1">
        <f t="shared" si="141"/>
        <v>32.916666666666664</v>
      </c>
      <c r="B418" s="1">
        <f t="shared" si="142"/>
        <v>395</v>
      </c>
      <c r="C418" s="2">
        <f t="shared" si="127"/>
        <v>32</v>
      </c>
      <c r="D418" s="2">
        <f t="shared" si="128"/>
        <v>11</v>
      </c>
      <c r="E418" s="2">
        <f t="shared" si="129"/>
        <v>61</v>
      </c>
      <c r="F418" s="1">
        <f t="shared" si="143"/>
        <v>636557.24396057648</v>
      </c>
      <c r="H418" s="1">
        <f t="shared" si="136"/>
        <v>5075.9968543775894</v>
      </c>
      <c r="I418" s="1">
        <v>0</v>
      </c>
      <c r="J418" s="1">
        <v>0</v>
      </c>
      <c r="K418" s="1">
        <f t="shared" si="144"/>
        <v>-744.29455934534667</v>
      </c>
      <c r="L418" s="1">
        <f t="shared" si="137"/>
        <v>640888.94625560869</v>
      </c>
      <c r="N418" s="1">
        <f t="shared" si="145"/>
        <v>395</v>
      </c>
      <c r="O418" s="2">
        <f t="shared" si="130"/>
        <v>32</v>
      </c>
      <c r="P418" s="2">
        <f t="shared" si="131"/>
        <v>11</v>
      </c>
      <c r="Q418" s="2">
        <f t="shared" si="132"/>
        <v>32</v>
      </c>
      <c r="R418" s="1">
        <f t="shared" si="146"/>
        <v>17223919.614837389</v>
      </c>
      <c r="S418" s="1">
        <f>IF($G$17="si",S406*(1+$G$20),S406)</f>
        <v>10000</v>
      </c>
      <c r="U418" s="1">
        <f t="shared" si="133"/>
        <v>137425.69514915242</v>
      </c>
      <c r="V418" s="35">
        <f t="shared" si="135"/>
        <v>-310.08432875119297</v>
      </c>
      <c r="X418" s="35">
        <f t="shared" si="134"/>
        <v>-20150.400861763035</v>
      </c>
      <c r="Y418" s="1">
        <f t="shared" si="138"/>
        <v>17350884.824796028</v>
      </c>
      <c r="AA418" s="2">
        <f>+Bono!J418</f>
        <v>412855.07020017295</v>
      </c>
      <c r="AC418" s="10">
        <f t="shared" si="139"/>
        <v>32.916666666666664</v>
      </c>
      <c r="AD418" s="1">
        <f t="shared" si="140"/>
        <v>18404628.841251809</v>
      </c>
    </row>
    <row r="419" spans="1:30">
      <c r="A419" s="1">
        <f t="shared" si="141"/>
        <v>33</v>
      </c>
      <c r="B419" s="1">
        <f t="shared" si="142"/>
        <v>396</v>
      </c>
      <c r="C419" s="2">
        <f t="shared" si="127"/>
        <v>32</v>
      </c>
      <c r="D419" s="2">
        <f t="shared" si="128"/>
        <v>12</v>
      </c>
      <c r="E419" s="2">
        <f t="shared" si="129"/>
        <v>61</v>
      </c>
      <c r="F419" s="1">
        <f t="shared" si="143"/>
        <v>640888.94625560869</v>
      </c>
      <c r="H419" s="1">
        <f t="shared" si="136"/>
        <v>5110.5384567743813</v>
      </c>
      <c r="I419" s="1">
        <v>0</v>
      </c>
      <c r="J419" s="69">
        <f>-SUM(F419:H419)*$J$21*1.16</f>
        <v>-6744.2346203972802</v>
      </c>
      <c r="K419" s="1">
        <f t="shared" si="144"/>
        <v>-741.53609010670345</v>
      </c>
      <c r="L419" s="1">
        <f t="shared" si="137"/>
        <v>638513.7140018791</v>
      </c>
      <c r="N419" s="1">
        <f t="shared" si="145"/>
        <v>396</v>
      </c>
      <c r="O419" s="2">
        <f t="shared" si="130"/>
        <v>32</v>
      </c>
      <c r="P419" s="2">
        <f t="shared" si="131"/>
        <v>12</v>
      </c>
      <c r="Q419" s="2">
        <f t="shared" si="132"/>
        <v>32</v>
      </c>
      <c r="R419" s="1">
        <f t="shared" si="146"/>
        <v>17350884.824796028</v>
      </c>
      <c r="S419" s="4">
        <f>IF($G$4="mensual",S418,0)</f>
        <v>10000</v>
      </c>
      <c r="U419" s="1">
        <f t="shared" si="133"/>
        <v>138438.13356294786</v>
      </c>
      <c r="V419" s="35">
        <f t="shared" si="135"/>
        <v>-310.08432875119297</v>
      </c>
      <c r="X419" s="35">
        <f t="shared" si="134"/>
        <v>-20298.85493387506</v>
      </c>
      <c r="Y419" s="1">
        <f t="shared" si="138"/>
        <v>17478714.019096348</v>
      </c>
      <c r="AA419" s="2">
        <f>+Bono!J419</f>
        <v>411672.3436720738</v>
      </c>
      <c r="AC419" s="10">
        <f t="shared" si="139"/>
        <v>33</v>
      </c>
      <c r="AD419" s="1">
        <f t="shared" si="140"/>
        <v>18528900.076770302</v>
      </c>
    </row>
    <row r="420" spans="1:30">
      <c r="A420" s="1">
        <f t="shared" si="141"/>
        <v>33.083333333333336</v>
      </c>
      <c r="B420" s="1">
        <f t="shared" si="142"/>
        <v>397</v>
      </c>
      <c r="C420" s="2">
        <f t="shared" ref="C420:C483" si="147">C408+1</f>
        <v>33</v>
      </c>
      <c r="D420" s="2">
        <f t="shared" ref="D420:D483" si="148">D408</f>
        <v>1</v>
      </c>
      <c r="E420" s="2">
        <f t="shared" ref="E420:E483" si="149">E408+1</f>
        <v>62</v>
      </c>
      <c r="F420" s="1">
        <f t="shared" si="143"/>
        <v>638513.7140018791</v>
      </c>
      <c r="H420" s="1">
        <f t="shared" si="136"/>
        <v>5091.59802123188</v>
      </c>
      <c r="I420" s="1">
        <v>0</v>
      </c>
      <c r="J420" s="1">
        <v>0</v>
      </c>
      <c r="K420" s="1">
        <f t="shared" si="144"/>
        <v>-746.5821619468087</v>
      </c>
      <c r="L420" s="1">
        <f t="shared" si="137"/>
        <v>642858.72986116412</v>
      </c>
      <c r="N420" s="1">
        <f t="shared" si="145"/>
        <v>397</v>
      </c>
      <c r="O420" s="2">
        <f t="shared" ref="O420:O483" si="150">O408+1</f>
        <v>33</v>
      </c>
      <c r="P420" s="2">
        <f t="shared" ref="P420:P483" si="151">P408</f>
        <v>1</v>
      </c>
      <c r="Q420" s="2">
        <f t="shared" ref="Q420:Q483" si="152">Q408+1</f>
        <v>33</v>
      </c>
      <c r="R420" s="1">
        <f t="shared" si="146"/>
        <v>17478714.019096348</v>
      </c>
      <c r="S420" s="1">
        <f>IF($G$17="si",S408*(1+$G$20),S408)</f>
        <v>10000</v>
      </c>
      <c r="U420" s="1">
        <f t="shared" ref="U420:U483" si="153">SUM(R420:T420)*$G$8</f>
        <v>139457.46150921224</v>
      </c>
      <c r="V420" s="35">
        <f>V419*(1+$G$18)</f>
        <v>-322.48770190124071</v>
      </c>
      <c r="X420" s="35">
        <f t="shared" si="134"/>
        <v>-20448.304831768248</v>
      </c>
      <c r="Y420" s="1">
        <f t="shared" si="138"/>
        <v>17607400.688071892</v>
      </c>
      <c r="AA420" s="2">
        <f>+Bono!J420</f>
        <v>414224.75995387696</v>
      </c>
      <c r="AC420" s="10">
        <f t="shared" si="139"/>
        <v>33.083333333333336</v>
      </c>
      <c r="AD420" s="1">
        <f t="shared" si="140"/>
        <v>18664484.177886933</v>
      </c>
    </row>
    <row r="421" spans="1:30">
      <c r="A421" s="1">
        <f t="shared" si="141"/>
        <v>33.166666666666664</v>
      </c>
      <c r="B421" s="1">
        <f t="shared" si="142"/>
        <v>398</v>
      </c>
      <c r="C421" s="2">
        <f t="shared" si="147"/>
        <v>33</v>
      </c>
      <c r="D421" s="2">
        <f t="shared" si="148"/>
        <v>2</v>
      </c>
      <c r="E421" s="2">
        <f t="shared" si="149"/>
        <v>62</v>
      </c>
      <c r="F421" s="1">
        <f t="shared" si="143"/>
        <v>642858.72986116412</v>
      </c>
      <c r="H421" s="1">
        <f t="shared" si="136"/>
        <v>5126.2457878596324</v>
      </c>
      <c r="I421" s="1">
        <v>0</v>
      </c>
      <c r="J421" s="1">
        <v>0</v>
      </c>
      <c r="K421" s="1">
        <f t="shared" si="144"/>
        <v>-751.66257175286751</v>
      </c>
      <c r="L421" s="1">
        <f t="shared" si="137"/>
        <v>647233.31307727087</v>
      </c>
      <c r="N421" s="1">
        <f t="shared" si="145"/>
        <v>398</v>
      </c>
      <c r="O421" s="2">
        <f t="shared" si="150"/>
        <v>33</v>
      </c>
      <c r="P421" s="2">
        <f t="shared" si="151"/>
        <v>2</v>
      </c>
      <c r="Q421" s="2">
        <f t="shared" si="152"/>
        <v>33</v>
      </c>
      <c r="R421" s="1">
        <f t="shared" si="146"/>
        <v>17607400.688071892</v>
      </c>
      <c r="S421" s="4">
        <f>IF($G$4="mensual",S420,0)</f>
        <v>10000</v>
      </c>
      <c r="U421" s="1">
        <f t="shared" si="153"/>
        <v>140483.62707895107</v>
      </c>
      <c r="V421" s="35">
        <f t="shared" si="135"/>
        <v>-322.48770190124071</v>
      </c>
      <c r="X421" s="35">
        <f t="shared" si="134"/>
        <v>-20598.771719840774</v>
      </c>
      <c r="Y421" s="1">
        <f t="shared" si="138"/>
        <v>17736963.055729102</v>
      </c>
      <c r="AA421" s="2">
        <f>+Bono!J421</f>
        <v>416793.00151268928</v>
      </c>
      <c r="AC421" s="10">
        <f t="shared" si="139"/>
        <v>33.166666666666664</v>
      </c>
      <c r="AD421" s="1">
        <f t="shared" si="140"/>
        <v>18800989.370319061</v>
      </c>
    </row>
    <row r="422" spans="1:30">
      <c r="A422" s="1">
        <f t="shared" si="141"/>
        <v>33.25</v>
      </c>
      <c r="B422" s="1">
        <f t="shared" si="142"/>
        <v>399</v>
      </c>
      <c r="C422" s="2">
        <f t="shared" si="147"/>
        <v>33</v>
      </c>
      <c r="D422" s="2">
        <f t="shared" si="148"/>
        <v>3</v>
      </c>
      <c r="E422" s="2">
        <f t="shared" si="149"/>
        <v>62</v>
      </c>
      <c r="F422" s="1">
        <f t="shared" si="143"/>
        <v>647233.31307727087</v>
      </c>
      <c r="H422" s="1">
        <f t="shared" si="136"/>
        <v>5161.1293287427934</v>
      </c>
      <c r="I422" s="1">
        <v>0</v>
      </c>
      <c r="J422" s="69">
        <f>-SUM(F422:H422)*$J$21*1.16</f>
        <v>-6810.9979787187822</v>
      </c>
      <c r="K422" s="1">
        <f t="shared" si="144"/>
        <v>-748.87679553566193</v>
      </c>
      <c r="L422" s="1">
        <f t="shared" si="137"/>
        <v>644834.5676317591</v>
      </c>
      <c r="N422" s="1">
        <f t="shared" si="145"/>
        <v>399</v>
      </c>
      <c r="O422" s="2">
        <f t="shared" si="150"/>
        <v>33</v>
      </c>
      <c r="P422" s="2">
        <f t="shared" si="151"/>
        <v>3</v>
      </c>
      <c r="Q422" s="2">
        <f t="shared" si="152"/>
        <v>33</v>
      </c>
      <c r="R422" s="1">
        <f t="shared" si="146"/>
        <v>17736963.055729102</v>
      </c>
      <c r="S422" s="4">
        <f>IF($G$4="mensual",S421,0)</f>
        <v>10000</v>
      </c>
      <c r="U422" s="1">
        <f t="shared" si="153"/>
        <v>141516.77559295093</v>
      </c>
      <c r="V422" s="35">
        <f t="shared" si="135"/>
        <v>-322.48770190124071</v>
      </c>
      <c r="X422" s="35">
        <f t="shared" si="134"/>
        <v>-20750.262518599375</v>
      </c>
      <c r="Y422" s="1">
        <f t="shared" si="138"/>
        <v>17867407.081101552</v>
      </c>
      <c r="AA422" s="2">
        <f>+Bono!J422</f>
        <v>415598.99379618937</v>
      </c>
      <c r="AC422" s="10">
        <f t="shared" si="139"/>
        <v>33.25</v>
      </c>
      <c r="AD422" s="1">
        <f t="shared" si="140"/>
        <v>18927840.642529499</v>
      </c>
    </row>
    <row r="423" spans="1:30">
      <c r="A423" s="1">
        <f t="shared" si="141"/>
        <v>33.333333333333336</v>
      </c>
      <c r="B423" s="1">
        <f t="shared" si="142"/>
        <v>400</v>
      </c>
      <c r="C423" s="2">
        <f t="shared" si="147"/>
        <v>33</v>
      </c>
      <c r="D423" s="2">
        <f t="shared" si="148"/>
        <v>4</v>
      </c>
      <c r="E423" s="2">
        <f t="shared" si="149"/>
        <v>62</v>
      </c>
      <c r="F423" s="1">
        <f t="shared" si="143"/>
        <v>644834.5676317591</v>
      </c>
      <c r="H423" s="1">
        <f t="shared" si="136"/>
        <v>5142.0013957070887</v>
      </c>
      <c r="I423" s="1">
        <v>0</v>
      </c>
      <c r="J423" s="1">
        <v>0</v>
      </c>
      <c r="K423" s="1">
        <f t="shared" si="144"/>
        <v>-753.97282007186072</v>
      </c>
      <c r="L423" s="1">
        <f t="shared" si="137"/>
        <v>649222.59620739438</v>
      </c>
      <c r="N423" s="1">
        <f t="shared" si="145"/>
        <v>400</v>
      </c>
      <c r="O423" s="2">
        <f t="shared" si="150"/>
        <v>33</v>
      </c>
      <c r="P423" s="2">
        <f t="shared" si="151"/>
        <v>4</v>
      </c>
      <c r="Q423" s="2">
        <f t="shared" si="152"/>
        <v>33</v>
      </c>
      <c r="R423" s="1">
        <f t="shared" si="146"/>
        <v>17867407.081101552</v>
      </c>
      <c r="S423" s="4">
        <f>IF($G$4="mensual",S420,IF($G$4="trimestral",S420,0))</f>
        <v>10000</v>
      </c>
      <c r="U423" s="1">
        <f t="shared" si="153"/>
        <v>142556.95456938233</v>
      </c>
      <c r="V423" s="35">
        <f t="shared" si="135"/>
        <v>-322.48770190124071</v>
      </c>
      <c r="X423" s="35">
        <f t="shared" si="134"/>
        <v>-20902.784195644075</v>
      </c>
      <c r="Y423" s="1">
        <f t="shared" si="138"/>
        <v>17998738.763773389</v>
      </c>
      <c r="AA423" s="2">
        <f>+Bono!J423</f>
        <v>418175.75576422527</v>
      </c>
      <c r="AC423" s="10">
        <f t="shared" si="139"/>
        <v>33.333333333333336</v>
      </c>
      <c r="AD423" s="1">
        <f t="shared" si="140"/>
        <v>19066137.115745008</v>
      </c>
    </row>
    <row r="424" spans="1:30">
      <c r="A424" s="1">
        <f t="shared" si="141"/>
        <v>33.416666666666664</v>
      </c>
      <c r="B424" s="1">
        <f t="shared" si="142"/>
        <v>401</v>
      </c>
      <c r="C424" s="2">
        <f t="shared" si="147"/>
        <v>33</v>
      </c>
      <c r="D424" s="2">
        <f t="shared" si="148"/>
        <v>5</v>
      </c>
      <c r="E424" s="2">
        <f t="shared" si="149"/>
        <v>62</v>
      </c>
      <c r="F424" s="1">
        <f t="shared" si="143"/>
        <v>649222.59620739438</v>
      </c>
      <c r="H424" s="1">
        <f t="shared" si="136"/>
        <v>5176.9921517752473</v>
      </c>
      <c r="I424" s="1">
        <v>0</v>
      </c>
      <c r="J424" s="1">
        <v>0</v>
      </c>
      <c r="K424" s="1">
        <f t="shared" si="144"/>
        <v>-759.10352249663674</v>
      </c>
      <c r="L424" s="1">
        <f t="shared" si="137"/>
        <v>653640.48483667301</v>
      </c>
      <c r="N424" s="1">
        <f t="shared" si="145"/>
        <v>401</v>
      </c>
      <c r="O424" s="2">
        <f t="shared" si="150"/>
        <v>33</v>
      </c>
      <c r="P424" s="2">
        <f t="shared" si="151"/>
        <v>5</v>
      </c>
      <c r="Q424" s="2">
        <f t="shared" si="152"/>
        <v>33</v>
      </c>
      <c r="R424" s="1">
        <f t="shared" si="146"/>
        <v>17998738.763773389</v>
      </c>
      <c r="S424" s="4">
        <f>IF($G$4="mensual",S423,0)</f>
        <v>10000</v>
      </c>
      <c r="U424" s="1">
        <f t="shared" si="153"/>
        <v>143604.21184977179</v>
      </c>
      <c r="V424" s="35">
        <f t="shared" si="135"/>
        <v>-322.48770190124071</v>
      </c>
      <c r="X424" s="35">
        <f t="shared" si="134"/>
        <v>-21056.343765988662</v>
      </c>
      <c r="Y424" s="1">
        <f t="shared" si="138"/>
        <v>18130964.144155271</v>
      </c>
      <c r="AA424" s="2">
        <f>+Bono!J424</f>
        <v>420768.49395534885</v>
      </c>
      <c r="AC424" s="10">
        <f t="shared" si="139"/>
        <v>33.416666666666664</v>
      </c>
      <c r="AD424" s="1">
        <f t="shared" si="140"/>
        <v>19205373.122947291</v>
      </c>
    </row>
    <row r="425" spans="1:30">
      <c r="A425" s="1">
        <f t="shared" si="141"/>
        <v>33.5</v>
      </c>
      <c r="B425" s="1">
        <f t="shared" si="142"/>
        <v>402</v>
      </c>
      <c r="C425" s="2">
        <f t="shared" si="147"/>
        <v>33</v>
      </c>
      <c r="D425" s="2">
        <f t="shared" si="148"/>
        <v>6</v>
      </c>
      <c r="E425" s="2">
        <f t="shared" si="149"/>
        <v>62</v>
      </c>
      <c r="F425" s="1">
        <f t="shared" si="143"/>
        <v>653640.48483667301</v>
      </c>
      <c r="H425" s="1">
        <f t="shared" si="136"/>
        <v>5212.2210161043722</v>
      </c>
      <c r="I425" s="1">
        <v>0</v>
      </c>
      <c r="J425" s="69">
        <f>-SUM(F425:H425)*$J$21*1.16</f>
        <v>-6878.4222491029959</v>
      </c>
      <c r="K425" s="1">
        <f t="shared" si="144"/>
        <v>-756.29016898026225</v>
      </c>
      <c r="L425" s="1">
        <f t="shared" si="137"/>
        <v>651217.99343469413</v>
      </c>
      <c r="N425" s="1">
        <f t="shared" si="145"/>
        <v>402</v>
      </c>
      <c r="O425" s="2">
        <f t="shared" si="150"/>
        <v>33</v>
      </c>
      <c r="P425" s="2">
        <f t="shared" si="151"/>
        <v>6</v>
      </c>
      <c r="Q425" s="2">
        <f t="shared" si="152"/>
        <v>33</v>
      </c>
      <c r="R425" s="1">
        <f t="shared" si="146"/>
        <v>18130964.144155271</v>
      </c>
      <c r="S425" s="4">
        <f>IF($G$4="mensual",S424,0)</f>
        <v>10000</v>
      </c>
      <c r="U425" s="1">
        <f t="shared" si="153"/>
        <v>144658.59560120213</v>
      </c>
      <c r="V425" s="35">
        <f t="shared" si="135"/>
        <v>-322.48770190124071</v>
      </c>
      <c r="X425" s="35">
        <f t="shared" si="134"/>
        <v>-21210.948292383306</v>
      </c>
      <c r="Y425" s="1">
        <f t="shared" si="138"/>
        <v>18264089.30376219</v>
      </c>
      <c r="AA425" s="2">
        <f>+Bono!J425</f>
        <v>419563.09744720371</v>
      </c>
      <c r="AC425" s="10">
        <f t="shared" si="139"/>
        <v>33.5</v>
      </c>
      <c r="AD425" s="1">
        <f t="shared" si="140"/>
        <v>19334870.394644089</v>
      </c>
    </row>
    <row r="426" spans="1:30">
      <c r="A426" s="1">
        <f t="shared" si="141"/>
        <v>33.583333333333336</v>
      </c>
      <c r="B426" s="1">
        <f t="shared" si="142"/>
        <v>403</v>
      </c>
      <c r="C426" s="2">
        <f t="shared" si="147"/>
        <v>33</v>
      </c>
      <c r="D426" s="2">
        <f t="shared" si="148"/>
        <v>7</v>
      </c>
      <c r="E426" s="2">
        <f t="shared" si="149"/>
        <v>62</v>
      </c>
      <c r="F426" s="1">
        <f t="shared" si="143"/>
        <v>651217.99343469413</v>
      </c>
      <c r="H426" s="1">
        <f t="shared" si="136"/>
        <v>5192.9037294771806</v>
      </c>
      <c r="I426" s="1">
        <v>0</v>
      </c>
      <c r="J426" s="1">
        <v>0</v>
      </c>
      <c r="K426" s="1">
        <f t="shared" si="144"/>
        <v>-761.43664071043872</v>
      </c>
      <c r="L426" s="1">
        <f t="shared" si="137"/>
        <v>655649.46052346088</v>
      </c>
      <c r="N426" s="1">
        <f t="shared" si="145"/>
        <v>403</v>
      </c>
      <c r="O426" s="2">
        <f t="shared" si="150"/>
        <v>33</v>
      </c>
      <c r="P426" s="2">
        <f t="shared" si="151"/>
        <v>7</v>
      </c>
      <c r="Q426" s="2">
        <f t="shared" si="152"/>
        <v>33</v>
      </c>
      <c r="R426" s="1">
        <f t="shared" si="146"/>
        <v>18264089.30376219</v>
      </c>
      <c r="S426" s="1">
        <f>+IF($G$4="mensual",S420,IF($G$4="trimestral",S420,IF($G$4="semestral",S420,0)))</f>
        <v>10000</v>
      </c>
      <c r="U426" s="1">
        <f t="shared" si="153"/>
        <v>145720.15431852793</v>
      </c>
      <c r="V426" s="35">
        <f t="shared" si="135"/>
        <v>-322.48770190124071</v>
      </c>
      <c r="X426" s="35">
        <f t="shared" si="134"/>
        <v>-21366.604885639426</v>
      </c>
      <c r="Y426" s="1">
        <f t="shared" si="138"/>
        <v>18398120.365493178</v>
      </c>
      <c r="AA426" s="2">
        <f>+Bono!J426</f>
        <v>422164.43731768342</v>
      </c>
      <c r="AC426" s="10">
        <f t="shared" si="139"/>
        <v>33.583333333333336</v>
      </c>
      <c r="AD426" s="1">
        <f t="shared" si="140"/>
        <v>19475934.263334323</v>
      </c>
    </row>
    <row r="427" spans="1:30">
      <c r="A427" s="1">
        <f t="shared" si="141"/>
        <v>33.666666666666664</v>
      </c>
      <c r="B427" s="1">
        <f t="shared" si="142"/>
        <v>404</v>
      </c>
      <c r="C427" s="2">
        <f t="shared" si="147"/>
        <v>33</v>
      </c>
      <c r="D427" s="2">
        <f t="shared" si="148"/>
        <v>8</v>
      </c>
      <c r="E427" s="2">
        <f t="shared" si="149"/>
        <v>62</v>
      </c>
      <c r="F427" s="1">
        <f t="shared" si="143"/>
        <v>655649.46052346088</v>
      </c>
      <c r="H427" s="1">
        <f t="shared" si="136"/>
        <v>5228.2408703490719</v>
      </c>
      <c r="I427" s="1">
        <v>0</v>
      </c>
      <c r="J427" s="1">
        <v>0</v>
      </c>
      <c r="K427" s="1">
        <f t="shared" si="144"/>
        <v>-766.61813361681948</v>
      </c>
      <c r="L427" s="1">
        <f t="shared" si="137"/>
        <v>660111.08326019312</v>
      </c>
      <c r="N427" s="1">
        <f t="shared" si="145"/>
        <v>404</v>
      </c>
      <c r="O427" s="2">
        <f t="shared" si="150"/>
        <v>33</v>
      </c>
      <c r="P427" s="2">
        <f t="shared" si="151"/>
        <v>8</v>
      </c>
      <c r="Q427" s="2">
        <f t="shared" si="152"/>
        <v>33</v>
      </c>
      <c r="R427" s="1">
        <f t="shared" si="146"/>
        <v>18398120.365493178</v>
      </c>
      <c r="S427" s="4">
        <f>IF($G$4="mensual",S426,0)</f>
        <v>10000</v>
      </c>
      <c r="U427" s="1">
        <f t="shared" si="153"/>
        <v>146788.9368266059</v>
      </c>
      <c r="V427" s="35">
        <f t="shared" si="135"/>
        <v>-322.48770190124071</v>
      </c>
      <c r="X427" s="35">
        <f t="shared" ref="X427:X490" si="154">-SUM(R427:V427)*0.1%*1.16</f>
        <v>-21523.320704956743</v>
      </c>
      <c r="Y427" s="1">
        <f t="shared" si="138"/>
        <v>18533063.493912928</v>
      </c>
      <c r="AA427" s="2">
        <f>+Bono!J427</f>
        <v>424781.9057970969</v>
      </c>
      <c r="AC427" s="10">
        <f t="shared" si="139"/>
        <v>33.666666666666664</v>
      </c>
      <c r="AD427" s="1">
        <f t="shared" si="140"/>
        <v>19617956.482970219</v>
      </c>
    </row>
    <row r="428" spans="1:30">
      <c r="A428" s="1">
        <f t="shared" si="141"/>
        <v>33.75</v>
      </c>
      <c r="B428" s="1">
        <f t="shared" si="142"/>
        <v>405</v>
      </c>
      <c r="C428" s="2">
        <f t="shared" si="147"/>
        <v>33</v>
      </c>
      <c r="D428" s="2">
        <f t="shared" si="148"/>
        <v>9</v>
      </c>
      <c r="E428" s="2">
        <f t="shared" si="149"/>
        <v>62</v>
      </c>
      <c r="F428" s="1">
        <f t="shared" si="143"/>
        <v>660111.08326019312</v>
      </c>
      <c r="H428" s="1">
        <f t="shared" si="136"/>
        <v>5263.8184765925644</v>
      </c>
      <c r="I428" s="1">
        <v>0</v>
      </c>
      <c r="J428" s="69">
        <f>-SUM(F428:H428)*$J$21*1.16</f>
        <v>-6946.5139741320427</v>
      </c>
      <c r="K428" s="1">
        <f t="shared" si="144"/>
        <v>-763.77692980467816</v>
      </c>
      <c r="L428" s="1">
        <f t="shared" si="137"/>
        <v>657664.61083284894</v>
      </c>
      <c r="N428" s="1">
        <f t="shared" si="145"/>
        <v>405</v>
      </c>
      <c r="O428" s="2">
        <f t="shared" si="150"/>
        <v>33</v>
      </c>
      <c r="P428" s="2">
        <f t="shared" si="151"/>
        <v>9</v>
      </c>
      <c r="Q428" s="2">
        <f t="shared" si="152"/>
        <v>33</v>
      </c>
      <c r="R428" s="1">
        <f t="shared" si="146"/>
        <v>18533063.493912928</v>
      </c>
      <c r="S428" s="4">
        <f>IF($G$4="mensual",S427,0)</f>
        <v>10000</v>
      </c>
      <c r="U428" s="1">
        <f t="shared" si="153"/>
        <v>147864.99228254057</v>
      </c>
      <c r="V428" s="35">
        <f t="shared" si="135"/>
        <v>-322.48770190124071</v>
      </c>
      <c r="X428" s="35">
        <f t="shared" si="154"/>
        <v>-21681.102958252537</v>
      </c>
      <c r="Y428" s="1">
        <f t="shared" si="138"/>
        <v>18668924.895535316</v>
      </c>
      <c r="AA428" s="2">
        <f>+Bono!J428</f>
        <v>423565.01186771109</v>
      </c>
      <c r="AC428" s="10">
        <f t="shared" si="139"/>
        <v>33.75</v>
      </c>
      <c r="AD428" s="1">
        <f t="shared" si="140"/>
        <v>19750154.518235873</v>
      </c>
    </row>
    <row r="429" spans="1:30">
      <c r="A429" s="1">
        <f t="shared" si="141"/>
        <v>33.833333333333336</v>
      </c>
      <c r="B429" s="1">
        <f t="shared" si="142"/>
        <v>406</v>
      </c>
      <c r="C429" s="2">
        <f t="shared" si="147"/>
        <v>33</v>
      </c>
      <c r="D429" s="2">
        <f t="shared" si="148"/>
        <v>10</v>
      </c>
      <c r="E429" s="2">
        <f t="shared" si="149"/>
        <v>62</v>
      </c>
      <c r="F429" s="1">
        <f t="shared" si="143"/>
        <v>657664.61083284894</v>
      </c>
      <c r="H429" s="1">
        <f t="shared" si="136"/>
        <v>5244.3099619014811</v>
      </c>
      <c r="I429" s="1">
        <v>0</v>
      </c>
      <c r="J429" s="1">
        <v>0</v>
      </c>
      <c r="K429" s="1">
        <f t="shared" si="144"/>
        <v>-768.97434812191045</v>
      </c>
      <c r="L429" s="1">
        <f t="shared" si="137"/>
        <v>662139.94644662854</v>
      </c>
      <c r="N429" s="1">
        <f t="shared" si="145"/>
        <v>406</v>
      </c>
      <c r="O429" s="2">
        <f t="shared" si="150"/>
        <v>33</v>
      </c>
      <c r="P429" s="2">
        <f t="shared" si="151"/>
        <v>10</v>
      </c>
      <c r="Q429" s="2">
        <f t="shared" si="152"/>
        <v>33</v>
      </c>
      <c r="R429" s="1">
        <f t="shared" si="146"/>
        <v>18668924.895535316</v>
      </c>
      <c r="S429" s="4">
        <f>IF($G$4="mensual",S420,IF($G$4="trimestral",S420,0))</f>
        <v>10000</v>
      </c>
      <c r="U429" s="1">
        <f t="shared" si="153"/>
        <v>148948.37017794518</v>
      </c>
      <c r="V429" s="35">
        <f t="shared" si="135"/>
        <v>-322.48770190124071</v>
      </c>
      <c r="X429" s="35">
        <f t="shared" si="154"/>
        <v>-21839.958902493177</v>
      </c>
      <c r="Y429" s="1">
        <f t="shared" si="138"/>
        <v>18805710.81910887</v>
      </c>
      <c r="AA429" s="2">
        <f>+Bono!J429</f>
        <v>426191.16407179134</v>
      </c>
      <c r="AC429" s="10">
        <f t="shared" si="139"/>
        <v>33.833333333333336</v>
      </c>
      <c r="AD429" s="1">
        <f t="shared" si="140"/>
        <v>19894041.929627288</v>
      </c>
    </row>
    <row r="430" spans="1:30">
      <c r="A430" s="1">
        <f t="shared" si="141"/>
        <v>33.916666666666664</v>
      </c>
      <c r="B430" s="1">
        <f t="shared" si="142"/>
        <v>407</v>
      </c>
      <c r="C430" s="2">
        <f t="shared" si="147"/>
        <v>33</v>
      </c>
      <c r="D430" s="2">
        <f t="shared" si="148"/>
        <v>11</v>
      </c>
      <c r="E430" s="2">
        <f t="shared" si="149"/>
        <v>62</v>
      </c>
      <c r="F430" s="1">
        <f t="shared" si="143"/>
        <v>662139.94644662854</v>
      </c>
      <c r="H430" s="1">
        <f t="shared" si="136"/>
        <v>5279.9969165522343</v>
      </c>
      <c r="I430" s="1">
        <v>0</v>
      </c>
      <c r="J430" s="1">
        <v>0</v>
      </c>
      <c r="K430" s="1">
        <f t="shared" si="144"/>
        <v>-774.20713430128967</v>
      </c>
      <c r="L430" s="1">
        <f t="shared" si="137"/>
        <v>666645.73622887942</v>
      </c>
      <c r="N430" s="1">
        <f t="shared" si="145"/>
        <v>407</v>
      </c>
      <c r="O430" s="2">
        <f t="shared" si="150"/>
        <v>33</v>
      </c>
      <c r="P430" s="2">
        <f t="shared" si="151"/>
        <v>11</v>
      </c>
      <c r="Q430" s="2">
        <f t="shared" si="152"/>
        <v>33</v>
      </c>
      <c r="R430" s="1">
        <f t="shared" si="146"/>
        <v>18805710.81910887</v>
      </c>
      <c r="S430" s="1">
        <f>IF($G$17="si",S418*(1+$G$20),S418)</f>
        <v>10000</v>
      </c>
      <c r="U430" s="1">
        <f t="shared" si="153"/>
        <v>150039.12034121799</v>
      </c>
      <c r="V430" s="35">
        <f t="shared" si="135"/>
        <v>-322.48770190124071</v>
      </c>
      <c r="X430" s="35">
        <f t="shared" si="154"/>
        <v>-21999.895844027898</v>
      </c>
      <c r="Y430" s="1">
        <f t="shared" si="138"/>
        <v>18943427.555904161</v>
      </c>
      <c r="AA430" s="2">
        <f>+Bono!J430</f>
        <v>428833.59872415173</v>
      </c>
      <c r="AC430" s="10">
        <f t="shared" si="139"/>
        <v>33.916666666666664</v>
      </c>
      <c r="AD430" s="1">
        <f t="shared" si="140"/>
        <v>20038906.890857194</v>
      </c>
    </row>
    <row r="431" spans="1:30">
      <c r="A431" s="1">
        <f t="shared" si="141"/>
        <v>34</v>
      </c>
      <c r="B431" s="1">
        <f t="shared" si="142"/>
        <v>408</v>
      </c>
      <c r="C431" s="2">
        <f t="shared" si="147"/>
        <v>33</v>
      </c>
      <c r="D431" s="2">
        <f t="shared" si="148"/>
        <v>12</v>
      </c>
      <c r="E431" s="2">
        <f t="shared" si="149"/>
        <v>62</v>
      </c>
      <c r="F431" s="1">
        <f t="shared" si="143"/>
        <v>666645.73622887942</v>
      </c>
      <c r="H431" s="1">
        <f t="shared" si="136"/>
        <v>5315.9267170190224</v>
      </c>
      <c r="I431" s="1">
        <v>0</v>
      </c>
      <c r="J431" s="69">
        <f>-SUM(F431:H431)*$J$21*1.16</f>
        <v>-7015.2797611551805</v>
      </c>
      <c r="K431" s="1">
        <f t="shared" si="144"/>
        <v>-771.33780449430219</v>
      </c>
      <c r="L431" s="1">
        <f t="shared" si="137"/>
        <v>664175.04538024904</v>
      </c>
      <c r="N431" s="1">
        <f t="shared" si="145"/>
        <v>408</v>
      </c>
      <c r="O431" s="2">
        <f t="shared" si="150"/>
        <v>33</v>
      </c>
      <c r="P431" s="2">
        <f t="shared" si="151"/>
        <v>12</v>
      </c>
      <c r="Q431" s="2">
        <f t="shared" si="152"/>
        <v>33</v>
      </c>
      <c r="R431" s="1">
        <f t="shared" si="146"/>
        <v>18943427.555904161</v>
      </c>
      <c r="S431" s="4">
        <f>IF($G$4="mensual",S430,0)</f>
        <v>10000</v>
      </c>
      <c r="U431" s="1">
        <f t="shared" si="153"/>
        <v>151137.29293983403</v>
      </c>
      <c r="V431" s="35">
        <f t="shared" si="135"/>
        <v>-322.48770190124071</v>
      </c>
      <c r="X431" s="35">
        <f t="shared" si="154"/>
        <v>-22160.92113892483</v>
      </c>
      <c r="Y431" s="1">
        <f t="shared" si="138"/>
        <v>19082081.440003172</v>
      </c>
      <c r="AA431" s="2">
        <f>+Bono!J431</f>
        <v>427605.09770778939</v>
      </c>
      <c r="AC431" s="10">
        <f t="shared" si="139"/>
        <v>34</v>
      </c>
      <c r="AD431" s="1">
        <f t="shared" si="140"/>
        <v>20173861.583091211</v>
      </c>
    </row>
    <row r="432" spans="1:30">
      <c r="A432" s="1">
        <f t="shared" si="141"/>
        <v>34.083333333333336</v>
      </c>
      <c r="B432" s="1">
        <f t="shared" si="142"/>
        <v>409</v>
      </c>
      <c r="C432" s="2">
        <f t="shared" si="147"/>
        <v>34</v>
      </c>
      <c r="D432" s="2">
        <f t="shared" si="148"/>
        <v>1</v>
      </c>
      <c r="E432" s="2">
        <f t="shared" si="149"/>
        <v>63</v>
      </c>
      <c r="F432" s="1">
        <f t="shared" si="143"/>
        <v>664175.04538024904</v>
      </c>
      <c r="H432" s="1">
        <f t="shared" si="136"/>
        <v>5296.225081235636</v>
      </c>
      <c r="I432" s="1">
        <v>0</v>
      </c>
      <c r="J432" s="1">
        <v>0</v>
      </c>
      <c r="K432" s="1">
        <f t="shared" si="144"/>
        <v>-776.58667373532217</v>
      </c>
      <c r="L432" s="1">
        <f t="shared" si="137"/>
        <v>668694.68378774938</v>
      </c>
      <c r="N432" s="1">
        <f t="shared" si="145"/>
        <v>409</v>
      </c>
      <c r="O432" s="2">
        <f t="shared" si="150"/>
        <v>34</v>
      </c>
      <c r="P432" s="2">
        <f t="shared" si="151"/>
        <v>1</v>
      </c>
      <c r="Q432" s="2">
        <f t="shared" si="152"/>
        <v>34</v>
      </c>
      <c r="R432" s="1">
        <f t="shared" si="146"/>
        <v>19082081.440003172</v>
      </c>
      <c r="S432" s="1">
        <f>IF($G$17="si",S420*(1+$G$20),S420)</f>
        <v>10000</v>
      </c>
      <c r="U432" s="1">
        <f t="shared" si="153"/>
        <v>152242.93848265248</v>
      </c>
      <c r="V432" s="35">
        <f>V431*(1+$G$18)</f>
        <v>-335.38720997729035</v>
      </c>
      <c r="X432" s="35">
        <f t="shared" si="154"/>
        <v>-22323.027229879983</v>
      </c>
      <c r="Y432" s="1">
        <f t="shared" si="138"/>
        <v>19221665.964045968</v>
      </c>
      <c r="AA432" s="2">
        <f>+Bono!J432</f>
        <v>430256.29891269904</v>
      </c>
      <c r="AC432" s="10">
        <f t="shared" si="139"/>
        <v>34.083333333333336</v>
      </c>
      <c r="AD432" s="1">
        <f t="shared" si="140"/>
        <v>20320616.946746416</v>
      </c>
    </row>
    <row r="433" spans="1:30">
      <c r="A433" s="1">
        <f t="shared" si="141"/>
        <v>34.166666666666664</v>
      </c>
      <c r="B433" s="1">
        <f t="shared" si="142"/>
        <v>410</v>
      </c>
      <c r="C433" s="2">
        <f t="shared" si="147"/>
        <v>34</v>
      </c>
      <c r="D433" s="2">
        <f t="shared" si="148"/>
        <v>2</v>
      </c>
      <c r="E433" s="2">
        <f t="shared" si="149"/>
        <v>63</v>
      </c>
      <c r="F433" s="1">
        <f t="shared" si="143"/>
        <v>668694.68378774938</v>
      </c>
      <c r="H433" s="1">
        <f t="shared" si="136"/>
        <v>5332.265312584911</v>
      </c>
      <c r="I433" s="1">
        <v>0</v>
      </c>
      <c r="J433" s="1">
        <v>0</v>
      </c>
      <c r="K433" s="1">
        <f t="shared" si="144"/>
        <v>-781.8712609563878</v>
      </c>
      <c r="L433" s="1">
        <f t="shared" si="137"/>
        <v>673245.07783937792</v>
      </c>
      <c r="N433" s="1">
        <f t="shared" si="145"/>
        <v>410</v>
      </c>
      <c r="O433" s="2">
        <f t="shared" si="150"/>
        <v>34</v>
      </c>
      <c r="P433" s="2">
        <f t="shared" si="151"/>
        <v>2</v>
      </c>
      <c r="Q433" s="2">
        <f t="shared" si="152"/>
        <v>34</v>
      </c>
      <c r="R433" s="1">
        <f t="shared" si="146"/>
        <v>19221665.964045968</v>
      </c>
      <c r="S433" s="4">
        <f>IF($G$4="mensual",S432,0)</f>
        <v>10000</v>
      </c>
      <c r="U433" s="1">
        <f t="shared" si="153"/>
        <v>153356.00507907144</v>
      </c>
      <c r="V433" s="35">
        <f t="shared" si="135"/>
        <v>-335.38720997729035</v>
      </c>
      <c r="X433" s="35">
        <f t="shared" si="154"/>
        <v>-22486.23643502147</v>
      </c>
      <c r="Y433" s="1">
        <f t="shared" si="138"/>
        <v>19362200.34548004</v>
      </c>
      <c r="AA433" s="2">
        <f>+Bono!J433</f>
        <v>432923.93787259946</v>
      </c>
      <c r="AC433" s="10">
        <f t="shared" si="139"/>
        <v>34.166666666666664</v>
      </c>
      <c r="AD433" s="1">
        <f t="shared" si="140"/>
        <v>20468369.361192018</v>
      </c>
    </row>
    <row r="434" spans="1:30">
      <c r="A434" s="1">
        <f t="shared" si="141"/>
        <v>34.25</v>
      </c>
      <c r="B434" s="1">
        <f t="shared" si="142"/>
        <v>411</v>
      </c>
      <c r="C434" s="2">
        <f t="shared" si="147"/>
        <v>34</v>
      </c>
      <c r="D434" s="2">
        <f t="shared" si="148"/>
        <v>3</v>
      </c>
      <c r="E434" s="2">
        <f t="shared" si="149"/>
        <v>63</v>
      </c>
      <c r="F434" s="1">
        <f t="shared" si="143"/>
        <v>673245.07783937792</v>
      </c>
      <c r="H434" s="1">
        <f t="shared" si="136"/>
        <v>5368.5507937594448</v>
      </c>
      <c r="I434" s="1">
        <v>0</v>
      </c>
      <c r="J434" s="69">
        <f>-SUM(F434:H434)*$J$21*1.16</f>
        <v>-7084.7262829299543</v>
      </c>
      <c r="K434" s="1">
        <f t="shared" si="144"/>
        <v>-778.97352672624038</v>
      </c>
      <c r="L434" s="1">
        <f t="shared" si="137"/>
        <v>670749.92882348108</v>
      </c>
      <c r="N434" s="1">
        <f t="shared" si="145"/>
        <v>411</v>
      </c>
      <c r="O434" s="2">
        <f t="shared" si="150"/>
        <v>34</v>
      </c>
      <c r="P434" s="2">
        <f t="shared" si="151"/>
        <v>3</v>
      </c>
      <c r="Q434" s="2">
        <f t="shared" si="152"/>
        <v>34</v>
      </c>
      <c r="R434" s="1">
        <f t="shared" si="146"/>
        <v>19362200.34548004</v>
      </c>
      <c r="S434" s="4">
        <f>IF($G$4="mensual",S433,0)</f>
        <v>10000</v>
      </c>
      <c r="U434" s="1">
        <f t="shared" si="153"/>
        <v>154476.64597171586</v>
      </c>
      <c r="V434" s="35">
        <f t="shared" si="135"/>
        <v>-335.38720997729035</v>
      </c>
      <c r="X434" s="35">
        <f t="shared" si="154"/>
        <v>-22650.556260920461</v>
      </c>
      <c r="Y434" s="1">
        <f t="shared" si="138"/>
        <v>19503691.047980856</v>
      </c>
      <c r="AA434" s="2">
        <f>+Bono!J434</f>
        <v>431683.71905750094</v>
      </c>
      <c r="AC434" s="10">
        <f t="shared" si="139"/>
        <v>34.25</v>
      </c>
      <c r="AD434" s="1">
        <f t="shared" si="140"/>
        <v>20606124.695861839</v>
      </c>
    </row>
    <row r="435" spans="1:30">
      <c r="A435" s="1">
        <f t="shared" si="141"/>
        <v>34.333333333333336</v>
      </c>
      <c r="B435" s="1">
        <f t="shared" si="142"/>
        <v>412</v>
      </c>
      <c r="C435" s="2">
        <f t="shared" si="147"/>
        <v>34</v>
      </c>
      <c r="D435" s="2">
        <f t="shared" si="148"/>
        <v>4</v>
      </c>
      <c r="E435" s="2">
        <f t="shared" si="149"/>
        <v>63</v>
      </c>
      <c r="F435" s="1">
        <f t="shared" si="143"/>
        <v>670749.92882348108</v>
      </c>
      <c r="H435" s="1">
        <f t="shared" si="136"/>
        <v>5348.6541251156432</v>
      </c>
      <c r="I435" s="1">
        <v>0</v>
      </c>
      <c r="J435" s="1">
        <v>0</v>
      </c>
      <c r="K435" s="1">
        <f t="shared" si="144"/>
        <v>-784.27435622037206</v>
      </c>
      <c r="L435" s="1">
        <f t="shared" si="137"/>
        <v>675314.3085923763</v>
      </c>
      <c r="N435" s="1">
        <f t="shared" si="145"/>
        <v>412</v>
      </c>
      <c r="O435" s="2">
        <f t="shared" si="150"/>
        <v>34</v>
      </c>
      <c r="P435" s="2">
        <f t="shared" si="151"/>
        <v>4</v>
      </c>
      <c r="Q435" s="2">
        <f t="shared" si="152"/>
        <v>34</v>
      </c>
      <c r="R435" s="1">
        <f t="shared" si="146"/>
        <v>19503691.047980856</v>
      </c>
      <c r="S435" s="4">
        <f>IF($G$4="mensual",S432,IF($G$4="trimestral",S432,0))</f>
        <v>10000</v>
      </c>
      <c r="U435" s="1">
        <f t="shared" si="153"/>
        <v>155604.9127028416</v>
      </c>
      <c r="V435" s="35">
        <f t="shared" si="135"/>
        <v>-335.38720997729035</v>
      </c>
      <c r="X435" s="35">
        <f t="shared" si="154"/>
        <v>-22815.994265229514</v>
      </c>
      <c r="Y435" s="1">
        <f t="shared" si="138"/>
        <v>19646144.57920849</v>
      </c>
      <c r="AA435" s="2">
        <f>+Bono!J435</f>
        <v>434360.20818786963</v>
      </c>
      <c r="AC435" s="10">
        <f t="shared" si="139"/>
        <v>34.333333333333336</v>
      </c>
      <c r="AD435" s="1">
        <f t="shared" si="140"/>
        <v>20755819.095988736</v>
      </c>
    </row>
    <row r="436" spans="1:30">
      <c r="A436" s="1">
        <f t="shared" si="141"/>
        <v>34.416666666666664</v>
      </c>
      <c r="B436" s="1">
        <f t="shared" si="142"/>
        <v>413</v>
      </c>
      <c r="C436" s="2">
        <f t="shared" si="147"/>
        <v>34</v>
      </c>
      <c r="D436" s="2">
        <f t="shared" si="148"/>
        <v>5</v>
      </c>
      <c r="E436" s="2">
        <f t="shared" si="149"/>
        <v>63</v>
      </c>
      <c r="F436" s="1">
        <f t="shared" si="143"/>
        <v>675314.3085923763</v>
      </c>
      <c r="H436" s="1">
        <f t="shared" si="136"/>
        <v>5385.0511303636604</v>
      </c>
      <c r="I436" s="1">
        <v>0</v>
      </c>
      <c r="J436" s="1">
        <v>0</v>
      </c>
      <c r="K436" s="1">
        <f t="shared" si="144"/>
        <v>-789.61125727837839</v>
      </c>
      <c r="L436" s="1">
        <f t="shared" si="137"/>
        <v>679909.74846546166</v>
      </c>
      <c r="N436" s="1">
        <f t="shared" si="145"/>
        <v>413</v>
      </c>
      <c r="O436" s="2">
        <f t="shared" si="150"/>
        <v>34</v>
      </c>
      <c r="P436" s="2">
        <f t="shared" si="151"/>
        <v>5</v>
      </c>
      <c r="Q436" s="2">
        <f t="shared" si="152"/>
        <v>34</v>
      </c>
      <c r="R436" s="1">
        <f t="shared" si="146"/>
        <v>19646144.57920849</v>
      </c>
      <c r="S436" s="4">
        <f>IF($G$4="mensual",S435,0)</f>
        <v>10000</v>
      </c>
      <c r="U436" s="1">
        <f t="shared" si="153"/>
        <v>156740.85716544397</v>
      </c>
      <c r="V436" s="35">
        <f t="shared" si="135"/>
        <v>-335.38720997729035</v>
      </c>
      <c r="X436" s="35">
        <f t="shared" si="154"/>
        <v>-22982.55805703019</v>
      </c>
      <c r="Y436" s="1">
        <f t="shared" si="138"/>
        <v>19789567.491106927</v>
      </c>
      <c r="AA436" s="2">
        <f>+Bono!J436</f>
        <v>437053.29186130012</v>
      </c>
      <c r="AC436" s="10">
        <f t="shared" si="139"/>
        <v>34.416666666666664</v>
      </c>
      <c r="AD436" s="1">
        <f t="shared" si="140"/>
        <v>20906530.531433687</v>
      </c>
    </row>
    <row r="437" spans="1:30">
      <c r="A437" s="1">
        <f t="shared" si="141"/>
        <v>34.5</v>
      </c>
      <c r="B437" s="1">
        <f t="shared" si="142"/>
        <v>414</v>
      </c>
      <c r="C437" s="2">
        <f t="shared" si="147"/>
        <v>34</v>
      </c>
      <c r="D437" s="2">
        <f t="shared" si="148"/>
        <v>6</v>
      </c>
      <c r="E437" s="2">
        <f t="shared" si="149"/>
        <v>63</v>
      </c>
      <c r="F437" s="1">
        <f t="shared" si="143"/>
        <v>679909.74846546166</v>
      </c>
      <c r="H437" s="1">
        <f t="shared" si="136"/>
        <v>5421.6958132442269</v>
      </c>
      <c r="I437" s="1">
        <v>0</v>
      </c>
      <c r="J437" s="69">
        <f>-SUM(F437:H437)*$J$21*1.16</f>
        <v>-7154.8602782696898</v>
      </c>
      <c r="K437" s="1">
        <f t="shared" si="144"/>
        <v>-786.68483744050593</v>
      </c>
      <c r="L437" s="1">
        <f t="shared" si="137"/>
        <v>677389.89916299563</v>
      </c>
      <c r="N437" s="1">
        <f t="shared" si="145"/>
        <v>414</v>
      </c>
      <c r="O437" s="2">
        <f t="shared" si="150"/>
        <v>34</v>
      </c>
      <c r="P437" s="2">
        <f t="shared" si="151"/>
        <v>6</v>
      </c>
      <c r="Q437" s="2">
        <f t="shared" si="152"/>
        <v>34</v>
      </c>
      <c r="R437" s="1">
        <f t="shared" si="146"/>
        <v>19789567.491106927</v>
      </c>
      <c r="S437" s="4">
        <f>IF($G$4="mensual",S436,0)</f>
        <v>10000</v>
      </c>
      <c r="U437" s="1">
        <f t="shared" si="153"/>
        <v>157884.53160564441</v>
      </c>
      <c r="V437" s="35">
        <f t="shared" si="135"/>
        <v>-335.38720997729035</v>
      </c>
      <c r="X437" s="35">
        <f t="shared" si="154"/>
        <v>-23150.255297183008</v>
      </c>
      <c r="Y437" s="1">
        <f t="shared" si="138"/>
        <v>19933966.380205411</v>
      </c>
      <c r="AA437" s="2">
        <f>+Bono!J437</f>
        <v>435801.24347970507</v>
      </c>
      <c r="AC437" s="10">
        <f t="shared" si="139"/>
        <v>34.5</v>
      </c>
      <c r="AD437" s="1">
        <f t="shared" si="140"/>
        <v>21047157.522848114</v>
      </c>
    </row>
    <row r="438" spans="1:30">
      <c r="A438" s="1">
        <f t="shared" si="141"/>
        <v>34.583333333333336</v>
      </c>
      <c r="B438" s="1">
        <f t="shared" si="142"/>
        <v>415</v>
      </c>
      <c r="C438" s="2">
        <f t="shared" si="147"/>
        <v>34</v>
      </c>
      <c r="D438" s="2">
        <f t="shared" si="148"/>
        <v>7</v>
      </c>
      <c r="E438" s="2">
        <f t="shared" si="149"/>
        <v>63</v>
      </c>
      <c r="F438" s="1">
        <f t="shared" si="143"/>
        <v>677389.89916299563</v>
      </c>
      <c r="H438" s="1">
        <f t="shared" si="136"/>
        <v>5401.6021810466873</v>
      </c>
      <c r="I438" s="1">
        <v>0</v>
      </c>
      <c r="J438" s="1">
        <v>0</v>
      </c>
      <c r="K438" s="1">
        <f t="shared" si="144"/>
        <v>-792.03814155908901</v>
      </c>
      <c r="L438" s="1">
        <f t="shared" si="137"/>
        <v>681999.46320248325</v>
      </c>
      <c r="N438" s="1">
        <f t="shared" si="145"/>
        <v>415</v>
      </c>
      <c r="O438" s="2">
        <f t="shared" si="150"/>
        <v>34</v>
      </c>
      <c r="P438" s="2">
        <f t="shared" si="151"/>
        <v>7</v>
      </c>
      <c r="Q438" s="2">
        <f t="shared" si="152"/>
        <v>34</v>
      </c>
      <c r="R438" s="1">
        <f t="shared" si="146"/>
        <v>19933966.380205411</v>
      </c>
      <c r="S438" s="1">
        <f>+IF($G$4="mensual",S432,IF($G$4="trimestral",S432,IF($G$4="semestral",S432,0)))</f>
        <v>10000</v>
      </c>
      <c r="U438" s="1">
        <f t="shared" si="153"/>
        <v>159035.98862509342</v>
      </c>
      <c r="V438" s="35">
        <f t="shared" si="135"/>
        <v>-335.38720997729035</v>
      </c>
      <c r="X438" s="35">
        <f t="shared" si="154"/>
        <v>-23319.093698679811</v>
      </c>
      <c r="Y438" s="1">
        <f t="shared" si="138"/>
        <v>20079347.887921847</v>
      </c>
      <c r="AA438" s="2">
        <f>+Bono!J438</f>
        <v>438503.26173909468</v>
      </c>
      <c r="AC438" s="10">
        <f t="shared" si="139"/>
        <v>34.583333333333336</v>
      </c>
      <c r="AD438" s="1">
        <f t="shared" si="140"/>
        <v>21199850.612863425</v>
      </c>
    </row>
    <row r="439" spans="1:30">
      <c r="A439" s="1">
        <f t="shared" si="141"/>
        <v>34.666666666666664</v>
      </c>
      <c r="B439" s="1">
        <f t="shared" si="142"/>
        <v>416</v>
      </c>
      <c r="C439" s="2">
        <f t="shared" si="147"/>
        <v>34</v>
      </c>
      <c r="D439" s="2">
        <f t="shared" si="148"/>
        <v>8</v>
      </c>
      <c r="E439" s="2">
        <f t="shared" si="149"/>
        <v>63</v>
      </c>
      <c r="F439" s="1">
        <f t="shared" si="143"/>
        <v>681999.46320248325</v>
      </c>
      <c r="H439" s="1">
        <f t="shared" si="136"/>
        <v>5438.3594920135865</v>
      </c>
      <c r="I439" s="1">
        <v>0</v>
      </c>
      <c r="J439" s="1">
        <v>0</v>
      </c>
      <c r="K439" s="1">
        <f t="shared" si="144"/>
        <v>-797.42787432561624</v>
      </c>
      <c r="L439" s="1">
        <f t="shared" si="137"/>
        <v>686640.39482017118</v>
      </c>
      <c r="N439" s="1">
        <f t="shared" si="145"/>
        <v>416</v>
      </c>
      <c r="O439" s="2">
        <f t="shared" si="150"/>
        <v>34</v>
      </c>
      <c r="P439" s="2">
        <f t="shared" si="151"/>
        <v>8</v>
      </c>
      <c r="Q439" s="2">
        <f t="shared" si="152"/>
        <v>34</v>
      </c>
      <c r="R439" s="1">
        <f t="shared" si="146"/>
        <v>20079347.887921847</v>
      </c>
      <c r="S439" s="4">
        <f>IF($G$4="mensual",S438,0)</f>
        <v>10000</v>
      </c>
      <c r="U439" s="1">
        <f t="shared" si="153"/>
        <v>160195.28118339006</v>
      </c>
      <c r="V439" s="35">
        <f t="shared" si="135"/>
        <v>-335.38720997729035</v>
      </c>
      <c r="X439" s="35">
        <f t="shared" si="154"/>
        <v>-23489.081026998501</v>
      </c>
      <c r="Y439" s="1">
        <f t="shared" si="138"/>
        <v>20225718.700868264</v>
      </c>
      <c r="AA439" s="2">
        <f>+Bono!J439</f>
        <v>441222.03282510728</v>
      </c>
      <c r="AC439" s="10">
        <f t="shared" si="139"/>
        <v>34.666666666666664</v>
      </c>
      <c r="AD439" s="1">
        <f t="shared" si="140"/>
        <v>21353581.128513545</v>
      </c>
    </row>
    <row r="440" spans="1:30">
      <c r="A440" s="1">
        <f t="shared" si="141"/>
        <v>34.75</v>
      </c>
      <c r="B440" s="1">
        <f t="shared" si="142"/>
        <v>417</v>
      </c>
      <c r="C440" s="2">
        <f t="shared" si="147"/>
        <v>34</v>
      </c>
      <c r="D440" s="2">
        <f t="shared" si="148"/>
        <v>9</v>
      </c>
      <c r="E440" s="2">
        <f t="shared" si="149"/>
        <v>63</v>
      </c>
      <c r="F440" s="1">
        <f t="shared" si="143"/>
        <v>686640.39482017118</v>
      </c>
      <c r="H440" s="1">
        <f t="shared" si="136"/>
        <v>5475.3669324539696</v>
      </c>
      <c r="I440" s="1">
        <v>0</v>
      </c>
      <c r="J440" s="69">
        <f>-SUM(F440:H440)*$J$21*1.16</f>
        <v>-7225.6885526974065</v>
      </c>
      <c r="K440" s="1">
        <f t="shared" si="144"/>
        <v>-794.47248491191601</v>
      </c>
      <c r="L440" s="1">
        <f t="shared" si="137"/>
        <v>684095.60071501578</v>
      </c>
      <c r="N440" s="1">
        <f t="shared" si="145"/>
        <v>417</v>
      </c>
      <c r="O440" s="2">
        <f t="shared" si="150"/>
        <v>34</v>
      </c>
      <c r="P440" s="2">
        <f t="shared" si="151"/>
        <v>9</v>
      </c>
      <c r="Q440" s="2">
        <f t="shared" si="152"/>
        <v>34</v>
      </c>
      <c r="R440" s="1">
        <f t="shared" si="146"/>
        <v>20225718.700868264</v>
      </c>
      <c r="S440" s="4">
        <f>IF($G$4="mensual",S439,0)</f>
        <v>10000</v>
      </c>
      <c r="U440" s="1">
        <f t="shared" si="153"/>
        <v>161362.46260051758</v>
      </c>
      <c r="V440" s="35">
        <f t="shared" si="135"/>
        <v>-335.38720997729035</v>
      </c>
      <c r="X440" s="35">
        <f t="shared" si="154"/>
        <v>-23660.225100460211</v>
      </c>
      <c r="Y440" s="1">
        <f t="shared" si="138"/>
        <v>20373085.551158343</v>
      </c>
      <c r="AA440" s="2">
        <f>+Bono!J440</f>
        <v>439958.04204318213</v>
      </c>
      <c r="AC440" s="10">
        <f t="shared" si="139"/>
        <v>34.75</v>
      </c>
      <c r="AD440" s="1">
        <f t="shared" si="140"/>
        <v>21497139.193916541</v>
      </c>
    </row>
    <row r="441" spans="1:30">
      <c r="A441" s="1">
        <f t="shared" si="141"/>
        <v>34.833333333333336</v>
      </c>
      <c r="B441" s="1">
        <f t="shared" si="142"/>
        <v>418</v>
      </c>
      <c r="C441" s="2">
        <f t="shared" si="147"/>
        <v>34</v>
      </c>
      <c r="D441" s="2">
        <f t="shared" si="148"/>
        <v>10</v>
      </c>
      <c r="E441" s="2">
        <f t="shared" si="149"/>
        <v>63</v>
      </c>
      <c r="F441" s="1">
        <f t="shared" si="143"/>
        <v>684095.60071501578</v>
      </c>
      <c r="H441" s="1">
        <f t="shared" si="136"/>
        <v>5455.0743868968138</v>
      </c>
      <c r="I441" s="1">
        <v>0</v>
      </c>
      <c r="J441" s="1">
        <v>0</v>
      </c>
      <c r="K441" s="1">
        <f t="shared" si="144"/>
        <v>-799.87878311821851</v>
      </c>
      <c r="L441" s="1">
        <f t="shared" si="137"/>
        <v>688750.79631879437</v>
      </c>
      <c r="N441" s="1">
        <f t="shared" si="145"/>
        <v>418</v>
      </c>
      <c r="O441" s="2">
        <f t="shared" si="150"/>
        <v>34</v>
      </c>
      <c r="P441" s="2">
        <f t="shared" si="151"/>
        <v>10</v>
      </c>
      <c r="Q441" s="2">
        <f t="shared" si="152"/>
        <v>34</v>
      </c>
      <c r="R441" s="1">
        <f t="shared" si="146"/>
        <v>20373085.551158343</v>
      </c>
      <c r="S441" s="4">
        <f>IF($G$4="mensual",S432,IF($G$4="trimestral",S432,0))</f>
        <v>10000</v>
      </c>
      <c r="U441" s="1">
        <f t="shared" si="153"/>
        <v>162537.58655929592</v>
      </c>
      <c r="V441" s="35">
        <f t="shared" si="135"/>
        <v>-335.38720997729035</v>
      </c>
      <c r="X441" s="35">
        <f t="shared" si="154"/>
        <v>-23832.533790588885</v>
      </c>
      <c r="Y441" s="1">
        <f t="shared" si="138"/>
        <v>20521455.216717072</v>
      </c>
      <c r="AA441" s="2">
        <f>+Bono!J441</f>
        <v>442685.83293582406</v>
      </c>
      <c r="AC441" s="10">
        <f t="shared" si="139"/>
        <v>34.833333333333336</v>
      </c>
      <c r="AD441" s="1">
        <f t="shared" si="140"/>
        <v>21652891.845971692</v>
      </c>
    </row>
    <row r="442" spans="1:30">
      <c r="A442" s="1">
        <f t="shared" si="141"/>
        <v>34.916666666666664</v>
      </c>
      <c r="B442" s="1">
        <f t="shared" si="142"/>
        <v>419</v>
      </c>
      <c r="C442" s="2">
        <f t="shared" si="147"/>
        <v>34</v>
      </c>
      <c r="D442" s="2">
        <f t="shared" si="148"/>
        <v>11</v>
      </c>
      <c r="E442" s="2">
        <f t="shared" si="149"/>
        <v>63</v>
      </c>
      <c r="F442" s="1">
        <f t="shared" si="143"/>
        <v>688750.79631879437</v>
      </c>
      <c r="H442" s="1">
        <f t="shared" si="136"/>
        <v>5492.1955703653603</v>
      </c>
      <c r="I442" s="1">
        <v>0</v>
      </c>
      <c r="J442" s="1">
        <v>0</v>
      </c>
      <c r="K442" s="1">
        <f t="shared" si="144"/>
        <v>-805.32187059142541</v>
      </c>
      <c r="L442" s="1">
        <f t="shared" si="137"/>
        <v>693437.6700185684</v>
      </c>
      <c r="N442" s="1">
        <f t="shared" si="145"/>
        <v>419</v>
      </c>
      <c r="O442" s="2">
        <f t="shared" si="150"/>
        <v>34</v>
      </c>
      <c r="P442" s="2">
        <f t="shared" si="151"/>
        <v>11</v>
      </c>
      <c r="Q442" s="2">
        <f t="shared" si="152"/>
        <v>34</v>
      </c>
      <c r="R442" s="1">
        <f t="shared" si="146"/>
        <v>20521455.216717072</v>
      </c>
      <c r="S442" s="1">
        <f>IF($G$17="si",S430*(1+$G$20),S430)</f>
        <v>10000</v>
      </c>
      <c r="U442" s="1">
        <f t="shared" si="153"/>
        <v>163720.7071078507</v>
      </c>
      <c r="V442" s="35">
        <f t="shared" si="135"/>
        <v>-335.38720997729035</v>
      </c>
      <c r="X442" s="35">
        <f t="shared" si="154"/>
        <v>-24006.015022473333</v>
      </c>
      <c r="Y442" s="1">
        <f t="shared" si="138"/>
        <v>20670834.521592472</v>
      </c>
      <c r="AA442" s="2">
        <f>+Bono!J442</f>
        <v>445430.53644840454</v>
      </c>
      <c r="AC442" s="10">
        <f t="shared" si="139"/>
        <v>34.916666666666664</v>
      </c>
      <c r="AD442" s="1">
        <f t="shared" si="140"/>
        <v>21809702.728059445</v>
      </c>
    </row>
    <row r="443" spans="1:30">
      <c r="A443" s="1">
        <f t="shared" si="141"/>
        <v>35</v>
      </c>
      <c r="B443" s="1">
        <f t="shared" si="142"/>
        <v>420</v>
      </c>
      <c r="C443" s="2">
        <f t="shared" si="147"/>
        <v>34</v>
      </c>
      <c r="D443" s="2">
        <f t="shared" si="148"/>
        <v>12</v>
      </c>
      <c r="E443" s="2">
        <f t="shared" si="149"/>
        <v>63</v>
      </c>
      <c r="F443" s="1">
        <f t="shared" si="143"/>
        <v>693437.6700185684</v>
      </c>
      <c r="H443" s="1">
        <f t="shared" si="136"/>
        <v>5529.5693594198938</v>
      </c>
      <c r="I443" s="1">
        <v>0</v>
      </c>
      <c r="J443" s="69">
        <f>-SUM(F443:H443)*$J$21*1.16</f>
        <v>-7297.2179791061981</v>
      </c>
      <c r="K443" s="1">
        <f t="shared" si="144"/>
        <v>-802.33722482270309</v>
      </c>
      <c r="L443" s="1">
        <f t="shared" si="137"/>
        <v>690867.68417405931</v>
      </c>
      <c r="N443" s="1">
        <f t="shared" si="145"/>
        <v>420</v>
      </c>
      <c r="O443" s="2">
        <f t="shared" si="150"/>
        <v>34</v>
      </c>
      <c r="P443" s="2">
        <f t="shared" si="151"/>
        <v>12</v>
      </c>
      <c r="Q443" s="2">
        <f t="shared" si="152"/>
        <v>34</v>
      </c>
      <c r="R443" s="1">
        <f t="shared" si="146"/>
        <v>20670834.521592472</v>
      </c>
      <c r="S443" s="4">
        <f>IF($G$4="mensual",S442,0)</f>
        <v>10000</v>
      </c>
      <c r="U443" s="1">
        <f t="shared" si="153"/>
        <v>164911.87866209916</v>
      </c>
      <c r="V443" s="35">
        <f t="shared" si="135"/>
        <v>-335.38720997729035</v>
      </c>
      <c r="X443" s="35">
        <f t="shared" si="154"/>
        <v>-24180.676775131724</v>
      </c>
      <c r="Y443" s="1">
        <f t="shared" si="138"/>
        <v>20821230.336269461</v>
      </c>
      <c r="AA443" s="2">
        <f>+Bono!J443</f>
        <v>444154.48935607373</v>
      </c>
      <c r="AC443" s="10">
        <f t="shared" si="139"/>
        <v>35</v>
      </c>
      <c r="AD443" s="1">
        <f t="shared" si="140"/>
        <v>21956252.509799596</v>
      </c>
    </row>
    <row r="444" spans="1:30">
      <c r="A444" s="1">
        <f t="shared" si="141"/>
        <v>35.083333333333336</v>
      </c>
      <c r="B444" s="1">
        <f t="shared" si="142"/>
        <v>421</v>
      </c>
      <c r="C444" s="2">
        <f t="shared" si="147"/>
        <v>35</v>
      </c>
      <c r="D444" s="2">
        <f t="shared" si="148"/>
        <v>1</v>
      </c>
      <c r="E444" s="2">
        <f t="shared" si="149"/>
        <v>64</v>
      </c>
      <c r="F444" s="1">
        <f t="shared" si="143"/>
        <v>690867.68417405931</v>
      </c>
      <c r="H444" s="1">
        <f t="shared" si="136"/>
        <v>5509.0759313954841</v>
      </c>
      <c r="I444" s="1">
        <v>0</v>
      </c>
      <c r="J444" s="1">
        <v>0</v>
      </c>
      <c r="K444" s="1">
        <f t="shared" si="144"/>
        <v>-807.79704172232755</v>
      </c>
      <c r="L444" s="1">
        <f t="shared" si="137"/>
        <v>695568.96306373249</v>
      </c>
      <c r="N444" s="1">
        <f t="shared" si="145"/>
        <v>421</v>
      </c>
      <c r="O444" s="2">
        <f t="shared" si="150"/>
        <v>35</v>
      </c>
      <c r="P444" s="2">
        <f t="shared" si="151"/>
        <v>1</v>
      </c>
      <c r="Q444" s="2">
        <f t="shared" si="152"/>
        <v>35</v>
      </c>
      <c r="R444" s="1">
        <f t="shared" si="146"/>
        <v>20821230.336269461</v>
      </c>
      <c r="S444" s="1">
        <f>IF($G$17="si",S432*(1+$G$20),S432)</f>
        <v>10000</v>
      </c>
      <c r="U444" s="1">
        <f t="shared" si="153"/>
        <v>166111.15600825287</v>
      </c>
      <c r="V444" s="35">
        <f>V443*(1+$G$18)</f>
        <v>-348.80269837638195</v>
      </c>
      <c r="X444" s="35">
        <f t="shared" si="154"/>
        <v>-24356.511519912026</v>
      </c>
      <c r="Y444" s="1">
        <f t="shared" si="138"/>
        <v>20972636.178059421</v>
      </c>
      <c r="AA444" s="2">
        <f>+Bono!J444</f>
        <v>446908.29870881338</v>
      </c>
      <c r="AC444" s="10">
        <f t="shared" si="139"/>
        <v>35.083333333333336</v>
      </c>
      <c r="AD444" s="1">
        <f t="shared" si="140"/>
        <v>22115113.439831968</v>
      </c>
    </row>
    <row r="445" spans="1:30">
      <c r="A445" s="1">
        <f t="shared" si="141"/>
        <v>35.166666666666664</v>
      </c>
      <c r="B445" s="1">
        <f t="shared" si="142"/>
        <v>422</v>
      </c>
      <c r="C445" s="2">
        <f t="shared" si="147"/>
        <v>35</v>
      </c>
      <c r="D445" s="2">
        <f t="shared" si="148"/>
        <v>2</v>
      </c>
      <c r="E445" s="2">
        <f t="shared" si="149"/>
        <v>64</v>
      </c>
      <c r="F445" s="1">
        <f t="shared" si="143"/>
        <v>695568.96306373249</v>
      </c>
      <c r="H445" s="1">
        <f t="shared" si="136"/>
        <v>5546.564589457178</v>
      </c>
      <c r="I445" s="1">
        <v>0</v>
      </c>
      <c r="J445" s="1">
        <v>0</v>
      </c>
      <c r="K445" s="1">
        <f t="shared" si="144"/>
        <v>-813.2940120776999</v>
      </c>
      <c r="L445" s="1">
        <f t="shared" si="137"/>
        <v>700302.23364111187</v>
      </c>
      <c r="N445" s="1">
        <f t="shared" si="145"/>
        <v>422</v>
      </c>
      <c r="O445" s="2">
        <f t="shared" si="150"/>
        <v>35</v>
      </c>
      <c r="P445" s="2">
        <f t="shared" si="151"/>
        <v>2</v>
      </c>
      <c r="Q445" s="2">
        <f t="shared" si="152"/>
        <v>35</v>
      </c>
      <c r="R445" s="1">
        <f t="shared" si="146"/>
        <v>20972636.178059421</v>
      </c>
      <c r="S445" s="4">
        <f>IF($G$4="mensual",S444,0)</f>
        <v>10000</v>
      </c>
      <c r="U445" s="1">
        <f t="shared" si="153"/>
        <v>167318.48745244241</v>
      </c>
      <c r="V445" s="35">
        <f t="shared" si="135"/>
        <v>-348.80269837638195</v>
      </c>
      <c r="X445" s="35">
        <f t="shared" si="154"/>
        <v>-24533.542800863645</v>
      </c>
      <c r="Y445" s="1">
        <f t="shared" si="138"/>
        <v>21125072.320012625</v>
      </c>
      <c r="AA445" s="2">
        <f>+Bono!J445</f>
        <v>449679.18199896219</v>
      </c>
      <c r="AC445" s="10">
        <f t="shared" si="139"/>
        <v>35.166666666666664</v>
      </c>
      <c r="AD445" s="1">
        <f t="shared" si="140"/>
        <v>22275053.735652696</v>
      </c>
    </row>
    <row r="446" spans="1:30">
      <c r="A446" s="1">
        <f t="shared" si="141"/>
        <v>35.25</v>
      </c>
      <c r="B446" s="1">
        <f t="shared" si="142"/>
        <v>423</v>
      </c>
      <c r="C446" s="2">
        <f t="shared" si="147"/>
        <v>35</v>
      </c>
      <c r="D446" s="2">
        <f t="shared" si="148"/>
        <v>3</v>
      </c>
      <c r="E446" s="2">
        <f t="shared" si="149"/>
        <v>64</v>
      </c>
      <c r="F446" s="1">
        <f t="shared" si="143"/>
        <v>700302.23364111187</v>
      </c>
      <c r="H446" s="1">
        <f t="shared" si="136"/>
        <v>5584.3083537291996</v>
      </c>
      <c r="I446" s="1">
        <v>0</v>
      </c>
      <c r="J446" s="69">
        <f>-SUM(F446:H446)*$J$21*1.16</f>
        <v>-7369.4554984261413</v>
      </c>
      <c r="K446" s="1">
        <f t="shared" si="144"/>
        <v>-810.27982033584135</v>
      </c>
      <c r="L446" s="1">
        <f t="shared" si="137"/>
        <v>697706.80667607917</v>
      </c>
      <c r="N446" s="1">
        <f t="shared" si="145"/>
        <v>423</v>
      </c>
      <c r="O446" s="2">
        <f t="shared" si="150"/>
        <v>35</v>
      </c>
      <c r="P446" s="2">
        <f t="shared" si="151"/>
        <v>3</v>
      </c>
      <c r="Q446" s="2">
        <f t="shared" si="152"/>
        <v>35</v>
      </c>
      <c r="R446" s="1">
        <f t="shared" si="146"/>
        <v>21125072.320012625</v>
      </c>
      <c r="S446" s="4">
        <f>IF($G$4="mensual",S445,0)</f>
        <v>10000</v>
      </c>
      <c r="U446" s="1">
        <f t="shared" si="153"/>
        <v>168534.03465481754</v>
      </c>
      <c r="V446" s="35">
        <f t="shared" si="135"/>
        <v>-348.80269837638195</v>
      </c>
      <c r="X446" s="35">
        <f t="shared" si="154"/>
        <v>-24711.778760284113</v>
      </c>
      <c r="Y446" s="1">
        <f t="shared" si="138"/>
        <v>21278545.773208782</v>
      </c>
      <c r="AA446" s="2">
        <f>+Bono!J446</f>
        <v>448390.96359964291</v>
      </c>
      <c r="AC446" s="10">
        <f t="shared" si="139"/>
        <v>35.25</v>
      </c>
      <c r="AD446" s="1">
        <f t="shared" si="140"/>
        <v>22424643.543484505</v>
      </c>
    </row>
    <row r="447" spans="1:30">
      <c r="A447" s="1">
        <f t="shared" si="141"/>
        <v>35.333333333333336</v>
      </c>
      <c r="B447" s="1">
        <f t="shared" si="142"/>
        <v>424</v>
      </c>
      <c r="C447" s="2">
        <f t="shared" si="147"/>
        <v>35</v>
      </c>
      <c r="D447" s="2">
        <f t="shared" si="148"/>
        <v>4</v>
      </c>
      <c r="E447" s="2">
        <f t="shared" si="149"/>
        <v>64</v>
      </c>
      <c r="F447" s="1">
        <f t="shared" si="143"/>
        <v>697706.80667607917</v>
      </c>
      <c r="H447" s="1">
        <f t="shared" si="136"/>
        <v>5563.6120546370657</v>
      </c>
      <c r="I447" s="1">
        <v>0</v>
      </c>
      <c r="J447" s="1">
        <v>0</v>
      </c>
      <c r="K447" s="1">
        <f t="shared" si="144"/>
        <v>-815.79368572763076</v>
      </c>
      <c r="L447" s="1">
        <f t="shared" si="137"/>
        <v>702454.62504498858</v>
      </c>
      <c r="N447" s="1">
        <f t="shared" si="145"/>
        <v>424</v>
      </c>
      <c r="O447" s="2">
        <f t="shared" si="150"/>
        <v>35</v>
      </c>
      <c r="P447" s="2">
        <f t="shared" si="151"/>
        <v>4</v>
      </c>
      <c r="Q447" s="2">
        <f t="shared" si="152"/>
        <v>35</v>
      </c>
      <c r="R447" s="1">
        <f t="shared" si="146"/>
        <v>21278545.773208782</v>
      </c>
      <c r="S447" s="4">
        <f>IF($G$4="mensual",S444,IF($G$4="trimestral",S444,0))</f>
        <v>10000</v>
      </c>
      <c r="U447" s="1">
        <f t="shared" si="153"/>
        <v>169757.85352271251</v>
      </c>
      <c r="V447" s="35">
        <f t="shared" si="135"/>
        <v>-348.80269837638195</v>
      </c>
      <c r="X447" s="35">
        <f t="shared" si="154"/>
        <v>-24891.227595878419</v>
      </c>
      <c r="Y447" s="1">
        <f t="shared" si="138"/>
        <v>21433063.596437242</v>
      </c>
      <c r="AA447" s="2">
        <f>+Bono!J447</f>
        <v>451171.03958409326</v>
      </c>
      <c r="AC447" s="10">
        <f t="shared" si="139"/>
        <v>35.333333333333336</v>
      </c>
      <c r="AD447" s="1">
        <f t="shared" si="140"/>
        <v>22586689.261066325</v>
      </c>
    </row>
    <row r="448" spans="1:30">
      <c r="A448" s="1">
        <f t="shared" si="141"/>
        <v>35.416666666666664</v>
      </c>
      <c r="B448" s="1">
        <f t="shared" si="142"/>
        <v>425</v>
      </c>
      <c r="C448" s="2">
        <f t="shared" si="147"/>
        <v>35</v>
      </c>
      <c r="D448" s="2">
        <f t="shared" si="148"/>
        <v>5</v>
      </c>
      <c r="E448" s="2">
        <f t="shared" si="149"/>
        <v>64</v>
      </c>
      <c r="F448" s="1">
        <f t="shared" si="143"/>
        <v>702454.62504498858</v>
      </c>
      <c r="H448" s="1">
        <f t="shared" si="136"/>
        <v>5601.4718250416781</v>
      </c>
      <c r="I448" s="1">
        <v>0</v>
      </c>
      <c r="J448" s="1">
        <v>0</v>
      </c>
      <c r="K448" s="1">
        <f t="shared" si="144"/>
        <v>-821.34507236923503</v>
      </c>
      <c r="L448" s="1">
        <f t="shared" si="137"/>
        <v>707234.75179766107</v>
      </c>
      <c r="N448" s="1">
        <f t="shared" si="145"/>
        <v>425</v>
      </c>
      <c r="O448" s="2">
        <f t="shared" si="150"/>
        <v>35</v>
      </c>
      <c r="P448" s="2">
        <f t="shared" si="151"/>
        <v>5</v>
      </c>
      <c r="Q448" s="2">
        <f t="shared" si="152"/>
        <v>35</v>
      </c>
      <c r="R448" s="1">
        <f t="shared" si="146"/>
        <v>21433063.596437242</v>
      </c>
      <c r="S448" s="4">
        <f>IF($G$4="mensual",S447,0)</f>
        <v>10000</v>
      </c>
      <c r="U448" s="1">
        <f t="shared" si="153"/>
        <v>170990.00034390477</v>
      </c>
      <c r="V448" s="35">
        <f t="shared" si="135"/>
        <v>-348.80269837638195</v>
      </c>
      <c r="X448" s="35">
        <f t="shared" si="154"/>
        <v>-25071.897561136011</v>
      </c>
      <c r="Y448" s="1">
        <f t="shared" si="138"/>
        <v>21588632.896521632</v>
      </c>
      <c r="AA448" s="2">
        <f>+Bono!J448</f>
        <v>453968.3523621161</v>
      </c>
      <c r="AC448" s="10">
        <f t="shared" si="139"/>
        <v>35.416666666666664</v>
      </c>
      <c r="AD448" s="1">
        <f t="shared" si="140"/>
        <v>22749836.000681408</v>
      </c>
    </row>
    <row r="449" spans="1:30">
      <c r="A449" s="1">
        <f t="shared" si="141"/>
        <v>35.5</v>
      </c>
      <c r="B449" s="1">
        <f t="shared" si="142"/>
        <v>426</v>
      </c>
      <c r="C449" s="2">
        <f t="shared" si="147"/>
        <v>35</v>
      </c>
      <c r="D449" s="2">
        <f t="shared" si="148"/>
        <v>6</v>
      </c>
      <c r="E449" s="2">
        <f t="shared" si="149"/>
        <v>64</v>
      </c>
      <c r="F449" s="1">
        <f t="shared" si="143"/>
        <v>707234.75179766107</v>
      </c>
      <c r="H449" s="1">
        <f t="shared" si="136"/>
        <v>5639.5892270354479</v>
      </c>
      <c r="I449" s="1">
        <v>0</v>
      </c>
      <c r="J449" s="69">
        <f>-SUM(F449:H449)*$J$21*1.16</f>
        <v>-7442.4081202978314</v>
      </c>
      <c r="K449" s="1">
        <f t="shared" si="144"/>
        <v>-818.3010421691024</v>
      </c>
      <c r="L449" s="1">
        <f t="shared" si="137"/>
        <v>704613.63186222955</v>
      </c>
      <c r="N449" s="1">
        <f t="shared" si="145"/>
        <v>426</v>
      </c>
      <c r="O449" s="2">
        <f t="shared" si="150"/>
        <v>35</v>
      </c>
      <c r="P449" s="2">
        <f t="shared" si="151"/>
        <v>6</v>
      </c>
      <c r="Q449" s="2">
        <f t="shared" si="152"/>
        <v>35</v>
      </c>
      <c r="R449" s="1">
        <f t="shared" si="146"/>
        <v>21588632.896521632</v>
      </c>
      <c r="S449" s="4">
        <f>IF($G$4="mensual",S448,0)</f>
        <v>10000</v>
      </c>
      <c r="U449" s="1">
        <f t="shared" si="153"/>
        <v>172230.53178920396</v>
      </c>
      <c r="V449" s="35">
        <f t="shared" si="135"/>
        <v>-348.80269837638195</v>
      </c>
      <c r="X449" s="35">
        <f t="shared" si="154"/>
        <v>-25253.796965710448</v>
      </c>
      <c r="Y449" s="1">
        <f t="shared" si="138"/>
        <v>21745260.828646746</v>
      </c>
      <c r="AA449" s="2">
        <f>+Bono!J449</f>
        <v>452667.84656235494</v>
      </c>
      <c r="AC449" s="10">
        <f t="shared" si="139"/>
        <v>35.5</v>
      </c>
      <c r="AD449" s="1">
        <f t="shared" si="140"/>
        <v>22902542.307071332</v>
      </c>
    </row>
    <row r="450" spans="1:30">
      <c r="A450" s="1">
        <f t="shared" si="141"/>
        <v>35.583333333333336</v>
      </c>
      <c r="B450" s="1">
        <f t="shared" si="142"/>
        <v>427</v>
      </c>
      <c r="C450" s="2">
        <f t="shared" si="147"/>
        <v>35</v>
      </c>
      <c r="D450" s="2">
        <f t="shared" si="148"/>
        <v>7</v>
      </c>
      <c r="E450" s="2">
        <f t="shared" si="149"/>
        <v>64</v>
      </c>
      <c r="F450" s="1">
        <f t="shared" si="143"/>
        <v>704613.63186222955</v>
      </c>
      <c r="H450" s="1">
        <f t="shared" si="136"/>
        <v>5618.688048589318</v>
      </c>
      <c r="I450" s="1">
        <v>0</v>
      </c>
      <c r="J450" s="1">
        <v>0</v>
      </c>
      <c r="K450" s="1">
        <f t="shared" si="144"/>
        <v>-823.86949109654984</v>
      </c>
      <c r="L450" s="1">
        <f t="shared" si="137"/>
        <v>709408.45041972224</v>
      </c>
      <c r="N450" s="1">
        <f t="shared" si="145"/>
        <v>427</v>
      </c>
      <c r="O450" s="2">
        <f t="shared" si="150"/>
        <v>35</v>
      </c>
      <c r="P450" s="2">
        <f t="shared" si="151"/>
        <v>7</v>
      </c>
      <c r="Q450" s="2">
        <f t="shared" si="152"/>
        <v>35</v>
      </c>
      <c r="R450" s="1">
        <f t="shared" si="146"/>
        <v>21745260.828646746</v>
      </c>
      <c r="S450" s="1">
        <f>+IF($G$4="mensual",S444,IF($G$4="trimestral",S444,IF($G$4="semestral",S444,0)))</f>
        <v>10000</v>
      </c>
      <c r="U450" s="1">
        <f t="shared" si="153"/>
        <v>173479.50491505841</v>
      </c>
      <c r="V450" s="35">
        <f t="shared" si="135"/>
        <v>-348.80269837638195</v>
      </c>
      <c r="X450" s="35">
        <f t="shared" si="154"/>
        <v>-25436.934175801576</v>
      </c>
      <c r="Y450" s="1">
        <f t="shared" si="138"/>
        <v>21902954.596687626</v>
      </c>
      <c r="AA450" s="2">
        <f>+Bono!J450</f>
        <v>455474.43971726188</v>
      </c>
      <c r="AC450" s="10">
        <f t="shared" si="139"/>
        <v>35.583333333333336</v>
      </c>
      <c r="AD450" s="1">
        <f t="shared" si="140"/>
        <v>23067837.486824613</v>
      </c>
    </row>
    <row r="451" spans="1:30">
      <c r="A451" s="1">
        <f t="shared" si="141"/>
        <v>35.666666666666664</v>
      </c>
      <c r="B451" s="1">
        <f t="shared" si="142"/>
        <v>428</v>
      </c>
      <c r="C451" s="2">
        <f t="shared" si="147"/>
        <v>35</v>
      </c>
      <c r="D451" s="2">
        <f t="shared" si="148"/>
        <v>8</v>
      </c>
      <c r="E451" s="2">
        <f t="shared" si="149"/>
        <v>64</v>
      </c>
      <c r="F451" s="1">
        <f t="shared" si="143"/>
        <v>709408.45041972224</v>
      </c>
      <c r="H451" s="1">
        <f t="shared" si="136"/>
        <v>5656.9226050978787</v>
      </c>
      <c r="I451" s="1">
        <v>0</v>
      </c>
      <c r="J451" s="1">
        <v>0</v>
      </c>
      <c r="K451" s="1">
        <f t="shared" si="144"/>
        <v>-829.47583270879124</v>
      </c>
      <c r="L451" s="1">
        <f t="shared" si="137"/>
        <v>714235.89719211136</v>
      </c>
      <c r="N451" s="1">
        <f t="shared" si="145"/>
        <v>428</v>
      </c>
      <c r="O451" s="2">
        <f t="shared" si="150"/>
        <v>35</v>
      </c>
      <c r="P451" s="2">
        <f t="shared" si="151"/>
        <v>8</v>
      </c>
      <c r="Q451" s="2">
        <f t="shared" si="152"/>
        <v>35</v>
      </c>
      <c r="R451" s="1">
        <f t="shared" si="146"/>
        <v>21902954.596687626</v>
      </c>
      <c r="S451" s="4">
        <f>IF($G$4="mensual",S450,0)</f>
        <v>10000</v>
      </c>
      <c r="U451" s="1">
        <f t="shared" si="153"/>
        <v>174736.97716617939</v>
      </c>
      <c r="V451" s="35">
        <f t="shared" si="135"/>
        <v>-348.80269837638195</v>
      </c>
      <c r="X451" s="35">
        <f t="shared" si="154"/>
        <v>-25621.317614540294</v>
      </c>
      <c r="Y451" s="1">
        <f t="shared" si="138"/>
        <v>22061721.453540888</v>
      </c>
      <c r="AA451" s="2">
        <f>+Bono!J451</f>
        <v>458298.43407527386</v>
      </c>
      <c r="AC451" s="10">
        <f t="shared" si="139"/>
        <v>35.666666666666664</v>
      </c>
      <c r="AD451" s="1">
        <f t="shared" si="140"/>
        <v>23234255.784808274</v>
      </c>
    </row>
    <row r="452" spans="1:30">
      <c r="A452" s="1">
        <f t="shared" si="141"/>
        <v>35.75</v>
      </c>
      <c r="B452" s="1">
        <f t="shared" si="142"/>
        <v>429</v>
      </c>
      <c r="C452" s="2">
        <f t="shared" si="147"/>
        <v>35</v>
      </c>
      <c r="D452" s="2">
        <f t="shared" si="148"/>
        <v>9</v>
      </c>
      <c r="E452" s="2">
        <f t="shared" si="149"/>
        <v>64</v>
      </c>
      <c r="F452" s="1">
        <f t="shared" si="143"/>
        <v>714235.89719211136</v>
      </c>
      <c r="H452" s="1">
        <f t="shared" si="136"/>
        <v>5695.4173435739676</v>
      </c>
      <c r="I452" s="1">
        <v>0</v>
      </c>
      <c r="J452" s="69">
        <f>-SUM(F452:H452)*$J$21*1.16</f>
        <v>-7516.082923752555</v>
      </c>
      <c r="K452" s="1">
        <f t="shared" si="144"/>
        <v>-826.40166866984191</v>
      </c>
      <c r="L452" s="1">
        <f t="shared" si="137"/>
        <v>711588.82994326286</v>
      </c>
      <c r="N452" s="1">
        <f t="shared" si="145"/>
        <v>429</v>
      </c>
      <c r="O452" s="2">
        <f t="shared" si="150"/>
        <v>35</v>
      </c>
      <c r="P452" s="2">
        <f t="shared" si="151"/>
        <v>9</v>
      </c>
      <c r="Q452" s="2">
        <f t="shared" si="152"/>
        <v>35</v>
      </c>
      <c r="R452" s="1">
        <f t="shared" si="146"/>
        <v>22061721.453540888</v>
      </c>
      <c r="S452" s="4">
        <f>IF($G$4="mensual",S451,0)</f>
        <v>10000</v>
      </c>
      <c r="U452" s="1">
        <f t="shared" si="153"/>
        <v>176003.00637818294</v>
      </c>
      <c r="V452" s="35">
        <f t="shared" si="135"/>
        <v>-348.80269837638195</v>
      </c>
      <c r="X452" s="35">
        <f t="shared" si="154"/>
        <v>-25806.955762376001</v>
      </c>
      <c r="Y452" s="1">
        <f t="shared" si="138"/>
        <v>22221568.701458316</v>
      </c>
      <c r="AA452" s="2">
        <f>+Bono!J452</f>
        <v>456985.52367428417</v>
      </c>
      <c r="AC452" s="10">
        <f t="shared" si="139"/>
        <v>35.75</v>
      </c>
      <c r="AD452" s="1">
        <f t="shared" si="140"/>
        <v>23390143.055075862</v>
      </c>
    </row>
    <row r="453" spans="1:30">
      <c r="A453" s="1">
        <f t="shared" si="141"/>
        <v>35.833333333333336</v>
      </c>
      <c r="B453" s="1">
        <f t="shared" si="142"/>
        <v>430</v>
      </c>
      <c r="C453" s="2">
        <f t="shared" si="147"/>
        <v>35</v>
      </c>
      <c r="D453" s="2">
        <f t="shared" si="148"/>
        <v>10</v>
      </c>
      <c r="E453" s="2">
        <f t="shared" si="149"/>
        <v>64</v>
      </c>
      <c r="F453" s="1">
        <f t="shared" si="143"/>
        <v>711588.82994326286</v>
      </c>
      <c r="H453" s="1">
        <f t="shared" si="136"/>
        <v>5674.3092576068975</v>
      </c>
      <c r="I453" s="1">
        <v>0</v>
      </c>
      <c r="J453" s="1">
        <v>0</v>
      </c>
      <c r="K453" s="1">
        <f t="shared" si="144"/>
        <v>-832.02524147300892</v>
      </c>
      <c r="L453" s="1">
        <f t="shared" si="137"/>
        <v>716431.11395939672</v>
      </c>
      <c r="N453" s="1">
        <f t="shared" si="145"/>
        <v>430</v>
      </c>
      <c r="O453" s="2">
        <f t="shared" si="150"/>
        <v>35</v>
      </c>
      <c r="P453" s="2">
        <f t="shared" si="151"/>
        <v>10</v>
      </c>
      <c r="Q453" s="2">
        <f t="shared" si="152"/>
        <v>35</v>
      </c>
      <c r="R453" s="1">
        <f t="shared" si="146"/>
        <v>22221568.701458316</v>
      </c>
      <c r="S453" s="4">
        <f>IF($G$4="mensual",S444,IF($G$4="trimestral",S444,0))</f>
        <v>10000</v>
      </c>
      <c r="U453" s="1">
        <f t="shared" si="153"/>
        <v>177277.65078025032</v>
      </c>
      <c r="V453" s="35">
        <f>V452</f>
        <v>-348.80269837638195</v>
      </c>
      <c r="X453" s="35">
        <f t="shared" si="154"/>
        <v>-25993.857157466617</v>
      </c>
      <c r="Y453" s="1">
        <f t="shared" si="138"/>
        <v>22382503.692382723</v>
      </c>
      <c r="AA453" s="2">
        <f>+Bono!J453</f>
        <v>459818.88692810456</v>
      </c>
      <c r="AC453" s="10">
        <f t="shared" si="139"/>
        <v>35.833333333333336</v>
      </c>
      <c r="AD453" s="1">
        <f t="shared" si="140"/>
        <v>23558753.693270225</v>
      </c>
    </row>
    <row r="454" spans="1:30">
      <c r="A454" s="1">
        <f t="shared" si="141"/>
        <v>35.916666666666664</v>
      </c>
      <c r="B454" s="1">
        <f t="shared" si="142"/>
        <v>431</v>
      </c>
      <c r="C454" s="2">
        <f t="shared" si="147"/>
        <v>35</v>
      </c>
      <c r="D454" s="2">
        <f t="shared" si="148"/>
        <v>11</v>
      </c>
      <c r="E454" s="2">
        <f t="shared" si="149"/>
        <v>64</v>
      </c>
      <c r="F454" s="1">
        <f t="shared" si="143"/>
        <v>716431.11395939672</v>
      </c>
      <c r="H454" s="1">
        <f t="shared" si="136"/>
        <v>5712.9223103481854</v>
      </c>
      <c r="I454" s="1">
        <v>0</v>
      </c>
      <c r="J454" s="1">
        <v>0</v>
      </c>
      <c r="K454" s="1">
        <f t="shared" si="144"/>
        <v>-837.68708207290399</v>
      </c>
      <c r="L454" s="1">
        <f t="shared" si="137"/>
        <v>721306.34918767191</v>
      </c>
      <c r="N454" s="1">
        <f t="shared" si="145"/>
        <v>431</v>
      </c>
      <c r="O454" s="2">
        <f t="shared" si="150"/>
        <v>35</v>
      </c>
      <c r="P454" s="2">
        <f t="shared" si="151"/>
        <v>11</v>
      </c>
      <c r="Q454" s="2">
        <f t="shared" si="152"/>
        <v>35</v>
      </c>
      <c r="R454" s="1">
        <f t="shared" si="146"/>
        <v>22382503.692382723</v>
      </c>
      <c r="S454" s="1">
        <f>IF($G$17="si",S442*(1+$G$20),S442)</f>
        <v>10000</v>
      </c>
      <c r="U454" s="1">
        <f t="shared" si="153"/>
        <v>178560.9689978059</v>
      </c>
      <c r="V454" s="35">
        <f>V453</f>
        <v>-348.80269837638195</v>
      </c>
      <c r="X454" s="35">
        <f t="shared" si="154"/>
        <v>-26182.030396071295</v>
      </c>
      <c r="Y454" s="1">
        <f t="shared" si="138"/>
        <v>22544533.828286082</v>
      </c>
      <c r="AA454" s="2">
        <f>+Bono!J454</f>
        <v>462669.81736274849</v>
      </c>
      <c r="AC454" s="10">
        <f t="shared" si="139"/>
        <v>35.916666666666664</v>
      </c>
      <c r="AD454" s="1">
        <f t="shared" si="140"/>
        <v>23728509.994836502</v>
      </c>
    </row>
    <row r="455" spans="1:30">
      <c r="A455" s="1">
        <f t="shared" si="141"/>
        <v>36</v>
      </c>
      <c r="B455" s="1">
        <f t="shared" si="142"/>
        <v>432</v>
      </c>
      <c r="C455" s="2">
        <f t="shared" si="147"/>
        <v>35</v>
      </c>
      <c r="D455" s="2">
        <f t="shared" si="148"/>
        <v>12</v>
      </c>
      <c r="E455" s="2">
        <f t="shared" si="149"/>
        <v>64</v>
      </c>
      <c r="F455" s="1">
        <f t="shared" si="143"/>
        <v>721306.34918767191</v>
      </c>
      <c r="H455" s="1">
        <f t="shared" si="136"/>
        <v>5751.7981206823906</v>
      </c>
      <c r="I455" s="1">
        <v>0</v>
      </c>
      <c r="J455" s="69">
        <f>-SUM(F455:H455)*$J$21*1.16</f>
        <v>-7590.4870578992186</v>
      </c>
      <c r="K455" s="1">
        <f t="shared" si="144"/>
        <v>-834.58248589052789</v>
      </c>
      <c r="L455" s="1">
        <f t="shared" si="137"/>
        <v>718633.07776456454</v>
      </c>
      <c r="N455" s="1">
        <f t="shared" si="145"/>
        <v>432</v>
      </c>
      <c r="O455" s="2">
        <f t="shared" si="150"/>
        <v>35</v>
      </c>
      <c r="P455" s="2">
        <f t="shared" si="151"/>
        <v>12</v>
      </c>
      <c r="Q455" s="2">
        <f t="shared" si="152"/>
        <v>35</v>
      </c>
      <c r="R455" s="1">
        <f t="shared" si="146"/>
        <v>22544533.828286082</v>
      </c>
      <c r="S455" s="4">
        <f>IF($G$4="mensual",S454,0)</f>
        <v>10000</v>
      </c>
      <c r="U455" s="1">
        <f t="shared" si="153"/>
        <v>179853.02005521362</v>
      </c>
      <c r="V455" s="35">
        <f>V454</f>
        <v>-348.80269837638195</v>
      </c>
      <c r="X455" s="35">
        <f t="shared" si="154"/>
        <v>-26371.484132945781</v>
      </c>
      <c r="Y455" s="1">
        <f t="shared" si="138"/>
        <v>22707666.561509971</v>
      </c>
      <c r="AA455" s="2">
        <f>+Bono!J455</f>
        <v>461344.38404184877</v>
      </c>
      <c r="AC455" s="10">
        <f t="shared" si="139"/>
        <v>36</v>
      </c>
      <c r="AD455" s="1">
        <f t="shared" si="140"/>
        <v>23887644.023316383</v>
      </c>
    </row>
    <row r="456" spans="1:30">
      <c r="A456" s="1">
        <f t="shared" si="141"/>
        <v>36.083333333333336</v>
      </c>
      <c r="B456" s="1">
        <f t="shared" si="142"/>
        <v>433</v>
      </c>
      <c r="C456" s="2">
        <f t="shared" si="147"/>
        <v>36</v>
      </c>
      <c r="D456" s="2">
        <f t="shared" si="148"/>
        <v>1</v>
      </c>
      <c r="E456" s="2">
        <f t="shared" si="149"/>
        <v>65</v>
      </c>
      <c r="F456" s="1">
        <f t="shared" si="143"/>
        <v>718633.07776456454</v>
      </c>
      <c r="H456" s="1">
        <f t="shared" si="136"/>
        <v>5730.481078949957</v>
      </c>
      <c r="I456" s="1">
        <v>0</v>
      </c>
      <c r="J456" s="1">
        <v>0</v>
      </c>
      <c r="K456" s="1">
        <f t="shared" si="144"/>
        <v>-840.26172825847675</v>
      </c>
      <c r="L456" s="1">
        <f t="shared" si="137"/>
        <v>723523.29711525608</v>
      </c>
      <c r="N456" s="1">
        <f t="shared" si="145"/>
        <v>433</v>
      </c>
      <c r="O456" s="2">
        <f t="shared" si="150"/>
        <v>36</v>
      </c>
      <c r="P456" s="2">
        <f t="shared" si="151"/>
        <v>1</v>
      </c>
      <c r="Q456" s="2">
        <f t="shared" si="152"/>
        <v>36</v>
      </c>
      <c r="R456" s="1">
        <f t="shared" si="146"/>
        <v>22707666.561509971</v>
      </c>
      <c r="S456" s="1">
        <f>IF($G$17="si",S444*(1+$G$20),S444)</f>
        <v>10000</v>
      </c>
      <c r="U456" s="1">
        <f t="shared" si="153"/>
        <v>181153.86337849183</v>
      </c>
      <c r="V456" s="35">
        <f>V455*(1+$G$18)</f>
        <v>-362.75480631143722</v>
      </c>
      <c r="X456" s="35">
        <f t="shared" si="154"/>
        <v>-26562.210897295296</v>
      </c>
      <c r="Y456" s="1">
        <f t="shared" si="138"/>
        <v>22871895.459184855</v>
      </c>
      <c r="AA456" s="2">
        <f>+Bono!J456</f>
        <v>464204.77273554454</v>
      </c>
      <c r="AC456" s="10">
        <f t="shared" si="139"/>
        <v>36.083333333333336</v>
      </c>
      <c r="AD456" s="1">
        <f t="shared" si="140"/>
        <v>24059623.529035654</v>
      </c>
    </row>
    <row r="457" spans="1:30">
      <c r="A457" s="1">
        <f t="shared" si="141"/>
        <v>36.166666666666664</v>
      </c>
      <c r="B457" s="1">
        <f t="shared" si="142"/>
        <v>434</v>
      </c>
      <c r="C457" s="2">
        <f t="shared" si="147"/>
        <v>36</v>
      </c>
      <c r="D457" s="2">
        <f t="shared" si="148"/>
        <v>2</v>
      </c>
      <c r="E457" s="2">
        <f t="shared" si="149"/>
        <v>65</v>
      </c>
      <c r="F457" s="1">
        <f t="shared" si="143"/>
        <v>723523.29711525608</v>
      </c>
      <c r="H457" s="1">
        <f t="shared" si="136"/>
        <v>5769.4763747805137</v>
      </c>
      <c r="I457" s="1">
        <v>0</v>
      </c>
      <c r="J457" s="1">
        <v>0</v>
      </c>
      <c r="K457" s="1">
        <f t="shared" si="144"/>
        <v>-845.97961724844242</v>
      </c>
      <c r="L457" s="1">
        <f t="shared" si="137"/>
        <v>728446.7938727882</v>
      </c>
      <c r="N457" s="1">
        <f t="shared" si="145"/>
        <v>434</v>
      </c>
      <c r="O457" s="2">
        <f t="shared" si="150"/>
        <v>36</v>
      </c>
      <c r="P457" s="2">
        <f t="shared" si="151"/>
        <v>2</v>
      </c>
      <c r="Q457" s="2">
        <f t="shared" si="152"/>
        <v>36</v>
      </c>
      <c r="R457" s="1">
        <f t="shared" si="146"/>
        <v>22871895.459184855</v>
      </c>
      <c r="S457" s="4">
        <f>IF($G$4="mensual",S456,0)</f>
        <v>10000</v>
      </c>
      <c r="U457" s="1">
        <f t="shared" si="153"/>
        <v>182463.44767103542</v>
      </c>
      <c r="V457" s="35">
        <f t="shared" ref="V457:V520" si="155">V456</f>
        <v>-362.75480631143722</v>
      </c>
      <c r="X457" s="35">
        <f t="shared" si="154"/>
        <v>-26754.235536377513</v>
      </c>
      <c r="Y457" s="1">
        <f t="shared" si="138"/>
        <v>23037241.916513205</v>
      </c>
      <c r="AA457" s="2">
        <f>+Bono!J457</f>
        <v>467082.89617092581</v>
      </c>
      <c r="AC457" s="10">
        <f t="shared" si="139"/>
        <v>36.166666666666664</v>
      </c>
      <c r="AD457" s="1">
        <f t="shared" si="140"/>
        <v>24232771.606556918</v>
      </c>
    </row>
    <row r="458" spans="1:30">
      <c r="A458" s="1">
        <f t="shared" si="141"/>
        <v>36.25</v>
      </c>
      <c r="B458" s="1">
        <f t="shared" si="142"/>
        <v>435</v>
      </c>
      <c r="C458" s="2">
        <f t="shared" si="147"/>
        <v>36</v>
      </c>
      <c r="D458" s="2">
        <f t="shared" si="148"/>
        <v>3</v>
      </c>
      <c r="E458" s="2">
        <f t="shared" si="149"/>
        <v>65</v>
      </c>
      <c r="F458" s="1">
        <f t="shared" si="143"/>
        <v>728446.7938727882</v>
      </c>
      <c r="H458" s="1">
        <f t="shared" si="136"/>
        <v>5808.7370293263275</v>
      </c>
      <c r="I458" s="1">
        <v>0</v>
      </c>
      <c r="J458" s="69">
        <f>-SUM(F458:H458)*$J$21*1.16</f>
        <v>-7665.6277426180759</v>
      </c>
      <c r="K458" s="1">
        <f t="shared" si="144"/>
        <v>-842.84428766501594</v>
      </c>
      <c r="L458" s="1">
        <f t="shared" si="137"/>
        <v>725747.05887183151</v>
      </c>
      <c r="N458" s="1">
        <f t="shared" si="145"/>
        <v>435</v>
      </c>
      <c r="O458" s="2">
        <f t="shared" si="150"/>
        <v>36</v>
      </c>
      <c r="P458" s="2">
        <f t="shared" si="151"/>
        <v>3</v>
      </c>
      <c r="Q458" s="2">
        <f t="shared" si="152"/>
        <v>36</v>
      </c>
      <c r="R458" s="1">
        <f t="shared" si="146"/>
        <v>23037241.916513205</v>
      </c>
      <c r="S458" s="4">
        <f>IF($G$4="mensual",S457,0)</f>
        <v>10000</v>
      </c>
      <c r="U458" s="1">
        <f t="shared" si="153"/>
        <v>183781.94354119341</v>
      </c>
      <c r="V458" s="35">
        <f t="shared" si="155"/>
        <v>-362.75480631143722</v>
      </c>
      <c r="X458" s="35">
        <f t="shared" si="154"/>
        <v>-26947.566882087784</v>
      </c>
      <c r="Y458" s="1">
        <f t="shared" si="138"/>
        <v>23203713.538366001</v>
      </c>
      <c r="AA458" s="2">
        <f>+Bono!J458</f>
        <v>465744.82048287656</v>
      </c>
      <c r="AC458" s="10">
        <f t="shared" si="139"/>
        <v>36.25</v>
      </c>
      <c r="AD458" s="1">
        <f t="shared" si="140"/>
        <v>24395205.417720709</v>
      </c>
    </row>
    <row r="459" spans="1:30">
      <c r="A459" s="1">
        <f t="shared" si="141"/>
        <v>36.333333333333336</v>
      </c>
      <c r="B459" s="1">
        <f t="shared" si="142"/>
        <v>436</v>
      </c>
      <c r="C459" s="2">
        <f t="shared" si="147"/>
        <v>36</v>
      </c>
      <c r="D459" s="2">
        <f t="shared" si="148"/>
        <v>4</v>
      </c>
      <c r="E459" s="2">
        <f t="shared" si="149"/>
        <v>65</v>
      </c>
      <c r="F459" s="1">
        <f t="shared" si="143"/>
        <v>725747.05887183151</v>
      </c>
      <c r="H459" s="1">
        <f t="shared" si="136"/>
        <v>5787.2089633078722</v>
      </c>
      <c r="I459" s="1">
        <v>0</v>
      </c>
      <c r="J459" s="1">
        <v>0</v>
      </c>
      <c r="K459" s="1">
        <f t="shared" si="144"/>
        <v>-848.57975068876169</v>
      </c>
      <c r="L459" s="1">
        <f t="shared" si="137"/>
        <v>730685.68808445067</v>
      </c>
      <c r="N459" s="1">
        <f t="shared" si="145"/>
        <v>436</v>
      </c>
      <c r="O459" s="2">
        <f t="shared" si="150"/>
        <v>36</v>
      </c>
      <c r="P459" s="2">
        <f t="shared" si="151"/>
        <v>4</v>
      </c>
      <c r="Q459" s="2">
        <f t="shared" si="152"/>
        <v>36</v>
      </c>
      <c r="R459" s="1">
        <f t="shared" si="146"/>
        <v>23203713.538366001</v>
      </c>
      <c r="S459" s="4">
        <f>IF($G$4="mensual",S456,IF($G$4="trimestral",S456,0))</f>
        <v>10000</v>
      </c>
      <c r="U459" s="1">
        <f t="shared" si="153"/>
        <v>185109.411631275</v>
      </c>
      <c r="V459" s="35">
        <f t="shared" si="155"/>
        <v>-362.75480631143722</v>
      </c>
      <c r="X459" s="35">
        <f t="shared" si="154"/>
        <v>-27142.213826421521</v>
      </c>
      <c r="Y459" s="1">
        <f t="shared" si="138"/>
        <v>23371317.981364544</v>
      </c>
      <c r="AA459" s="2">
        <f>+Bono!J459</f>
        <v>468632.49239292578</v>
      </c>
      <c r="AC459" s="10">
        <f t="shared" si="139"/>
        <v>36.333333333333336</v>
      </c>
      <c r="AD459" s="1">
        <f t="shared" si="140"/>
        <v>24570636.161841922</v>
      </c>
    </row>
    <row r="460" spans="1:30">
      <c r="A460" s="1">
        <f t="shared" si="141"/>
        <v>36.416666666666664</v>
      </c>
      <c r="B460" s="1">
        <f t="shared" si="142"/>
        <v>437</v>
      </c>
      <c r="C460" s="2">
        <f t="shared" si="147"/>
        <v>36</v>
      </c>
      <c r="D460" s="2">
        <f t="shared" si="148"/>
        <v>5</v>
      </c>
      <c r="E460" s="2">
        <f t="shared" si="149"/>
        <v>65</v>
      </c>
      <c r="F460" s="1">
        <f t="shared" si="143"/>
        <v>730685.68808445067</v>
      </c>
      <c r="H460" s="1">
        <f t="shared" si="136"/>
        <v>5826.590286175584</v>
      </c>
      <c r="I460" s="1">
        <v>0</v>
      </c>
      <c r="J460" s="1">
        <v>0</v>
      </c>
      <c r="K460" s="1">
        <f t="shared" si="144"/>
        <v>-854.35424290992648</v>
      </c>
      <c r="L460" s="1">
        <f t="shared" si="137"/>
        <v>735657.92412771634</v>
      </c>
      <c r="N460" s="1">
        <f t="shared" si="145"/>
        <v>437</v>
      </c>
      <c r="O460" s="2">
        <f t="shared" si="150"/>
        <v>36</v>
      </c>
      <c r="P460" s="2">
        <f t="shared" si="151"/>
        <v>5</v>
      </c>
      <c r="Q460" s="2">
        <f t="shared" si="152"/>
        <v>36</v>
      </c>
      <c r="R460" s="1">
        <f t="shared" si="146"/>
        <v>23371317.981364544</v>
      </c>
      <c r="S460" s="4">
        <f>IF($G$4="mensual",S459,0)</f>
        <v>10000</v>
      </c>
      <c r="U460" s="1">
        <f t="shared" si="153"/>
        <v>186445.91299625355</v>
      </c>
      <c r="V460" s="35">
        <f t="shared" si="155"/>
        <v>-362.75480631143722</v>
      </c>
      <c r="X460" s="35">
        <f t="shared" si="154"/>
        <v>-27338.185321883208</v>
      </c>
      <c r="Y460" s="1">
        <f t="shared" si="138"/>
        <v>23540062.954232607</v>
      </c>
      <c r="AA460" s="2">
        <f>+Bono!J460</f>
        <v>471538.06820376654</v>
      </c>
      <c r="AC460" s="10">
        <f t="shared" si="139"/>
        <v>36.416666666666664</v>
      </c>
      <c r="AD460" s="1">
        <f t="shared" si="140"/>
        <v>24747258.94656409</v>
      </c>
    </row>
    <row r="461" spans="1:30">
      <c r="A461" s="1">
        <f t="shared" si="141"/>
        <v>36.5</v>
      </c>
      <c r="B461" s="1">
        <f t="shared" si="142"/>
        <v>438</v>
      </c>
      <c r="C461" s="2">
        <f t="shared" si="147"/>
        <v>36</v>
      </c>
      <c r="D461" s="2">
        <f t="shared" si="148"/>
        <v>6</v>
      </c>
      <c r="E461" s="2">
        <f t="shared" si="149"/>
        <v>65</v>
      </c>
      <c r="F461" s="1">
        <f t="shared" si="143"/>
        <v>735657.92412771634</v>
      </c>
      <c r="H461" s="1">
        <f t="shared" si="136"/>
        <v>5866.2395946302413</v>
      </c>
      <c r="I461" s="1">
        <v>0</v>
      </c>
      <c r="J461" s="69">
        <f>-SUM(F461:H461)*$J$21*1.16</f>
        <v>-7741.5122692612977</v>
      </c>
      <c r="K461" s="1">
        <f t="shared" si="144"/>
        <v>-851.18787568557877</v>
      </c>
      <c r="L461" s="1">
        <f t="shared" si="137"/>
        <v>732931.46357739961</v>
      </c>
      <c r="N461" s="1">
        <f t="shared" si="145"/>
        <v>438</v>
      </c>
      <c r="O461" s="2">
        <f t="shared" si="150"/>
        <v>36</v>
      </c>
      <c r="P461" s="2">
        <f t="shared" si="151"/>
        <v>6</v>
      </c>
      <c r="Q461" s="2">
        <f t="shared" si="152"/>
        <v>36</v>
      </c>
      <c r="R461" s="1">
        <f t="shared" si="146"/>
        <v>23540062.954232607</v>
      </c>
      <c r="S461" s="4">
        <f>IF($G$4="mensual",S460,0)</f>
        <v>10000</v>
      </c>
      <c r="U461" s="1">
        <f t="shared" si="153"/>
        <v>187791.50910657505</v>
      </c>
      <c r="V461" s="35">
        <f t="shared" si="155"/>
        <v>-362.75480631143722</v>
      </c>
      <c r="X461" s="35">
        <f t="shared" si="154"/>
        <v>-27535.490381898133</v>
      </c>
      <c r="Y461" s="1">
        <f t="shared" si="138"/>
        <v>23709956.218150977</v>
      </c>
      <c r="AA461" s="2">
        <f>+Bono!J461</f>
        <v>470187.22956200584</v>
      </c>
      <c r="AC461" s="10">
        <f t="shared" si="139"/>
        <v>36.5</v>
      </c>
      <c r="AD461" s="1">
        <f t="shared" si="140"/>
        <v>24913074.911290385</v>
      </c>
    </row>
    <row r="462" spans="1:30">
      <c r="A462" s="1">
        <f t="shared" si="141"/>
        <v>36.583333333333336</v>
      </c>
      <c r="B462" s="1">
        <f t="shared" si="142"/>
        <v>439</v>
      </c>
      <c r="C462" s="2">
        <f t="shared" si="147"/>
        <v>36</v>
      </c>
      <c r="D462" s="2">
        <f t="shared" si="148"/>
        <v>7</v>
      </c>
      <c r="E462" s="2">
        <f t="shared" si="149"/>
        <v>65</v>
      </c>
      <c r="F462" s="1">
        <f t="shared" si="143"/>
        <v>732931.46357739961</v>
      </c>
      <c r="H462" s="1">
        <f t="shared" si="136"/>
        <v>5844.4984153281493</v>
      </c>
      <c r="I462" s="1">
        <v>0</v>
      </c>
      <c r="J462" s="1">
        <v>0</v>
      </c>
      <c r="K462" s="1">
        <f t="shared" si="144"/>
        <v>-856.9801159115641</v>
      </c>
      <c r="L462" s="1">
        <f t="shared" si="137"/>
        <v>737918.98187681613</v>
      </c>
      <c r="N462" s="1">
        <f t="shared" si="145"/>
        <v>439</v>
      </c>
      <c r="O462" s="2">
        <f t="shared" si="150"/>
        <v>36</v>
      </c>
      <c r="P462" s="2">
        <f t="shared" si="151"/>
        <v>7</v>
      </c>
      <c r="Q462" s="2">
        <f t="shared" si="152"/>
        <v>36</v>
      </c>
      <c r="R462" s="1">
        <f t="shared" si="146"/>
        <v>23709956.218150977</v>
      </c>
      <c r="S462" s="1">
        <f>+IF($G$4="mensual",S456,IF($G$4="trimestral",S456,IF($G$4="semestral",S456,0)))</f>
        <v>10000</v>
      </c>
      <c r="U462" s="1">
        <f t="shared" si="153"/>
        <v>189146.26185098494</v>
      </c>
      <c r="V462" s="35">
        <f t="shared" si="155"/>
        <v>-362.75480631143722</v>
      </c>
      <c r="X462" s="35">
        <f t="shared" si="154"/>
        <v>-27734.138081226956</v>
      </c>
      <c r="Y462" s="1">
        <f t="shared" si="138"/>
        <v>23881005.587114427</v>
      </c>
      <c r="AA462" s="2">
        <f>+Bono!J462</f>
        <v>473102.44492363324</v>
      </c>
      <c r="AC462" s="10">
        <f t="shared" si="139"/>
        <v>36.583333333333336</v>
      </c>
      <c r="AD462" s="1">
        <f t="shared" si="140"/>
        <v>25092027.013914876</v>
      </c>
    </row>
    <row r="463" spans="1:30">
      <c r="A463" s="1">
        <f t="shared" si="141"/>
        <v>36.666666666666664</v>
      </c>
      <c r="B463" s="1">
        <f t="shared" si="142"/>
        <v>440</v>
      </c>
      <c r="C463" s="2">
        <f t="shared" si="147"/>
        <v>36</v>
      </c>
      <c r="D463" s="2">
        <f t="shared" si="148"/>
        <v>8</v>
      </c>
      <c r="E463" s="2">
        <f t="shared" si="149"/>
        <v>65</v>
      </c>
      <c r="F463" s="1">
        <f t="shared" si="143"/>
        <v>737918.98187681613</v>
      </c>
      <c r="H463" s="1">
        <f t="shared" si="136"/>
        <v>5884.2695866394233</v>
      </c>
      <c r="I463" s="1">
        <v>0</v>
      </c>
      <c r="J463" s="1">
        <v>0</v>
      </c>
      <c r="K463" s="1">
        <f t="shared" si="144"/>
        <v>-862.81177169760838</v>
      </c>
      <c r="L463" s="1">
        <f t="shared" si="137"/>
        <v>742940.43969175802</v>
      </c>
      <c r="N463" s="1">
        <f t="shared" si="145"/>
        <v>440</v>
      </c>
      <c r="O463" s="2">
        <f t="shared" si="150"/>
        <v>36</v>
      </c>
      <c r="P463" s="2">
        <f t="shared" si="151"/>
        <v>8</v>
      </c>
      <c r="Q463" s="2">
        <f t="shared" si="152"/>
        <v>36</v>
      </c>
      <c r="R463" s="1">
        <f t="shared" si="146"/>
        <v>23881005.587114427</v>
      </c>
      <c r="S463" s="4">
        <f>IF($G$4="mensual",S462,0)</f>
        <v>10000</v>
      </c>
      <c r="U463" s="1">
        <f t="shared" si="153"/>
        <v>190510.23353937487</v>
      </c>
      <c r="V463" s="35">
        <f t="shared" si="155"/>
        <v>-362.75480631143722</v>
      </c>
      <c r="X463" s="35">
        <f t="shared" si="154"/>
        <v>-27934.137556383092</v>
      </c>
      <c r="Y463" s="1">
        <f t="shared" si="138"/>
        <v>24053218.928291112</v>
      </c>
      <c r="AA463" s="2">
        <f>+Bono!J463</f>
        <v>476035.73495864682</v>
      </c>
      <c r="AC463" s="10">
        <f t="shared" si="139"/>
        <v>36.666666666666664</v>
      </c>
      <c r="AD463" s="1">
        <f t="shared" si="140"/>
        <v>25272195.102941521</v>
      </c>
    </row>
    <row r="464" spans="1:30">
      <c r="A464" s="1">
        <f t="shared" si="141"/>
        <v>36.75</v>
      </c>
      <c r="B464" s="1">
        <f t="shared" si="142"/>
        <v>441</v>
      </c>
      <c r="C464" s="2">
        <f t="shared" si="147"/>
        <v>36</v>
      </c>
      <c r="D464" s="2">
        <f t="shared" si="148"/>
        <v>9</v>
      </c>
      <c r="E464" s="2">
        <f t="shared" si="149"/>
        <v>65</v>
      </c>
      <c r="F464" s="1">
        <f t="shared" si="143"/>
        <v>742940.43969175802</v>
      </c>
      <c r="H464" s="1">
        <f t="shared" si="136"/>
        <v>5924.3113964135864</v>
      </c>
      <c r="I464" s="1">
        <v>0</v>
      </c>
      <c r="J464" s="69">
        <f>-SUM(F464:H464)*$J$21*1.16</f>
        <v>-7818.1480013605124</v>
      </c>
      <c r="K464" s="1">
        <f t="shared" si="144"/>
        <v>-859.61405958070088</v>
      </c>
      <c r="L464" s="1">
        <f t="shared" si="137"/>
        <v>740186.98902723042</v>
      </c>
      <c r="N464" s="1">
        <f t="shared" si="145"/>
        <v>441</v>
      </c>
      <c r="O464" s="2">
        <f t="shared" si="150"/>
        <v>36</v>
      </c>
      <c r="P464" s="2">
        <f t="shared" si="151"/>
        <v>9</v>
      </c>
      <c r="Q464" s="2">
        <f t="shared" si="152"/>
        <v>36</v>
      </c>
      <c r="R464" s="1">
        <f t="shared" si="146"/>
        <v>24053218.928291112</v>
      </c>
      <c r="S464" s="4">
        <f>IF($G$4="mensual",S463,0)</f>
        <v>10000</v>
      </c>
      <c r="U464" s="1">
        <f t="shared" si="153"/>
        <v>191883.48690564846</v>
      </c>
      <c r="V464" s="35">
        <f t="shared" si="155"/>
        <v>-362.75480631143722</v>
      </c>
      <c r="X464" s="35">
        <f t="shared" si="154"/>
        <v>-28135.498006052923</v>
      </c>
      <c r="Y464" s="1">
        <f t="shared" si="138"/>
        <v>24226604.162384398</v>
      </c>
      <c r="AA464" s="2">
        <f>+Bono!J464</f>
        <v>474672.01162642328</v>
      </c>
      <c r="AC464" s="10">
        <f t="shared" si="139"/>
        <v>36.75</v>
      </c>
      <c r="AD464" s="1">
        <f t="shared" si="140"/>
        <v>25441463.163038053</v>
      </c>
    </row>
    <row r="465" spans="1:30">
      <c r="A465" s="1">
        <f t="shared" si="141"/>
        <v>36.833333333333336</v>
      </c>
      <c r="B465" s="1">
        <f t="shared" si="142"/>
        <v>442</v>
      </c>
      <c r="C465" s="2">
        <f t="shared" si="147"/>
        <v>36</v>
      </c>
      <c r="D465" s="2">
        <f t="shared" si="148"/>
        <v>10</v>
      </c>
      <c r="E465" s="2">
        <f t="shared" si="149"/>
        <v>65</v>
      </c>
      <c r="F465" s="1">
        <f t="shared" si="143"/>
        <v>740186.98902723042</v>
      </c>
      <c r="H465" s="1">
        <f t="shared" si="136"/>
        <v>5902.3549941505853</v>
      </c>
      <c r="I465" s="1">
        <v>0</v>
      </c>
      <c r="J465" s="1">
        <v>0</v>
      </c>
      <c r="K465" s="1">
        <f t="shared" si="144"/>
        <v>-865.46363906480201</v>
      </c>
      <c r="L465" s="1">
        <f t="shared" si="137"/>
        <v>745223.88038231619</v>
      </c>
      <c r="N465" s="1">
        <f t="shared" si="145"/>
        <v>442</v>
      </c>
      <c r="O465" s="2">
        <f t="shared" si="150"/>
        <v>36</v>
      </c>
      <c r="P465" s="2">
        <f t="shared" si="151"/>
        <v>10</v>
      </c>
      <c r="Q465" s="2">
        <f t="shared" si="152"/>
        <v>36</v>
      </c>
      <c r="R465" s="1">
        <f t="shared" si="146"/>
        <v>24226604.162384398</v>
      </c>
      <c r="S465" s="4">
        <f>IF($G$4="mensual",S456,IF($G$4="trimestral",S456,0))</f>
        <v>10000</v>
      </c>
      <c r="U465" s="1">
        <f t="shared" si="153"/>
        <v>193266.08511060668</v>
      </c>
      <c r="V465" s="35">
        <f t="shared" si="155"/>
        <v>-362.75480631143722</v>
      </c>
      <c r="X465" s="35">
        <f t="shared" si="154"/>
        <v>-28338.228691518889</v>
      </c>
      <c r="Y465" s="1">
        <f t="shared" si="138"/>
        <v>24401169.263997179</v>
      </c>
      <c r="AA465" s="2">
        <f>+Bono!J465</f>
        <v>477615.03315705259</v>
      </c>
      <c r="AC465" s="10">
        <f t="shared" si="139"/>
        <v>36.833333333333336</v>
      </c>
      <c r="AD465" s="1">
        <f t="shared" si="140"/>
        <v>25624008.177536547</v>
      </c>
    </row>
    <row r="466" spans="1:30">
      <c r="A466" s="1">
        <f t="shared" si="141"/>
        <v>36.916666666666664</v>
      </c>
      <c r="B466" s="1">
        <f t="shared" si="142"/>
        <v>443</v>
      </c>
      <c r="C466" s="2">
        <f t="shared" si="147"/>
        <v>36</v>
      </c>
      <c r="D466" s="2">
        <f t="shared" si="148"/>
        <v>11</v>
      </c>
      <c r="E466" s="2">
        <f t="shared" si="149"/>
        <v>65</v>
      </c>
      <c r="F466" s="1">
        <f t="shared" si="143"/>
        <v>745223.88038231619</v>
      </c>
      <c r="H466" s="1">
        <f t="shared" si="136"/>
        <v>5942.5198731411701</v>
      </c>
      <c r="I466" s="1">
        <v>0</v>
      </c>
      <c r="J466" s="1">
        <v>0</v>
      </c>
      <c r="K466" s="1">
        <f t="shared" si="144"/>
        <v>-871.35302429633043</v>
      </c>
      <c r="L466" s="1">
        <f t="shared" si="137"/>
        <v>750295.04723116104</v>
      </c>
      <c r="N466" s="1">
        <f t="shared" si="145"/>
        <v>443</v>
      </c>
      <c r="O466" s="2">
        <f t="shared" si="150"/>
        <v>36</v>
      </c>
      <c r="P466" s="2">
        <f t="shared" si="151"/>
        <v>11</v>
      </c>
      <c r="Q466" s="2">
        <f t="shared" si="152"/>
        <v>36</v>
      </c>
      <c r="R466" s="1">
        <f t="shared" si="146"/>
        <v>24401169.263997179</v>
      </c>
      <c r="S466" s="1">
        <f>IF($G$17="si",S454*(1+$G$20),S454)</f>
        <v>10000</v>
      </c>
      <c r="U466" s="1">
        <f t="shared" si="153"/>
        <v>194658.09174485286</v>
      </c>
      <c r="V466" s="35">
        <f t="shared" si="155"/>
        <v>-362.75480631143722</v>
      </c>
      <c r="X466" s="35">
        <f t="shared" si="154"/>
        <v>-28542.338937085435</v>
      </c>
      <c r="Y466" s="1">
        <f t="shared" si="138"/>
        <v>24576922.261998635</v>
      </c>
      <c r="AA466" s="2">
        <f>+Bono!J466</f>
        <v>480576.30176254112</v>
      </c>
      <c r="AC466" s="10">
        <f t="shared" si="139"/>
        <v>36.916666666666664</v>
      </c>
      <c r="AD466" s="1">
        <f t="shared" si="140"/>
        <v>25807793.610992335</v>
      </c>
    </row>
    <row r="467" spans="1:30">
      <c r="A467" s="1">
        <f t="shared" si="141"/>
        <v>37</v>
      </c>
      <c r="B467" s="1">
        <f t="shared" si="142"/>
        <v>444</v>
      </c>
      <c r="C467" s="2">
        <f t="shared" si="147"/>
        <v>36</v>
      </c>
      <c r="D467" s="2">
        <f t="shared" si="148"/>
        <v>12</v>
      </c>
      <c r="E467" s="2">
        <f t="shared" si="149"/>
        <v>65</v>
      </c>
      <c r="F467" s="1">
        <f t="shared" si="143"/>
        <v>750295.04723116104</v>
      </c>
      <c r="H467" s="1">
        <f t="shared" si="136"/>
        <v>5982.9580697322608</v>
      </c>
      <c r="I467" s="1">
        <v>0</v>
      </c>
      <c r="J467" s="69">
        <f>-SUM(F467:H467)*$J$21*1.16</f>
        <v>-7895.542375341327</v>
      </c>
      <c r="K467" s="1">
        <f t="shared" si="144"/>
        <v>-868.12365699364034</v>
      </c>
      <c r="L467" s="1">
        <f t="shared" si="137"/>
        <v>747514.33926855843</v>
      </c>
      <c r="N467" s="1">
        <f t="shared" si="145"/>
        <v>444</v>
      </c>
      <c r="O467" s="2">
        <f t="shared" si="150"/>
        <v>36</v>
      </c>
      <c r="P467" s="2">
        <f t="shared" si="151"/>
        <v>12</v>
      </c>
      <c r="Q467" s="2">
        <f t="shared" si="152"/>
        <v>36</v>
      </c>
      <c r="R467" s="1">
        <f t="shared" si="146"/>
        <v>24576922.261998635</v>
      </c>
      <c r="S467" s="4">
        <f>IF($G$4="mensual",S466,0)</f>
        <v>10000</v>
      </c>
      <c r="U467" s="1">
        <f t="shared" si="153"/>
        <v>196059.57083171731</v>
      </c>
      <c r="V467" s="35">
        <f t="shared" si="155"/>
        <v>-362.75480631143722</v>
      </c>
      <c r="X467" s="35">
        <f t="shared" si="154"/>
        <v>-28747.838130507887</v>
      </c>
      <c r="Y467" s="1">
        <f t="shared" si="138"/>
        <v>24753871.239893533</v>
      </c>
      <c r="AA467" s="2">
        <f>+Bono!J467</f>
        <v>479199.5708419428</v>
      </c>
      <c r="AC467" s="10">
        <f t="shared" si="139"/>
        <v>37</v>
      </c>
      <c r="AD467" s="1">
        <f t="shared" si="140"/>
        <v>25980585.150004033</v>
      </c>
    </row>
    <row r="468" spans="1:30">
      <c r="A468" s="1">
        <f t="shared" si="141"/>
        <v>37.083333333333336</v>
      </c>
      <c r="B468" s="1">
        <f t="shared" si="142"/>
        <v>445</v>
      </c>
      <c r="C468" s="2">
        <f t="shared" si="147"/>
        <v>37</v>
      </c>
      <c r="D468" s="2">
        <f t="shared" si="148"/>
        <v>1</v>
      </c>
      <c r="E468" s="2">
        <f t="shared" si="149"/>
        <v>66</v>
      </c>
      <c r="F468" s="1">
        <f t="shared" si="143"/>
        <v>747514.33926855843</v>
      </c>
      <c r="H468" s="1">
        <f t="shared" si="136"/>
        <v>5960.7843139466968</v>
      </c>
      <c r="I468" s="1">
        <v>0</v>
      </c>
      <c r="J468" s="1">
        <v>0</v>
      </c>
      <c r="K468" s="1">
        <f t="shared" si="144"/>
        <v>-874.03114335570592</v>
      </c>
      <c r="L468" s="1">
        <f t="shared" si="137"/>
        <v>752601.09243914951</v>
      </c>
      <c r="N468" s="1">
        <f t="shared" si="145"/>
        <v>445</v>
      </c>
      <c r="O468" s="2">
        <f t="shared" si="150"/>
        <v>37</v>
      </c>
      <c r="P468" s="2">
        <f t="shared" si="151"/>
        <v>1</v>
      </c>
      <c r="Q468" s="2">
        <f t="shared" si="152"/>
        <v>37</v>
      </c>
      <c r="R468" s="1">
        <f t="shared" si="146"/>
        <v>24753871.239893533</v>
      </c>
      <c r="S468" s="1">
        <f>IF($G$17="si",S456*(1+$G$20),S456)</f>
        <v>10000</v>
      </c>
      <c r="U468" s="1">
        <f t="shared" si="153"/>
        <v>197470.5868302022</v>
      </c>
      <c r="V468" s="35">
        <f>V467*(1+$G$18)</f>
        <v>-377.26499856389472</v>
      </c>
      <c r="X468" s="35">
        <f t="shared" si="154"/>
        <v>-28954.718891601198</v>
      </c>
      <c r="Y468" s="1">
        <f t="shared" si="138"/>
        <v>24932009.842833571</v>
      </c>
      <c r="AA468" s="2">
        <f>+Bono!J468</f>
        <v>482170.66376487265</v>
      </c>
      <c r="AC468" s="10">
        <f t="shared" si="139"/>
        <v>37.083333333333336</v>
      </c>
      <c r="AD468" s="1">
        <f t="shared" si="140"/>
        <v>26166781.599037591</v>
      </c>
    </row>
    <row r="469" spans="1:30">
      <c r="A469" s="1">
        <f t="shared" si="141"/>
        <v>37.166666666666664</v>
      </c>
      <c r="B469" s="1">
        <f t="shared" si="142"/>
        <v>446</v>
      </c>
      <c r="C469" s="2">
        <f t="shared" si="147"/>
        <v>37</v>
      </c>
      <c r="D469" s="2">
        <f t="shared" si="148"/>
        <v>2</v>
      </c>
      <c r="E469" s="2">
        <f t="shared" si="149"/>
        <v>66</v>
      </c>
      <c r="F469" s="1">
        <f t="shared" si="143"/>
        <v>752601.09243914951</v>
      </c>
      <c r="H469" s="1">
        <f t="shared" si="136"/>
        <v>6001.3467980561609</v>
      </c>
      <c r="I469" s="1">
        <v>0</v>
      </c>
      <c r="J469" s="1">
        <v>0</v>
      </c>
      <c r="K469" s="1">
        <f t="shared" si="144"/>
        <v>-879.97882951515851</v>
      </c>
      <c r="L469" s="1">
        <f t="shared" si="137"/>
        <v>757722.46040769049</v>
      </c>
      <c r="N469" s="1">
        <f t="shared" si="145"/>
        <v>446</v>
      </c>
      <c r="O469" s="2">
        <f t="shared" si="150"/>
        <v>37</v>
      </c>
      <c r="P469" s="2">
        <f t="shared" si="151"/>
        <v>2</v>
      </c>
      <c r="Q469" s="2">
        <f t="shared" si="152"/>
        <v>37</v>
      </c>
      <c r="R469" s="1">
        <f t="shared" si="146"/>
        <v>24932009.842833571</v>
      </c>
      <c r="S469" s="4">
        <f>IF($G$4="mensual",S468,0)</f>
        <v>10000</v>
      </c>
      <c r="U469" s="1">
        <f t="shared" si="153"/>
        <v>198891.08906585482</v>
      </c>
      <c r="V469" s="35">
        <f t="shared" si="155"/>
        <v>-377.26499856389472</v>
      </c>
      <c r="X469" s="35">
        <f t="shared" si="154"/>
        <v>-29163.007453604998</v>
      </c>
      <c r="Y469" s="1">
        <f t="shared" si="138"/>
        <v>25111360.659447256</v>
      </c>
      <c r="AA469" s="2">
        <f>+Bono!J469</f>
        <v>485160.17780855013</v>
      </c>
      <c r="AC469" s="10">
        <f t="shared" si="139"/>
        <v>37.166666666666664</v>
      </c>
      <c r="AD469" s="1">
        <f t="shared" si="140"/>
        <v>26354243.297663495</v>
      </c>
    </row>
    <row r="470" spans="1:30">
      <c r="A470" s="1">
        <f t="shared" si="141"/>
        <v>37.25</v>
      </c>
      <c r="B470" s="1">
        <f t="shared" si="142"/>
        <v>447</v>
      </c>
      <c r="C470" s="2">
        <f t="shared" si="147"/>
        <v>37</v>
      </c>
      <c r="D470" s="2">
        <f t="shared" si="148"/>
        <v>3</v>
      </c>
      <c r="E470" s="2">
        <f t="shared" si="149"/>
        <v>66</v>
      </c>
      <c r="F470" s="1">
        <f t="shared" si="143"/>
        <v>757722.46040769049</v>
      </c>
      <c r="H470" s="1">
        <f t="shared" si="136"/>
        <v>6042.185305425397</v>
      </c>
      <c r="I470" s="1">
        <v>0</v>
      </c>
      <c r="J470" s="69">
        <f>-SUM(F470:H470)*$J$21*1.16</f>
        <v>-7973.7029012449302</v>
      </c>
      <c r="K470" s="1">
        <f t="shared" si="144"/>
        <v>-876.71749366177028</v>
      </c>
      <c r="L470" s="1">
        <f t="shared" si="137"/>
        <v>754914.22531820915</v>
      </c>
      <c r="N470" s="1">
        <f t="shared" si="145"/>
        <v>447</v>
      </c>
      <c r="O470" s="2">
        <f t="shared" si="150"/>
        <v>37</v>
      </c>
      <c r="P470" s="2">
        <f t="shared" si="151"/>
        <v>3</v>
      </c>
      <c r="Q470" s="2">
        <f t="shared" si="152"/>
        <v>37</v>
      </c>
      <c r="R470" s="1">
        <f t="shared" si="146"/>
        <v>25111360.659447256</v>
      </c>
      <c r="S470" s="4">
        <f>IF($G$4="mensual",S469,0)</f>
        <v>10000</v>
      </c>
      <c r="U470" s="1">
        <f t="shared" si="153"/>
        <v>200321.2576635709</v>
      </c>
      <c r="V470" s="35">
        <f t="shared" si="155"/>
        <v>-377.26499856389472</v>
      </c>
      <c r="X470" s="35">
        <f t="shared" si="154"/>
        <v>-29372.713396450225</v>
      </c>
      <c r="Y470" s="1">
        <f t="shared" si="138"/>
        <v>25291931.938715816</v>
      </c>
      <c r="AA470" s="2">
        <f>+Bono!J470</f>
        <v>483770.3152294294</v>
      </c>
      <c r="AC470" s="10">
        <f t="shared" si="139"/>
        <v>37.25</v>
      </c>
      <c r="AD470" s="1">
        <f t="shared" si="140"/>
        <v>26530616.479263455</v>
      </c>
    </row>
    <row r="471" spans="1:30">
      <c r="A471" s="1">
        <f t="shared" si="141"/>
        <v>37.333333333333336</v>
      </c>
      <c r="B471" s="1">
        <f t="shared" si="142"/>
        <v>448</v>
      </c>
      <c r="C471" s="2">
        <f t="shared" si="147"/>
        <v>37</v>
      </c>
      <c r="D471" s="2">
        <f t="shared" si="148"/>
        <v>4</v>
      </c>
      <c r="E471" s="2">
        <f t="shared" si="149"/>
        <v>66</v>
      </c>
      <c r="F471" s="1">
        <f t="shared" si="143"/>
        <v>754914.22531820915</v>
      </c>
      <c r="H471" s="1">
        <f t="shared" si="136"/>
        <v>6019.7920444644969</v>
      </c>
      <c r="I471" s="1">
        <v>0</v>
      </c>
      <c r="J471" s="1">
        <v>0</v>
      </c>
      <c r="K471" s="1">
        <f t="shared" si="144"/>
        <v>-882.68346014070141</v>
      </c>
      <c r="L471" s="1">
        <f t="shared" si="137"/>
        <v>760051.33390253293</v>
      </c>
      <c r="N471" s="1">
        <f t="shared" si="145"/>
        <v>448</v>
      </c>
      <c r="O471" s="2">
        <f t="shared" si="150"/>
        <v>37</v>
      </c>
      <c r="P471" s="2">
        <f t="shared" si="151"/>
        <v>4</v>
      </c>
      <c r="Q471" s="2">
        <f t="shared" si="152"/>
        <v>37</v>
      </c>
      <c r="R471" s="1">
        <f t="shared" si="146"/>
        <v>25291931.938715816</v>
      </c>
      <c r="S471" s="4">
        <f>IF($G$4="mensual",S468,IF($G$4="trimestral",S468,0))</f>
        <v>10000</v>
      </c>
      <c r="U471" s="1">
        <f t="shared" si="153"/>
        <v>201761.15840188519</v>
      </c>
      <c r="V471" s="35">
        <f t="shared" si="155"/>
        <v>-377.26499856389472</v>
      </c>
      <c r="X471" s="35">
        <f t="shared" si="154"/>
        <v>-29583.846365258196</v>
      </c>
      <c r="Y471" s="1">
        <f t="shared" si="138"/>
        <v>25473731.985753879</v>
      </c>
      <c r="AA471" s="2">
        <f>+Bono!J471</f>
        <v>486769.74729773524</v>
      </c>
      <c r="AC471" s="10">
        <f t="shared" si="139"/>
        <v>37.333333333333336</v>
      </c>
      <c r="AD471" s="1">
        <f t="shared" si="140"/>
        <v>26720553.066954147</v>
      </c>
    </row>
    <row r="472" spans="1:30">
      <c r="A472" s="1">
        <f t="shared" si="141"/>
        <v>37.416666666666664</v>
      </c>
      <c r="B472" s="1">
        <f t="shared" si="142"/>
        <v>449</v>
      </c>
      <c r="C472" s="2">
        <f t="shared" si="147"/>
        <v>37</v>
      </c>
      <c r="D472" s="2">
        <f t="shared" si="148"/>
        <v>5</v>
      </c>
      <c r="E472" s="2">
        <f t="shared" si="149"/>
        <v>66</v>
      </c>
      <c r="F472" s="1">
        <f t="shared" si="143"/>
        <v>760051.33390253293</v>
      </c>
      <c r="H472" s="1">
        <f t="shared" ref="H472:H535" si="156">SUM(F472:G472)*$G$8</f>
        <v>6060.7560697144218</v>
      </c>
      <c r="I472" s="1">
        <v>0</v>
      </c>
      <c r="J472" s="1">
        <v>0</v>
      </c>
      <c r="K472" s="1">
        <f t="shared" si="144"/>
        <v>-888.69002436780693</v>
      </c>
      <c r="L472" s="1">
        <f t="shared" ref="L472:L535" si="157">SUM(F472:K472)</f>
        <v>765223.3999478796</v>
      </c>
      <c r="N472" s="1">
        <f t="shared" si="145"/>
        <v>449</v>
      </c>
      <c r="O472" s="2">
        <f t="shared" si="150"/>
        <v>37</v>
      </c>
      <c r="P472" s="2">
        <f t="shared" si="151"/>
        <v>5</v>
      </c>
      <c r="Q472" s="2">
        <f t="shared" si="152"/>
        <v>37</v>
      </c>
      <c r="R472" s="1">
        <f t="shared" si="146"/>
        <v>25473731.985753879</v>
      </c>
      <c r="S472" s="4">
        <f>IF($G$4="mensual",S471,0)</f>
        <v>10000</v>
      </c>
      <c r="U472" s="1">
        <f t="shared" si="153"/>
        <v>203210.857506948</v>
      </c>
      <c r="V472" s="35">
        <f t="shared" si="155"/>
        <v>-377.26499856389472</v>
      </c>
      <c r="X472" s="35">
        <f t="shared" si="154"/>
        <v>-29796.416070784227</v>
      </c>
      <c r="Y472" s="1">
        <f t="shared" ref="Y472:Y535" si="158">SUM(R472:X472)</f>
        <v>25656769.16219148</v>
      </c>
      <c r="AA472" s="2">
        <f>+Bono!J472</f>
        <v>489787.77619277715</v>
      </c>
      <c r="AC472" s="10">
        <f t="shared" ref="AC472:AC535" si="159">+B472/12</f>
        <v>37.416666666666664</v>
      </c>
      <c r="AD472" s="1">
        <f t="shared" ref="AD472:AD535" si="160">+AA472+Y472+L472</f>
        <v>26911780.338332135</v>
      </c>
    </row>
    <row r="473" spans="1:30">
      <c r="A473" s="1">
        <f t="shared" ref="A473:A536" si="161">+B473/12</f>
        <v>37.5</v>
      </c>
      <c r="B473" s="1">
        <f t="shared" ref="B473:B536" si="162">+B472+1</f>
        <v>450</v>
      </c>
      <c r="C473" s="2">
        <f t="shared" si="147"/>
        <v>37</v>
      </c>
      <c r="D473" s="2">
        <f t="shared" si="148"/>
        <v>6</v>
      </c>
      <c r="E473" s="2">
        <f t="shared" si="149"/>
        <v>66</v>
      </c>
      <c r="F473" s="1">
        <f t="shared" ref="F473:F536" si="163">L472</f>
        <v>765223.3999478796</v>
      </c>
      <c r="H473" s="1">
        <f t="shared" si="156"/>
        <v>6101.9988506675818</v>
      </c>
      <c r="I473" s="1">
        <v>0</v>
      </c>
      <c r="J473" s="69">
        <f>-SUM(F473:H473)*$J$21*1.16</f>
        <v>-8052.6371634568332</v>
      </c>
      <c r="K473" s="1">
        <f t="shared" ref="K473:K536" si="164">-SUM(F473:J473)*0.1%*1.16</f>
        <v>-885.39640349670469</v>
      </c>
      <c r="L473" s="1">
        <f t="shared" si="157"/>
        <v>762387.36523159361</v>
      </c>
      <c r="N473" s="1">
        <f t="shared" ref="N473:N536" si="165">+N472+1</f>
        <v>450</v>
      </c>
      <c r="O473" s="2">
        <f t="shared" si="150"/>
        <v>37</v>
      </c>
      <c r="P473" s="2">
        <f t="shared" si="151"/>
        <v>6</v>
      </c>
      <c r="Q473" s="2">
        <f t="shared" si="152"/>
        <v>37</v>
      </c>
      <c r="R473" s="1">
        <f t="shared" ref="R473:R536" si="166">Y472</f>
        <v>25656769.16219148</v>
      </c>
      <c r="S473" s="4">
        <f>IF($G$4="mensual",S472,0)</f>
        <v>10000</v>
      </c>
      <c r="U473" s="1">
        <f t="shared" si="153"/>
        <v>204670.4216555715</v>
      </c>
      <c r="V473" s="35">
        <f t="shared" si="155"/>
        <v>-377.26499856389472</v>
      </c>
      <c r="X473" s="35">
        <f t="shared" si="154"/>
        <v>-30010.432289864246</v>
      </c>
      <c r="Y473" s="1">
        <f t="shared" si="158"/>
        <v>25841051.886558626</v>
      </c>
      <c r="AA473" s="2">
        <f>+Bono!J473</f>
        <v>488384.65670156921</v>
      </c>
      <c r="AC473" s="10">
        <f t="shared" si="159"/>
        <v>37.5</v>
      </c>
      <c r="AD473" s="1">
        <f t="shared" si="160"/>
        <v>27091823.908491787</v>
      </c>
    </row>
    <row r="474" spans="1:30">
      <c r="A474" s="1">
        <f t="shared" si="161"/>
        <v>37.583333333333336</v>
      </c>
      <c r="B474" s="1">
        <f t="shared" si="162"/>
        <v>451</v>
      </c>
      <c r="C474" s="2">
        <f t="shared" si="147"/>
        <v>37</v>
      </c>
      <c r="D474" s="2">
        <f t="shared" si="148"/>
        <v>7</v>
      </c>
      <c r="E474" s="2">
        <f t="shared" si="149"/>
        <v>66</v>
      </c>
      <c r="F474" s="1">
        <f t="shared" si="163"/>
        <v>762387.36523159361</v>
      </c>
      <c r="H474" s="1">
        <f t="shared" si="156"/>
        <v>6079.3839115786704</v>
      </c>
      <c r="I474" s="1">
        <v>0</v>
      </c>
      <c r="J474" s="1">
        <v>0</v>
      </c>
      <c r="K474" s="1">
        <f t="shared" si="164"/>
        <v>-891.42142900607973</v>
      </c>
      <c r="L474" s="1">
        <f t="shared" si="157"/>
        <v>767575.32771416625</v>
      </c>
      <c r="N474" s="1">
        <f t="shared" si="165"/>
        <v>451</v>
      </c>
      <c r="O474" s="2">
        <f t="shared" si="150"/>
        <v>37</v>
      </c>
      <c r="P474" s="2">
        <f t="shared" si="151"/>
        <v>7</v>
      </c>
      <c r="Q474" s="2">
        <f t="shared" si="152"/>
        <v>37</v>
      </c>
      <c r="R474" s="1">
        <f t="shared" si="166"/>
        <v>25841051.886558626</v>
      </c>
      <c r="S474" s="1">
        <f>+IF($G$4="mensual",S468,IF($G$4="trimestral",S468,IF($G$4="semestral",S468,0)))</f>
        <v>10000</v>
      </c>
      <c r="U474" s="1">
        <f t="shared" si="153"/>
        <v>206139.91797829606</v>
      </c>
      <c r="V474" s="35">
        <f t="shared" si="155"/>
        <v>-377.26499856389472</v>
      </c>
      <c r="X474" s="35">
        <f t="shared" si="154"/>
        <v>-30225.904865864497</v>
      </c>
      <c r="Y474" s="1">
        <f t="shared" si="158"/>
        <v>26026588.634672496</v>
      </c>
      <c r="AA474" s="2">
        <f>+Bono!J474</f>
        <v>491412.69822223281</v>
      </c>
      <c r="AC474" s="10">
        <f t="shared" si="159"/>
        <v>37.583333333333336</v>
      </c>
      <c r="AD474" s="1">
        <f t="shared" si="160"/>
        <v>27285576.660608895</v>
      </c>
    </row>
    <row r="475" spans="1:30">
      <c r="A475" s="1">
        <f t="shared" si="161"/>
        <v>37.666666666666664</v>
      </c>
      <c r="B475" s="1">
        <f t="shared" si="162"/>
        <v>452</v>
      </c>
      <c r="C475" s="2">
        <f t="shared" si="147"/>
        <v>37</v>
      </c>
      <c r="D475" s="2">
        <f t="shared" si="148"/>
        <v>8</v>
      </c>
      <c r="E475" s="2">
        <f t="shared" si="149"/>
        <v>66</v>
      </c>
      <c r="F475" s="1">
        <f t="shared" si="163"/>
        <v>767575.32771416625</v>
      </c>
      <c r="H475" s="1">
        <f t="shared" si="156"/>
        <v>6120.7534529545892</v>
      </c>
      <c r="I475" s="1">
        <v>0</v>
      </c>
      <c r="J475" s="1">
        <v>0</v>
      </c>
      <c r="K475" s="1">
        <f t="shared" si="164"/>
        <v>-897.48745415386009</v>
      </c>
      <c r="L475" s="1">
        <f t="shared" si="157"/>
        <v>772798.59371296701</v>
      </c>
      <c r="N475" s="1">
        <f t="shared" si="165"/>
        <v>452</v>
      </c>
      <c r="O475" s="2">
        <f t="shared" si="150"/>
        <v>37</v>
      </c>
      <c r="P475" s="2">
        <f t="shared" si="151"/>
        <v>8</v>
      </c>
      <c r="Q475" s="2">
        <f t="shared" si="152"/>
        <v>37</v>
      </c>
      <c r="R475" s="1">
        <f t="shared" si="166"/>
        <v>26026588.634672496</v>
      </c>
      <c r="S475" s="4">
        <f>IF($G$4="mensual",S474,0)</f>
        <v>10000</v>
      </c>
      <c r="U475" s="1">
        <f t="shared" si="153"/>
        <v>207619.4140624782</v>
      </c>
      <c r="V475" s="35">
        <f t="shared" si="155"/>
        <v>-377.26499856389472</v>
      </c>
      <c r="X475" s="35">
        <f t="shared" si="154"/>
        <v>-30442.843709134235</v>
      </c>
      <c r="Y475" s="1">
        <f t="shared" si="158"/>
        <v>26213387.940027278</v>
      </c>
      <c r="AA475" s="2">
        <f>+Bono!J475</f>
        <v>494459.51395155559</v>
      </c>
      <c r="AC475" s="10">
        <f t="shared" si="159"/>
        <v>37.666666666666664</v>
      </c>
      <c r="AD475" s="1">
        <f t="shared" si="160"/>
        <v>27480646.0476918</v>
      </c>
    </row>
    <row r="476" spans="1:30">
      <c r="A476" s="1">
        <f t="shared" si="161"/>
        <v>37.75</v>
      </c>
      <c r="B476" s="1">
        <f t="shared" si="162"/>
        <v>453</v>
      </c>
      <c r="C476" s="2">
        <f t="shared" si="147"/>
        <v>37</v>
      </c>
      <c r="D476" s="2">
        <f t="shared" si="148"/>
        <v>9</v>
      </c>
      <c r="E476" s="2">
        <f t="shared" si="149"/>
        <v>66</v>
      </c>
      <c r="F476" s="1">
        <f t="shared" si="163"/>
        <v>772798.59371296701</v>
      </c>
      <c r="H476" s="1">
        <f t="shared" si="156"/>
        <v>6162.4045095265446</v>
      </c>
      <c r="I476" s="1">
        <v>0</v>
      </c>
      <c r="J476" s="69">
        <f>-SUM(F476:H476)*$J$21*1.16</f>
        <v>-8132.3528214428334</v>
      </c>
      <c r="K476" s="1">
        <f t="shared" si="164"/>
        <v>-894.1612286652188</v>
      </c>
      <c r="L476" s="1">
        <f t="shared" si="157"/>
        <v>769934.48417238542</v>
      </c>
      <c r="N476" s="1">
        <f t="shared" si="165"/>
        <v>453</v>
      </c>
      <c r="O476" s="2">
        <f t="shared" si="150"/>
        <v>37</v>
      </c>
      <c r="P476" s="2">
        <f t="shared" si="151"/>
        <v>9</v>
      </c>
      <c r="Q476" s="2">
        <f t="shared" si="152"/>
        <v>37</v>
      </c>
      <c r="R476" s="1">
        <f t="shared" si="166"/>
        <v>26213387.940027278</v>
      </c>
      <c r="S476" s="4">
        <f>IF($G$4="mensual",S475,0)</f>
        <v>10000</v>
      </c>
      <c r="U476" s="1">
        <f t="shared" si="153"/>
        <v>209108.97795539891</v>
      </c>
      <c r="V476" s="35">
        <f t="shared" si="155"/>
        <v>-377.26499856389472</v>
      </c>
      <c r="X476" s="35">
        <f t="shared" si="154"/>
        <v>-30661.258797461571</v>
      </c>
      <c r="Y476" s="1">
        <f t="shared" si="158"/>
        <v>26401458.394186649</v>
      </c>
      <c r="AA476" s="2">
        <f>+Bono!J476</f>
        <v>493043.01109999081</v>
      </c>
      <c r="AC476" s="10">
        <f t="shared" si="159"/>
        <v>37.75</v>
      </c>
      <c r="AD476" s="1">
        <f t="shared" si="160"/>
        <v>27664435.889459025</v>
      </c>
    </row>
    <row r="477" spans="1:30">
      <c r="A477" s="1">
        <f t="shared" si="161"/>
        <v>37.833333333333336</v>
      </c>
      <c r="B477" s="1">
        <f t="shared" si="162"/>
        <v>454</v>
      </c>
      <c r="C477" s="2">
        <f t="shared" si="147"/>
        <v>37</v>
      </c>
      <c r="D477" s="2">
        <f t="shared" si="148"/>
        <v>10</v>
      </c>
      <c r="E477" s="2">
        <f t="shared" si="149"/>
        <v>66</v>
      </c>
      <c r="F477" s="1">
        <f t="shared" si="163"/>
        <v>769934.48417238542</v>
      </c>
      <c r="H477" s="1">
        <f t="shared" si="156"/>
        <v>6139.5656978461839</v>
      </c>
      <c r="I477" s="1">
        <v>0</v>
      </c>
      <c r="J477" s="1">
        <v>0</v>
      </c>
      <c r="K477" s="1">
        <f t="shared" si="164"/>
        <v>-900.24589784946863</v>
      </c>
      <c r="L477" s="1">
        <f t="shared" si="157"/>
        <v>775173.80397238221</v>
      </c>
      <c r="N477" s="1">
        <f t="shared" si="165"/>
        <v>454</v>
      </c>
      <c r="O477" s="2">
        <f t="shared" si="150"/>
        <v>37</v>
      </c>
      <c r="P477" s="2">
        <f t="shared" si="151"/>
        <v>10</v>
      </c>
      <c r="Q477" s="2">
        <f t="shared" si="152"/>
        <v>37</v>
      </c>
      <c r="R477" s="1">
        <f t="shared" si="166"/>
        <v>26401458.394186649</v>
      </c>
      <c r="S477" s="4">
        <f>IF($G$4="mensual",S468,IF($G$4="trimestral",S468,0))</f>
        <v>10000</v>
      </c>
      <c r="U477" s="1">
        <f t="shared" si="153"/>
        <v>210608.67816739346</v>
      </c>
      <c r="V477" s="35">
        <f t="shared" si="155"/>
        <v>-377.26499856389472</v>
      </c>
      <c r="X477" s="35">
        <f t="shared" si="154"/>
        <v>-30881.160176532358</v>
      </c>
      <c r="Y477" s="1">
        <f t="shared" si="158"/>
        <v>26590808.647178948</v>
      </c>
      <c r="AA477" s="2">
        <f>+Bono!J477</f>
        <v>496099.93495826027</v>
      </c>
      <c r="AC477" s="10">
        <f t="shared" si="159"/>
        <v>37.833333333333336</v>
      </c>
      <c r="AD477" s="1">
        <f t="shared" si="160"/>
        <v>27862082.386109591</v>
      </c>
    </row>
    <row r="478" spans="1:30">
      <c r="A478" s="1">
        <f t="shared" si="161"/>
        <v>37.916666666666664</v>
      </c>
      <c r="B478" s="1">
        <f t="shared" si="162"/>
        <v>455</v>
      </c>
      <c r="C478" s="2">
        <f t="shared" si="147"/>
        <v>37</v>
      </c>
      <c r="D478" s="2">
        <f t="shared" si="148"/>
        <v>11</v>
      </c>
      <c r="E478" s="2">
        <f t="shared" si="149"/>
        <v>66</v>
      </c>
      <c r="F478" s="1">
        <f t="shared" si="163"/>
        <v>775173.80397238221</v>
      </c>
      <c r="H478" s="1">
        <f t="shared" si="156"/>
        <v>6181.3447696832945</v>
      </c>
      <c r="I478" s="1">
        <v>0</v>
      </c>
      <c r="J478" s="1">
        <v>0</v>
      </c>
      <c r="K478" s="1">
        <f t="shared" si="164"/>
        <v>-906.37197254079604</v>
      </c>
      <c r="L478" s="1">
        <f t="shared" si="157"/>
        <v>780448.77676952479</v>
      </c>
      <c r="N478" s="1">
        <f t="shared" si="165"/>
        <v>455</v>
      </c>
      <c r="O478" s="2">
        <f t="shared" si="150"/>
        <v>37</v>
      </c>
      <c r="P478" s="2">
        <f t="shared" si="151"/>
        <v>11</v>
      </c>
      <c r="Q478" s="2">
        <f t="shared" si="152"/>
        <v>37</v>
      </c>
      <c r="R478" s="1">
        <f t="shared" si="166"/>
        <v>26590808.647178948</v>
      </c>
      <c r="S478" s="1">
        <f>IF($G$17="si",S466*(1+$G$20),S466)</f>
        <v>10000</v>
      </c>
      <c r="U478" s="1">
        <f t="shared" si="153"/>
        <v>212118.5836750025</v>
      </c>
      <c r="V478" s="35">
        <f t="shared" si="155"/>
        <v>-377.26499856389472</v>
      </c>
      <c r="X478" s="35">
        <f t="shared" si="154"/>
        <v>-31102.557960392245</v>
      </c>
      <c r="Y478" s="1">
        <f t="shared" si="158"/>
        <v>26781447.407894995</v>
      </c>
      <c r="AA478" s="2">
        <f>+Bono!J478</f>
        <v>499175.81209903222</v>
      </c>
      <c r="AC478" s="10">
        <f t="shared" si="159"/>
        <v>37.916666666666664</v>
      </c>
      <c r="AD478" s="1">
        <f t="shared" si="160"/>
        <v>28061071.996763553</v>
      </c>
    </row>
    <row r="479" spans="1:30">
      <c r="A479" s="1">
        <f t="shared" si="161"/>
        <v>38</v>
      </c>
      <c r="B479" s="1">
        <f t="shared" si="162"/>
        <v>456</v>
      </c>
      <c r="C479" s="2">
        <f t="shared" si="147"/>
        <v>37</v>
      </c>
      <c r="D479" s="2">
        <f t="shared" si="148"/>
        <v>12</v>
      </c>
      <c r="E479" s="2">
        <f t="shared" si="149"/>
        <v>66</v>
      </c>
      <c r="F479" s="1">
        <f t="shared" si="163"/>
        <v>780448.77676952479</v>
      </c>
      <c r="H479" s="1">
        <f t="shared" si="156"/>
        <v>6223.408143526357</v>
      </c>
      <c r="I479" s="1">
        <v>0</v>
      </c>
      <c r="J479" s="69">
        <f>-SUM(F479:H479)*$J$21*1.16</f>
        <v>-8212.857610492254</v>
      </c>
      <c r="K479" s="1">
        <f t="shared" si="164"/>
        <v>-903.01281967096827</v>
      </c>
      <c r="L479" s="1">
        <f t="shared" si="157"/>
        <v>777556.31448288797</v>
      </c>
      <c r="N479" s="1">
        <f t="shared" si="165"/>
        <v>456</v>
      </c>
      <c r="O479" s="2">
        <f t="shared" si="150"/>
        <v>37</v>
      </c>
      <c r="P479" s="2">
        <f t="shared" si="151"/>
        <v>12</v>
      </c>
      <c r="Q479" s="2">
        <f t="shared" si="152"/>
        <v>37</v>
      </c>
      <c r="R479" s="1">
        <f t="shared" si="166"/>
        <v>26781447.407894995</v>
      </c>
      <c r="S479" s="4">
        <f>IF($G$4="mensual",S478,0)</f>
        <v>10000</v>
      </c>
      <c r="U479" s="1">
        <f t="shared" si="153"/>
        <v>213638.76392414444</v>
      </c>
      <c r="V479" s="35">
        <f t="shared" si="155"/>
        <v>-377.26499856389472</v>
      </c>
      <c r="X479" s="35">
        <f t="shared" si="154"/>
        <v>-31325.462331911869</v>
      </c>
      <c r="Y479" s="1">
        <f t="shared" si="158"/>
        <v>26973383.444488663</v>
      </c>
      <c r="AA479" s="2">
        <f>+Bono!J479</f>
        <v>497745.79823274078</v>
      </c>
      <c r="AC479" s="10">
        <f t="shared" si="159"/>
        <v>38</v>
      </c>
      <c r="AD479" s="1">
        <f t="shared" si="160"/>
        <v>28248685.557204291</v>
      </c>
    </row>
    <row r="480" spans="1:30">
      <c r="A480" s="1">
        <f t="shared" si="161"/>
        <v>38.083333333333336</v>
      </c>
      <c r="B480" s="1">
        <f t="shared" si="162"/>
        <v>457</v>
      </c>
      <c r="C480" s="2">
        <f t="shared" si="147"/>
        <v>38</v>
      </c>
      <c r="D480" s="2">
        <f t="shared" si="148"/>
        <v>1</v>
      </c>
      <c r="E480" s="2">
        <f t="shared" si="149"/>
        <v>67</v>
      </c>
      <c r="F480" s="1">
        <f t="shared" si="163"/>
        <v>777556.31448288797</v>
      </c>
      <c r="H480" s="1">
        <f t="shared" si="156"/>
        <v>6200.3432430674065</v>
      </c>
      <c r="I480" s="1">
        <v>0</v>
      </c>
      <c r="J480" s="1">
        <v>0</v>
      </c>
      <c r="K480" s="1">
        <f t="shared" si="164"/>
        <v>-909.15772296210821</v>
      </c>
      <c r="L480" s="1">
        <f t="shared" si="157"/>
        <v>782847.50000299327</v>
      </c>
      <c r="N480" s="1">
        <f t="shared" si="165"/>
        <v>457</v>
      </c>
      <c r="O480" s="2">
        <f t="shared" si="150"/>
        <v>38</v>
      </c>
      <c r="P480" s="2">
        <f t="shared" si="151"/>
        <v>1</v>
      </c>
      <c r="Q480" s="2">
        <f t="shared" si="152"/>
        <v>38</v>
      </c>
      <c r="R480" s="1">
        <f t="shared" si="166"/>
        <v>26973383.444488663</v>
      </c>
      <c r="S480" s="1">
        <f>IF($G$17="si",S468*(1+$G$20),S468)</f>
        <v>10000</v>
      </c>
      <c r="U480" s="1">
        <f t="shared" si="153"/>
        <v>215169.28883330955</v>
      </c>
      <c r="V480" s="35">
        <f>V479*(1+$G$18)</f>
        <v>-392.35559850645052</v>
      </c>
      <c r="X480" s="35">
        <f t="shared" si="154"/>
        <v>-31549.86603815922</v>
      </c>
      <c r="Y480" s="1">
        <f t="shared" si="158"/>
        <v>27166610.511685308</v>
      </c>
      <c r="AA480" s="2">
        <f>+Bono!J480</f>
        <v>500831.87991672283</v>
      </c>
      <c r="AC480" s="10">
        <f t="shared" si="159"/>
        <v>38.083333333333336</v>
      </c>
      <c r="AD480" s="1">
        <f t="shared" si="160"/>
        <v>28450289.891605027</v>
      </c>
    </row>
    <row r="481" spans="1:30">
      <c r="A481" s="1">
        <f t="shared" si="161"/>
        <v>38.166666666666664</v>
      </c>
      <c r="B481" s="1">
        <f t="shared" si="162"/>
        <v>458</v>
      </c>
      <c r="C481" s="2">
        <f t="shared" si="147"/>
        <v>38</v>
      </c>
      <c r="D481" s="2">
        <f t="shared" si="148"/>
        <v>2</v>
      </c>
      <c r="E481" s="2">
        <f t="shared" si="149"/>
        <v>67</v>
      </c>
      <c r="F481" s="1">
        <f t="shared" si="163"/>
        <v>782847.50000299327</v>
      </c>
      <c r="H481" s="1">
        <f t="shared" si="156"/>
        <v>6242.5358994401086</v>
      </c>
      <c r="I481" s="1">
        <v>0</v>
      </c>
      <c r="J481" s="1">
        <v>0</v>
      </c>
      <c r="K481" s="1">
        <f t="shared" si="164"/>
        <v>-915.34444164682259</v>
      </c>
      <c r="L481" s="1">
        <f t="shared" si="157"/>
        <v>788174.6914607865</v>
      </c>
      <c r="N481" s="1">
        <f t="shared" si="165"/>
        <v>458</v>
      </c>
      <c r="O481" s="2">
        <f t="shared" si="150"/>
        <v>38</v>
      </c>
      <c r="P481" s="2">
        <f t="shared" si="151"/>
        <v>2</v>
      </c>
      <c r="Q481" s="2">
        <f t="shared" si="152"/>
        <v>38</v>
      </c>
      <c r="R481" s="1">
        <f t="shared" si="166"/>
        <v>27166610.511685308</v>
      </c>
      <c r="S481" s="4">
        <f>IF($G$4="mensual",S480,0)</f>
        <v>10000</v>
      </c>
      <c r="U481" s="1">
        <f t="shared" si="153"/>
        <v>216710.10860180084</v>
      </c>
      <c r="V481" s="35">
        <f t="shared" si="155"/>
        <v>-392.35559850645052</v>
      </c>
      <c r="X481" s="35">
        <f t="shared" si="154"/>
        <v>-31775.79678703878</v>
      </c>
      <c r="Y481" s="1">
        <f t="shared" si="158"/>
        <v>27361152.467901565</v>
      </c>
      <c r="AA481" s="2">
        <f>+Bono!J481</f>
        <v>503937.09566510888</v>
      </c>
      <c r="AC481" s="10">
        <f t="shared" si="159"/>
        <v>38.166666666666664</v>
      </c>
      <c r="AD481" s="1">
        <f t="shared" si="160"/>
        <v>28653264.255027462</v>
      </c>
    </row>
    <row r="482" spans="1:30">
      <c r="A482" s="1">
        <f t="shared" si="161"/>
        <v>38.25</v>
      </c>
      <c r="B482" s="1">
        <f t="shared" si="162"/>
        <v>459</v>
      </c>
      <c r="C482" s="2">
        <f t="shared" si="147"/>
        <v>38</v>
      </c>
      <c r="D482" s="2">
        <f t="shared" si="148"/>
        <v>3</v>
      </c>
      <c r="E482" s="2">
        <f t="shared" si="149"/>
        <v>67</v>
      </c>
      <c r="F482" s="1">
        <f t="shared" si="163"/>
        <v>788174.6914607865</v>
      </c>
      <c r="H482" s="1">
        <f t="shared" si="156"/>
        <v>6285.0156722162083</v>
      </c>
      <c r="I482" s="1">
        <v>0</v>
      </c>
      <c r="J482" s="69">
        <f>-SUM(F482:H482)*$J$21*1.16</f>
        <v>-8294.1593424685489</v>
      </c>
      <c r="K482" s="1">
        <f t="shared" si="164"/>
        <v>-911.9520354370195</v>
      </c>
      <c r="L482" s="1">
        <f t="shared" si="157"/>
        <v>785253.59575509711</v>
      </c>
      <c r="N482" s="1">
        <f t="shared" si="165"/>
        <v>459</v>
      </c>
      <c r="O482" s="2">
        <f t="shared" si="150"/>
        <v>38</v>
      </c>
      <c r="P482" s="2">
        <f t="shared" si="151"/>
        <v>3</v>
      </c>
      <c r="Q482" s="2">
        <f t="shared" si="152"/>
        <v>38</v>
      </c>
      <c r="R482" s="1">
        <f t="shared" si="166"/>
        <v>27361152.467901565</v>
      </c>
      <c r="S482" s="4">
        <f>IF($G$4="mensual",S481,0)</f>
        <v>10000</v>
      </c>
      <c r="U482" s="1">
        <f t="shared" si="153"/>
        <v>218261.4134799829</v>
      </c>
      <c r="V482" s="35">
        <f t="shared" si="155"/>
        <v>-392.35559850645052</v>
      </c>
      <c r="X482" s="35">
        <f t="shared" si="154"/>
        <v>-32003.264969908327</v>
      </c>
      <c r="Y482" s="1">
        <f t="shared" si="158"/>
        <v>27557018.260813136</v>
      </c>
      <c r="AA482" s="2">
        <f>+Bono!J482</f>
        <v>502493.4419121166</v>
      </c>
      <c r="AC482" s="10">
        <f t="shared" si="159"/>
        <v>38.25</v>
      </c>
      <c r="AD482" s="1">
        <f t="shared" si="160"/>
        <v>28844765.298480351</v>
      </c>
    </row>
    <row r="483" spans="1:30">
      <c r="A483" s="1">
        <f t="shared" si="161"/>
        <v>38.333333333333336</v>
      </c>
      <c r="B483" s="1">
        <f t="shared" si="162"/>
        <v>460</v>
      </c>
      <c r="C483" s="2">
        <f t="shared" si="147"/>
        <v>38</v>
      </c>
      <c r="D483" s="2">
        <f t="shared" si="148"/>
        <v>4</v>
      </c>
      <c r="E483" s="2">
        <f t="shared" si="149"/>
        <v>67</v>
      </c>
      <c r="F483" s="1">
        <f t="shared" si="163"/>
        <v>785253.59575509711</v>
      </c>
      <c r="H483" s="1">
        <f t="shared" si="156"/>
        <v>6261.7224448527732</v>
      </c>
      <c r="I483" s="1">
        <v>0</v>
      </c>
      <c r="J483" s="1">
        <v>0</v>
      </c>
      <c r="K483" s="1">
        <f t="shared" si="164"/>
        <v>-918.15776911194178</v>
      </c>
      <c r="L483" s="1">
        <f t="shared" si="157"/>
        <v>790597.160430838</v>
      </c>
      <c r="N483" s="1">
        <f t="shared" si="165"/>
        <v>460</v>
      </c>
      <c r="O483" s="2">
        <f t="shared" si="150"/>
        <v>38</v>
      </c>
      <c r="P483" s="2">
        <f t="shared" si="151"/>
        <v>4</v>
      </c>
      <c r="Q483" s="2">
        <f t="shared" si="152"/>
        <v>38</v>
      </c>
      <c r="R483" s="1">
        <f t="shared" si="166"/>
        <v>27557018.260813136</v>
      </c>
      <c r="S483" s="4">
        <f>IF($G$4="mensual",S480,IF($G$4="trimestral",S480,0))</f>
        <v>10000</v>
      </c>
      <c r="U483" s="1">
        <f t="shared" si="153"/>
        <v>219823.27481787835</v>
      </c>
      <c r="V483" s="35">
        <f t="shared" si="155"/>
        <v>-392.35559850645052</v>
      </c>
      <c r="X483" s="35">
        <f t="shared" si="154"/>
        <v>-32232.281048837707</v>
      </c>
      <c r="Y483" s="1">
        <f t="shared" si="158"/>
        <v>27754216.898983669</v>
      </c>
      <c r="AA483" s="2">
        <f>+Bono!J483</f>
        <v>505608.95953760337</v>
      </c>
      <c r="AC483" s="10">
        <f t="shared" si="159"/>
        <v>38.333333333333336</v>
      </c>
      <c r="AD483" s="1">
        <f t="shared" si="160"/>
        <v>29050423.018952109</v>
      </c>
    </row>
    <row r="484" spans="1:30">
      <c r="A484" s="1">
        <f t="shared" si="161"/>
        <v>38.416666666666664</v>
      </c>
      <c r="B484" s="1">
        <f t="shared" si="162"/>
        <v>461</v>
      </c>
      <c r="C484" s="2">
        <f t="shared" ref="C484:C547" si="167">C472+1</f>
        <v>38</v>
      </c>
      <c r="D484" s="2">
        <f t="shared" ref="D484:D547" si="168">D472</f>
        <v>5</v>
      </c>
      <c r="E484" s="2">
        <f t="shared" ref="E484:E547" si="169">E472+1</f>
        <v>67</v>
      </c>
      <c r="F484" s="1">
        <f t="shared" si="163"/>
        <v>790597.160430838</v>
      </c>
      <c r="H484" s="1">
        <f t="shared" si="156"/>
        <v>6304.332779968061</v>
      </c>
      <c r="I484" s="1">
        <v>0</v>
      </c>
      <c r="J484" s="1">
        <v>0</v>
      </c>
      <c r="K484" s="1">
        <f t="shared" si="164"/>
        <v>-924.40573212453501</v>
      </c>
      <c r="L484" s="1">
        <f t="shared" si="157"/>
        <v>795977.08747868147</v>
      </c>
      <c r="N484" s="1">
        <f t="shared" si="165"/>
        <v>461</v>
      </c>
      <c r="O484" s="2">
        <f t="shared" ref="O484:O547" si="170">O472+1</f>
        <v>38</v>
      </c>
      <c r="P484" s="2">
        <f t="shared" ref="P484:P547" si="171">P472</f>
        <v>5</v>
      </c>
      <c r="Q484" s="2">
        <f t="shared" ref="Q484:Q547" si="172">Q472+1</f>
        <v>38</v>
      </c>
      <c r="R484" s="1">
        <f t="shared" si="166"/>
        <v>27754216.898983669</v>
      </c>
      <c r="S484" s="4">
        <f>IF($G$4="mensual",S483,0)</f>
        <v>10000</v>
      </c>
      <c r="U484" s="1">
        <f t="shared" ref="U484:U547" si="173">SUM(R484:T484)*$G$8</f>
        <v>221395.76445103876</v>
      </c>
      <c r="V484" s="35">
        <f t="shared" si="155"/>
        <v>-392.35559850645052</v>
      </c>
      <c r="X484" s="35">
        <f t="shared" si="154"/>
        <v>-32462.855557089988</v>
      </c>
      <c r="Y484" s="1">
        <f t="shared" si="158"/>
        <v>27952757.45227911</v>
      </c>
      <c r="AA484" s="2">
        <f>+Bono!J484</f>
        <v>508743.79373374581</v>
      </c>
      <c r="AC484" s="10">
        <f t="shared" si="159"/>
        <v>38.416666666666664</v>
      </c>
      <c r="AD484" s="1">
        <f t="shared" si="160"/>
        <v>29257478.333491538</v>
      </c>
    </row>
    <row r="485" spans="1:30">
      <c r="A485" s="1">
        <f t="shared" si="161"/>
        <v>38.5</v>
      </c>
      <c r="B485" s="1">
        <f t="shared" si="162"/>
        <v>462</v>
      </c>
      <c r="C485" s="2">
        <f t="shared" si="167"/>
        <v>38</v>
      </c>
      <c r="D485" s="2">
        <f t="shared" si="168"/>
        <v>6</v>
      </c>
      <c r="E485" s="2">
        <f t="shared" si="169"/>
        <v>67</v>
      </c>
      <c r="F485" s="1">
        <f t="shared" si="163"/>
        <v>795977.08747868147</v>
      </c>
      <c r="H485" s="1">
        <f t="shared" si="156"/>
        <v>6347.2330737448219</v>
      </c>
      <c r="I485" s="1">
        <v>0</v>
      </c>
      <c r="J485" s="69">
        <f>-SUM(F485:H485)*$J$21*1.16</f>
        <v>-8376.2659065673306</v>
      </c>
      <c r="K485" s="1">
        <f t="shared" si="164"/>
        <v>-920.9797433891963</v>
      </c>
      <c r="L485" s="1">
        <f t="shared" si="157"/>
        <v>793027.07490246976</v>
      </c>
      <c r="N485" s="1">
        <f t="shared" si="165"/>
        <v>462</v>
      </c>
      <c r="O485" s="2">
        <f t="shared" si="170"/>
        <v>38</v>
      </c>
      <c r="P485" s="2">
        <f t="shared" si="171"/>
        <v>6</v>
      </c>
      <c r="Q485" s="2">
        <f t="shared" si="172"/>
        <v>38</v>
      </c>
      <c r="R485" s="1">
        <f t="shared" si="166"/>
        <v>27952757.45227911</v>
      </c>
      <c r="S485" s="4">
        <f>IF($G$4="mensual",S484,0)</f>
        <v>10000</v>
      </c>
      <c r="U485" s="1">
        <f t="shared" si="173"/>
        <v>222978.95470384887</v>
      </c>
      <c r="V485" s="35">
        <f t="shared" si="155"/>
        <v>-392.35559850645052</v>
      </c>
      <c r="X485" s="35">
        <f t="shared" si="154"/>
        <v>-32694.999099605964</v>
      </c>
      <c r="Y485" s="1">
        <f t="shared" si="158"/>
        <v>28152649.052284848</v>
      </c>
      <c r="AA485" s="2">
        <f>+Bono!J485</f>
        <v>507286.3699928603</v>
      </c>
      <c r="AC485" s="10">
        <f t="shared" si="159"/>
        <v>38.5</v>
      </c>
      <c r="AD485" s="1">
        <f t="shared" si="160"/>
        <v>29452962.497180179</v>
      </c>
    </row>
    <row r="486" spans="1:30">
      <c r="A486" s="1">
        <f t="shared" si="161"/>
        <v>38.583333333333336</v>
      </c>
      <c r="B486" s="1">
        <f t="shared" si="162"/>
        <v>463</v>
      </c>
      <c r="C486" s="2">
        <f t="shared" si="167"/>
        <v>38</v>
      </c>
      <c r="D486" s="2">
        <f t="shared" si="168"/>
        <v>7</v>
      </c>
      <c r="E486" s="2">
        <f t="shared" si="169"/>
        <v>67</v>
      </c>
      <c r="F486" s="1">
        <f t="shared" si="163"/>
        <v>793027.07490246976</v>
      </c>
      <c r="H486" s="1">
        <f t="shared" si="156"/>
        <v>6323.7092591950777</v>
      </c>
      <c r="I486" s="1">
        <v>0</v>
      </c>
      <c r="J486" s="1">
        <v>0</v>
      </c>
      <c r="K486" s="1">
        <f t="shared" si="164"/>
        <v>-927.24690962753118</v>
      </c>
      <c r="L486" s="1">
        <f t="shared" si="157"/>
        <v>798423.5372520372</v>
      </c>
      <c r="N486" s="1">
        <f t="shared" si="165"/>
        <v>463</v>
      </c>
      <c r="O486" s="2">
        <f t="shared" si="170"/>
        <v>38</v>
      </c>
      <c r="P486" s="2">
        <f t="shared" si="171"/>
        <v>7</v>
      </c>
      <c r="Q486" s="2">
        <f t="shared" si="172"/>
        <v>38</v>
      </c>
      <c r="R486" s="1">
        <f t="shared" si="166"/>
        <v>28152649.052284848</v>
      </c>
      <c r="S486" s="1">
        <f>+IF($G$4="mensual",S480,IF($G$4="trimestral",S480,IF($G$4="semestral",S480,0)))</f>
        <v>10000</v>
      </c>
      <c r="U486" s="1">
        <f t="shared" si="173"/>
        <v>224572.91839285288</v>
      </c>
      <c r="V486" s="35">
        <f t="shared" si="155"/>
        <v>-392.35559850645052</v>
      </c>
      <c r="X486" s="35">
        <f t="shared" si="154"/>
        <v>-32928.722353491859</v>
      </c>
      <c r="Y486" s="1">
        <f t="shared" si="158"/>
        <v>28353900.892725702</v>
      </c>
      <c r="AA486" s="2">
        <f>+Bono!J486</f>
        <v>510431.60432839295</v>
      </c>
      <c r="AC486" s="10">
        <f t="shared" si="159"/>
        <v>38.583333333333336</v>
      </c>
      <c r="AD486" s="1">
        <f t="shared" si="160"/>
        <v>29662756.034306135</v>
      </c>
    </row>
    <row r="487" spans="1:30">
      <c r="A487" s="1">
        <f t="shared" si="161"/>
        <v>38.666666666666664</v>
      </c>
      <c r="B487" s="1">
        <f t="shared" si="162"/>
        <v>464</v>
      </c>
      <c r="C487" s="2">
        <f t="shared" si="167"/>
        <v>38</v>
      </c>
      <c r="D487" s="2">
        <f t="shared" si="168"/>
        <v>8</v>
      </c>
      <c r="E487" s="2">
        <f t="shared" si="169"/>
        <v>67</v>
      </c>
      <c r="F487" s="1">
        <f t="shared" si="163"/>
        <v>798423.5372520372</v>
      </c>
      <c r="H487" s="1">
        <f t="shared" si="156"/>
        <v>6366.7414077898202</v>
      </c>
      <c r="I487" s="1">
        <v>0</v>
      </c>
      <c r="J487" s="1">
        <v>0</v>
      </c>
      <c r="K487" s="1">
        <f t="shared" si="164"/>
        <v>-933.55672324539933</v>
      </c>
      <c r="L487" s="1">
        <f t="shared" si="157"/>
        <v>803856.72193658166</v>
      </c>
      <c r="N487" s="1">
        <f t="shared" si="165"/>
        <v>464</v>
      </c>
      <c r="O487" s="2">
        <f t="shared" si="170"/>
        <v>38</v>
      </c>
      <c r="P487" s="2">
        <f t="shared" si="171"/>
        <v>8</v>
      </c>
      <c r="Q487" s="2">
        <f t="shared" si="172"/>
        <v>38</v>
      </c>
      <c r="R487" s="1">
        <f t="shared" si="166"/>
        <v>28353900.892725702</v>
      </c>
      <c r="S487" s="4">
        <f>IF($G$4="mensual",S486,0)</f>
        <v>10000</v>
      </c>
      <c r="U487" s="1">
        <f t="shared" si="173"/>
        <v>226177.72883010359</v>
      </c>
      <c r="V487" s="35">
        <f t="shared" si="155"/>
        <v>-392.35559850645052</v>
      </c>
      <c r="X487" s="35">
        <f t="shared" si="154"/>
        <v>-33164.036068510468</v>
      </c>
      <c r="Y487" s="1">
        <f t="shared" si="158"/>
        <v>28556522.229888789</v>
      </c>
      <c r="AA487" s="2">
        <f>+Bono!J487</f>
        <v>513596.33948163048</v>
      </c>
      <c r="AC487" s="10">
        <f t="shared" si="159"/>
        <v>38.666666666666664</v>
      </c>
      <c r="AD487" s="1">
        <f t="shared" si="160"/>
        <v>29873975.291307002</v>
      </c>
    </row>
    <row r="488" spans="1:30">
      <c r="A488" s="1">
        <f t="shared" si="161"/>
        <v>38.75</v>
      </c>
      <c r="B488" s="1">
        <f t="shared" si="162"/>
        <v>465</v>
      </c>
      <c r="C488" s="2">
        <f t="shared" si="167"/>
        <v>38</v>
      </c>
      <c r="D488" s="2">
        <f t="shared" si="168"/>
        <v>9</v>
      </c>
      <c r="E488" s="2">
        <f t="shared" si="169"/>
        <v>67</v>
      </c>
      <c r="F488" s="1">
        <f t="shared" si="163"/>
        <v>803856.72193658166</v>
      </c>
      <c r="H488" s="1">
        <f t="shared" si="156"/>
        <v>6410.0663854405475</v>
      </c>
      <c r="I488" s="1">
        <v>0</v>
      </c>
      <c r="J488" s="69">
        <f>-SUM(F488:H488)*$J$21*1.16</f>
        <v>-8459.1852700819127</v>
      </c>
      <c r="K488" s="1">
        <f t="shared" si="164"/>
        <v>-930.09681954025064</v>
      </c>
      <c r="L488" s="1">
        <f t="shared" si="157"/>
        <v>800877.50623240008</v>
      </c>
      <c r="N488" s="1">
        <f t="shared" si="165"/>
        <v>465</v>
      </c>
      <c r="O488" s="2">
        <f t="shared" si="170"/>
        <v>38</v>
      </c>
      <c r="P488" s="2">
        <f t="shared" si="171"/>
        <v>9</v>
      </c>
      <c r="Q488" s="2">
        <f t="shared" si="172"/>
        <v>38</v>
      </c>
      <c r="R488" s="1">
        <f t="shared" si="166"/>
        <v>28556522.229888789</v>
      </c>
      <c r="S488" s="4">
        <f>IF($G$4="mensual",S487,0)</f>
        <v>10000</v>
      </c>
      <c r="U488" s="1">
        <f t="shared" si="173"/>
        <v>227793.45982653429</v>
      </c>
      <c r="V488" s="35">
        <f t="shared" si="155"/>
        <v>-392.35559850645052</v>
      </c>
      <c r="X488" s="35">
        <f t="shared" si="154"/>
        <v>-33400.951067575508</v>
      </c>
      <c r="Y488" s="1">
        <f t="shared" si="158"/>
        <v>28760522.383049242</v>
      </c>
      <c r="AA488" s="2">
        <f>+Bono!J488</f>
        <v>512125.01441071625</v>
      </c>
      <c r="AC488" s="10">
        <f t="shared" si="159"/>
        <v>38.75</v>
      </c>
      <c r="AD488" s="1">
        <f t="shared" si="160"/>
        <v>30073524.903692357</v>
      </c>
    </row>
    <row r="489" spans="1:30">
      <c r="A489" s="1">
        <f t="shared" si="161"/>
        <v>38.833333333333336</v>
      </c>
      <c r="B489" s="1">
        <f t="shared" si="162"/>
        <v>466</v>
      </c>
      <c r="C489" s="2">
        <f t="shared" si="167"/>
        <v>38</v>
      </c>
      <c r="D489" s="2">
        <f t="shared" si="168"/>
        <v>10</v>
      </c>
      <c r="E489" s="2">
        <f t="shared" si="169"/>
        <v>67</v>
      </c>
      <c r="F489" s="1">
        <f t="shared" si="163"/>
        <v>800877.50623240008</v>
      </c>
      <c r="H489" s="1">
        <f t="shared" si="156"/>
        <v>6386.3097010474075</v>
      </c>
      <c r="I489" s="1">
        <v>0</v>
      </c>
      <c r="J489" s="1">
        <v>0</v>
      </c>
      <c r="K489" s="1">
        <f t="shared" si="164"/>
        <v>-936.4260264827991</v>
      </c>
      <c r="L489" s="1">
        <f t="shared" si="157"/>
        <v>806327.38990696461</v>
      </c>
      <c r="N489" s="1">
        <f t="shared" si="165"/>
        <v>466</v>
      </c>
      <c r="O489" s="2">
        <f t="shared" si="170"/>
        <v>38</v>
      </c>
      <c r="P489" s="2">
        <f t="shared" si="171"/>
        <v>10</v>
      </c>
      <c r="Q489" s="2">
        <f t="shared" si="172"/>
        <v>38</v>
      </c>
      <c r="R489" s="1">
        <f t="shared" si="166"/>
        <v>28760522.383049242</v>
      </c>
      <c r="S489" s="4">
        <f>IF($G$4="mensual",S480,IF($G$4="trimestral",S480,0))</f>
        <v>10000</v>
      </c>
      <c r="U489" s="1">
        <f t="shared" si="173"/>
        <v>229420.18569535363</v>
      </c>
      <c r="V489" s="35">
        <f t="shared" si="155"/>
        <v>-392.35559850645052</v>
      </c>
      <c r="X489" s="35">
        <f t="shared" si="154"/>
        <v>-33639.478247249463</v>
      </c>
      <c r="Y489" s="1">
        <f t="shared" si="158"/>
        <v>28965910.734898843</v>
      </c>
      <c r="AA489" s="2">
        <f>+Bono!J489</f>
        <v>515300.24890288763</v>
      </c>
      <c r="AC489" s="10">
        <f t="shared" si="159"/>
        <v>38.833333333333336</v>
      </c>
      <c r="AD489" s="1">
        <f t="shared" si="160"/>
        <v>30287538.373708695</v>
      </c>
    </row>
    <row r="490" spans="1:30">
      <c r="A490" s="1">
        <f t="shared" si="161"/>
        <v>38.916666666666664</v>
      </c>
      <c r="B490" s="1">
        <f t="shared" si="162"/>
        <v>467</v>
      </c>
      <c r="C490" s="2">
        <f t="shared" si="167"/>
        <v>38</v>
      </c>
      <c r="D490" s="2">
        <f t="shared" si="168"/>
        <v>11</v>
      </c>
      <c r="E490" s="2">
        <f t="shared" si="169"/>
        <v>67</v>
      </c>
      <c r="F490" s="1">
        <f t="shared" si="163"/>
        <v>806327.38990696461</v>
      </c>
      <c r="H490" s="1">
        <f t="shared" si="156"/>
        <v>6429.7678387895758</v>
      </c>
      <c r="I490" s="1">
        <v>0</v>
      </c>
      <c r="J490" s="1">
        <v>0</v>
      </c>
      <c r="K490" s="1">
        <f t="shared" si="164"/>
        <v>-942.79830298507488</v>
      </c>
      <c r="L490" s="1">
        <f t="shared" si="157"/>
        <v>811814.3594427692</v>
      </c>
      <c r="N490" s="1">
        <f t="shared" si="165"/>
        <v>467</v>
      </c>
      <c r="O490" s="2">
        <f t="shared" si="170"/>
        <v>38</v>
      </c>
      <c r="P490" s="2">
        <f t="shared" si="171"/>
        <v>11</v>
      </c>
      <c r="Q490" s="2">
        <f t="shared" si="172"/>
        <v>38</v>
      </c>
      <c r="R490" s="1">
        <f t="shared" si="166"/>
        <v>28965910.734898843</v>
      </c>
      <c r="S490" s="1">
        <f>IF($G$17="si",S478*(1+$G$20),S478)</f>
        <v>10000</v>
      </c>
      <c r="U490" s="1">
        <f t="shared" si="173"/>
        <v>231057.98125546344</v>
      </c>
      <c r="V490" s="35">
        <f t="shared" si="155"/>
        <v>-392.35559850645052</v>
      </c>
      <c r="X490" s="35">
        <f t="shared" si="154"/>
        <v>-33879.62857824473</v>
      </c>
      <c r="Y490" s="1">
        <f t="shared" si="158"/>
        <v>29172696.731977556</v>
      </c>
      <c r="AA490" s="2">
        <f>+Bono!J490</f>
        <v>518495.17021721485</v>
      </c>
      <c r="AC490" s="10">
        <f t="shared" si="159"/>
        <v>38.916666666666664</v>
      </c>
      <c r="AD490" s="1">
        <f t="shared" si="160"/>
        <v>30503006.261637542</v>
      </c>
    </row>
    <row r="491" spans="1:30">
      <c r="A491" s="1">
        <f t="shared" si="161"/>
        <v>39</v>
      </c>
      <c r="B491" s="1">
        <f t="shared" si="162"/>
        <v>468</v>
      </c>
      <c r="C491" s="2">
        <f t="shared" si="167"/>
        <v>38</v>
      </c>
      <c r="D491" s="2">
        <f t="shared" si="168"/>
        <v>12</v>
      </c>
      <c r="E491" s="2">
        <f t="shared" si="169"/>
        <v>67</v>
      </c>
      <c r="F491" s="1">
        <f t="shared" si="163"/>
        <v>811814.3594427692</v>
      </c>
      <c r="H491" s="1">
        <f t="shared" si="156"/>
        <v>6473.5217043971979</v>
      </c>
      <c r="I491" s="1">
        <v>0</v>
      </c>
      <c r="J491" s="69">
        <f>-SUM(F491:H491)*$J$21*1.16</f>
        <v>-8542.9254791764179</v>
      </c>
      <c r="K491" s="1">
        <f t="shared" si="164"/>
        <v>-939.30414857486835</v>
      </c>
      <c r="L491" s="1">
        <f t="shared" si="157"/>
        <v>808805.65151941509</v>
      </c>
      <c r="N491" s="1">
        <f t="shared" si="165"/>
        <v>468</v>
      </c>
      <c r="O491" s="2">
        <f t="shared" si="170"/>
        <v>38</v>
      </c>
      <c r="P491" s="2">
        <f t="shared" si="171"/>
        <v>12</v>
      </c>
      <c r="Q491" s="2">
        <f t="shared" si="172"/>
        <v>38</v>
      </c>
      <c r="R491" s="1">
        <f t="shared" si="166"/>
        <v>29172696.731977556</v>
      </c>
      <c r="S491" s="4">
        <f>IF($G$4="mensual",S490,0)</f>
        <v>10000</v>
      </c>
      <c r="U491" s="1">
        <f t="shared" si="173"/>
        <v>232706.92183489999</v>
      </c>
      <c r="V491" s="35">
        <f t="shared" si="155"/>
        <v>-392.35559850645052</v>
      </c>
      <c r="X491" s="35">
        <f t="shared" ref="X491:X554" si="174">-SUM(R491:V491)*0.1%*1.16</f>
        <v>-34121.413105928179</v>
      </c>
      <c r="Y491" s="1">
        <f t="shared" si="158"/>
        <v>29380889.885108024</v>
      </c>
      <c r="AA491" s="2">
        <f>+Bono!J491</f>
        <v>517009.81122135743</v>
      </c>
      <c r="AC491" s="10">
        <f t="shared" si="159"/>
        <v>39</v>
      </c>
      <c r="AD491" s="1">
        <f t="shared" si="160"/>
        <v>30706705.347848795</v>
      </c>
    </row>
    <row r="492" spans="1:30">
      <c r="A492" s="1">
        <f t="shared" si="161"/>
        <v>39.083333333333336</v>
      </c>
      <c r="B492" s="1">
        <f t="shared" si="162"/>
        <v>469</v>
      </c>
      <c r="C492" s="2">
        <f t="shared" si="167"/>
        <v>39</v>
      </c>
      <c r="D492" s="2">
        <f t="shared" si="168"/>
        <v>1</v>
      </c>
      <c r="E492" s="2">
        <f t="shared" si="169"/>
        <v>68</v>
      </c>
      <c r="F492" s="1">
        <f t="shared" si="163"/>
        <v>808805.65151941509</v>
      </c>
      <c r="H492" s="1">
        <f t="shared" si="156"/>
        <v>6449.5298449068168</v>
      </c>
      <c r="I492" s="1">
        <v>0</v>
      </c>
      <c r="J492" s="1">
        <v>0</v>
      </c>
      <c r="K492" s="1">
        <f t="shared" si="164"/>
        <v>-945.69601038261328</v>
      </c>
      <c r="L492" s="1">
        <f t="shared" si="157"/>
        <v>814309.48535393924</v>
      </c>
      <c r="N492" s="1">
        <f t="shared" si="165"/>
        <v>469</v>
      </c>
      <c r="O492" s="2">
        <f t="shared" si="170"/>
        <v>39</v>
      </c>
      <c r="P492" s="2">
        <f t="shared" si="171"/>
        <v>1</v>
      </c>
      <c r="Q492" s="2">
        <f t="shared" si="172"/>
        <v>39</v>
      </c>
      <c r="R492" s="1">
        <f t="shared" si="166"/>
        <v>29380889.885108024</v>
      </c>
      <c r="S492" s="1">
        <f>IF($G$17="si",S480*(1+$G$20),S480)</f>
        <v>10000</v>
      </c>
      <c r="U492" s="1">
        <f t="shared" si="173"/>
        <v>234367.08327429861</v>
      </c>
      <c r="V492" s="35">
        <f>V491*(1+$G$18)</f>
        <v>-408.04982244670856</v>
      </c>
      <c r="X492" s="35">
        <f t="shared" si="174"/>
        <v>-34364.824745529455</v>
      </c>
      <c r="Y492" s="1">
        <f t="shared" si="158"/>
        <v>29590484.093814347</v>
      </c>
      <c r="AA492" s="2">
        <f>+Bono!J492</f>
        <v>520215.33202035615</v>
      </c>
      <c r="AC492" s="10">
        <f t="shared" si="159"/>
        <v>39.083333333333336</v>
      </c>
      <c r="AD492" s="1">
        <f t="shared" si="160"/>
        <v>30925008.911188643</v>
      </c>
    </row>
    <row r="493" spans="1:30">
      <c r="A493" s="1">
        <f t="shared" si="161"/>
        <v>39.166666666666664</v>
      </c>
      <c r="B493" s="1">
        <f t="shared" si="162"/>
        <v>470</v>
      </c>
      <c r="C493" s="2">
        <f t="shared" si="167"/>
        <v>39</v>
      </c>
      <c r="D493" s="2">
        <f t="shared" si="168"/>
        <v>2</v>
      </c>
      <c r="E493" s="2">
        <f t="shared" si="169"/>
        <v>68</v>
      </c>
      <c r="F493" s="1">
        <f t="shared" si="163"/>
        <v>814309.48535393924</v>
      </c>
      <c r="H493" s="1">
        <f t="shared" si="156"/>
        <v>6493.4181888006642</v>
      </c>
      <c r="I493" s="1">
        <v>0</v>
      </c>
      <c r="J493" s="1">
        <v>0</v>
      </c>
      <c r="K493" s="1">
        <f t="shared" si="164"/>
        <v>-952.13136810957826</v>
      </c>
      <c r="L493" s="1">
        <f t="shared" si="157"/>
        <v>819850.77217463031</v>
      </c>
      <c r="N493" s="1">
        <f t="shared" si="165"/>
        <v>470</v>
      </c>
      <c r="O493" s="2">
        <f t="shared" si="170"/>
        <v>39</v>
      </c>
      <c r="P493" s="2">
        <f t="shared" si="171"/>
        <v>2</v>
      </c>
      <c r="Q493" s="2">
        <f t="shared" si="172"/>
        <v>39</v>
      </c>
      <c r="R493" s="1">
        <f t="shared" si="166"/>
        <v>29590484.093814347</v>
      </c>
      <c r="S493" s="4">
        <f>IF($G$4="mensual",S492,0)</f>
        <v>10000</v>
      </c>
      <c r="U493" s="1">
        <f t="shared" si="173"/>
        <v>236038.41692760779</v>
      </c>
      <c r="V493" s="35">
        <f t="shared" si="155"/>
        <v>-408.04982244670856</v>
      </c>
      <c r="X493" s="35">
        <f t="shared" si="174"/>
        <v>-34609.89277466663</v>
      </c>
      <c r="Y493" s="1">
        <f t="shared" si="158"/>
        <v>29801504.568144843</v>
      </c>
      <c r="AA493" s="2">
        <f>+Bono!J493</f>
        <v>523440.72742012603</v>
      </c>
      <c r="AC493" s="10">
        <f t="shared" si="159"/>
        <v>39.166666666666664</v>
      </c>
      <c r="AD493" s="1">
        <f t="shared" si="160"/>
        <v>31144796.067739598</v>
      </c>
    </row>
    <row r="494" spans="1:30">
      <c r="A494" s="1">
        <f t="shared" si="161"/>
        <v>39.25</v>
      </c>
      <c r="B494" s="1">
        <f t="shared" si="162"/>
        <v>471</v>
      </c>
      <c r="C494" s="2">
        <f t="shared" si="167"/>
        <v>39</v>
      </c>
      <c r="D494" s="2">
        <f t="shared" si="168"/>
        <v>3</v>
      </c>
      <c r="E494" s="2">
        <f t="shared" si="169"/>
        <v>68</v>
      </c>
      <c r="F494" s="1">
        <f t="shared" si="163"/>
        <v>819850.77217463031</v>
      </c>
      <c r="H494" s="1">
        <f t="shared" si="156"/>
        <v>6537.6051880656887</v>
      </c>
      <c r="I494" s="1">
        <v>0</v>
      </c>
      <c r="J494" s="69">
        <f>-SUM(F494:H494)*$J$21*1.16</f>
        <v>-8627.4946596665468</v>
      </c>
      <c r="K494" s="1">
        <f t="shared" si="164"/>
        <v>-948.60262393551409</v>
      </c>
      <c r="L494" s="1">
        <f t="shared" si="157"/>
        <v>816812.28007909388</v>
      </c>
      <c r="N494" s="1">
        <f t="shared" si="165"/>
        <v>471</v>
      </c>
      <c r="O494" s="2">
        <f t="shared" si="170"/>
        <v>39</v>
      </c>
      <c r="P494" s="2">
        <f t="shared" si="171"/>
        <v>3</v>
      </c>
      <c r="Q494" s="2">
        <f t="shared" si="172"/>
        <v>39</v>
      </c>
      <c r="R494" s="1">
        <f t="shared" si="166"/>
        <v>29801504.568144843</v>
      </c>
      <c r="S494" s="4">
        <f>IF($G$4="mensual",S493,0)</f>
        <v>10000</v>
      </c>
      <c r="U494" s="1">
        <f t="shared" si="173"/>
        <v>237721.12382329305</v>
      </c>
      <c r="V494" s="35">
        <f t="shared" si="155"/>
        <v>-408.04982244670856</v>
      </c>
      <c r="X494" s="35">
        <f t="shared" si="174"/>
        <v>-34856.628464889</v>
      </c>
      <c r="Y494" s="1">
        <f t="shared" si="158"/>
        <v>30013961.013680801</v>
      </c>
      <c r="AA494" s="2">
        <f>+Bono!J494</f>
        <v>521941.20063968195</v>
      </c>
      <c r="AC494" s="10">
        <f t="shared" si="159"/>
        <v>39.25</v>
      </c>
      <c r="AD494" s="1">
        <f t="shared" si="160"/>
        <v>31352714.494399577</v>
      </c>
    </row>
    <row r="495" spans="1:30">
      <c r="A495" s="1">
        <f t="shared" si="161"/>
        <v>39.333333333333336</v>
      </c>
      <c r="B495" s="1">
        <f t="shared" si="162"/>
        <v>472</v>
      </c>
      <c r="C495" s="2">
        <f t="shared" si="167"/>
        <v>39</v>
      </c>
      <c r="D495" s="2">
        <f t="shared" si="168"/>
        <v>4</v>
      </c>
      <c r="E495" s="2">
        <f t="shared" si="169"/>
        <v>68</v>
      </c>
      <c r="F495" s="1">
        <f t="shared" si="163"/>
        <v>816812.28007909388</v>
      </c>
      <c r="H495" s="1">
        <f t="shared" si="156"/>
        <v>6513.3758254037675</v>
      </c>
      <c r="I495" s="1">
        <v>0</v>
      </c>
      <c r="J495" s="1">
        <v>0</v>
      </c>
      <c r="K495" s="1">
        <f t="shared" si="164"/>
        <v>-955.05776084921717</v>
      </c>
      <c r="L495" s="1">
        <f t="shared" si="157"/>
        <v>822370.59814364836</v>
      </c>
      <c r="N495" s="1">
        <f t="shared" si="165"/>
        <v>472</v>
      </c>
      <c r="O495" s="2">
        <f t="shared" si="170"/>
        <v>39</v>
      </c>
      <c r="P495" s="2">
        <f t="shared" si="171"/>
        <v>4</v>
      </c>
      <c r="Q495" s="2">
        <f t="shared" si="172"/>
        <v>39</v>
      </c>
      <c r="R495" s="1">
        <f t="shared" si="166"/>
        <v>30013961.013680801</v>
      </c>
      <c r="S495" s="4">
        <f>IF($G$4="mensual",S492,IF($G$4="trimestral",S492,0))</f>
        <v>10000</v>
      </c>
      <c r="U495" s="1">
        <f t="shared" si="173"/>
        <v>239415.28135502251</v>
      </c>
      <c r="V495" s="35">
        <f t="shared" si="155"/>
        <v>-408.04982244670856</v>
      </c>
      <c r="X495" s="35">
        <f t="shared" si="174"/>
        <v>-35105.043164447517</v>
      </c>
      <c r="Y495" s="1">
        <f t="shared" si="158"/>
        <v>30227863.202048931</v>
      </c>
      <c r="AA495" s="2">
        <f>+Bono!J495</f>
        <v>525177.29662508005</v>
      </c>
      <c r="AC495" s="10">
        <f t="shared" si="159"/>
        <v>39.333333333333336</v>
      </c>
      <c r="AD495" s="1">
        <f t="shared" si="160"/>
        <v>31575411.096817661</v>
      </c>
    </row>
    <row r="496" spans="1:30">
      <c r="A496" s="1">
        <f t="shared" si="161"/>
        <v>39.416666666666664</v>
      </c>
      <c r="B496" s="1">
        <f t="shared" si="162"/>
        <v>473</v>
      </c>
      <c r="C496" s="2">
        <f t="shared" si="167"/>
        <v>39</v>
      </c>
      <c r="D496" s="2">
        <f t="shared" si="168"/>
        <v>5</v>
      </c>
      <c r="E496" s="2">
        <f t="shared" si="169"/>
        <v>68</v>
      </c>
      <c r="F496" s="1">
        <f t="shared" si="163"/>
        <v>822370.59814364836</v>
      </c>
      <c r="H496" s="1">
        <f t="shared" si="156"/>
        <v>6557.6986341990369</v>
      </c>
      <c r="I496" s="1">
        <v>0</v>
      </c>
      <c r="J496" s="1">
        <v>0</v>
      </c>
      <c r="K496" s="1">
        <f t="shared" si="164"/>
        <v>-961.55682426230283</v>
      </c>
      <c r="L496" s="1">
        <f t="shared" si="157"/>
        <v>827966.73995358509</v>
      </c>
      <c r="N496" s="1">
        <f t="shared" si="165"/>
        <v>473</v>
      </c>
      <c r="O496" s="2">
        <f t="shared" si="170"/>
        <v>39</v>
      </c>
      <c r="P496" s="2">
        <f t="shared" si="171"/>
        <v>5</v>
      </c>
      <c r="Q496" s="2">
        <f t="shared" si="172"/>
        <v>39</v>
      </c>
      <c r="R496" s="1">
        <f t="shared" si="166"/>
        <v>30227863.202048931</v>
      </c>
      <c r="S496" s="4">
        <f>IF($G$4="mensual",S495,0)</f>
        <v>10000</v>
      </c>
      <c r="U496" s="1">
        <f t="shared" si="173"/>
        <v>241120.96744311982</v>
      </c>
      <c r="V496" s="35">
        <f t="shared" si="155"/>
        <v>-408.04982244670856</v>
      </c>
      <c r="X496" s="35">
        <f t="shared" si="174"/>
        <v>-35355.148298816741</v>
      </c>
      <c r="Y496" s="1">
        <f t="shared" si="158"/>
        <v>30443220.97137079</v>
      </c>
      <c r="AA496" s="2">
        <f>+Bono!J496</f>
        <v>528433.45678095159</v>
      </c>
      <c r="AC496" s="10">
        <f t="shared" si="159"/>
        <v>39.416666666666664</v>
      </c>
      <c r="AD496" s="1">
        <f t="shared" si="160"/>
        <v>31799621.168105327</v>
      </c>
    </row>
    <row r="497" spans="1:30">
      <c r="A497" s="1">
        <f t="shared" si="161"/>
        <v>39.5</v>
      </c>
      <c r="B497" s="1">
        <f t="shared" si="162"/>
        <v>474</v>
      </c>
      <c r="C497" s="2">
        <f t="shared" si="167"/>
        <v>39</v>
      </c>
      <c r="D497" s="2">
        <f t="shared" si="168"/>
        <v>6</v>
      </c>
      <c r="E497" s="2">
        <f t="shared" si="169"/>
        <v>68</v>
      </c>
      <c r="F497" s="1">
        <f t="shared" si="163"/>
        <v>827966.73995358509</v>
      </c>
      <c r="H497" s="1">
        <f t="shared" si="156"/>
        <v>6602.3230548515321</v>
      </c>
      <c r="I497" s="1">
        <v>0</v>
      </c>
      <c r="J497" s="69">
        <f>-SUM(F497:H497)*$J$21*1.16</f>
        <v>-8712.9010178080789</v>
      </c>
      <c r="K497" s="1">
        <f t="shared" si="164"/>
        <v>-957.99314790912899</v>
      </c>
      <c r="L497" s="1">
        <f t="shared" si="157"/>
        <v>824898.16884271929</v>
      </c>
      <c r="N497" s="1">
        <f t="shared" si="165"/>
        <v>474</v>
      </c>
      <c r="O497" s="2">
        <f t="shared" si="170"/>
        <v>39</v>
      </c>
      <c r="P497" s="2">
        <f t="shared" si="171"/>
        <v>6</v>
      </c>
      <c r="Q497" s="2">
        <f t="shared" si="172"/>
        <v>39</v>
      </c>
      <c r="R497" s="1">
        <f t="shared" si="166"/>
        <v>30443220.97137079</v>
      </c>
      <c r="S497" s="4">
        <f>IF($G$4="mensual",S496,0)</f>
        <v>10000</v>
      </c>
      <c r="U497" s="1">
        <f t="shared" si="173"/>
        <v>242838.26053814779</v>
      </c>
      <c r="V497" s="35">
        <f t="shared" si="155"/>
        <v>-408.04982244670856</v>
      </c>
      <c r="X497" s="35">
        <f t="shared" si="174"/>
        <v>-35606.955371220334</v>
      </c>
      <c r="Y497" s="1">
        <f t="shared" si="158"/>
        <v>30660044.226715274</v>
      </c>
      <c r="AA497" s="2">
        <f>+Bono!J497</f>
        <v>526919.62707948533</v>
      </c>
      <c r="AC497" s="10">
        <f t="shared" si="159"/>
        <v>39.5</v>
      </c>
      <c r="AD497" s="1">
        <f t="shared" si="160"/>
        <v>32011862.022637479</v>
      </c>
    </row>
    <row r="498" spans="1:30">
      <c r="A498" s="1">
        <f t="shared" si="161"/>
        <v>39.583333333333336</v>
      </c>
      <c r="B498" s="1">
        <f t="shared" si="162"/>
        <v>475</v>
      </c>
      <c r="C498" s="2">
        <f t="shared" si="167"/>
        <v>39</v>
      </c>
      <c r="D498" s="2">
        <f t="shared" si="168"/>
        <v>7</v>
      </c>
      <c r="E498" s="2">
        <f t="shared" si="169"/>
        <v>68</v>
      </c>
      <c r="F498" s="1">
        <f t="shared" si="163"/>
        <v>824898.16884271929</v>
      </c>
      <c r="H498" s="1">
        <f t="shared" si="156"/>
        <v>6577.8538378974117</v>
      </c>
      <c r="I498" s="1">
        <v>0</v>
      </c>
      <c r="J498" s="1">
        <v>0</v>
      </c>
      <c r="K498" s="1">
        <f t="shared" si="164"/>
        <v>-964.5121863095153</v>
      </c>
      <c r="L498" s="1">
        <f t="shared" si="157"/>
        <v>830511.51049430715</v>
      </c>
      <c r="N498" s="1">
        <f t="shared" si="165"/>
        <v>475</v>
      </c>
      <c r="O498" s="2">
        <f t="shared" si="170"/>
        <v>39</v>
      </c>
      <c r="P498" s="2">
        <f t="shared" si="171"/>
        <v>7</v>
      </c>
      <c r="Q498" s="2">
        <f t="shared" si="172"/>
        <v>39</v>
      </c>
      <c r="R498" s="1">
        <f t="shared" si="166"/>
        <v>30660044.226715274</v>
      </c>
      <c r="S498" s="1">
        <f>+IF($G$4="mensual",S492,IF($G$4="trimestral",S492,IF($G$4="semestral",S492,0)))</f>
        <v>10000</v>
      </c>
      <c r="U498" s="1">
        <f t="shared" si="173"/>
        <v>244567.23962451675</v>
      </c>
      <c r="V498" s="35">
        <f t="shared" si="155"/>
        <v>-408.04982244670856</v>
      </c>
      <c r="X498" s="35">
        <f t="shared" si="174"/>
        <v>-35860.475963160112</v>
      </c>
      <c r="Y498" s="1">
        <f t="shared" si="158"/>
        <v>30878342.940554183</v>
      </c>
      <c r="AA498" s="2">
        <f>+Bono!J498</f>
        <v>530186.58988627198</v>
      </c>
      <c r="AC498" s="10">
        <f t="shared" si="159"/>
        <v>39.583333333333336</v>
      </c>
      <c r="AD498" s="1">
        <f t="shared" si="160"/>
        <v>32239041.04093476</v>
      </c>
    </row>
    <row r="499" spans="1:30">
      <c r="A499" s="1">
        <f t="shared" si="161"/>
        <v>39.666666666666664</v>
      </c>
      <c r="B499" s="1">
        <f t="shared" si="162"/>
        <v>476</v>
      </c>
      <c r="C499" s="2">
        <f t="shared" si="167"/>
        <v>39</v>
      </c>
      <c r="D499" s="2">
        <f t="shared" si="168"/>
        <v>8</v>
      </c>
      <c r="E499" s="2">
        <f t="shared" si="169"/>
        <v>68</v>
      </c>
      <c r="F499" s="1">
        <f t="shared" si="163"/>
        <v>830511.51049430715</v>
      </c>
      <c r="H499" s="1">
        <f t="shared" si="156"/>
        <v>6622.6154125025878</v>
      </c>
      <c r="I499" s="1">
        <v>0</v>
      </c>
      <c r="J499" s="1">
        <v>0</v>
      </c>
      <c r="K499" s="1">
        <f t="shared" si="164"/>
        <v>-971.07558605189922</v>
      </c>
      <c r="L499" s="1">
        <f t="shared" si="157"/>
        <v>836163.05032075779</v>
      </c>
      <c r="N499" s="1">
        <f t="shared" si="165"/>
        <v>476</v>
      </c>
      <c r="O499" s="2">
        <f t="shared" si="170"/>
        <v>39</v>
      </c>
      <c r="P499" s="2">
        <f t="shared" si="171"/>
        <v>8</v>
      </c>
      <c r="Q499" s="2">
        <f t="shared" si="172"/>
        <v>39</v>
      </c>
      <c r="R499" s="1">
        <f t="shared" si="166"/>
        <v>30878342.940554183</v>
      </c>
      <c r="S499" s="4">
        <f>IF($G$4="mensual",S498,0)</f>
        <v>10000</v>
      </c>
      <c r="U499" s="1">
        <f t="shared" si="173"/>
        <v>246307.9842241173</v>
      </c>
      <c r="V499" s="35">
        <f t="shared" si="155"/>
        <v>-408.04982244670856</v>
      </c>
      <c r="X499" s="35">
        <f t="shared" si="174"/>
        <v>-36115.721734948791</v>
      </c>
      <c r="Y499" s="1">
        <f t="shared" si="158"/>
        <v>31098127.153220907</v>
      </c>
      <c r="AA499" s="2">
        <f>+Bono!J499</f>
        <v>533473.80824140494</v>
      </c>
      <c r="AC499" s="10">
        <f t="shared" si="159"/>
        <v>39.666666666666664</v>
      </c>
      <c r="AD499" s="1">
        <f t="shared" si="160"/>
        <v>32467764.011783071</v>
      </c>
    </row>
    <row r="500" spans="1:30">
      <c r="A500" s="1">
        <f t="shared" si="161"/>
        <v>39.75</v>
      </c>
      <c r="B500" s="1">
        <f t="shared" si="162"/>
        <v>477</v>
      </c>
      <c r="C500" s="2">
        <f t="shared" si="167"/>
        <v>39</v>
      </c>
      <c r="D500" s="2">
        <f t="shared" si="168"/>
        <v>9</v>
      </c>
      <c r="E500" s="2">
        <f t="shared" si="169"/>
        <v>68</v>
      </c>
      <c r="F500" s="1">
        <f t="shared" si="163"/>
        <v>836163.05032075779</v>
      </c>
      <c r="H500" s="1">
        <f t="shared" si="156"/>
        <v>6667.681584718247</v>
      </c>
      <c r="I500" s="1">
        <v>0</v>
      </c>
      <c r="J500" s="69">
        <f>-SUM(F500:H500)*$J$21*1.16</f>
        <v>-8799.1528410931714</v>
      </c>
      <c r="K500" s="1">
        <f t="shared" si="164"/>
        <v>-967.47663171468423</v>
      </c>
      <c r="L500" s="1">
        <f t="shared" si="157"/>
        <v>833064.10243266821</v>
      </c>
      <c r="N500" s="1">
        <f t="shared" si="165"/>
        <v>477</v>
      </c>
      <c r="O500" s="2">
        <f t="shared" si="170"/>
        <v>39</v>
      </c>
      <c r="P500" s="2">
        <f t="shared" si="171"/>
        <v>9</v>
      </c>
      <c r="Q500" s="2">
        <f t="shared" si="172"/>
        <v>39</v>
      </c>
      <c r="R500" s="1">
        <f t="shared" si="166"/>
        <v>31098127.153220907</v>
      </c>
      <c r="S500" s="4">
        <f>IF($G$4="mensual",S499,0)</f>
        <v>10000</v>
      </c>
      <c r="U500" s="1">
        <f t="shared" si="173"/>
        <v>248060.57439997781</v>
      </c>
      <c r="V500" s="35">
        <f t="shared" si="155"/>
        <v>-408.04982244670856</v>
      </c>
      <c r="X500" s="35">
        <f t="shared" si="174"/>
        <v>-36372.704426246186</v>
      </c>
      <c r="Y500" s="1">
        <f t="shared" si="158"/>
        <v>31319406.973372191</v>
      </c>
      <c r="AA500" s="2">
        <f>+Bono!J500</f>
        <v>531945.53919351054</v>
      </c>
      <c r="AC500" s="10">
        <f t="shared" si="159"/>
        <v>39.75</v>
      </c>
      <c r="AD500" s="1">
        <f t="shared" si="160"/>
        <v>32684416.61499837</v>
      </c>
    </row>
    <row r="501" spans="1:30">
      <c r="A501" s="1">
        <f t="shared" si="161"/>
        <v>39.833333333333336</v>
      </c>
      <c r="B501" s="1">
        <f t="shared" si="162"/>
        <v>478</v>
      </c>
      <c r="C501" s="2">
        <f t="shared" si="167"/>
        <v>39</v>
      </c>
      <c r="D501" s="2">
        <f t="shared" si="168"/>
        <v>10</v>
      </c>
      <c r="E501" s="2">
        <f t="shared" si="169"/>
        <v>68</v>
      </c>
      <c r="F501" s="1">
        <f t="shared" si="163"/>
        <v>833064.10243266821</v>
      </c>
      <c r="H501" s="1">
        <f t="shared" si="156"/>
        <v>6642.9701390767659</v>
      </c>
      <c r="I501" s="1">
        <v>0</v>
      </c>
      <c r="J501" s="1">
        <v>0</v>
      </c>
      <c r="K501" s="1">
        <f t="shared" si="164"/>
        <v>-974.06020418322419</v>
      </c>
      <c r="L501" s="1">
        <f t="shared" si="157"/>
        <v>838733.01236756181</v>
      </c>
      <c r="N501" s="1">
        <f t="shared" si="165"/>
        <v>478</v>
      </c>
      <c r="O501" s="2">
        <f t="shared" si="170"/>
        <v>39</v>
      </c>
      <c r="P501" s="2">
        <f t="shared" si="171"/>
        <v>10</v>
      </c>
      <c r="Q501" s="2">
        <f t="shared" si="172"/>
        <v>39</v>
      </c>
      <c r="R501" s="1">
        <f t="shared" si="166"/>
        <v>31319406.973372191</v>
      </c>
      <c r="S501" s="4">
        <f>IF($G$4="mensual",S492,IF($G$4="trimestral",S492,0))</f>
        <v>10000</v>
      </c>
      <c r="U501" s="1">
        <f t="shared" si="173"/>
        <v>249825.0907599467</v>
      </c>
      <c r="V501" s="35">
        <f t="shared" si="155"/>
        <v>-408.04982244670856</v>
      </c>
      <c r="X501" s="35">
        <f t="shared" si="174"/>
        <v>-36631.435856599244</v>
      </c>
      <c r="Y501" s="1">
        <f t="shared" si="158"/>
        <v>31542192.578453094</v>
      </c>
      <c r="AA501" s="2">
        <f>+Bono!J501</f>
        <v>535243.66323837382</v>
      </c>
      <c r="AC501" s="10">
        <f t="shared" si="159"/>
        <v>39.833333333333336</v>
      </c>
      <c r="AD501" s="1">
        <f t="shared" si="160"/>
        <v>32916169.254059028</v>
      </c>
    </row>
    <row r="502" spans="1:30">
      <c r="A502" s="1">
        <f t="shared" si="161"/>
        <v>39.916666666666664</v>
      </c>
      <c r="B502" s="1">
        <f t="shared" si="162"/>
        <v>479</v>
      </c>
      <c r="C502" s="2">
        <f t="shared" si="167"/>
        <v>39</v>
      </c>
      <c r="D502" s="2">
        <f t="shared" si="168"/>
        <v>11</v>
      </c>
      <c r="E502" s="2">
        <f t="shared" si="169"/>
        <v>68</v>
      </c>
      <c r="F502" s="1">
        <f t="shared" si="163"/>
        <v>838733.01236756181</v>
      </c>
      <c r="H502" s="1">
        <f t="shared" si="156"/>
        <v>6688.1748229764153</v>
      </c>
      <c r="I502" s="1">
        <v>0</v>
      </c>
      <c r="J502" s="1">
        <v>0</v>
      </c>
      <c r="K502" s="1">
        <f t="shared" si="164"/>
        <v>-980.68857714102433</v>
      </c>
      <c r="L502" s="1">
        <f t="shared" si="157"/>
        <v>844440.49861339724</v>
      </c>
      <c r="N502" s="1">
        <f t="shared" si="165"/>
        <v>479</v>
      </c>
      <c r="O502" s="2">
        <f t="shared" si="170"/>
        <v>39</v>
      </c>
      <c r="P502" s="2">
        <f t="shared" si="171"/>
        <v>11</v>
      </c>
      <c r="Q502" s="2">
        <f t="shared" si="172"/>
        <v>39</v>
      </c>
      <c r="R502" s="1">
        <f t="shared" si="166"/>
        <v>31542192.578453094</v>
      </c>
      <c r="S502" s="1">
        <f>IF($G$17="si",S490*(1+$G$20),S490)</f>
        <v>10000</v>
      </c>
      <c r="U502" s="1">
        <f t="shared" si="173"/>
        <v>251601.61446040013</v>
      </c>
      <c r="V502" s="35">
        <f t="shared" si="155"/>
        <v>-408.04982244670856</v>
      </c>
      <c r="X502" s="35">
        <f t="shared" si="174"/>
        <v>-36891.927925985619</v>
      </c>
      <c r="Y502" s="1">
        <f t="shared" si="158"/>
        <v>31766494.215165064</v>
      </c>
      <c r="AA502" s="2">
        <f>+Bono!J502</f>
        <v>538562.23603487399</v>
      </c>
      <c r="AC502" s="10">
        <f t="shared" si="159"/>
        <v>39.916666666666664</v>
      </c>
      <c r="AD502" s="1">
        <f t="shared" si="160"/>
        <v>33149496.949813336</v>
      </c>
    </row>
    <row r="503" spans="1:30">
      <c r="A503" s="1">
        <f t="shared" si="161"/>
        <v>40</v>
      </c>
      <c r="B503" s="1">
        <f t="shared" si="162"/>
        <v>480</v>
      </c>
      <c r="C503" s="2">
        <f t="shared" si="167"/>
        <v>39</v>
      </c>
      <c r="D503" s="2">
        <f t="shared" si="168"/>
        <v>12</v>
      </c>
      <c r="E503" s="2">
        <f t="shared" si="169"/>
        <v>68</v>
      </c>
      <c r="F503" s="1">
        <f t="shared" si="163"/>
        <v>844440.49861339724</v>
      </c>
      <c r="H503" s="1">
        <f t="shared" si="156"/>
        <v>6733.6871197967439</v>
      </c>
      <c r="I503" s="1">
        <v>0</v>
      </c>
      <c r="J503" s="69">
        <f>-SUM(F503:H503)*$J$21*1.16</f>
        <v>-8886.2584990545456</v>
      </c>
      <c r="K503" s="1">
        <f t="shared" si="164"/>
        <v>-977.05399559160162</v>
      </c>
      <c r="L503" s="1">
        <f t="shared" si="157"/>
        <v>841310.87323854782</v>
      </c>
      <c r="N503" s="1">
        <f t="shared" si="165"/>
        <v>480</v>
      </c>
      <c r="O503" s="2">
        <f t="shared" si="170"/>
        <v>39</v>
      </c>
      <c r="P503" s="2">
        <f t="shared" si="171"/>
        <v>12</v>
      </c>
      <c r="Q503" s="2">
        <f t="shared" si="172"/>
        <v>39</v>
      </c>
      <c r="R503" s="1">
        <f t="shared" si="166"/>
        <v>31766494.215165064</v>
      </c>
      <c r="S503" s="4">
        <f>IF($G$4="mensual",S502,0)</f>
        <v>10000</v>
      </c>
      <c r="U503" s="1">
        <f t="shared" si="173"/>
        <v>253390.22720997431</v>
      </c>
      <c r="V503" s="35">
        <f t="shared" si="155"/>
        <v>-408.04982244670856</v>
      </c>
      <c r="X503" s="35">
        <f t="shared" si="174"/>
        <v>-37154.192615361004</v>
      </c>
      <c r="Y503" s="1">
        <f t="shared" si="158"/>
        <v>31992322.199937232</v>
      </c>
      <c r="AA503" s="2">
        <f>+Bono!J503</f>
        <v>537019.3899138805</v>
      </c>
      <c r="AC503" s="10">
        <f t="shared" si="159"/>
        <v>40</v>
      </c>
      <c r="AD503" s="1">
        <f t="shared" si="160"/>
        <v>33370652.46308966</v>
      </c>
    </row>
    <row r="504" spans="1:30">
      <c r="A504" s="1">
        <f t="shared" si="161"/>
        <v>40.083333333333336</v>
      </c>
      <c r="B504" s="1">
        <f t="shared" si="162"/>
        <v>481</v>
      </c>
      <c r="C504" s="2">
        <f t="shared" si="167"/>
        <v>40</v>
      </c>
      <c r="D504" s="2">
        <f t="shared" si="168"/>
        <v>1</v>
      </c>
      <c r="E504" s="2">
        <f t="shared" si="169"/>
        <v>69</v>
      </c>
      <c r="F504" s="1">
        <f t="shared" si="163"/>
        <v>841310.87323854782</v>
      </c>
      <c r="H504" s="1">
        <f t="shared" si="156"/>
        <v>6708.7310475678341</v>
      </c>
      <c r="I504" s="1">
        <v>0</v>
      </c>
      <c r="J504" s="1">
        <v>0</v>
      </c>
      <c r="K504" s="1">
        <f t="shared" si="164"/>
        <v>-983.70274097189406</v>
      </c>
      <c r="L504" s="1">
        <f t="shared" si="157"/>
        <v>847035.90154514369</v>
      </c>
      <c r="N504" s="1">
        <f t="shared" si="165"/>
        <v>481</v>
      </c>
      <c r="O504" s="2">
        <f t="shared" si="170"/>
        <v>40</v>
      </c>
      <c r="P504" s="2">
        <f t="shared" si="171"/>
        <v>1</v>
      </c>
      <c r="Q504" s="2">
        <f t="shared" si="172"/>
        <v>40</v>
      </c>
      <c r="R504" s="1">
        <f t="shared" si="166"/>
        <v>31992322.199937232</v>
      </c>
      <c r="S504" s="1">
        <f>IF($G$17="si",S492*(1+$G$20),S492)</f>
        <v>10000</v>
      </c>
      <c r="U504" s="1">
        <f t="shared" si="173"/>
        <v>255191.01127332394</v>
      </c>
      <c r="V504" s="35">
        <f>V503*(1+$G$18)</f>
        <v>-424.37181534457693</v>
      </c>
      <c r="X504" s="35">
        <f t="shared" si="174"/>
        <v>-37418.223053698443</v>
      </c>
      <c r="Y504" s="1">
        <f t="shared" si="158"/>
        <v>32219670.616341513</v>
      </c>
      <c r="AA504" s="2">
        <f>+Bono!J504</f>
        <v>540348.9724217403</v>
      </c>
      <c r="AC504" s="10">
        <f t="shared" si="159"/>
        <v>40.083333333333336</v>
      </c>
      <c r="AD504" s="1">
        <f t="shared" si="160"/>
        <v>33607055.490308397</v>
      </c>
    </row>
    <row r="505" spans="1:30">
      <c r="A505" s="1">
        <f t="shared" si="161"/>
        <v>40.166666666666664</v>
      </c>
      <c r="B505" s="1">
        <f t="shared" si="162"/>
        <v>482</v>
      </c>
      <c r="C505" s="2">
        <f t="shared" si="167"/>
        <v>40</v>
      </c>
      <c r="D505" s="2">
        <f t="shared" si="168"/>
        <v>2</v>
      </c>
      <c r="E505" s="2">
        <f t="shared" si="169"/>
        <v>69</v>
      </c>
      <c r="F505" s="1">
        <f t="shared" si="163"/>
        <v>847035.90154514369</v>
      </c>
      <c r="H505" s="1">
        <f t="shared" si="156"/>
        <v>6754.3832272440786</v>
      </c>
      <c r="I505" s="1">
        <v>0</v>
      </c>
      <c r="J505" s="1">
        <v>0</v>
      </c>
      <c r="K505" s="1">
        <f t="shared" si="164"/>
        <v>-990.39673033596989</v>
      </c>
      <c r="L505" s="1">
        <f t="shared" si="157"/>
        <v>852799.88804205181</v>
      </c>
      <c r="N505" s="1">
        <f t="shared" si="165"/>
        <v>482</v>
      </c>
      <c r="O505" s="2">
        <f t="shared" si="170"/>
        <v>40</v>
      </c>
      <c r="P505" s="2">
        <f t="shared" si="171"/>
        <v>2</v>
      </c>
      <c r="Q505" s="2">
        <f t="shared" si="172"/>
        <v>40</v>
      </c>
      <c r="R505" s="1">
        <f t="shared" si="166"/>
        <v>32219670.616341513</v>
      </c>
      <c r="S505" s="4">
        <f>IF($G$4="mensual",S504,0)</f>
        <v>10000</v>
      </c>
      <c r="U505" s="1">
        <f t="shared" si="173"/>
        <v>257003.91947202056</v>
      </c>
      <c r="V505" s="35">
        <f t="shared" si="155"/>
        <v>-424.37181534457693</v>
      </c>
      <c r="X505" s="35">
        <f t="shared" si="174"/>
        <v>-37684.050190237889</v>
      </c>
      <c r="Y505" s="1">
        <f t="shared" si="158"/>
        <v>32448566.11380795</v>
      </c>
      <c r="AA505" s="2">
        <f>+Bono!J505</f>
        <v>543699.1987273565</v>
      </c>
      <c r="AC505" s="10">
        <f t="shared" si="159"/>
        <v>40.166666666666664</v>
      </c>
      <c r="AD505" s="1">
        <f t="shared" si="160"/>
        <v>33845065.200577363</v>
      </c>
    </row>
    <row r="506" spans="1:30">
      <c r="A506" s="1">
        <f t="shared" si="161"/>
        <v>40.25</v>
      </c>
      <c r="B506" s="1">
        <f t="shared" si="162"/>
        <v>483</v>
      </c>
      <c r="C506" s="2">
        <f t="shared" si="167"/>
        <v>40</v>
      </c>
      <c r="D506" s="2">
        <f t="shared" si="168"/>
        <v>3</v>
      </c>
      <c r="E506" s="2">
        <f t="shared" si="169"/>
        <v>69</v>
      </c>
      <c r="F506" s="1">
        <f t="shared" si="163"/>
        <v>852799.88804205181</v>
      </c>
      <c r="H506" s="1">
        <f t="shared" si="156"/>
        <v>6800.3460650007291</v>
      </c>
      <c r="I506" s="1">
        <v>0</v>
      </c>
      <c r="J506" s="69">
        <f>-SUM(F506:H506)*$J$21*1.16</f>
        <v>-8974.2264440776289</v>
      </c>
      <c r="K506" s="1">
        <f t="shared" si="164"/>
        <v>-986.72616888905077</v>
      </c>
      <c r="L506" s="1">
        <f t="shared" si="157"/>
        <v>849639.28149408579</v>
      </c>
      <c r="N506" s="1">
        <f t="shared" si="165"/>
        <v>483</v>
      </c>
      <c r="O506" s="2">
        <f t="shared" si="170"/>
        <v>40</v>
      </c>
      <c r="P506" s="2">
        <f t="shared" si="171"/>
        <v>3</v>
      </c>
      <c r="Q506" s="2">
        <f t="shared" si="172"/>
        <v>40</v>
      </c>
      <c r="R506" s="1">
        <f t="shared" si="166"/>
        <v>32448566.11380795</v>
      </c>
      <c r="S506" s="4">
        <f>IF($G$4="mensual",S505,0)</f>
        <v>10000</v>
      </c>
      <c r="U506" s="1">
        <f t="shared" si="173"/>
        <v>258829.16431236171</v>
      </c>
      <c r="V506" s="35">
        <f t="shared" si="155"/>
        <v>-424.37181534457693</v>
      </c>
      <c r="X506" s="35">
        <f t="shared" si="174"/>
        <v>-37951.68625131376</v>
      </c>
      <c r="Y506" s="1">
        <f t="shared" si="158"/>
        <v>32679019.220053654</v>
      </c>
      <c r="AA506" s="2">
        <f>+Bono!J506</f>
        <v>542141.63649291592</v>
      </c>
      <c r="AC506" s="10">
        <f t="shared" si="159"/>
        <v>40.25</v>
      </c>
      <c r="AD506" s="1">
        <f t="shared" si="160"/>
        <v>34070800.138040654</v>
      </c>
    </row>
    <row r="507" spans="1:30">
      <c r="A507" s="1">
        <f t="shared" si="161"/>
        <v>40.333333333333336</v>
      </c>
      <c r="B507" s="1">
        <f t="shared" si="162"/>
        <v>484</v>
      </c>
      <c r="C507" s="2">
        <f t="shared" si="167"/>
        <v>40</v>
      </c>
      <c r="D507" s="2">
        <f t="shared" si="168"/>
        <v>4</v>
      </c>
      <c r="E507" s="2">
        <f t="shared" si="169"/>
        <v>69</v>
      </c>
      <c r="F507" s="1">
        <f t="shared" si="163"/>
        <v>849639.28149408579</v>
      </c>
      <c r="H507" s="1">
        <f t="shared" si="156"/>
        <v>6775.1429445467356</v>
      </c>
      <c r="I507" s="1">
        <v>0</v>
      </c>
      <c r="J507" s="1">
        <v>0</v>
      </c>
      <c r="K507" s="1">
        <f t="shared" si="164"/>
        <v>-993.44073234881364</v>
      </c>
      <c r="L507" s="1">
        <f t="shared" si="157"/>
        <v>855420.98370628373</v>
      </c>
      <c r="N507" s="1">
        <f t="shared" si="165"/>
        <v>484</v>
      </c>
      <c r="O507" s="2">
        <f t="shared" si="170"/>
        <v>40</v>
      </c>
      <c r="P507" s="2">
        <f t="shared" si="171"/>
        <v>4</v>
      </c>
      <c r="Q507" s="2">
        <f t="shared" si="172"/>
        <v>40</v>
      </c>
      <c r="R507" s="1">
        <f t="shared" si="166"/>
        <v>32679019.220053654</v>
      </c>
      <c r="S507" s="4">
        <f>IF($G$4="mensual",S504,IF($G$4="trimestral",S504,0))</f>
        <v>10000</v>
      </c>
      <c r="U507" s="1">
        <f t="shared" si="173"/>
        <v>260666.82974384204</v>
      </c>
      <c r="V507" s="35">
        <f t="shared" si="155"/>
        <v>-424.37181534457693</v>
      </c>
      <c r="X507" s="35">
        <f t="shared" si="174"/>
        <v>-38221.143546459294</v>
      </c>
      <c r="Y507" s="1">
        <f t="shared" si="158"/>
        <v>32911040.534435693</v>
      </c>
      <c r="AA507" s="2">
        <f>+Bono!J507</f>
        <v>545502.97752370953</v>
      </c>
      <c r="AC507" s="10">
        <f t="shared" si="159"/>
        <v>40.333333333333336</v>
      </c>
      <c r="AD507" s="1">
        <f t="shared" si="160"/>
        <v>34311964.495665684</v>
      </c>
    </row>
    <row r="508" spans="1:30">
      <c r="A508" s="1">
        <f t="shared" si="161"/>
        <v>40.416666666666664</v>
      </c>
      <c r="B508" s="1">
        <f t="shared" si="162"/>
        <v>485</v>
      </c>
      <c r="C508" s="2">
        <f t="shared" si="167"/>
        <v>40</v>
      </c>
      <c r="D508" s="2">
        <f t="shared" si="168"/>
        <v>5</v>
      </c>
      <c r="E508" s="2">
        <f t="shared" si="169"/>
        <v>69</v>
      </c>
      <c r="F508" s="1">
        <f t="shared" si="163"/>
        <v>855420.98370628373</v>
      </c>
      <c r="H508" s="1">
        <f t="shared" si="156"/>
        <v>6821.247049904905</v>
      </c>
      <c r="I508" s="1">
        <v>0</v>
      </c>
      <c r="J508" s="1">
        <v>0</v>
      </c>
      <c r="K508" s="1">
        <f t="shared" si="164"/>
        <v>-1000.2009876771788</v>
      </c>
      <c r="L508" s="1">
        <f t="shared" si="157"/>
        <v>861242.02976851142</v>
      </c>
      <c r="N508" s="1">
        <f t="shared" si="165"/>
        <v>485</v>
      </c>
      <c r="O508" s="2">
        <f t="shared" si="170"/>
        <v>40</v>
      </c>
      <c r="P508" s="2">
        <f t="shared" si="171"/>
        <v>5</v>
      </c>
      <c r="Q508" s="2">
        <f t="shared" si="172"/>
        <v>40</v>
      </c>
      <c r="R508" s="1">
        <f t="shared" si="166"/>
        <v>32911040.534435693</v>
      </c>
      <c r="S508" s="4">
        <f>IF($G$4="mensual",S507,0)</f>
        <v>10000</v>
      </c>
      <c r="U508" s="1">
        <f t="shared" si="173"/>
        <v>262517.00028722326</v>
      </c>
      <c r="V508" s="35">
        <f t="shared" si="155"/>
        <v>-424.37181534457693</v>
      </c>
      <c r="X508" s="35">
        <f t="shared" si="174"/>
        <v>-38492.43446897278</v>
      </c>
      <c r="Y508" s="1">
        <f t="shared" si="158"/>
        <v>33144640.728438597</v>
      </c>
      <c r="AA508" s="2">
        <f>+Bono!J508</f>
        <v>548885.15925878554</v>
      </c>
      <c r="AC508" s="10">
        <f t="shared" si="159"/>
        <v>40.416666666666664</v>
      </c>
      <c r="AD508" s="1">
        <f t="shared" si="160"/>
        <v>34554767.917465895</v>
      </c>
    </row>
    <row r="509" spans="1:30">
      <c r="A509" s="1">
        <f t="shared" si="161"/>
        <v>40.5</v>
      </c>
      <c r="B509" s="1">
        <f t="shared" si="162"/>
        <v>486</v>
      </c>
      <c r="C509" s="2">
        <f t="shared" si="167"/>
        <v>40</v>
      </c>
      <c r="D509" s="2">
        <f t="shared" si="168"/>
        <v>6</v>
      </c>
      <c r="E509" s="2">
        <f t="shared" si="169"/>
        <v>69</v>
      </c>
      <c r="F509" s="1">
        <f t="shared" si="163"/>
        <v>861242.02976851142</v>
      </c>
      <c r="H509" s="1">
        <f t="shared" si="156"/>
        <v>6867.6648886482262</v>
      </c>
      <c r="I509" s="1">
        <v>0</v>
      </c>
      <c r="J509" s="69">
        <f>-SUM(F509:H509)*$J$21*1.16</f>
        <v>-9063.0652122207466</v>
      </c>
      <c r="K509" s="1">
        <f t="shared" si="164"/>
        <v>-996.494090156129</v>
      </c>
      <c r="L509" s="1">
        <f t="shared" si="157"/>
        <v>858050.13535478269</v>
      </c>
      <c r="N509" s="1">
        <f t="shared" si="165"/>
        <v>486</v>
      </c>
      <c r="O509" s="2">
        <f t="shared" si="170"/>
        <v>40</v>
      </c>
      <c r="P509" s="2">
        <f t="shared" si="171"/>
        <v>6</v>
      </c>
      <c r="Q509" s="2">
        <f t="shared" si="172"/>
        <v>40</v>
      </c>
      <c r="R509" s="1">
        <f t="shared" si="166"/>
        <v>33144640.728438597</v>
      </c>
      <c r="S509" s="4">
        <f>IF($G$4="mensual",S508,0)</f>
        <v>10000</v>
      </c>
      <c r="U509" s="1">
        <f t="shared" si="173"/>
        <v>264379.7610384216</v>
      </c>
      <c r="V509" s="35">
        <f t="shared" si="155"/>
        <v>-424.37181534457693</v>
      </c>
      <c r="X509" s="35">
        <f t="shared" si="174"/>
        <v>-38765.571496487544</v>
      </c>
      <c r="Y509" s="1">
        <f t="shared" si="158"/>
        <v>33379830.546165187</v>
      </c>
      <c r="AA509" s="2">
        <f>+Bono!J509</f>
        <v>547312.7405443429</v>
      </c>
      <c r="AC509" s="10">
        <f t="shared" si="159"/>
        <v>40.5</v>
      </c>
      <c r="AD509" s="1">
        <f t="shared" si="160"/>
        <v>34785193.422064312</v>
      </c>
    </row>
    <row r="510" spans="1:30">
      <c r="A510" s="1">
        <f t="shared" si="161"/>
        <v>40.583333333333336</v>
      </c>
      <c r="B510" s="1">
        <f t="shared" si="162"/>
        <v>487</v>
      </c>
      <c r="C510" s="2">
        <f t="shared" si="167"/>
        <v>40</v>
      </c>
      <c r="D510" s="2">
        <f t="shared" si="168"/>
        <v>7</v>
      </c>
      <c r="E510" s="2">
        <f t="shared" si="169"/>
        <v>69</v>
      </c>
      <c r="F510" s="1">
        <f t="shared" si="163"/>
        <v>858050.13535478269</v>
      </c>
      <c r="H510" s="1">
        <f t="shared" si="156"/>
        <v>6842.2122743589198</v>
      </c>
      <c r="I510" s="1">
        <v>0</v>
      </c>
      <c r="J510" s="1">
        <v>0</v>
      </c>
      <c r="K510" s="1">
        <f t="shared" si="164"/>
        <v>-1003.2751232498043</v>
      </c>
      <c r="L510" s="1">
        <f t="shared" si="157"/>
        <v>863889.07250589179</v>
      </c>
      <c r="N510" s="1">
        <f t="shared" si="165"/>
        <v>487</v>
      </c>
      <c r="O510" s="2">
        <f t="shared" si="170"/>
        <v>40</v>
      </c>
      <c r="P510" s="2">
        <f t="shared" si="171"/>
        <v>7</v>
      </c>
      <c r="Q510" s="2">
        <f t="shared" si="172"/>
        <v>40</v>
      </c>
      <c r="R510" s="1">
        <f t="shared" si="166"/>
        <v>33379830.546165187</v>
      </c>
      <c r="S510" s="1">
        <f>+IF($G$4="mensual",S504,IF($G$4="trimestral",S504,IF($G$4="semestral",S504,0)))</f>
        <v>10000</v>
      </c>
      <c r="U510" s="1">
        <f t="shared" si="173"/>
        <v>266255.19767242169</v>
      </c>
      <c r="V510" s="35">
        <f t="shared" si="155"/>
        <v>-424.37181534457693</v>
      </c>
      <c r="X510" s="35">
        <f t="shared" si="174"/>
        <v>-39040.56719154583</v>
      </c>
      <c r="Y510" s="1">
        <f t="shared" si="158"/>
        <v>33616620.804830715</v>
      </c>
      <c r="AA510" s="2">
        <f>+Bono!J510</f>
        <v>550706.14302006632</v>
      </c>
      <c r="AC510" s="10">
        <f t="shared" si="159"/>
        <v>40.583333333333336</v>
      </c>
      <c r="AD510" s="1">
        <f t="shared" si="160"/>
        <v>35031216.02035667</v>
      </c>
    </row>
    <row r="511" spans="1:30">
      <c r="A511" s="1">
        <f t="shared" si="161"/>
        <v>40.666666666666664</v>
      </c>
      <c r="B511" s="1">
        <f t="shared" si="162"/>
        <v>488</v>
      </c>
      <c r="C511" s="2">
        <f t="shared" si="167"/>
        <v>40</v>
      </c>
      <c r="D511" s="2">
        <f t="shared" si="168"/>
        <v>8</v>
      </c>
      <c r="E511" s="2">
        <f t="shared" si="169"/>
        <v>69</v>
      </c>
      <c r="F511" s="1">
        <f t="shared" si="163"/>
        <v>863889.07250589179</v>
      </c>
      <c r="H511" s="1">
        <f t="shared" si="156"/>
        <v>6888.7727791574071</v>
      </c>
      <c r="I511" s="1">
        <v>0</v>
      </c>
      <c r="J511" s="1">
        <v>0</v>
      </c>
      <c r="K511" s="1">
        <f t="shared" si="164"/>
        <v>-1010.1023005306571</v>
      </c>
      <c r="L511" s="1">
        <f t="shared" si="157"/>
        <v>869767.74298451853</v>
      </c>
      <c r="N511" s="1">
        <f t="shared" si="165"/>
        <v>488</v>
      </c>
      <c r="O511" s="2">
        <f t="shared" si="170"/>
        <v>40</v>
      </c>
      <c r="P511" s="2">
        <f t="shared" si="171"/>
        <v>8</v>
      </c>
      <c r="Q511" s="2">
        <f t="shared" si="172"/>
        <v>40</v>
      </c>
      <c r="R511" s="1">
        <f t="shared" si="166"/>
        <v>33616620.804830715</v>
      </c>
      <c r="S511" s="4">
        <f>IF($G$4="mensual",S510,0)</f>
        <v>10000</v>
      </c>
      <c r="U511" s="1">
        <f t="shared" si="173"/>
        <v>268143.39644721703</v>
      </c>
      <c r="V511" s="35">
        <f t="shared" si="155"/>
        <v>-424.37181534457693</v>
      </c>
      <c r="X511" s="35">
        <f t="shared" si="174"/>
        <v>-39317.434202176599</v>
      </c>
      <c r="Y511" s="1">
        <f t="shared" si="158"/>
        <v>33855022.395260409</v>
      </c>
      <c r="AA511" s="2">
        <f>+Bono!J511</f>
        <v>554120.58498474956</v>
      </c>
      <c r="AC511" s="10">
        <f t="shared" si="159"/>
        <v>40.666666666666664</v>
      </c>
      <c r="AD511" s="1">
        <f t="shared" si="160"/>
        <v>35278910.723229676</v>
      </c>
    </row>
    <row r="512" spans="1:30">
      <c r="A512" s="1">
        <f t="shared" si="161"/>
        <v>40.75</v>
      </c>
      <c r="B512" s="1">
        <f t="shared" si="162"/>
        <v>489</v>
      </c>
      <c r="C512" s="2">
        <f t="shared" si="167"/>
        <v>40</v>
      </c>
      <c r="D512" s="2">
        <f t="shared" si="168"/>
        <v>9</v>
      </c>
      <c r="E512" s="2">
        <f t="shared" si="169"/>
        <v>69</v>
      </c>
      <c r="F512" s="1">
        <f t="shared" si="163"/>
        <v>869767.74298451853</v>
      </c>
      <c r="H512" s="1">
        <f t="shared" si="156"/>
        <v>6935.6501230892272</v>
      </c>
      <c r="I512" s="1">
        <v>0</v>
      </c>
      <c r="J512" s="69">
        <f>-SUM(F512:H512)*$J$21*1.16</f>
        <v>-9152.7834240434258</v>
      </c>
      <c r="K512" s="1">
        <f t="shared" si="164"/>
        <v>-1006.3587072329345</v>
      </c>
      <c r="L512" s="1">
        <f t="shared" si="157"/>
        <v>866544.2509763313</v>
      </c>
      <c r="N512" s="1">
        <f t="shared" si="165"/>
        <v>489</v>
      </c>
      <c r="O512" s="2">
        <f t="shared" si="170"/>
        <v>40</v>
      </c>
      <c r="P512" s="2">
        <f t="shared" si="171"/>
        <v>9</v>
      </c>
      <c r="Q512" s="2">
        <f t="shared" si="172"/>
        <v>40</v>
      </c>
      <c r="R512" s="1">
        <f t="shared" si="166"/>
        <v>33855022.395260409</v>
      </c>
      <c r="S512" s="4">
        <f>IF($G$4="mensual",S511,0)</f>
        <v>10000</v>
      </c>
      <c r="U512" s="1">
        <f t="shared" si="173"/>
        <v>270044.44420777744</v>
      </c>
      <c r="V512" s="35">
        <f t="shared" si="155"/>
        <v>-424.37181534457693</v>
      </c>
      <c r="X512" s="35">
        <f t="shared" si="174"/>
        <v>-39596.185262477295</v>
      </c>
      <c r="Y512" s="1">
        <f t="shared" si="158"/>
        <v>34095046.282390364</v>
      </c>
      <c r="AA512" s="2">
        <f>+Bono!J512</f>
        <v>552533.16808489279</v>
      </c>
      <c r="AC512" s="10">
        <f t="shared" si="159"/>
        <v>40.75</v>
      </c>
      <c r="AD512" s="1">
        <f t="shared" si="160"/>
        <v>35514123.701451585</v>
      </c>
    </row>
    <row r="513" spans="1:30">
      <c r="A513" s="1">
        <f t="shared" si="161"/>
        <v>40.833333333333336</v>
      </c>
      <c r="B513" s="1">
        <f t="shared" si="162"/>
        <v>490</v>
      </c>
      <c r="C513" s="2">
        <f t="shared" si="167"/>
        <v>40</v>
      </c>
      <c r="D513" s="2">
        <f t="shared" si="168"/>
        <v>10</v>
      </c>
      <c r="E513" s="2">
        <f t="shared" si="169"/>
        <v>69</v>
      </c>
      <c r="F513" s="1">
        <f t="shared" si="163"/>
        <v>866544.2509763313</v>
      </c>
      <c r="H513" s="1">
        <f t="shared" si="156"/>
        <v>6909.9455451444937</v>
      </c>
      <c r="I513" s="1">
        <v>0</v>
      </c>
      <c r="J513" s="1">
        <v>0</v>
      </c>
      <c r="K513" s="1">
        <f t="shared" si="164"/>
        <v>-1013.2068679649119</v>
      </c>
      <c r="L513" s="1">
        <f t="shared" si="157"/>
        <v>872440.98965351086</v>
      </c>
      <c r="N513" s="1">
        <f t="shared" si="165"/>
        <v>490</v>
      </c>
      <c r="O513" s="2">
        <f t="shared" si="170"/>
        <v>40</v>
      </c>
      <c r="P513" s="2">
        <f t="shared" si="171"/>
        <v>10</v>
      </c>
      <c r="Q513" s="2">
        <f t="shared" si="172"/>
        <v>40</v>
      </c>
      <c r="R513" s="1">
        <f t="shared" si="166"/>
        <v>34095046.282390364</v>
      </c>
      <c r="S513" s="4">
        <f>IF($G$4="mensual",S504,IF($G$4="trimestral",S504,0))</f>
        <v>10000</v>
      </c>
      <c r="U513" s="1">
        <f t="shared" si="173"/>
        <v>271958.42839004303</v>
      </c>
      <c r="V513" s="35">
        <f t="shared" si="155"/>
        <v>-424.37181534457693</v>
      </c>
      <c r="X513" s="35">
        <f t="shared" si="174"/>
        <v>-39876.833193199469</v>
      </c>
      <c r="Y513" s="1">
        <f t="shared" si="158"/>
        <v>34336703.50577186</v>
      </c>
      <c r="AA513" s="2">
        <f>+Bono!J513</f>
        <v>555958.93781689974</v>
      </c>
      <c r="AC513" s="10">
        <f t="shared" si="159"/>
        <v>40.833333333333336</v>
      </c>
      <c r="AD513" s="1">
        <f t="shared" si="160"/>
        <v>35765103.433242276</v>
      </c>
    </row>
    <row r="514" spans="1:30">
      <c r="A514" s="1">
        <f t="shared" si="161"/>
        <v>40.916666666666664</v>
      </c>
      <c r="B514" s="1">
        <f t="shared" si="162"/>
        <v>491</v>
      </c>
      <c r="C514" s="2">
        <f t="shared" si="167"/>
        <v>40</v>
      </c>
      <c r="D514" s="2">
        <f t="shared" si="168"/>
        <v>11</v>
      </c>
      <c r="E514" s="2">
        <f t="shared" si="169"/>
        <v>69</v>
      </c>
      <c r="F514" s="1">
        <f t="shared" si="163"/>
        <v>872440.98965351086</v>
      </c>
      <c r="H514" s="1">
        <f t="shared" si="156"/>
        <v>6956.9669674288716</v>
      </c>
      <c r="I514" s="1">
        <v>0</v>
      </c>
      <c r="J514" s="1">
        <v>0</v>
      </c>
      <c r="K514" s="1">
        <f t="shared" si="164"/>
        <v>-1020.1016296802901</v>
      </c>
      <c r="L514" s="1">
        <f t="shared" si="157"/>
        <v>878377.85499125952</v>
      </c>
      <c r="N514" s="1">
        <f t="shared" si="165"/>
        <v>491</v>
      </c>
      <c r="O514" s="2">
        <f t="shared" si="170"/>
        <v>40</v>
      </c>
      <c r="P514" s="2">
        <f t="shared" si="171"/>
        <v>11</v>
      </c>
      <c r="Q514" s="2">
        <f t="shared" si="172"/>
        <v>40</v>
      </c>
      <c r="R514" s="1">
        <f t="shared" si="166"/>
        <v>34336703.50577186</v>
      </c>
      <c r="S514" s="1">
        <f>IF($G$17="si",S502*(1+$G$20),S502)</f>
        <v>10000</v>
      </c>
      <c r="U514" s="1">
        <f t="shared" si="173"/>
        <v>273885.43702494603</v>
      </c>
      <c r="V514" s="35">
        <f t="shared" si="155"/>
        <v>-424.37181534457693</v>
      </c>
      <c r="X514" s="35">
        <f t="shared" si="174"/>
        <v>-40159.390902338491</v>
      </c>
      <c r="Y514" s="1">
        <f t="shared" si="158"/>
        <v>34580005.180079117</v>
      </c>
      <c r="AA514" s="2">
        <f>+Bono!J514</f>
        <v>559405.94771860994</v>
      </c>
      <c r="AC514" s="10">
        <f t="shared" si="159"/>
        <v>40.916666666666664</v>
      </c>
      <c r="AD514" s="1">
        <f t="shared" si="160"/>
        <v>36017788.982788987</v>
      </c>
    </row>
    <row r="515" spans="1:30">
      <c r="A515" s="1">
        <f t="shared" si="161"/>
        <v>41</v>
      </c>
      <c r="B515" s="1">
        <f t="shared" si="162"/>
        <v>492</v>
      </c>
      <c r="C515" s="2">
        <f t="shared" si="167"/>
        <v>40</v>
      </c>
      <c r="D515" s="2">
        <f t="shared" si="168"/>
        <v>12</v>
      </c>
      <c r="E515" s="2">
        <f t="shared" si="169"/>
        <v>69</v>
      </c>
      <c r="F515" s="1">
        <f t="shared" si="163"/>
        <v>878377.85499125952</v>
      </c>
      <c r="H515" s="1">
        <f t="shared" si="156"/>
        <v>7004.3083653395706</v>
      </c>
      <c r="I515" s="1">
        <v>0</v>
      </c>
      <c r="J515" s="69">
        <f>-SUM(F515:H515)*$J$21*1.16</f>
        <v>-9243.3897854428942</v>
      </c>
      <c r="K515" s="1">
        <f t="shared" si="164"/>
        <v>-1016.3209773425411</v>
      </c>
      <c r="L515" s="1">
        <f t="shared" si="157"/>
        <v>875122.45259381365</v>
      </c>
      <c r="N515" s="1">
        <f t="shared" si="165"/>
        <v>492</v>
      </c>
      <c r="O515" s="2">
        <f t="shared" si="170"/>
        <v>40</v>
      </c>
      <c r="P515" s="2">
        <f t="shared" si="171"/>
        <v>12</v>
      </c>
      <c r="Q515" s="2">
        <f t="shared" si="172"/>
        <v>40</v>
      </c>
      <c r="R515" s="1">
        <f t="shared" si="166"/>
        <v>34580005.180079117</v>
      </c>
      <c r="S515" s="4">
        <f>IF($G$4="mensual",S514,0)</f>
        <v>10000</v>
      </c>
      <c r="U515" s="1">
        <f t="shared" si="173"/>
        <v>275825.55874245951</v>
      </c>
      <c r="V515" s="35">
        <f t="shared" si="155"/>
        <v>-424.37181534457693</v>
      </c>
      <c r="X515" s="35">
        <f t="shared" si="174"/>
        <v>-40443.871385727223</v>
      </c>
      <c r="Y515" s="1">
        <f t="shared" si="158"/>
        <v>34824962.495620497</v>
      </c>
      <c r="AA515" s="2">
        <f>+Bono!J515</f>
        <v>557803.38957629993</v>
      </c>
      <c r="AC515" s="10">
        <f t="shared" si="159"/>
        <v>41</v>
      </c>
      <c r="AD515" s="1">
        <f t="shared" si="160"/>
        <v>36257888.337790608</v>
      </c>
    </row>
    <row r="516" spans="1:30">
      <c r="A516" s="1">
        <f t="shared" si="161"/>
        <v>41.083333333333336</v>
      </c>
      <c r="B516" s="1">
        <f t="shared" si="162"/>
        <v>493</v>
      </c>
      <c r="C516" s="2">
        <f t="shared" si="167"/>
        <v>41</v>
      </c>
      <c r="D516" s="2">
        <f t="shared" si="168"/>
        <v>1</v>
      </c>
      <c r="E516" s="2">
        <f t="shared" si="169"/>
        <v>70</v>
      </c>
      <c r="F516" s="1">
        <f t="shared" si="163"/>
        <v>875122.45259381365</v>
      </c>
      <c r="H516" s="1">
        <f t="shared" si="156"/>
        <v>6978.3493294697473</v>
      </c>
      <c r="I516" s="1">
        <v>0</v>
      </c>
      <c r="J516" s="1">
        <v>0</v>
      </c>
      <c r="K516" s="1">
        <f t="shared" si="164"/>
        <v>-1023.2369302310086</v>
      </c>
      <c r="L516" s="1">
        <f t="shared" si="157"/>
        <v>881077.56499305239</v>
      </c>
      <c r="N516" s="1">
        <f t="shared" si="165"/>
        <v>493</v>
      </c>
      <c r="O516" s="2">
        <f t="shared" si="170"/>
        <v>41</v>
      </c>
      <c r="P516" s="2">
        <f t="shared" si="171"/>
        <v>1</v>
      </c>
      <c r="Q516" s="2">
        <f t="shared" si="172"/>
        <v>41</v>
      </c>
      <c r="R516" s="1">
        <f t="shared" si="166"/>
        <v>34824962.495620497</v>
      </c>
      <c r="S516" s="1">
        <f>IF($G$17="si",S504*(1+$G$20),S504)</f>
        <v>10000</v>
      </c>
      <c r="U516" s="1">
        <f t="shared" si="173"/>
        <v>277778.88277567376</v>
      </c>
      <c r="V516" s="35">
        <f>V515*(1+$G$18)</f>
        <v>-441.34668795836001</v>
      </c>
      <c r="X516" s="35">
        <f t="shared" si="174"/>
        <v>-40730.268036781519</v>
      </c>
      <c r="Y516" s="1">
        <f t="shared" si="158"/>
        <v>35071569.763671428</v>
      </c>
      <c r="AA516" s="2">
        <f>+Bono!J516</f>
        <v>561261.83529286145</v>
      </c>
      <c r="AC516" s="10">
        <f t="shared" si="159"/>
        <v>41.083333333333336</v>
      </c>
      <c r="AD516" s="1">
        <f t="shared" si="160"/>
        <v>36513909.163957343</v>
      </c>
    </row>
    <row r="517" spans="1:30">
      <c r="A517" s="1">
        <f t="shared" si="161"/>
        <v>41.166666666666664</v>
      </c>
      <c r="B517" s="1">
        <f t="shared" si="162"/>
        <v>494</v>
      </c>
      <c r="C517" s="2">
        <f t="shared" si="167"/>
        <v>41</v>
      </c>
      <c r="D517" s="2">
        <f t="shared" si="168"/>
        <v>2</v>
      </c>
      <c r="E517" s="2">
        <f t="shared" si="169"/>
        <v>70</v>
      </c>
      <c r="F517" s="1">
        <f t="shared" si="163"/>
        <v>881077.56499305239</v>
      </c>
      <c r="H517" s="1">
        <f t="shared" si="156"/>
        <v>7025.8362320111828</v>
      </c>
      <c r="I517" s="1">
        <v>0</v>
      </c>
      <c r="J517" s="1">
        <v>0</v>
      </c>
      <c r="K517" s="1">
        <f t="shared" si="164"/>
        <v>-1030.1999454210738</v>
      </c>
      <c r="L517" s="1">
        <f t="shared" si="157"/>
        <v>887073.20127964253</v>
      </c>
      <c r="N517" s="1">
        <f t="shared" si="165"/>
        <v>494</v>
      </c>
      <c r="O517" s="2">
        <f t="shared" si="170"/>
        <v>41</v>
      </c>
      <c r="P517" s="2">
        <f t="shared" si="171"/>
        <v>2</v>
      </c>
      <c r="Q517" s="2">
        <f t="shared" si="172"/>
        <v>41</v>
      </c>
      <c r="R517" s="1">
        <f t="shared" si="166"/>
        <v>35071569.763671428</v>
      </c>
      <c r="S517" s="4">
        <f>IF($G$4="mensual",S516,0)</f>
        <v>10000</v>
      </c>
      <c r="U517" s="1">
        <f t="shared" si="173"/>
        <v>279745.36376190023</v>
      </c>
      <c r="V517" s="35">
        <f t="shared" si="155"/>
        <v>-441.34668795836001</v>
      </c>
      <c r="X517" s="35">
        <f t="shared" si="174"/>
        <v>-41018.613585664629</v>
      </c>
      <c r="Y517" s="1">
        <f t="shared" si="158"/>
        <v>35319855.167159706</v>
      </c>
      <c r="AA517" s="2">
        <f>+Bono!J517</f>
        <v>564741.72377402056</v>
      </c>
      <c r="AC517" s="10">
        <f t="shared" si="159"/>
        <v>41.166666666666664</v>
      </c>
      <c r="AD517" s="1">
        <f t="shared" si="160"/>
        <v>36771670.09221337</v>
      </c>
    </row>
    <row r="518" spans="1:30">
      <c r="A518" s="1">
        <f t="shared" si="161"/>
        <v>41.25</v>
      </c>
      <c r="B518" s="1">
        <f t="shared" si="162"/>
        <v>495</v>
      </c>
      <c r="C518" s="2">
        <f t="shared" si="167"/>
        <v>41</v>
      </c>
      <c r="D518" s="2">
        <f t="shared" si="168"/>
        <v>3</v>
      </c>
      <c r="E518" s="2">
        <f t="shared" si="169"/>
        <v>70</v>
      </c>
      <c r="F518" s="1">
        <f t="shared" si="163"/>
        <v>887073.20127964253</v>
      </c>
      <c r="H518" s="1">
        <f t="shared" si="156"/>
        <v>7073.6462777210836</v>
      </c>
      <c r="I518" s="1">
        <v>0</v>
      </c>
      <c r="J518" s="69">
        <f>-SUM(F518:H518)*$J$21*1.16</f>
        <v>-9334.8930884988768</v>
      </c>
      <c r="K518" s="1">
        <f t="shared" si="164"/>
        <v>-1026.3818671838831</v>
      </c>
      <c r="L518" s="1">
        <f t="shared" si="157"/>
        <v>883785.57260168088</v>
      </c>
      <c r="N518" s="1">
        <f t="shared" si="165"/>
        <v>495</v>
      </c>
      <c r="O518" s="2">
        <f t="shared" si="170"/>
        <v>41</v>
      </c>
      <c r="P518" s="2">
        <f t="shared" si="171"/>
        <v>3</v>
      </c>
      <c r="Q518" s="2">
        <f t="shared" si="172"/>
        <v>41</v>
      </c>
      <c r="R518" s="1">
        <f t="shared" si="166"/>
        <v>35319855.167159706</v>
      </c>
      <c r="S518" s="4">
        <f>IF($G$4="mensual",S517,0)</f>
        <v>10000</v>
      </c>
      <c r="U518" s="1">
        <f t="shared" si="173"/>
        <v>281725.22643576277</v>
      </c>
      <c r="V518" s="35">
        <f t="shared" si="155"/>
        <v>-441.34668795836001</v>
      </c>
      <c r="X518" s="35">
        <f t="shared" si="174"/>
        <v>-41308.921294412714</v>
      </c>
      <c r="Y518" s="1">
        <f t="shared" si="158"/>
        <v>35569830.125613101</v>
      </c>
      <c r="AA518" s="2">
        <f>+Bono!J518</f>
        <v>563123.87996769859</v>
      </c>
      <c r="AC518" s="10">
        <f t="shared" si="159"/>
        <v>41.25</v>
      </c>
      <c r="AD518" s="1">
        <f t="shared" si="160"/>
        <v>37016739.578182481</v>
      </c>
    </row>
    <row r="519" spans="1:30">
      <c r="A519" s="1">
        <f t="shared" si="161"/>
        <v>41.333333333333336</v>
      </c>
      <c r="B519" s="1">
        <f t="shared" si="162"/>
        <v>496</v>
      </c>
      <c r="C519" s="2">
        <f t="shared" si="167"/>
        <v>41</v>
      </c>
      <c r="D519" s="2">
        <f t="shared" si="168"/>
        <v>4</v>
      </c>
      <c r="E519" s="2">
        <f t="shared" si="169"/>
        <v>70</v>
      </c>
      <c r="F519" s="1">
        <f t="shared" si="163"/>
        <v>883785.57260168088</v>
      </c>
      <c r="H519" s="1">
        <f t="shared" si="156"/>
        <v>7047.4302649649262</v>
      </c>
      <c r="I519" s="1">
        <v>0</v>
      </c>
      <c r="J519" s="1">
        <v>0</v>
      </c>
      <c r="K519" s="1">
        <f t="shared" si="164"/>
        <v>-1033.366283325309</v>
      </c>
      <c r="L519" s="1">
        <f t="shared" si="157"/>
        <v>889799.63658332045</v>
      </c>
      <c r="N519" s="1">
        <f t="shared" si="165"/>
        <v>496</v>
      </c>
      <c r="O519" s="2">
        <f t="shared" si="170"/>
        <v>41</v>
      </c>
      <c r="P519" s="2">
        <f t="shared" si="171"/>
        <v>4</v>
      </c>
      <c r="Q519" s="2">
        <f t="shared" si="172"/>
        <v>41</v>
      </c>
      <c r="R519" s="1">
        <f t="shared" si="166"/>
        <v>35569830.125613101</v>
      </c>
      <c r="S519" s="4">
        <f>IF($G$4="mensual",S516,IF($G$4="trimestral",S516,0))</f>
        <v>10000</v>
      </c>
      <c r="U519" s="1">
        <f t="shared" si="173"/>
        <v>283718.56185817951</v>
      </c>
      <c r="V519" s="35">
        <f t="shared" si="155"/>
        <v>-441.34668795836001</v>
      </c>
      <c r="X519" s="35">
        <f t="shared" si="174"/>
        <v>-41601.204515308651</v>
      </c>
      <c r="Y519" s="1">
        <f t="shared" si="158"/>
        <v>35821506.136268012</v>
      </c>
      <c r="AA519" s="2">
        <f>+Bono!J519</f>
        <v>566615.3133418255</v>
      </c>
      <c r="AC519" s="10">
        <f t="shared" si="159"/>
        <v>41.333333333333336</v>
      </c>
      <c r="AD519" s="1">
        <f t="shared" si="160"/>
        <v>37277921.086193159</v>
      </c>
    </row>
    <row r="520" spans="1:30">
      <c r="A520" s="1">
        <f t="shared" si="161"/>
        <v>41.416666666666664</v>
      </c>
      <c r="B520" s="1">
        <f t="shared" si="162"/>
        <v>497</v>
      </c>
      <c r="C520" s="2">
        <f t="shared" si="167"/>
        <v>41</v>
      </c>
      <c r="D520" s="2">
        <f t="shared" si="168"/>
        <v>5</v>
      </c>
      <c r="E520" s="2">
        <f t="shared" si="169"/>
        <v>70</v>
      </c>
      <c r="F520" s="1">
        <f t="shared" si="163"/>
        <v>889799.63658332045</v>
      </c>
      <c r="H520" s="1">
        <f t="shared" si="156"/>
        <v>7095.3872557029326</v>
      </c>
      <c r="I520" s="1">
        <v>0</v>
      </c>
      <c r="J520" s="1">
        <v>0</v>
      </c>
      <c r="K520" s="1">
        <f t="shared" si="164"/>
        <v>-1040.3982276532672</v>
      </c>
      <c r="L520" s="1">
        <f t="shared" si="157"/>
        <v>895854.6256113702</v>
      </c>
      <c r="N520" s="1">
        <f t="shared" si="165"/>
        <v>497</v>
      </c>
      <c r="O520" s="2">
        <f t="shared" si="170"/>
        <v>41</v>
      </c>
      <c r="P520" s="2">
        <f t="shared" si="171"/>
        <v>5</v>
      </c>
      <c r="Q520" s="2">
        <f t="shared" si="172"/>
        <v>41</v>
      </c>
      <c r="R520" s="1">
        <f t="shared" si="166"/>
        <v>35821506.136268012</v>
      </c>
      <c r="S520" s="4">
        <f>IF($G$4="mensual",S519,0)</f>
        <v>10000</v>
      </c>
      <c r="U520" s="1">
        <f t="shared" si="173"/>
        <v>285725.46170972806</v>
      </c>
      <c r="V520" s="35">
        <f t="shared" si="155"/>
        <v>-441.34668795836001</v>
      </c>
      <c r="X520" s="35">
        <f t="shared" si="174"/>
        <v>-41895.476691496151</v>
      </c>
      <c r="Y520" s="1">
        <f t="shared" si="158"/>
        <v>36074894.774598286</v>
      </c>
      <c r="AA520" s="2">
        <f>+Bono!J520</f>
        <v>570128.39400785323</v>
      </c>
      <c r="AC520" s="10">
        <f t="shared" si="159"/>
        <v>41.416666666666664</v>
      </c>
      <c r="AD520" s="1">
        <f t="shared" si="160"/>
        <v>37540877.794217512</v>
      </c>
    </row>
    <row r="521" spans="1:30">
      <c r="A521" s="1">
        <f t="shared" si="161"/>
        <v>41.5</v>
      </c>
      <c r="B521" s="1">
        <f t="shared" si="162"/>
        <v>498</v>
      </c>
      <c r="C521" s="2">
        <f t="shared" si="167"/>
        <v>41</v>
      </c>
      <c r="D521" s="2">
        <f t="shared" si="168"/>
        <v>6</v>
      </c>
      <c r="E521" s="2">
        <f t="shared" si="169"/>
        <v>70</v>
      </c>
      <c r="F521" s="1">
        <f t="shared" si="163"/>
        <v>895854.6256113702</v>
      </c>
      <c r="H521" s="1">
        <f t="shared" si="156"/>
        <v>7143.6705885080728</v>
      </c>
      <c r="I521" s="1">
        <v>0</v>
      </c>
      <c r="J521" s="69">
        <f>-SUM(F521:H521)*$J$21*1.16</f>
        <v>-9427.3022123267292</v>
      </c>
      <c r="K521" s="1">
        <f t="shared" si="164"/>
        <v>-1036.5423530255596</v>
      </c>
      <c r="L521" s="1">
        <f t="shared" si="157"/>
        <v>892534.4516345259</v>
      </c>
      <c r="N521" s="1">
        <f t="shared" si="165"/>
        <v>498</v>
      </c>
      <c r="O521" s="2">
        <f t="shared" si="170"/>
        <v>41</v>
      </c>
      <c r="P521" s="2">
        <f t="shared" si="171"/>
        <v>6</v>
      </c>
      <c r="Q521" s="2">
        <f t="shared" si="172"/>
        <v>41</v>
      </c>
      <c r="R521" s="1">
        <f t="shared" si="166"/>
        <v>36074894.774598286</v>
      </c>
      <c r="S521" s="4">
        <f>IF($G$4="mensual",S520,0)</f>
        <v>10000</v>
      </c>
      <c r="U521" s="1">
        <f t="shared" si="173"/>
        <v>287746.01829486236</v>
      </c>
      <c r="V521" s="35">
        <f t="shared" ref="V521:V584" si="175">V520</f>
        <v>-441.34668795836001</v>
      </c>
      <c r="X521" s="35">
        <f t="shared" si="174"/>
        <v>-42191.751357598027</v>
      </c>
      <c r="Y521" s="1">
        <f t="shared" si="158"/>
        <v>36330007.694847591</v>
      </c>
      <c r="AA521" s="2">
        <f>+Bono!J521</f>
        <v>568495.11873842578</v>
      </c>
      <c r="AC521" s="10">
        <f t="shared" si="159"/>
        <v>41.5</v>
      </c>
      <c r="AD521" s="1">
        <f t="shared" si="160"/>
        <v>37791037.265220545</v>
      </c>
    </row>
    <row r="522" spans="1:30">
      <c r="A522" s="1">
        <f t="shared" si="161"/>
        <v>41.583333333333336</v>
      </c>
      <c r="B522" s="1">
        <f t="shared" si="162"/>
        <v>499</v>
      </c>
      <c r="C522" s="2">
        <f t="shared" si="167"/>
        <v>41</v>
      </c>
      <c r="D522" s="2">
        <f t="shared" si="168"/>
        <v>7</v>
      </c>
      <c r="E522" s="2">
        <f t="shared" si="169"/>
        <v>70</v>
      </c>
      <c r="F522" s="1">
        <f t="shared" si="163"/>
        <v>892534.4516345259</v>
      </c>
      <c r="H522" s="1">
        <f t="shared" si="156"/>
        <v>7117.1950549683243</v>
      </c>
      <c r="I522" s="1">
        <v>0</v>
      </c>
      <c r="J522" s="1">
        <v>0</v>
      </c>
      <c r="K522" s="1">
        <f t="shared" si="164"/>
        <v>-1043.5959101598135</v>
      </c>
      <c r="L522" s="1">
        <f t="shared" si="157"/>
        <v>898608.05077933439</v>
      </c>
      <c r="N522" s="1">
        <f t="shared" si="165"/>
        <v>499</v>
      </c>
      <c r="O522" s="2">
        <f t="shared" si="170"/>
        <v>41</v>
      </c>
      <c r="P522" s="2">
        <f t="shared" si="171"/>
        <v>7</v>
      </c>
      <c r="Q522" s="2">
        <f t="shared" si="172"/>
        <v>41</v>
      </c>
      <c r="R522" s="1">
        <f t="shared" si="166"/>
        <v>36330007.694847591</v>
      </c>
      <c r="S522" s="1">
        <f>+IF($G$4="mensual",S516,IF($G$4="trimestral",S516,IF($G$4="semestral",S516,0)))</f>
        <v>10000</v>
      </c>
      <c r="U522" s="1">
        <f t="shared" si="173"/>
        <v>289780.32454615808</v>
      </c>
      <c r="V522" s="35">
        <f t="shared" si="175"/>
        <v>-441.34668795836001</v>
      </c>
      <c r="X522" s="35">
        <f t="shared" si="174"/>
        <v>-42490.042140338715</v>
      </c>
      <c r="Y522" s="1">
        <f t="shared" si="158"/>
        <v>36586856.63056545</v>
      </c>
      <c r="AA522" s="2">
        <f>+Bono!J522</f>
        <v>572019.8544159563</v>
      </c>
      <c r="AC522" s="10">
        <f t="shared" si="159"/>
        <v>41.583333333333336</v>
      </c>
      <c r="AD522" s="1">
        <f t="shared" si="160"/>
        <v>38057484.535760738</v>
      </c>
    </row>
    <row r="523" spans="1:30">
      <c r="A523" s="1">
        <f t="shared" si="161"/>
        <v>41.666666666666664</v>
      </c>
      <c r="B523" s="1">
        <f t="shared" si="162"/>
        <v>500</v>
      </c>
      <c r="C523" s="2">
        <f t="shared" si="167"/>
        <v>41</v>
      </c>
      <c r="D523" s="2">
        <f t="shared" si="168"/>
        <v>8</v>
      </c>
      <c r="E523" s="2">
        <f t="shared" si="169"/>
        <v>70</v>
      </c>
      <c r="F523" s="1">
        <f t="shared" si="163"/>
        <v>898608.05077933439</v>
      </c>
      <c r="H523" s="1">
        <f t="shared" si="156"/>
        <v>7165.6267874578971</v>
      </c>
      <c r="I523" s="1">
        <v>0</v>
      </c>
      <c r="J523" s="1">
        <v>0</v>
      </c>
      <c r="K523" s="1">
        <f t="shared" si="164"/>
        <v>-1050.6974659774789</v>
      </c>
      <c r="L523" s="1">
        <f t="shared" si="157"/>
        <v>904722.98010081472</v>
      </c>
      <c r="N523" s="1">
        <f t="shared" si="165"/>
        <v>500</v>
      </c>
      <c r="O523" s="2">
        <f t="shared" si="170"/>
        <v>41</v>
      </c>
      <c r="P523" s="2">
        <f t="shared" si="171"/>
        <v>8</v>
      </c>
      <c r="Q523" s="2">
        <f t="shared" si="172"/>
        <v>41</v>
      </c>
      <c r="R523" s="1">
        <f t="shared" si="166"/>
        <v>36586856.63056545</v>
      </c>
      <c r="S523" s="4">
        <f>IF($G$4="mensual",S522,0)</f>
        <v>10000</v>
      </c>
      <c r="U523" s="1">
        <f t="shared" si="173"/>
        <v>291828.47402858676</v>
      </c>
      <c r="V523" s="35">
        <f t="shared" si="175"/>
        <v>-441.34668795836001</v>
      </c>
      <c r="X523" s="35">
        <f t="shared" si="174"/>
        <v>-42790.362759171046</v>
      </c>
      <c r="Y523" s="1">
        <f t="shared" si="158"/>
        <v>36845453.395146906</v>
      </c>
      <c r="AA523" s="2">
        <f>+Bono!J523</f>
        <v>575566.44386353157</v>
      </c>
      <c r="AC523" s="10">
        <f t="shared" si="159"/>
        <v>41.666666666666664</v>
      </c>
      <c r="AD523" s="1">
        <f t="shared" si="160"/>
        <v>38325742.819111258</v>
      </c>
    </row>
    <row r="524" spans="1:30">
      <c r="A524" s="1">
        <f t="shared" si="161"/>
        <v>41.75</v>
      </c>
      <c r="B524" s="1">
        <f t="shared" si="162"/>
        <v>501</v>
      </c>
      <c r="C524" s="2">
        <f t="shared" si="167"/>
        <v>41</v>
      </c>
      <c r="D524" s="2">
        <f t="shared" si="168"/>
        <v>9</v>
      </c>
      <c r="E524" s="2">
        <f t="shared" si="169"/>
        <v>70</v>
      </c>
      <c r="F524" s="1">
        <f t="shared" si="163"/>
        <v>904722.98010081472</v>
      </c>
      <c r="H524" s="1">
        <f t="shared" si="156"/>
        <v>7214.3880925802023</v>
      </c>
      <c r="I524" s="1">
        <v>0</v>
      </c>
      <c r="J524" s="69">
        <f>-SUM(F524:H524)*$J$21*1.16</f>
        <v>-9520.6261239390442</v>
      </c>
      <c r="K524" s="1">
        <f t="shared" si="164"/>
        <v>-1046.8034208005688</v>
      </c>
      <c r="L524" s="1">
        <f t="shared" si="157"/>
        <v>901369.93864865531</v>
      </c>
      <c r="N524" s="1">
        <f t="shared" si="165"/>
        <v>501</v>
      </c>
      <c r="O524" s="2">
        <f t="shared" si="170"/>
        <v>41</v>
      </c>
      <c r="P524" s="2">
        <f t="shared" si="171"/>
        <v>9</v>
      </c>
      <c r="Q524" s="2">
        <f t="shared" si="172"/>
        <v>41</v>
      </c>
      <c r="R524" s="1">
        <f t="shared" si="166"/>
        <v>36845453.395146906</v>
      </c>
      <c r="S524" s="4">
        <f>IF($G$4="mensual",S523,0)</f>
        <v>10000</v>
      </c>
      <c r="U524" s="1">
        <f t="shared" si="173"/>
        <v>293890.56094381947</v>
      </c>
      <c r="V524" s="35">
        <f t="shared" si="175"/>
        <v>-441.34668795836001</v>
      </c>
      <c r="X524" s="35">
        <f t="shared" si="174"/>
        <v>-43092.727026907211</v>
      </c>
      <c r="Y524" s="1">
        <f t="shared" si="158"/>
        <v>37105809.882375859</v>
      </c>
      <c r="AA524" s="2">
        <f>+Bono!J524</f>
        <v>573917.58994123142</v>
      </c>
      <c r="AC524" s="10">
        <f t="shared" si="159"/>
        <v>41.75</v>
      </c>
      <c r="AD524" s="1">
        <f t="shared" si="160"/>
        <v>38581097.410965748</v>
      </c>
    </row>
    <row r="525" spans="1:30">
      <c r="A525" s="1">
        <f t="shared" si="161"/>
        <v>41.833333333333336</v>
      </c>
      <c r="B525" s="1">
        <f t="shared" si="162"/>
        <v>502</v>
      </c>
      <c r="C525" s="2">
        <f t="shared" si="167"/>
        <v>41</v>
      </c>
      <c r="D525" s="2">
        <f t="shared" si="168"/>
        <v>10</v>
      </c>
      <c r="E525" s="2">
        <f t="shared" si="169"/>
        <v>70</v>
      </c>
      <c r="F525" s="1">
        <f t="shared" si="163"/>
        <v>901369.93864865531</v>
      </c>
      <c r="H525" s="1">
        <f t="shared" si="156"/>
        <v>7187.6504691767477</v>
      </c>
      <c r="I525" s="1">
        <v>0</v>
      </c>
      <c r="J525" s="1">
        <v>0</v>
      </c>
      <c r="K525" s="1">
        <f t="shared" si="164"/>
        <v>-1053.926803376685</v>
      </c>
      <c r="L525" s="1">
        <f t="shared" si="157"/>
        <v>907503.66231445537</v>
      </c>
      <c r="N525" s="1">
        <f t="shared" si="165"/>
        <v>502</v>
      </c>
      <c r="O525" s="2">
        <f t="shared" si="170"/>
        <v>41</v>
      </c>
      <c r="P525" s="2">
        <f t="shared" si="171"/>
        <v>10</v>
      </c>
      <c r="Q525" s="2">
        <f t="shared" si="172"/>
        <v>41</v>
      </c>
      <c r="R525" s="1">
        <f t="shared" si="166"/>
        <v>37105809.882375859</v>
      </c>
      <c r="S525" s="4">
        <f>IF($G$4="mensual",S516,IF($G$4="trimestral",S516,0))</f>
        <v>10000</v>
      </c>
      <c r="U525" s="1">
        <f t="shared" si="173"/>
        <v>295966.68013455922</v>
      </c>
      <c r="V525" s="35">
        <f t="shared" si="175"/>
        <v>-441.34668795836001</v>
      </c>
      <c r="X525" s="35">
        <f t="shared" si="174"/>
        <v>-43397.148850354046</v>
      </c>
      <c r="Y525" s="1">
        <f t="shared" si="158"/>
        <v>37367938.066972107</v>
      </c>
      <c r="AA525" s="2">
        <f>+Bono!J525</f>
        <v>577475.94556918705</v>
      </c>
      <c r="AC525" s="10">
        <f t="shared" si="159"/>
        <v>41.833333333333336</v>
      </c>
      <c r="AD525" s="1">
        <f t="shared" si="160"/>
        <v>38852917.674855746</v>
      </c>
    </row>
    <row r="526" spans="1:30">
      <c r="A526" s="1">
        <f t="shared" si="161"/>
        <v>41.916666666666664</v>
      </c>
      <c r="B526" s="1">
        <f t="shared" si="162"/>
        <v>503</v>
      </c>
      <c r="C526" s="2">
        <f t="shared" si="167"/>
        <v>41</v>
      </c>
      <c r="D526" s="2">
        <f t="shared" si="168"/>
        <v>11</v>
      </c>
      <c r="E526" s="2">
        <f t="shared" si="169"/>
        <v>70</v>
      </c>
      <c r="F526" s="1">
        <f t="shared" si="163"/>
        <v>907503.66231445537</v>
      </c>
      <c r="H526" s="1">
        <f t="shared" si="156"/>
        <v>7236.5616430399277</v>
      </c>
      <c r="I526" s="1">
        <v>0</v>
      </c>
      <c r="J526" s="1">
        <v>0</v>
      </c>
      <c r="K526" s="1">
        <f t="shared" si="164"/>
        <v>-1061.0986597906945</v>
      </c>
      <c r="L526" s="1">
        <f t="shared" si="157"/>
        <v>913679.1252977046</v>
      </c>
      <c r="N526" s="1">
        <f t="shared" si="165"/>
        <v>503</v>
      </c>
      <c r="O526" s="2">
        <f t="shared" si="170"/>
        <v>41</v>
      </c>
      <c r="P526" s="2">
        <f t="shared" si="171"/>
        <v>11</v>
      </c>
      <c r="Q526" s="2">
        <f t="shared" si="172"/>
        <v>41</v>
      </c>
      <c r="R526" s="1">
        <f t="shared" si="166"/>
        <v>37367938.066972107</v>
      </c>
      <c r="S526" s="1">
        <f>IF($G$17="si",S514*(1+$G$20),S514)</f>
        <v>10000</v>
      </c>
      <c r="U526" s="1">
        <f t="shared" si="173"/>
        <v>298056.92708890332</v>
      </c>
      <c r="V526" s="35">
        <f t="shared" si="175"/>
        <v>-441.34668795836001</v>
      </c>
      <c r="X526" s="35">
        <f t="shared" si="174"/>
        <v>-43703.642230952741</v>
      </c>
      <c r="Y526" s="1">
        <f t="shared" si="158"/>
        <v>37631850.0051421</v>
      </c>
      <c r="AA526" s="2">
        <f>+Bono!J526</f>
        <v>581056.36341477977</v>
      </c>
      <c r="AC526" s="10">
        <f t="shared" si="159"/>
        <v>41.916666666666664</v>
      </c>
      <c r="AD526" s="1">
        <f t="shared" si="160"/>
        <v>39126585.493854582</v>
      </c>
    </row>
    <row r="527" spans="1:30">
      <c r="A527" s="1">
        <f t="shared" si="161"/>
        <v>42</v>
      </c>
      <c r="B527" s="1">
        <f t="shared" si="162"/>
        <v>504</v>
      </c>
      <c r="C527" s="2">
        <f t="shared" si="167"/>
        <v>41</v>
      </c>
      <c r="D527" s="2">
        <f t="shared" si="168"/>
        <v>12</v>
      </c>
      <c r="E527" s="2">
        <f t="shared" si="169"/>
        <v>70</v>
      </c>
      <c r="F527" s="1">
        <f t="shared" si="163"/>
        <v>913679.1252977046</v>
      </c>
      <c r="H527" s="1">
        <f t="shared" si="156"/>
        <v>7285.8056520818545</v>
      </c>
      <c r="I527" s="1">
        <v>0</v>
      </c>
      <c r="J527" s="69">
        <f>-SUM(F527:H527)*$J$21*1.16</f>
        <v>-9614.8738791157721</v>
      </c>
      <c r="K527" s="1">
        <f t="shared" si="164"/>
        <v>-1057.1660662019779</v>
      </c>
      <c r="L527" s="1">
        <f t="shared" si="157"/>
        <v>910292.89100446866</v>
      </c>
      <c r="N527" s="1">
        <f t="shared" si="165"/>
        <v>504</v>
      </c>
      <c r="O527" s="2">
        <f t="shared" si="170"/>
        <v>41</v>
      </c>
      <c r="P527" s="2">
        <f t="shared" si="171"/>
        <v>12</v>
      </c>
      <c r="Q527" s="2">
        <f t="shared" si="172"/>
        <v>41</v>
      </c>
      <c r="R527" s="1">
        <f t="shared" si="166"/>
        <v>37631850.0051421</v>
      </c>
      <c r="S527" s="4">
        <f>IF($G$4="mensual",S526,0)</f>
        <v>10000</v>
      </c>
      <c r="U527" s="1">
        <f t="shared" si="173"/>
        <v>300161.39794473501</v>
      </c>
      <c r="V527" s="35">
        <f t="shared" si="175"/>
        <v>-441.34668795836001</v>
      </c>
      <c r="X527" s="35">
        <f t="shared" si="174"/>
        <v>-44012.221265422697</v>
      </c>
      <c r="Y527" s="1">
        <f t="shared" si="158"/>
        <v>37897557.835133456</v>
      </c>
      <c r="AA527" s="2">
        <f>+Bono!J527</f>
        <v>579391.7822459006</v>
      </c>
      <c r="AC527" s="10">
        <f t="shared" si="159"/>
        <v>42</v>
      </c>
      <c r="AD527" s="1">
        <f t="shared" si="160"/>
        <v>39387242.508383825</v>
      </c>
    </row>
    <row r="528" spans="1:30">
      <c r="A528" s="1">
        <f t="shared" si="161"/>
        <v>42.083333333333336</v>
      </c>
      <c r="B528" s="1">
        <f t="shared" si="162"/>
        <v>505</v>
      </c>
      <c r="C528" s="2">
        <f t="shared" si="167"/>
        <v>42</v>
      </c>
      <c r="D528" s="2">
        <f t="shared" si="168"/>
        <v>1</v>
      </c>
      <c r="E528" s="2">
        <f t="shared" si="169"/>
        <v>71</v>
      </c>
      <c r="F528" s="1">
        <f t="shared" si="163"/>
        <v>910292.89100446866</v>
      </c>
      <c r="H528" s="1">
        <f t="shared" si="156"/>
        <v>7258.8033443024215</v>
      </c>
      <c r="I528" s="1">
        <v>0</v>
      </c>
      <c r="J528" s="1">
        <v>0</v>
      </c>
      <c r="K528" s="1">
        <f t="shared" si="164"/>
        <v>-1064.3599654445743</v>
      </c>
      <c r="L528" s="1">
        <f t="shared" si="157"/>
        <v>916487.33438332658</v>
      </c>
      <c r="N528" s="1">
        <f t="shared" si="165"/>
        <v>505</v>
      </c>
      <c r="O528" s="2">
        <f t="shared" si="170"/>
        <v>42</v>
      </c>
      <c r="P528" s="2">
        <f t="shared" si="171"/>
        <v>1</v>
      </c>
      <c r="Q528" s="2">
        <f t="shared" si="172"/>
        <v>42</v>
      </c>
      <c r="R528" s="1">
        <f t="shared" si="166"/>
        <v>37897557.835133456</v>
      </c>
      <c r="S528" s="1">
        <f>IF($G$17="si",S516*(1+$G$20),S516)</f>
        <v>10000</v>
      </c>
      <c r="U528" s="1">
        <f t="shared" si="173"/>
        <v>302280.18949414534</v>
      </c>
      <c r="V528" s="35">
        <f>V527*(1+$G$18)</f>
        <v>-459.00055547669444</v>
      </c>
      <c r="X528" s="35">
        <f t="shared" si="174"/>
        <v>-44322.879667923669</v>
      </c>
      <c r="Y528" s="1">
        <f t="shared" si="158"/>
        <v>38165056.144404203</v>
      </c>
      <c r="AA528" s="2">
        <f>+Bono!J528</f>
        <v>582984.07850111229</v>
      </c>
      <c r="AC528" s="10">
        <f t="shared" si="159"/>
        <v>42.083333333333336</v>
      </c>
      <c r="AD528" s="1">
        <f t="shared" si="160"/>
        <v>39664527.557288639</v>
      </c>
    </row>
    <row r="529" spans="1:30">
      <c r="A529" s="1">
        <f t="shared" si="161"/>
        <v>42.166666666666664</v>
      </c>
      <c r="B529" s="1">
        <f t="shared" si="162"/>
        <v>506</v>
      </c>
      <c r="C529" s="2">
        <f t="shared" si="167"/>
        <v>42</v>
      </c>
      <c r="D529" s="2">
        <f t="shared" si="168"/>
        <v>2</v>
      </c>
      <c r="E529" s="2">
        <f t="shared" si="169"/>
        <v>71</v>
      </c>
      <c r="F529" s="1">
        <f t="shared" si="163"/>
        <v>916487.33438332658</v>
      </c>
      <c r="H529" s="1">
        <f t="shared" si="156"/>
        <v>7308.1987056843273</v>
      </c>
      <c r="I529" s="1">
        <v>0</v>
      </c>
      <c r="J529" s="1">
        <v>0</v>
      </c>
      <c r="K529" s="1">
        <f t="shared" si="164"/>
        <v>-1071.6028183832525</v>
      </c>
      <c r="L529" s="1">
        <f t="shared" si="157"/>
        <v>922723.93027062761</v>
      </c>
      <c r="N529" s="1">
        <f t="shared" si="165"/>
        <v>506</v>
      </c>
      <c r="O529" s="2">
        <f t="shared" si="170"/>
        <v>42</v>
      </c>
      <c r="P529" s="2">
        <f t="shared" si="171"/>
        <v>2</v>
      </c>
      <c r="Q529" s="2">
        <f t="shared" si="172"/>
        <v>42</v>
      </c>
      <c r="R529" s="1">
        <f t="shared" si="166"/>
        <v>38165056.144404203</v>
      </c>
      <c r="S529" s="4">
        <f>IF($G$4="mensual",S528,0)</f>
        <v>10000</v>
      </c>
      <c r="U529" s="1">
        <f t="shared" si="173"/>
        <v>304413.25857676461</v>
      </c>
      <c r="V529" s="35">
        <f t="shared" si="175"/>
        <v>-459.00055547669444</v>
      </c>
      <c r="X529" s="35">
        <f t="shared" si="174"/>
        <v>-44635.652066813564</v>
      </c>
      <c r="Y529" s="1">
        <f t="shared" si="158"/>
        <v>38434374.750358678</v>
      </c>
      <c r="AA529" s="2">
        <f>+Bono!J529</f>
        <v>586598.64740978682</v>
      </c>
      <c r="AC529" s="10">
        <f t="shared" si="159"/>
        <v>42.166666666666664</v>
      </c>
      <c r="AD529" s="1">
        <f t="shared" si="160"/>
        <v>39943697.328039095</v>
      </c>
    </row>
    <row r="530" spans="1:30">
      <c r="A530" s="1">
        <f t="shared" si="161"/>
        <v>42.25</v>
      </c>
      <c r="B530" s="1">
        <f t="shared" si="162"/>
        <v>507</v>
      </c>
      <c r="C530" s="2">
        <f t="shared" si="167"/>
        <v>42</v>
      </c>
      <c r="D530" s="2">
        <f t="shared" si="168"/>
        <v>3</v>
      </c>
      <c r="E530" s="2">
        <f t="shared" si="169"/>
        <v>71</v>
      </c>
      <c r="F530" s="1">
        <f t="shared" si="163"/>
        <v>922723.93027062761</v>
      </c>
      <c r="H530" s="1">
        <f t="shared" si="156"/>
        <v>7357.9301970879897</v>
      </c>
      <c r="I530" s="1">
        <v>0</v>
      </c>
      <c r="J530" s="69">
        <f>-SUM(F530:H530)*$J$21*1.16</f>
        <v>-9710.0546232829511</v>
      </c>
      <c r="K530" s="1">
        <f t="shared" si="164"/>
        <v>-1067.6312947795418</v>
      </c>
      <c r="L530" s="1">
        <f t="shared" si="157"/>
        <v>919304.17454965308</v>
      </c>
      <c r="N530" s="1">
        <f t="shared" si="165"/>
        <v>507</v>
      </c>
      <c r="O530" s="2">
        <f t="shared" si="170"/>
        <v>42</v>
      </c>
      <c r="P530" s="2">
        <f t="shared" si="171"/>
        <v>3</v>
      </c>
      <c r="Q530" s="2">
        <f t="shared" si="172"/>
        <v>42</v>
      </c>
      <c r="R530" s="1">
        <f t="shared" si="166"/>
        <v>38434374.750358678</v>
      </c>
      <c r="S530" s="4">
        <f>IF($G$4="mensual",S529,0)</f>
        <v>10000</v>
      </c>
      <c r="U530" s="1">
        <f t="shared" si="173"/>
        <v>306560.84296076221</v>
      </c>
      <c r="V530" s="35">
        <f t="shared" si="175"/>
        <v>-459.00055547669444</v>
      </c>
      <c r="X530" s="35">
        <f t="shared" si="174"/>
        <v>-44950.552847606188</v>
      </c>
      <c r="Y530" s="1">
        <f t="shared" si="158"/>
        <v>38705526.039916351</v>
      </c>
      <c r="AA530" s="2">
        <f>+Bono!J530</f>
        <v>584918.1889832929</v>
      </c>
      <c r="AC530" s="10">
        <f t="shared" si="159"/>
        <v>42.25</v>
      </c>
      <c r="AD530" s="1">
        <f t="shared" si="160"/>
        <v>40209748.403449297</v>
      </c>
    </row>
    <row r="531" spans="1:30">
      <c r="A531" s="1">
        <f t="shared" si="161"/>
        <v>42.333333333333336</v>
      </c>
      <c r="B531" s="1">
        <f t="shared" si="162"/>
        <v>508</v>
      </c>
      <c r="C531" s="2">
        <f t="shared" si="167"/>
        <v>42</v>
      </c>
      <c r="D531" s="2">
        <f t="shared" si="168"/>
        <v>4</v>
      </c>
      <c r="E531" s="2">
        <f t="shared" si="169"/>
        <v>71</v>
      </c>
      <c r="F531" s="1">
        <f t="shared" si="163"/>
        <v>919304.17454965308</v>
      </c>
      <c r="H531" s="1">
        <f t="shared" si="156"/>
        <v>7330.6605847363917</v>
      </c>
      <c r="I531" s="1">
        <v>0</v>
      </c>
      <c r="J531" s="1">
        <v>0</v>
      </c>
      <c r="K531" s="1">
        <f t="shared" si="164"/>
        <v>-1074.8964087558918</v>
      </c>
      <c r="L531" s="1">
        <f t="shared" si="157"/>
        <v>925559.93872563355</v>
      </c>
      <c r="N531" s="1">
        <f t="shared" si="165"/>
        <v>508</v>
      </c>
      <c r="O531" s="2">
        <f t="shared" si="170"/>
        <v>42</v>
      </c>
      <c r="P531" s="2">
        <f t="shared" si="171"/>
        <v>4</v>
      </c>
      <c r="Q531" s="2">
        <f t="shared" si="172"/>
        <v>42</v>
      </c>
      <c r="R531" s="1">
        <f t="shared" si="166"/>
        <v>38705526.039916351</v>
      </c>
      <c r="S531" s="4">
        <f>IF($G$4="mensual",S528,IF($G$4="trimestral",S528,0))</f>
        <v>10000</v>
      </c>
      <c r="U531" s="1">
        <f t="shared" si="173"/>
        <v>308723.04142117343</v>
      </c>
      <c r="V531" s="35">
        <f t="shared" si="175"/>
        <v>-459.00055547669444</v>
      </c>
      <c r="X531" s="35">
        <f t="shared" si="174"/>
        <v>-45267.596493707169</v>
      </c>
      <c r="Y531" s="1">
        <f t="shared" si="158"/>
        <v>38978522.484288342</v>
      </c>
      <c r="AA531" s="2">
        <f>+Bono!J531</f>
        <v>588544.74960129987</v>
      </c>
      <c r="AC531" s="10">
        <f t="shared" si="159"/>
        <v>42.333333333333336</v>
      </c>
      <c r="AD531" s="1">
        <f t="shared" si="160"/>
        <v>40492627.172615275</v>
      </c>
    </row>
    <row r="532" spans="1:30">
      <c r="A532" s="1">
        <f t="shared" si="161"/>
        <v>42.416666666666664</v>
      </c>
      <c r="B532" s="1">
        <f t="shared" si="162"/>
        <v>509</v>
      </c>
      <c r="C532" s="2">
        <f t="shared" si="167"/>
        <v>42</v>
      </c>
      <c r="D532" s="2">
        <f t="shared" si="168"/>
        <v>5</v>
      </c>
      <c r="E532" s="2">
        <f t="shared" si="169"/>
        <v>71</v>
      </c>
      <c r="F532" s="1">
        <f t="shared" si="163"/>
        <v>925559.93872563355</v>
      </c>
      <c r="H532" s="1">
        <f t="shared" si="156"/>
        <v>7380.544926765765</v>
      </c>
      <c r="I532" s="1">
        <v>0</v>
      </c>
      <c r="J532" s="1">
        <v>0</v>
      </c>
      <c r="K532" s="1">
        <f t="shared" si="164"/>
        <v>-1082.2109610367831</v>
      </c>
      <c r="L532" s="1">
        <f t="shared" si="157"/>
        <v>931858.27269136254</v>
      </c>
      <c r="N532" s="1">
        <f t="shared" si="165"/>
        <v>509</v>
      </c>
      <c r="O532" s="2">
        <f t="shared" si="170"/>
        <v>42</v>
      </c>
      <c r="P532" s="2">
        <f t="shared" si="171"/>
        <v>5</v>
      </c>
      <c r="Q532" s="2">
        <f t="shared" si="172"/>
        <v>42</v>
      </c>
      <c r="R532" s="1">
        <f t="shared" si="166"/>
        <v>38978522.484288342</v>
      </c>
      <c r="S532" s="4">
        <f>IF($G$4="mensual",S531,0)</f>
        <v>10000</v>
      </c>
      <c r="U532" s="1">
        <f t="shared" si="173"/>
        <v>310899.95340518712</v>
      </c>
      <c r="V532" s="35">
        <f t="shared" si="175"/>
        <v>-459.00055547669444</v>
      </c>
      <c r="X532" s="35">
        <f t="shared" si="174"/>
        <v>-45586.797587080138</v>
      </c>
      <c r="Y532" s="1">
        <f t="shared" si="158"/>
        <v>39253376.639550969</v>
      </c>
      <c r="AA532" s="2">
        <f>+Bono!J532</f>
        <v>592193.79531579348</v>
      </c>
      <c r="AC532" s="10">
        <f t="shared" si="159"/>
        <v>42.416666666666664</v>
      </c>
      <c r="AD532" s="1">
        <f t="shared" si="160"/>
        <v>40777428.707558125</v>
      </c>
    </row>
    <row r="533" spans="1:30">
      <c r="A533" s="1">
        <f t="shared" si="161"/>
        <v>42.5</v>
      </c>
      <c r="B533" s="1">
        <f t="shared" si="162"/>
        <v>510</v>
      </c>
      <c r="C533" s="2">
        <f t="shared" si="167"/>
        <v>42</v>
      </c>
      <c r="D533" s="2">
        <f t="shared" si="168"/>
        <v>6</v>
      </c>
      <c r="E533" s="2">
        <f t="shared" si="169"/>
        <v>71</v>
      </c>
      <c r="F533" s="1">
        <f t="shared" si="163"/>
        <v>931858.27269136254</v>
      </c>
      <c r="H533" s="1">
        <f t="shared" si="156"/>
        <v>7430.7687262766231</v>
      </c>
      <c r="I533" s="1">
        <v>0</v>
      </c>
      <c r="J533" s="69">
        <f>-SUM(F533:H533)*$J$21*1.16</f>
        <v>-9806.1775924001522</v>
      </c>
      <c r="K533" s="1">
        <f t="shared" si="164"/>
        <v>-1078.2001220372772</v>
      </c>
      <c r="L533" s="1">
        <f t="shared" si="157"/>
        <v>928404.66370320169</v>
      </c>
      <c r="N533" s="1">
        <f t="shared" si="165"/>
        <v>510</v>
      </c>
      <c r="O533" s="2">
        <f t="shared" si="170"/>
        <v>42</v>
      </c>
      <c r="P533" s="2">
        <f t="shared" si="171"/>
        <v>6</v>
      </c>
      <c r="Q533" s="2">
        <f t="shared" si="172"/>
        <v>42</v>
      </c>
      <c r="R533" s="1">
        <f t="shared" si="166"/>
        <v>39253376.639550969</v>
      </c>
      <c r="S533" s="4">
        <f>IF($G$4="mensual",S532,0)</f>
        <v>10000</v>
      </c>
      <c r="U533" s="1">
        <f t="shared" si="173"/>
        <v>313091.67903671903</v>
      </c>
      <c r="V533" s="35">
        <f t="shared" si="175"/>
        <v>-459.00055547669444</v>
      </c>
      <c r="X533" s="35">
        <f t="shared" si="174"/>
        <v>-45908.170808917363</v>
      </c>
      <c r="Y533" s="1">
        <f t="shared" si="158"/>
        <v>39530101.147223294</v>
      </c>
      <c r="AA533" s="2">
        <f>+Bono!J533</f>
        <v>590497.30818980013</v>
      </c>
      <c r="AC533" s="10">
        <f t="shared" si="159"/>
        <v>42.5</v>
      </c>
      <c r="AD533" s="1">
        <f t="shared" si="160"/>
        <v>41049003.119116299</v>
      </c>
    </row>
    <row r="534" spans="1:30">
      <c r="A534" s="1">
        <f t="shared" si="161"/>
        <v>42.583333333333336</v>
      </c>
      <c r="B534" s="1">
        <f t="shared" si="162"/>
        <v>511</v>
      </c>
      <c r="C534" s="2">
        <f t="shared" si="167"/>
        <v>42</v>
      </c>
      <c r="D534" s="2">
        <f t="shared" si="168"/>
        <v>7</v>
      </c>
      <c r="E534" s="2">
        <f t="shared" si="169"/>
        <v>71</v>
      </c>
      <c r="F534" s="1">
        <f t="shared" si="163"/>
        <v>928404.66370320169</v>
      </c>
      <c r="H534" s="1">
        <f t="shared" si="156"/>
        <v>7403.2291632185033</v>
      </c>
      <c r="I534" s="1">
        <v>0</v>
      </c>
      <c r="J534" s="1">
        <v>0</v>
      </c>
      <c r="K534" s="1">
        <f t="shared" si="164"/>
        <v>-1085.5371557250473</v>
      </c>
      <c r="L534" s="1">
        <f t="shared" si="157"/>
        <v>934722.35571069515</v>
      </c>
      <c r="N534" s="1">
        <f t="shared" si="165"/>
        <v>511</v>
      </c>
      <c r="O534" s="2">
        <f t="shared" si="170"/>
        <v>42</v>
      </c>
      <c r="P534" s="2">
        <f t="shared" si="171"/>
        <v>7</v>
      </c>
      <c r="Q534" s="2">
        <f t="shared" si="172"/>
        <v>42</v>
      </c>
      <c r="R534" s="1">
        <f t="shared" si="166"/>
        <v>39530101.147223294</v>
      </c>
      <c r="S534" s="1">
        <f>+IF($G$4="mensual",S528,IF($G$4="trimestral",S528,IF($G$4="semestral",S528,0)))</f>
        <v>10000</v>
      </c>
      <c r="U534" s="1">
        <f t="shared" si="173"/>
        <v>315298.31912101735</v>
      </c>
      <c r="V534" s="35">
        <f t="shared" si="175"/>
        <v>-459.00055547669444</v>
      </c>
      <c r="X534" s="35">
        <f t="shared" si="174"/>
        <v>-46231.73094031505</v>
      </c>
      <c r="Y534" s="1">
        <f t="shared" si="158"/>
        <v>39808708.734848522</v>
      </c>
      <c r="AA534" s="2">
        <f>+Bono!J534</f>
        <v>594158.45999402518</v>
      </c>
      <c r="AC534" s="10">
        <f t="shared" si="159"/>
        <v>42.583333333333336</v>
      </c>
      <c r="AD534" s="1">
        <f t="shared" si="160"/>
        <v>41337589.55055324</v>
      </c>
    </row>
    <row r="535" spans="1:30">
      <c r="A535" s="1">
        <f t="shared" si="161"/>
        <v>42.666666666666664</v>
      </c>
      <c r="B535" s="1">
        <f t="shared" si="162"/>
        <v>512</v>
      </c>
      <c r="C535" s="2">
        <f t="shared" si="167"/>
        <v>42</v>
      </c>
      <c r="D535" s="2">
        <f t="shared" si="168"/>
        <v>8</v>
      </c>
      <c r="E535" s="2">
        <f t="shared" si="169"/>
        <v>71</v>
      </c>
      <c r="F535" s="1">
        <f t="shared" si="163"/>
        <v>934722.35571069515</v>
      </c>
      <c r="H535" s="1">
        <f t="shared" si="156"/>
        <v>7453.6073264728193</v>
      </c>
      <c r="I535" s="1">
        <v>0</v>
      </c>
      <c r="J535" s="1">
        <v>0</v>
      </c>
      <c r="K535" s="1">
        <f t="shared" si="164"/>
        <v>-1092.9241171231149</v>
      </c>
      <c r="L535" s="1">
        <f t="shared" si="157"/>
        <v>941083.0389200449</v>
      </c>
      <c r="N535" s="1">
        <f t="shared" si="165"/>
        <v>512</v>
      </c>
      <c r="O535" s="2">
        <f t="shared" si="170"/>
        <v>42</v>
      </c>
      <c r="P535" s="2">
        <f t="shared" si="171"/>
        <v>8</v>
      </c>
      <c r="Q535" s="2">
        <f t="shared" si="172"/>
        <v>42</v>
      </c>
      <c r="R535" s="1">
        <f t="shared" si="166"/>
        <v>39808708.734848522</v>
      </c>
      <c r="S535" s="4">
        <f>IF($G$4="mensual",S534,0)</f>
        <v>10000</v>
      </c>
      <c r="U535" s="1">
        <f t="shared" si="173"/>
        <v>317519.97514929908</v>
      </c>
      <c r="V535" s="35">
        <f t="shared" si="175"/>
        <v>-459.00055547669444</v>
      </c>
      <c r="X535" s="35">
        <f t="shared" si="174"/>
        <v>-46557.492862953113</v>
      </c>
      <c r="Y535" s="1">
        <f t="shared" si="158"/>
        <v>40089212.216579385</v>
      </c>
      <c r="AA535" s="2">
        <f>+Bono!J535</f>
        <v>597842.31136410369</v>
      </c>
      <c r="AC535" s="10">
        <f t="shared" si="159"/>
        <v>42.666666666666664</v>
      </c>
      <c r="AD535" s="1">
        <f t="shared" si="160"/>
        <v>41628137.566863537</v>
      </c>
    </row>
    <row r="536" spans="1:30">
      <c r="A536" s="1">
        <f t="shared" si="161"/>
        <v>42.75</v>
      </c>
      <c r="B536" s="1">
        <f t="shared" si="162"/>
        <v>513</v>
      </c>
      <c r="C536" s="2">
        <f t="shared" si="167"/>
        <v>42</v>
      </c>
      <c r="D536" s="2">
        <f t="shared" si="168"/>
        <v>9</v>
      </c>
      <c r="E536" s="2">
        <f t="shared" si="169"/>
        <v>71</v>
      </c>
      <c r="F536" s="1">
        <f t="shared" si="163"/>
        <v>941083.0389200449</v>
      </c>
      <c r="H536" s="1">
        <f t="shared" ref="H536:H599" si="176">SUM(F536:G536)*$G$8</f>
        <v>7504.3283076079451</v>
      </c>
      <c r="I536" s="1">
        <v>0</v>
      </c>
      <c r="J536" s="69">
        <f>-SUM(F536:H536)*$J$21*1.16</f>
        <v>-9903.2521138566954</v>
      </c>
      <c r="K536" s="1">
        <f t="shared" si="164"/>
        <v>-1088.8735735320033</v>
      </c>
      <c r="L536" s="1">
        <f t="shared" ref="L536:L599" si="177">SUM(F536:K536)</f>
        <v>937595.24154026411</v>
      </c>
      <c r="N536" s="1">
        <f t="shared" si="165"/>
        <v>513</v>
      </c>
      <c r="O536" s="2">
        <f t="shared" si="170"/>
        <v>42</v>
      </c>
      <c r="P536" s="2">
        <f t="shared" si="171"/>
        <v>9</v>
      </c>
      <c r="Q536" s="2">
        <f t="shared" si="172"/>
        <v>42</v>
      </c>
      <c r="R536" s="1">
        <f t="shared" si="166"/>
        <v>40089212.216579385</v>
      </c>
      <c r="S536" s="4">
        <f>IF($G$4="mensual",S535,0)</f>
        <v>10000</v>
      </c>
      <c r="U536" s="1">
        <f t="shared" si="173"/>
        <v>319756.7493034174</v>
      </c>
      <c r="V536" s="35">
        <f t="shared" si="175"/>
        <v>-459.00055547669444</v>
      </c>
      <c r="X536" s="35">
        <f t="shared" si="174"/>
        <v>-46885.471559779689</v>
      </c>
      <c r="Y536" s="1">
        <f t="shared" ref="Y536:Y599" si="178">SUM(R536:X536)</f>
        <v>40371624.493767545</v>
      </c>
      <c r="AA536" s="2">
        <f>+Bono!J536</f>
        <v>596129.64265222964</v>
      </c>
      <c r="AC536" s="10">
        <f t="shared" ref="AC536:AC599" si="179">+B536/12</f>
        <v>42.75</v>
      </c>
      <c r="AD536" s="1">
        <f t="shared" ref="AD536:AD599" si="180">+AA536+Y536+L536</f>
        <v>41905349.377960034</v>
      </c>
    </row>
    <row r="537" spans="1:30">
      <c r="A537" s="1">
        <f t="shared" ref="A537:A600" si="181">+B537/12</f>
        <v>42.833333333333336</v>
      </c>
      <c r="B537" s="1">
        <f t="shared" ref="B537:B600" si="182">+B536+1</f>
        <v>514</v>
      </c>
      <c r="C537" s="2">
        <f t="shared" si="167"/>
        <v>42</v>
      </c>
      <c r="D537" s="2">
        <f t="shared" si="168"/>
        <v>10</v>
      </c>
      <c r="E537" s="2">
        <f t="shared" si="169"/>
        <v>71</v>
      </c>
      <c r="F537" s="1">
        <f t="shared" ref="F537:F600" si="183">L536</f>
        <v>937595.24154026411</v>
      </c>
      <c r="H537" s="1">
        <f t="shared" si="176"/>
        <v>7476.5161215140097</v>
      </c>
      <c r="I537" s="1">
        <v>0</v>
      </c>
      <c r="J537" s="1">
        <v>0</v>
      </c>
      <c r="K537" s="1">
        <f t="shared" ref="K537:K600" si="184">-SUM(F537:J537)*0.1%*1.16</f>
        <v>-1096.2832388876627</v>
      </c>
      <c r="L537" s="1">
        <f t="shared" si="177"/>
        <v>943975.47442289046</v>
      </c>
      <c r="N537" s="1">
        <f t="shared" ref="N537:N600" si="185">+N536+1</f>
        <v>514</v>
      </c>
      <c r="O537" s="2">
        <f t="shared" si="170"/>
        <v>42</v>
      </c>
      <c r="P537" s="2">
        <f t="shared" si="171"/>
        <v>10</v>
      </c>
      <c r="Q537" s="2">
        <f t="shared" si="172"/>
        <v>42</v>
      </c>
      <c r="R537" s="1">
        <f t="shared" ref="R537:R600" si="186">Y536</f>
        <v>40371624.493767545</v>
      </c>
      <c r="S537" s="4">
        <f>IF($G$4="mensual",S528,IF($G$4="trimestral",S528,0))</f>
        <v>10000</v>
      </c>
      <c r="U537" s="1">
        <f t="shared" si="173"/>
        <v>322008.7444605623</v>
      </c>
      <c r="V537" s="35">
        <f t="shared" si="175"/>
        <v>-459.00055547669444</v>
      </c>
      <c r="X537" s="35">
        <f t="shared" si="174"/>
        <v>-47215.682115700241</v>
      </c>
      <c r="Y537" s="1">
        <f t="shared" si="178"/>
        <v>40655958.555556923</v>
      </c>
      <c r="AA537" s="2">
        <f>+Bono!J537</f>
        <v>599825.71558343212</v>
      </c>
      <c r="AC537" s="10">
        <f t="shared" si="179"/>
        <v>42.833333333333336</v>
      </c>
      <c r="AD537" s="1">
        <f t="shared" si="180"/>
        <v>42199759.745563239</v>
      </c>
    </row>
    <row r="538" spans="1:30">
      <c r="A538" s="1">
        <f t="shared" si="181"/>
        <v>42.916666666666664</v>
      </c>
      <c r="B538" s="1">
        <f t="shared" si="182"/>
        <v>515</v>
      </c>
      <c r="C538" s="2">
        <f t="shared" si="167"/>
        <v>42</v>
      </c>
      <c r="D538" s="2">
        <f t="shared" si="168"/>
        <v>11</v>
      </c>
      <c r="E538" s="2">
        <f t="shared" si="169"/>
        <v>71</v>
      </c>
      <c r="F538" s="1">
        <f t="shared" si="183"/>
        <v>943975.47442289046</v>
      </c>
      <c r="H538" s="1">
        <f t="shared" si="176"/>
        <v>7527.3929944891825</v>
      </c>
      <c r="I538" s="1">
        <v>0</v>
      </c>
      <c r="J538" s="1">
        <v>0</v>
      </c>
      <c r="K538" s="1">
        <f t="shared" si="184"/>
        <v>-1103.7433262041604</v>
      </c>
      <c r="L538" s="1">
        <f t="shared" si="177"/>
        <v>950399.1240911755</v>
      </c>
      <c r="N538" s="1">
        <f t="shared" si="185"/>
        <v>515</v>
      </c>
      <c r="O538" s="2">
        <f t="shared" si="170"/>
        <v>42</v>
      </c>
      <c r="P538" s="2">
        <f t="shared" si="171"/>
        <v>11</v>
      </c>
      <c r="Q538" s="2">
        <f t="shared" si="172"/>
        <v>42</v>
      </c>
      <c r="R538" s="1">
        <f t="shared" si="186"/>
        <v>40655958.555556923</v>
      </c>
      <c r="S538" s="1">
        <f>IF($G$17="si",S526*(1+$G$20),S526)</f>
        <v>10000</v>
      </c>
      <c r="U538" s="1">
        <f t="shared" si="173"/>
        <v>324276.06419799139</v>
      </c>
      <c r="V538" s="35">
        <f t="shared" si="175"/>
        <v>-459.00055547669444</v>
      </c>
      <c r="X538" s="35">
        <f t="shared" si="174"/>
        <v>-47548.139718271348</v>
      </c>
      <c r="Y538" s="1">
        <f t="shared" si="178"/>
        <v>40942227.479481168</v>
      </c>
      <c r="AA538" s="2">
        <f>+Bono!J538</f>
        <v>603544.7045955261</v>
      </c>
      <c r="AC538" s="10">
        <f t="shared" si="179"/>
        <v>42.916666666666664</v>
      </c>
      <c r="AD538" s="1">
        <f t="shared" si="180"/>
        <v>42496171.308167875</v>
      </c>
    </row>
    <row r="539" spans="1:30">
      <c r="A539" s="1">
        <f t="shared" si="181"/>
        <v>43</v>
      </c>
      <c r="B539" s="1">
        <f t="shared" si="182"/>
        <v>516</v>
      </c>
      <c r="C539" s="2">
        <f t="shared" si="167"/>
        <v>42</v>
      </c>
      <c r="D539" s="2">
        <f t="shared" si="168"/>
        <v>12</v>
      </c>
      <c r="E539" s="2">
        <f t="shared" si="169"/>
        <v>71</v>
      </c>
      <c r="F539" s="1">
        <f t="shared" si="183"/>
        <v>950399.1240911755</v>
      </c>
      <c r="H539" s="1">
        <f t="shared" si="176"/>
        <v>7578.6160790101685</v>
      </c>
      <c r="I539" s="1">
        <v>0</v>
      </c>
      <c r="J539" s="69">
        <f>-SUM(F539:H539)*$J$21*1.16</f>
        <v>-10001.287607376738</v>
      </c>
      <c r="K539" s="1">
        <f t="shared" si="184"/>
        <v>-1099.6526849728584</v>
      </c>
      <c r="L539" s="1">
        <f t="shared" si="177"/>
        <v>946876.79987783614</v>
      </c>
      <c r="N539" s="1">
        <f t="shared" si="185"/>
        <v>516</v>
      </c>
      <c r="O539" s="2">
        <f t="shared" si="170"/>
        <v>42</v>
      </c>
      <c r="P539" s="2">
        <f t="shared" si="171"/>
        <v>12</v>
      </c>
      <c r="Q539" s="2">
        <f t="shared" si="172"/>
        <v>42</v>
      </c>
      <c r="R539" s="1">
        <f t="shared" si="186"/>
        <v>40942227.479481168</v>
      </c>
      <c r="S539" s="4">
        <f>IF($G$4="mensual",S538,0)</f>
        <v>10000</v>
      </c>
      <c r="U539" s="1">
        <f t="shared" si="173"/>
        <v>326558.81279779447</v>
      </c>
      <c r="V539" s="35">
        <f t="shared" si="175"/>
        <v>-459.00055547669444</v>
      </c>
      <c r="X539" s="35">
        <f t="shared" si="174"/>
        <v>-47882.85965839924</v>
      </c>
      <c r="Y539" s="1">
        <f t="shared" si="178"/>
        <v>41230444.432065085</v>
      </c>
      <c r="AA539" s="2">
        <f>+Bono!J539</f>
        <v>601815.69995311543</v>
      </c>
      <c r="AC539" s="10">
        <f t="shared" si="179"/>
        <v>43</v>
      </c>
      <c r="AD539" s="1">
        <f t="shared" si="180"/>
        <v>42779136.931896038</v>
      </c>
    </row>
    <row r="540" spans="1:30">
      <c r="A540" s="1">
        <f t="shared" si="181"/>
        <v>43.083333333333336</v>
      </c>
      <c r="B540" s="1">
        <f t="shared" si="182"/>
        <v>517</v>
      </c>
      <c r="C540" s="2">
        <f t="shared" si="167"/>
        <v>43</v>
      </c>
      <c r="D540" s="2">
        <f t="shared" si="168"/>
        <v>1</v>
      </c>
      <c r="E540" s="2">
        <f t="shared" si="169"/>
        <v>72</v>
      </c>
      <c r="F540" s="1">
        <f t="shared" si="183"/>
        <v>946876.79987783614</v>
      </c>
      <c r="H540" s="1">
        <f t="shared" si="176"/>
        <v>7550.5285710968719</v>
      </c>
      <c r="I540" s="1">
        <v>0</v>
      </c>
      <c r="J540" s="1">
        <v>0</v>
      </c>
      <c r="K540" s="1">
        <f t="shared" si="184"/>
        <v>-1107.1357010007621</v>
      </c>
      <c r="L540" s="1">
        <f t="shared" si="177"/>
        <v>953320.19274793216</v>
      </c>
      <c r="N540" s="1">
        <f t="shared" si="185"/>
        <v>517</v>
      </c>
      <c r="O540" s="2">
        <f t="shared" si="170"/>
        <v>43</v>
      </c>
      <c r="P540" s="2">
        <f t="shared" si="171"/>
        <v>1</v>
      </c>
      <c r="Q540" s="2">
        <f t="shared" si="172"/>
        <v>43</v>
      </c>
      <c r="R540" s="1">
        <f t="shared" si="186"/>
        <v>41230444.432065085</v>
      </c>
      <c r="S540" s="1">
        <f>IF($G$17="si",S528*(1+$G$20),S528)</f>
        <v>10000</v>
      </c>
      <c r="U540" s="1">
        <f t="shared" si="173"/>
        <v>328857.09525168932</v>
      </c>
      <c r="V540" s="35">
        <f>V539*(1+$G$18)</f>
        <v>-477.36057769576223</v>
      </c>
      <c r="X540" s="35">
        <f t="shared" si="174"/>
        <v>-48219.836033417327</v>
      </c>
      <c r="Y540" s="1">
        <f t="shared" si="178"/>
        <v>41520604.330705658</v>
      </c>
      <c r="AA540" s="2">
        <f>+Bono!J540</f>
        <v>605547.0270991252</v>
      </c>
      <c r="AC540" s="10">
        <f t="shared" si="179"/>
        <v>43.083333333333336</v>
      </c>
      <c r="AD540" s="1">
        <f t="shared" si="180"/>
        <v>43079471.550552718</v>
      </c>
    </row>
    <row r="541" spans="1:30">
      <c r="A541" s="1">
        <f t="shared" si="181"/>
        <v>43.166666666666664</v>
      </c>
      <c r="B541" s="1">
        <f t="shared" si="182"/>
        <v>518</v>
      </c>
      <c r="C541" s="2">
        <f t="shared" si="167"/>
        <v>43</v>
      </c>
      <c r="D541" s="2">
        <f t="shared" si="168"/>
        <v>2</v>
      </c>
      <c r="E541" s="2">
        <f t="shared" si="169"/>
        <v>72</v>
      </c>
      <c r="F541" s="1">
        <f t="shared" si="183"/>
        <v>953320.19274793216</v>
      </c>
      <c r="H541" s="1">
        <f t="shared" si="176"/>
        <v>7601.9090906816145</v>
      </c>
      <c r="I541" s="1">
        <v>0</v>
      </c>
      <c r="J541" s="1">
        <v>0</v>
      </c>
      <c r="K541" s="1">
        <f t="shared" si="184"/>
        <v>-1114.669638132792</v>
      </c>
      <c r="L541" s="1">
        <f t="shared" si="177"/>
        <v>959807.43220048095</v>
      </c>
      <c r="N541" s="1">
        <f t="shared" si="185"/>
        <v>518</v>
      </c>
      <c r="O541" s="2">
        <f t="shared" si="170"/>
        <v>43</v>
      </c>
      <c r="P541" s="2">
        <f t="shared" si="171"/>
        <v>2</v>
      </c>
      <c r="Q541" s="2">
        <f t="shared" si="172"/>
        <v>43</v>
      </c>
      <c r="R541" s="1">
        <f t="shared" si="186"/>
        <v>41520604.330705658</v>
      </c>
      <c r="S541" s="4">
        <f>IF($G$4="mensual",S540,0)</f>
        <v>10000</v>
      </c>
      <c r="U541" s="1">
        <f t="shared" si="173"/>
        <v>331170.87103028572</v>
      </c>
      <c r="V541" s="35">
        <f t="shared" si="175"/>
        <v>-477.36057769576223</v>
      </c>
      <c r="X541" s="35">
        <f t="shared" si="174"/>
        <v>-48559.10549574357</v>
      </c>
      <c r="Y541" s="1">
        <f t="shared" si="178"/>
        <v>41812738.735662505</v>
      </c>
      <c r="AA541" s="2">
        <f>+Bono!J541</f>
        <v>609301.48890624754</v>
      </c>
      <c r="AC541" s="10">
        <f t="shared" si="179"/>
        <v>43.166666666666664</v>
      </c>
      <c r="AD541" s="1">
        <f t="shared" si="180"/>
        <v>43381847.656769238</v>
      </c>
    </row>
    <row r="542" spans="1:30">
      <c r="A542" s="1">
        <f t="shared" si="181"/>
        <v>43.25</v>
      </c>
      <c r="B542" s="1">
        <f t="shared" si="182"/>
        <v>519</v>
      </c>
      <c r="C542" s="2">
        <f t="shared" si="167"/>
        <v>43</v>
      </c>
      <c r="D542" s="2">
        <f t="shared" si="168"/>
        <v>3</v>
      </c>
      <c r="E542" s="2">
        <f t="shared" si="169"/>
        <v>72</v>
      </c>
      <c r="F542" s="1">
        <f t="shared" si="183"/>
        <v>959807.43220048095</v>
      </c>
      <c r="H542" s="1">
        <f t="shared" si="176"/>
        <v>7653.6392490721637</v>
      </c>
      <c r="I542" s="1">
        <v>0</v>
      </c>
      <c r="J542" s="69">
        <f>-SUM(F542:H542)*$J$21*1.16</f>
        <v>-10100.293585933336</v>
      </c>
      <c r="K542" s="1">
        <f t="shared" si="184"/>
        <v>-1110.5385023217989</v>
      </c>
      <c r="L542" s="1">
        <f t="shared" si="177"/>
        <v>956250.23936129804</v>
      </c>
      <c r="N542" s="1">
        <f t="shared" si="185"/>
        <v>519</v>
      </c>
      <c r="O542" s="2">
        <f t="shared" si="170"/>
        <v>43</v>
      </c>
      <c r="P542" s="2">
        <f t="shared" si="171"/>
        <v>3</v>
      </c>
      <c r="Q542" s="2">
        <f t="shared" si="172"/>
        <v>43</v>
      </c>
      <c r="R542" s="1">
        <f t="shared" si="186"/>
        <v>41812738.735662505</v>
      </c>
      <c r="S542" s="4">
        <f>IF($G$4="mensual",S541,0)</f>
        <v>10000</v>
      </c>
      <c r="U542" s="1">
        <f t="shared" si="173"/>
        <v>333500.39179952588</v>
      </c>
      <c r="V542" s="35">
        <f t="shared" si="175"/>
        <v>-477.36057769576223</v>
      </c>
      <c r="X542" s="35">
        <f t="shared" si="174"/>
        <v>-48900.68364958583</v>
      </c>
      <c r="Y542" s="1">
        <f t="shared" si="178"/>
        <v>42106861.08323475</v>
      </c>
      <c r="AA542" s="2">
        <f>+Bono!J542</f>
        <v>607555.99251646036</v>
      </c>
      <c r="AC542" s="10">
        <f t="shared" si="179"/>
        <v>43.25</v>
      </c>
      <c r="AD542" s="1">
        <f t="shared" si="180"/>
        <v>43670667.315112509</v>
      </c>
    </row>
    <row r="543" spans="1:30">
      <c r="A543" s="1">
        <f t="shared" si="181"/>
        <v>43.333333333333336</v>
      </c>
      <c r="B543" s="1">
        <f t="shared" si="182"/>
        <v>520</v>
      </c>
      <c r="C543" s="2">
        <f t="shared" si="167"/>
        <v>43</v>
      </c>
      <c r="D543" s="2">
        <f t="shared" si="168"/>
        <v>4</v>
      </c>
      <c r="E543" s="2">
        <f t="shared" si="169"/>
        <v>72</v>
      </c>
      <c r="F543" s="1">
        <f t="shared" si="183"/>
        <v>956250.23936129804</v>
      </c>
      <c r="H543" s="1">
        <f t="shared" si="176"/>
        <v>7625.2736938398284</v>
      </c>
      <c r="I543" s="1">
        <v>0</v>
      </c>
      <c r="J543" s="1">
        <v>0</v>
      </c>
      <c r="K543" s="1">
        <f t="shared" si="184"/>
        <v>-1118.0955951439598</v>
      </c>
      <c r="L543" s="1">
        <f t="shared" si="177"/>
        <v>962757.41745999386</v>
      </c>
      <c r="N543" s="1">
        <f t="shared" si="185"/>
        <v>520</v>
      </c>
      <c r="O543" s="2">
        <f t="shared" si="170"/>
        <v>43</v>
      </c>
      <c r="P543" s="2">
        <f t="shared" si="171"/>
        <v>4</v>
      </c>
      <c r="Q543" s="2">
        <f t="shared" si="172"/>
        <v>43</v>
      </c>
      <c r="R543" s="1">
        <f t="shared" si="186"/>
        <v>42106861.08323475</v>
      </c>
      <c r="S543" s="4">
        <f>IF($G$4="mensual",S540,IF($G$4="trimestral",S540,0))</f>
        <v>10000</v>
      </c>
      <c r="U543" s="1">
        <f t="shared" si="173"/>
        <v>335845.76470234583</v>
      </c>
      <c r="V543" s="35">
        <f t="shared" si="175"/>
        <v>-477.36057769576223</v>
      </c>
      <c r="X543" s="35">
        <f t="shared" si="174"/>
        <v>-49244.586205336898</v>
      </c>
      <c r="Y543" s="1">
        <f t="shared" si="178"/>
        <v>42402984.901154064</v>
      </c>
      <c r="AA543" s="2">
        <f>+Bono!J543</f>
        <v>611322.91014219564</v>
      </c>
      <c r="AC543" s="10">
        <f t="shared" si="179"/>
        <v>43.333333333333336</v>
      </c>
      <c r="AD543" s="1">
        <f t="shared" si="180"/>
        <v>43977065.228756256</v>
      </c>
    </row>
    <row r="544" spans="1:30">
      <c r="A544" s="1">
        <f t="shared" si="181"/>
        <v>43.416666666666664</v>
      </c>
      <c r="B544" s="1">
        <f t="shared" si="182"/>
        <v>521</v>
      </c>
      <c r="C544" s="2">
        <f t="shared" si="167"/>
        <v>43</v>
      </c>
      <c r="D544" s="2">
        <f t="shared" si="168"/>
        <v>5</v>
      </c>
      <c r="E544" s="2">
        <f t="shared" si="169"/>
        <v>72</v>
      </c>
      <c r="F544" s="1">
        <f t="shared" si="183"/>
        <v>962757.41745999386</v>
      </c>
      <c r="H544" s="1">
        <f t="shared" si="176"/>
        <v>7677.1628457947163</v>
      </c>
      <c r="I544" s="1">
        <v>0</v>
      </c>
      <c r="J544" s="1">
        <v>0</v>
      </c>
      <c r="K544" s="1">
        <f t="shared" si="184"/>
        <v>-1125.7041131547146</v>
      </c>
      <c r="L544" s="1">
        <f t="shared" si="177"/>
        <v>969308.87619263388</v>
      </c>
      <c r="N544" s="1">
        <f t="shared" si="185"/>
        <v>521</v>
      </c>
      <c r="O544" s="2">
        <f t="shared" si="170"/>
        <v>43</v>
      </c>
      <c r="P544" s="2">
        <f t="shared" si="171"/>
        <v>5</v>
      </c>
      <c r="Q544" s="2">
        <f t="shared" si="172"/>
        <v>43</v>
      </c>
      <c r="R544" s="1">
        <f t="shared" si="186"/>
        <v>42402984.901154064</v>
      </c>
      <c r="S544" s="4">
        <f>IF($G$4="mensual",S543,0)</f>
        <v>10000</v>
      </c>
      <c r="U544" s="1">
        <f t="shared" si="173"/>
        <v>338207.09761077754</v>
      </c>
      <c r="V544" s="35">
        <f t="shared" si="175"/>
        <v>-477.36057769576223</v>
      </c>
      <c r="X544" s="35">
        <f t="shared" si="174"/>
        <v>-49590.82898029709</v>
      </c>
      <c r="Y544" s="1">
        <f t="shared" si="178"/>
        <v>42701123.809206851</v>
      </c>
      <c r="AA544" s="2">
        <f>+Bono!J544</f>
        <v>615113.18309414596</v>
      </c>
      <c r="AC544" s="10">
        <f t="shared" si="179"/>
        <v>43.416666666666664</v>
      </c>
      <c r="AD544" s="1">
        <f t="shared" si="180"/>
        <v>44285545.868493631</v>
      </c>
    </row>
    <row r="545" spans="1:30">
      <c r="A545" s="1">
        <f t="shared" si="181"/>
        <v>43.5</v>
      </c>
      <c r="B545" s="1">
        <f t="shared" si="182"/>
        <v>522</v>
      </c>
      <c r="C545" s="2">
        <f t="shared" si="167"/>
        <v>43</v>
      </c>
      <c r="D545" s="2">
        <f t="shared" si="168"/>
        <v>6</v>
      </c>
      <c r="E545" s="2">
        <f t="shared" si="169"/>
        <v>72</v>
      </c>
      <c r="F545" s="1">
        <f t="shared" si="183"/>
        <v>969308.87619263388</v>
      </c>
      <c r="H545" s="1">
        <f t="shared" si="176"/>
        <v>7729.4050977429551</v>
      </c>
      <c r="I545" s="1">
        <v>0</v>
      </c>
      <c r="J545" s="69">
        <f>-SUM(F545:H545)*$J$21*1.16</f>
        <v>-10200.279656671535</v>
      </c>
      <c r="K545" s="1">
        <f t="shared" si="184"/>
        <v>-1121.5320818950981</v>
      </c>
      <c r="L545" s="1">
        <f t="shared" si="177"/>
        <v>965716.46955181018</v>
      </c>
      <c r="N545" s="1">
        <f t="shared" si="185"/>
        <v>522</v>
      </c>
      <c r="O545" s="2">
        <f t="shared" si="170"/>
        <v>43</v>
      </c>
      <c r="P545" s="2">
        <f t="shared" si="171"/>
        <v>6</v>
      </c>
      <c r="Q545" s="2">
        <f t="shared" si="172"/>
        <v>43</v>
      </c>
      <c r="R545" s="1">
        <f t="shared" si="186"/>
        <v>42701123.809206851</v>
      </c>
      <c r="S545" s="4">
        <f>IF($G$4="mensual",S544,0)</f>
        <v>10000</v>
      </c>
      <c r="U545" s="1">
        <f t="shared" si="173"/>
        <v>340584.4991309105</v>
      </c>
      <c r="V545" s="35">
        <f t="shared" si="175"/>
        <v>-477.36057769576223</v>
      </c>
      <c r="X545" s="35">
        <f t="shared" si="174"/>
        <v>-49939.427899401679</v>
      </c>
      <c r="Y545" s="1">
        <f t="shared" si="178"/>
        <v>43001291.519860663</v>
      </c>
      <c r="AA545" s="2">
        <f>+Bono!J545</f>
        <v>613351.03765391617</v>
      </c>
      <c r="AC545" s="10">
        <f t="shared" si="179"/>
        <v>43.5</v>
      </c>
      <c r="AD545" s="1">
        <f t="shared" si="180"/>
        <v>44580359.027066387</v>
      </c>
    </row>
    <row r="546" spans="1:30">
      <c r="A546" s="1">
        <f t="shared" si="181"/>
        <v>43.583333333333336</v>
      </c>
      <c r="B546" s="1">
        <f t="shared" si="182"/>
        <v>523</v>
      </c>
      <c r="C546" s="2">
        <f t="shared" si="167"/>
        <v>43</v>
      </c>
      <c r="D546" s="2">
        <f t="shared" si="168"/>
        <v>7</v>
      </c>
      <c r="E546" s="2">
        <f t="shared" si="169"/>
        <v>72</v>
      </c>
      <c r="F546" s="1">
        <f t="shared" si="183"/>
        <v>965716.46955181018</v>
      </c>
      <c r="H546" s="1">
        <f t="shared" si="176"/>
        <v>7700.7587427113003</v>
      </c>
      <c r="I546" s="1">
        <v>0</v>
      </c>
      <c r="J546" s="1">
        <v>0</v>
      </c>
      <c r="K546" s="1">
        <f t="shared" si="184"/>
        <v>-1129.1639848216448</v>
      </c>
      <c r="L546" s="1">
        <f t="shared" si="177"/>
        <v>972288.06430969981</v>
      </c>
      <c r="N546" s="1">
        <f t="shared" si="185"/>
        <v>523</v>
      </c>
      <c r="O546" s="2">
        <f t="shared" si="170"/>
        <v>43</v>
      </c>
      <c r="P546" s="2">
        <f t="shared" si="171"/>
        <v>7</v>
      </c>
      <c r="Q546" s="2">
        <f t="shared" si="172"/>
        <v>43</v>
      </c>
      <c r="R546" s="1">
        <f t="shared" si="186"/>
        <v>43001291.519860663</v>
      </c>
      <c r="S546" s="1">
        <f>+IF($G$4="mensual",S540,IF($G$4="trimestral",S540,IF($G$4="semestral",S540,0)))</f>
        <v>10000</v>
      </c>
      <c r="U546" s="1">
        <f t="shared" si="173"/>
        <v>342978.07860788656</v>
      </c>
      <c r="V546" s="35">
        <f t="shared" si="175"/>
        <v>-477.36057769576223</v>
      </c>
      <c r="X546" s="35">
        <f t="shared" si="174"/>
        <v>-50290.398995953386</v>
      </c>
      <c r="Y546" s="1">
        <f t="shared" si="178"/>
        <v>43303501.838894904</v>
      </c>
      <c r="AA546" s="2">
        <f>+Bono!J546</f>
        <v>617153.88523168734</v>
      </c>
      <c r="AC546" s="10">
        <f t="shared" si="179"/>
        <v>43.583333333333336</v>
      </c>
      <c r="AD546" s="1">
        <f t="shared" si="180"/>
        <v>44892943.788436294</v>
      </c>
    </row>
    <row r="547" spans="1:30">
      <c r="A547" s="1">
        <f t="shared" si="181"/>
        <v>43.666666666666664</v>
      </c>
      <c r="B547" s="1">
        <f t="shared" si="182"/>
        <v>524</v>
      </c>
      <c r="C547" s="2">
        <f t="shared" si="167"/>
        <v>43</v>
      </c>
      <c r="D547" s="2">
        <f t="shared" si="168"/>
        <v>8</v>
      </c>
      <c r="E547" s="2">
        <f t="shared" si="169"/>
        <v>72</v>
      </c>
      <c r="F547" s="1">
        <f t="shared" si="183"/>
        <v>972288.06430969981</v>
      </c>
      <c r="H547" s="1">
        <f t="shared" si="176"/>
        <v>7753.1615621525607</v>
      </c>
      <c r="I547" s="1">
        <v>0</v>
      </c>
      <c r="J547" s="1">
        <v>0</v>
      </c>
      <c r="K547" s="1">
        <f t="shared" si="184"/>
        <v>-1136.8478220113486</v>
      </c>
      <c r="L547" s="1">
        <f t="shared" si="177"/>
        <v>978904.37804984103</v>
      </c>
      <c r="N547" s="1">
        <f t="shared" si="185"/>
        <v>524</v>
      </c>
      <c r="O547" s="2">
        <f t="shared" si="170"/>
        <v>43</v>
      </c>
      <c r="P547" s="2">
        <f t="shared" si="171"/>
        <v>8</v>
      </c>
      <c r="Q547" s="2">
        <f t="shared" si="172"/>
        <v>43</v>
      </c>
      <c r="R547" s="1">
        <f t="shared" si="186"/>
        <v>43303501.838894904</v>
      </c>
      <c r="S547" s="4">
        <f>IF($G$4="mensual",S546,0)</f>
        <v>10000</v>
      </c>
      <c r="U547" s="1">
        <f t="shared" si="173"/>
        <v>345387.9461309294</v>
      </c>
      <c r="V547" s="35">
        <f t="shared" si="175"/>
        <v>-477.36057769576223</v>
      </c>
      <c r="X547" s="35">
        <f t="shared" si="174"/>
        <v>-50643.758412359843</v>
      </c>
      <c r="Y547" s="1">
        <f t="shared" si="178"/>
        <v>43607768.666035779</v>
      </c>
      <c r="AA547" s="2">
        <f>+Bono!J547</f>
        <v>620980.31090554362</v>
      </c>
      <c r="AC547" s="10">
        <f t="shared" si="179"/>
        <v>43.666666666666664</v>
      </c>
      <c r="AD547" s="1">
        <f t="shared" si="180"/>
        <v>45207653.354991168</v>
      </c>
    </row>
    <row r="548" spans="1:30">
      <c r="A548" s="1">
        <f t="shared" si="181"/>
        <v>43.75</v>
      </c>
      <c r="B548" s="1">
        <f t="shared" si="182"/>
        <v>525</v>
      </c>
      <c r="C548" s="2">
        <f t="shared" ref="C548:C611" si="187">C536+1</f>
        <v>43</v>
      </c>
      <c r="D548" s="2">
        <f t="shared" ref="D548:D611" si="188">D536</f>
        <v>9</v>
      </c>
      <c r="E548" s="2">
        <f t="shared" ref="E548:E611" si="189">E536+1</f>
        <v>72</v>
      </c>
      <c r="F548" s="1">
        <f t="shared" si="183"/>
        <v>978904.37804984103</v>
      </c>
      <c r="H548" s="1">
        <f t="shared" si="176"/>
        <v>7805.9209770381322</v>
      </c>
      <c r="I548" s="1">
        <v>0</v>
      </c>
      <c r="J548" s="69">
        <f>-SUM(F548:H548)*$J$21*1.16</f>
        <v>-10301.25552184062</v>
      </c>
      <c r="K548" s="1">
        <f t="shared" si="184"/>
        <v>-1132.6344904658447</v>
      </c>
      <c r="L548" s="1">
        <f t="shared" si="177"/>
        <v>975276.40901457262</v>
      </c>
      <c r="N548" s="1">
        <f t="shared" si="185"/>
        <v>525</v>
      </c>
      <c r="O548" s="2">
        <f t="shared" ref="O548:O611" si="190">O536+1</f>
        <v>43</v>
      </c>
      <c r="P548" s="2">
        <f t="shared" ref="P548:P611" si="191">P536</f>
        <v>9</v>
      </c>
      <c r="Q548" s="2">
        <f t="shared" ref="Q548:Q611" si="192">Q536+1</f>
        <v>43</v>
      </c>
      <c r="R548" s="1">
        <f t="shared" si="186"/>
        <v>43607768.666035779</v>
      </c>
      <c r="S548" s="4">
        <f>IF($G$4="mensual",S547,0)</f>
        <v>10000</v>
      </c>
      <c r="U548" s="1">
        <f t="shared" ref="U548:U611" si="193">SUM(R548:T548)*$G$8</f>
        <v>347814.21253840771</v>
      </c>
      <c r="V548" s="35">
        <f t="shared" si="175"/>
        <v>-477.36057769576223</v>
      </c>
      <c r="X548" s="35">
        <f t="shared" si="174"/>
        <v>-50999.522400875925</v>
      </c>
      <c r="Y548" s="1">
        <f t="shared" si="178"/>
        <v>43914105.995595612</v>
      </c>
      <c r="AA548" s="2">
        <f>+Bono!J548</f>
        <v>619201.35761140299</v>
      </c>
      <c r="AC548" s="10">
        <f t="shared" si="179"/>
        <v>43.75</v>
      </c>
      <c r="AD548" s="1">
        <f t="shared" si="180"/>
        <v>45508583.76222159</v>
      </c>
    </row>
    <row r="549" spans="1:30">
      <c r="A549" s="1">
        <f t="shared" si="181"/>
        <v>43.833333333333336</v>
      </c>
      <c r="B549" s="1">
        <f t="shared" si="182"/>
        <v>526</v>
      </c>
      <c r="C549" s="2">
        <f t="shared" si="187"/>
        <v>43</v>
      </c>
      <c r="D549" s="2">
        <f t="shared" si="188"/>
        <v>10</v>
      </c>
      <c r="E549" s="2">
        <f t="shared" si="189"/>
        <v>72</v>
      </c>
      <c r="F549" s="1">
        <f t="shared" si="183"/>
        <v>975276.40901457262</v>
      </c>
      <c r="H549" s="1">
        <f t="shared" si="176"/>
        <v>7776.9910424791869</v>
      </c>
      <c r="I549" s="1">
        <v>0</v>
      </c>
      <c r="J549" s="1">
        <v>0</v>
      </c>
      <c r="K549" s="1">
        <f t="shared" si="184"/>
        <v>-1140.3419440661801</v>
      </c>
      <c r="L549" s="1">
        <f t="shared" si="177"/>
        <v>981913.05811298557</v>
      </c>
      <c r="N549" s="1">
        <f t="shared" si="185"/>
        <v>526</v>
      </c>
      <c r="O549" s="2">
        <f t="shared" si="190"/>
        <v>43</v>
      </c>
      <c r="P549" s="2">
        <f t="shared" si="191"/>
        <v>10</v>
      </c>
      <c r="Q549" s="2">
        <f t="shared" si="192"/>
        <v>43</v>
      </c>
      <c r="R549" s="1">
        <f t="shared" si="186"/>
        <v>43914105.995595612</v>
      </c>
      <c r="S549" s="4">
        <f>IF($G$4="mensual",S540,IF($G$4="trimestral",S540,0))</f>
        <v>10000</v>
      </c>
      <c r="U549" s="1">
        <f t="shared" si="193"/>
        <v>350256.9894229332</v>
      </c>
      <c r="V549" s="35">
        <f t="shared" si="175"/>
        <v>-477.36057769576223</v>
      </c>
      <c r="X549" s="35">
        <f t="shared" si="174"/>
        <v>-51357.707324351388</v>
      </c>
      <c r="Y549" s="1">
        <f t="shared" si="178"/>
        <v>44222527.9171165</v>
      </c>
      <c r="AA549" s="2">
        <f>+Bono!J549</f>
        <v>623040.47785150562</v>
      </c>
      <c r="AC549" s="10">
        <f t="shared" si="179"/>
        <v>43.833333333333336</v>
      </c>
      <c r="AD549" s="1">
        <f t="shared" si="180"/>
        <v>45827481.453080989</v>
      </c>
    </row>
    <row r="550" spans="1:30">
      <c r="A550" s="1">
        <f t="shared" si="181"/>
        <v>43.916666666666664</v>
      </c>
      <c r="B550" s="1">
        <f t="shared" si="182"/>
        <v>527</v>
      </c>
      <c r="C550" s="2">
        <f t="shared" si="187"/>
        <v>43</v>
      </c>
      <c r="D550" s="2">
        <f t="shared" si="188"/>
        <v>11</v>
      </c>
      <c r="E550" s="2">
        <f t="shared" si="189"/>
        <v>72</v>
      </c>
      <c r="F550" s="1">
        <f t="shared" si="183"/>
        <v>981913.05811298557</v>
      </c>
      <c r="H550" s="1">
        <f t="shared" si="176"/>
        <v>7829.9126143672893</v>
      </c>
      <c r="I550" s="1">
        <v>0</v>
      </c>
      <c r="J550" s="1">
        <v>0</v>
      </c>
      <c r="K550" s="1">
        <f t="shared" si="184"/>
        <v>-1148.1018460437294</v>
      </c>
      <c r="L550" s="1">
        <f t="shared" si="177"/>
        <v>988594.86888130917</v>
      </c>
      <c r="N550" s="1">
        <f t="shared" si="185"/>
        <v>527</v>
      </c>
      <c r="O550" s="2">
        <f t="shared" si="190"/>
        <v>43</v>
      </c>
      <c r="P550" s="2">
        <f t="shared" si="191"/>
        <v>11</v>
      </c>
      <c r="Q550" s="2">
        <f t="shared" si="192"/>
        <v>43</v>
      </c>
      <c r="R550" s="1">
        <f t="shared" si="186"/>
        <v>44222527.9171165</v>
      </c>
      <c r="S550" s="1">
        <f>IF($G$17="si",S538*(1+$G$20),S538)</f>
        <v>10000</v>
      </c>
      <c r="U550" s="1">
        <f t="shared" si="193"/>
        <v>352716.38913649309</v>
      </c>
      <c r="V550" s="35">
        <f t="shared" si="175"/>
        <v>-477.36057769576223</v>
      </c>
      <c r="X550" s="35">
        <f t="shared" si="174"/>
        <v>-51718.32965698334</v>
      </c>
      <c r="Y550" s="1">
        <f t="shared" si="178"/>
        <v>44533048.616018318</v>
      </c>
      <c r="AA550" s="2">
        <f>+Bono!J550</f>
        <v>626903.40108240733</v>
      </c>
      <c r="AC550" s="10">
        <f t="shared" si="179"/>
        <v>43.916666666666664</v>
      </c>
      <c r="AD550" s="1">
        <f t="shared" si="180"/>
        <v>46148546.885982029</v>
      </c>
    </row>
    <row r="551" spans="1:30">
      <c r="A551" s="1">
        <f t="shared" si="181"/>
        <v>44</v>
      </c>
      <c r="B551" s="1">
        <f t="shared" si="182"/>
        <v>528</v>
      </c>
      <c r="C551" s="2">
        <f t="shared" si="187"/>
        <v>43</v>
      </c>
      <c r="D551" s="2">
        <f t="shared" si="188"/>
        <v>12</v>
      </c>
      <c r="E551" s="2">
        <f t="shared" si="189"/>
        <v>72</v>
      </c>
      <c r="F551" s="1">
        <f t="shared" si="183"/>
        <v>988594.86888130917</v>
      </c>
      <c r="H551" s="1">
        <f t="shared" si="176"/>
        <v>7883.1943117532637</v>
      </c>
      <c r="I551" s="1">
        <v>0</v>
      </c>
      <c r="J551" s="69">
        <f>-SUM(F551:H551)*$J$21*1.16</f>
        <v>-10403.230979735572</v>
      </c>
      <c r="K551" s="1">
        <f t="shared" si="184"/>
        <v>-1143.8468053674592</v>
      </c>
      <c r="L551" s="1">
        <f t="shared" si="177"/>
        <v>984930.98540795932</v>
      </c>
      <c r="N551" s="1">
        <f t="shared" si="185"/>
        <v>528</v>
      </c>
      <c r="O551" s="2">
        <f t="shared" si="190"/>
        <v>43</v>
      </c>
      <c r="P551" s="2">
        <f t="shared" si="191"/>
        <v>12</v>
      </c>
      <c r="Q551" s="2">
        <f t="shared" si="192"/>
        <v>43</v>
      </c>
      <c r="R551" s="1">
        <f t="shared" si="186"/>
        <v>44533048.616018318</v>
      </c>
      <c r="S551" s="4">
        <f>IF($G$4="mensual",S550,0)</f>
        <v>10000</v>
      </c>
      <c r="U551" s="1">
        <f t="shared" si="193"/>
        <v>355192.52479561756</v>
      </c>
      <c r="V551" s="35">
        <f t="shared" si="175"/>
        <v>-477.36057769576223</v>
      </c>
      <c r="X551" s="35">
        <f t="shared" si="174"/>
        <v>-52081.40598507403</v>
      </c>
      <c r="Y551" s="1">
        <f t="shared" si="178"/>
        <v>44845682.374251164</v>
      </c>
      <c r="AA551" s="2">
        <f>+Bono!J551</f>
        <v>625107.47961617401</v>
      </c>
      <c r="AC551" s="10">
        <f t="shared" si="179"/>
        <v>44</v>
      </c>
      <c r="AD551" s="1">
        <f t="shared" si="180"/>
        <v>46455720.839275293</v>
      </c>
    </row>
    <row r="552" spans="1:30">
      <c r="A552" s="1">
        <f t="shared" si="181"/>
        <v>44.083333333333336</v>
      </c>
      <c r="B552" s="1">
        <f t="shared" si="182"/>
        <v>529</v>
      </c>
      <c r="C552" s="2">
        <f t="shared" si="187"/>
        <v>44</v>
      </c>
      <c r="D552" s="2">
        <f t="shared" si="188"/>
        <v>1</v>
      </c>
      <c r="E552" s="2">
        <f t="shared" si="189"/>
        <v>73</v>
      </c>
      <c r="F552" s="1">
        <f t="shared" si="183"/>
        <v>984930.98540795932</v>
      </c>
      <c r="H552" s="1">
        <f t="shared" si="176"/>
        <v>7853.9779904216321</v>
      </c>
      <c r="I552" s="1">
        <v>0</v>
      </c>
      <c r="J552" s="1">
        <v>0</v>
      </c>
      <c r="K552" s="1">
        <f t="shared" si="184"/>
        <v>-1151.6305575421218</v>
      </c>
      <c r="L552" s="1">
        <f t="shared" si="177"/>
        <v>991633.33284083882</v>
      </c>
      <c r="N552" s="1">
        <f t="shared" si="185"/>
        <v>529</v>
      </c>
      <c r="O552" s="2">
        <f t="shared" si="190"/>
        <v>44</v>
      </c>
      <c r="P552" s="2">
        <f t="shared" si="191"/>
        <v>1</v>
      </c>
      <c r="Q552" s="2">
        <f t="shared" si="192"/>
        <v>44</v>
      </c>
      <c r="R552" s="1">
        <f t="shared" si="186"/>
        <v>44845682.374251164</v>
      </c>
      <c r="S552" s="1">
        <f>IF($G$17="si",S540*(1+$G$20),S540)</f>
        <v>10000</v>
      </c>
      <c r="U552" s="1">
        <f t="shared" si="193"/>
        <v>357685.51028658223</v>
      </c>
      <c r="V552" s="35">
        <f>V551*(1+$G$18)</f>
        <v>-496.45500080359272</v>
      </c>
      <c r="X552" s="35">
        <f t="shared" si="174"/>
        <v>-52446.930858262858</v>
      </c>
      <c r="Y552" s="1">
        <f t="shared" si="178"/>
        <v>45160424.498678684</v>
      </c>
      <c r="AA552" s="2">
        <f>+Bono!J552</f>
        <v>628983.21849777398</v>
      </c>
      <c r="AC552" s="10">
        <f t="shared" si="179"/>
        <v>44.083333333333336</v>
      </c>
      <c r="AD552" s="1">
        <f t="shared" si="180"/>
        <v>46781041.050017297</v>
      </c>
    </row>
    <row r="553" spans="1:30">
      <c r="A553" s="1">
        <f t="shared" si="181"/>
        <v>44.166666666666664</v>
      </c>
      <c r="B553" s="1">
        <f t="shared" si="182"/>
        <v>530</v>
      </c>
      <c r="C553" s="2">
        <f t="shared" si="187"/>
        <v>44</v>
      </c>
      <c r="D553" s="2">
        <f t="shared" si="188"/>
        <v>2</v>
      </c>
      <c r="E553" s="2">
        <f t="shared" si="189"/>
        <v>73</v>
      </c>
      <c r="F553" s="1">
        <f t="shared" si="183"/>
        <v>991633.33284083882</v>
      </c>
      <c r="H553" s="1">
        <f t="shared" si="176"/>
        <v>7907.4234500547154</v>
      </c>
      <c r="I553" s="1">
        <v>0</v>
      </c>
      <c r="J553" s="1">
        <v>0</v>
      </c>
      <c r="K553" s="1">
        <f t="shared" si="184"/>
        <v>-1159.4672772974366</v>
      </c>
      <c r="L553" s="1">
        <f t="shared" si="177"/>
        <v>998381.28901359614</v>
      </c>
      <c r="N553" s="1">
        <f t="shared" si="185"/>
        <v>530</v>
      </c>
      <c r="O553" s="2">
        <f t="shared" si="190"/>
        <v>44</v>
      </c>
      <c r="P553" s="2">
        <f t="shared" si="191"/>
        <v>2</v>
      </c>
      <c r="Q553" s="2">
        <f t="shared" si="192"/>
        <v>44</v>
      </c>
      <c r="R553" s="1">
        <f t="shared" si="186"/>
        <v>45160424.498678684</v>
      </c>
      <c r="S553" s="4">
        <f>IF($G$4="mensual",S552,0)</f>
        <v>10000</v>
      </c>
      <c r="U553" s="1">
        <f t="shared" si="193"/>
        <v>360195.30818565877</v>
      </c>
      <c r="V553" s="35">
        <f t="shared" si="175"/>
        <v>-496.45500080359272</v>
      </c>
      <c r="X553" s="35">
        <f t="shared" si="174"/>
        <v>-52814.943088161708</v>
      </c>
      <c r="Y553" s="1">
        <f t="shared" si="178"/>
        <v>45477308.408775382</v>
      </c>
      <c r="AA553" s="2">
        <f>+Bono!J553</f>
        <v>632882.98740999785</v>
      </c>
      <c r="AC553" s="10">
        <f t="shared" si="179"/>
        <v>44.166666666666664</v>
      </c>
      <c r="AD553" s="1">
        <f t="shared" si="180"/>
        <v>47108572.685198978</v>
      </c>
    </row>
    <row r="554" spans="1:30">
      <c r="A554" s="1">
        <f t="shared" si="181"/>
        <v>44.25</v>
      </c>
      <c r="B554" s="1">
        <f t="shared" si="182"/>
        <v>531</v>
      </c>
      <c r="C554" s="2">
        <f t="shared" si="187"/>
        <v>44</v>
      </c>
      <c r="D554" s="2">
        <f t="shared" si="188"/>
        <v>3</v>
      </c>
      <c r="E554" s="2">
        <f t="shared" si="189"/>
        <v>73</v>
      </c>
      <c r="F554" s="1">
        <f t="shared" si="183"/>
        <v>998381.28901359614</v>
      </c>
      <c r="H554" s="1">
        <f t="shared" si="176"/>
        <v>7961.2326001843703</v>
      </c>
      <c r="I554" s="1">
        <v>0</v>
      </c>
      <c r="J554" s="69">
        <f>-SUM(F554:H554)*$J$21*1.16</f>
        <v>-10506.21592564787</v>
      </c>
      <c r="K554" s="1">
        <f t="shared" si="184"/>
        <v>-1155.1701145982338</v>
      </c>
      <c r="L554" s="1">
        <f t="shared" si="177"/>
        <v>994681.13557353441</v>
      </c>
      <c r="N554" s="1">
        <f t="shared" si="185"/>
        <v>531</v>
      </c>
      <c r="O554" s="2">
        <f t="shared" si="190"/>
        <v>44</v>
      </c>
      <c r="P554" s="2">
        <f t="shared" si="191"/>
        <v>3</v>
      </c>
      <c r="Q554" s="2">
        <f t="shared" si="192"/>
        <v>44</v>
      </c>
      <c r="R554" s="1">
        <f t="shared" si="186"/>
        <v>45477308.408775382</v>
      </c>
      <c r="S554" s="4">
        <f>IF($G$4="mensual",S553,0)</f>
        <v>10000</v>
      </c>
      <c r="U554" s="1">
        <f t="shared" si="193"/>
        <v>362722.18498442991</v>
      </c>
      <c r="V554" s="35">
        <f t="shared" si="175"/>
        <v>-496.45500080359272</v>
      </c>
      <c r="X554" s="35">
        <f t="shared" si="174"/>
        <v>-53185.459600960443</v>
      </c>
      <c r="Y554" s="1">
        <f t="shared" si="178"/>
        <v>45796348.679158047</v>
      </c>
      <c r="AA554" s="2">
        <f>+Bono!J554</f>
        <v>631069.93592432875</v>
      </c>
      <c r="AC554" s="10">
        <f t="shared" si="179"/>
        <v>44.25</v>
      </c>
      <c r="AD554" s="1">
        <f t="shared" si="180"/>
        <v>47422099.750655912</v>
      </c>
    </row>
    <row r="555" spans="1:30">
      <c r="A555" s="1">
        <f t="shared" si="181"/>
        <v>44.333333333333336</v>
      </c>
      <c r="B555" s="1">
        <f t="shared" si="182"/>
        <v>532</v>
      </c>
      <c r="C555" s="2">
        <f t="shared" si="187"/>
        <v>44</v>
      </c>
      <c r="D555" s="2">
        <f t="shared" si="188"/>
        <v>4</v>
      </c>
      <c r="E555" s="2">
        <f t="shared" si="189"/>
        <v>73</v>
      </c>
      <c r="F555" s="1">
        <f t="shared" si="183"/>
        <v>994681.13557353441</v>
      </c>
      <c r="H555" s="1">
        <f t="shared" si="176"/>
        <v>7931.7270570448272</v>
      </c>
      <c r="I555" s="1">
        <v>0</v>
      </c>
      <c r="J555" s="1">
        <v>0</v>
      </c>
      <c r="K555" s="1">
        <f t="shared" si="184"/>
        <v>-1163.0309206514719</v>
      </c>
      <c r="L555" s="1">
        <f t="shared" si="177"/>
        <v>1001449.8317099278</v>
      </c>
      <c r="N555" s="1">
        <f t="shared" si="185"/>
        <v>532</v>
      </c>
      <c r="O555" s="2">
        <f t="shared" si="190"/>
        <v>44</v>
      </c>
      <c r="P555" s="2">
        <f t="shared" si="191"/>
        <v>4</v>
      </c>
      <c r="Q555" s="2">
        <f t="shared" si="192"/>
        <v>44</v>
      </c>
      <c r="R555" s="1">
        <f t="shared" si="186"/>
        <v>45796348.679158047</v>
      </c>
      <c r="S555" s="4">
        <f>IF($G$4="mensual",S552,IF($G$4="trimestral",S552,0))</f>
        <v>10000</v>
      </c>
      <c r="U555" s="1">
        <f t="shared" si="193"/>
        <v>365266.25690293673</v>
      </c>
      <c r="V555" s="35">
        <f t="shared" si="175"/>
        <v>-496.45500080359272</v>
      </c>
      <c r="X555" s="35">
        <f t="shared" ref="X555:X618" si="194">-SUM(R555:V555)*0.1%*1.16</f>
        <v>-53558.497438029801</v>
      </c>
      <c r="Y555" s="1">
        <f t="shared" si="178"/>
        <v>46117559.983622149</v>
      </c>
      <c r="AA555" s="2">
        <f>+Bono!J555</f>
        <v>634982.64272664138</v>
      </c>
      <c r="AC555" s="10">
        <f t="shared" si="179"/>
        <v>44.333333333333336</v>
      </c>
      <c r="AD555" s="1">
        <f t="shared" si="180"/>
        <v>47753992.458058722</v>
      </c>
    </row>
    <row r="556" spans="1:30">
      <c r="A556" s="1">
        <f t="shared" si="181"/>
        <v>44.416666666666664</v>
      </c>
      <c r="B556" s="1">
        <f t="shared" si="182"/>
        <v>533</v>
      </c>
      <c r="C556" s="2">
        <f t="shared" si="187"/>
        <v>44</v>
      </c>
      <c r="D556" s="2">
        <f t="shared" si="188"/>
        <v>5</v>
      </c>
      <c r="E556" s="2">
        <f t="shared" si="189"/>
        <v>73</v>
      </c>
      <c r="F556" s="1">
        <f t="shared" si="183"/>
        <v>1001449.8317099278</v>
      </c>
      <c r="H556" s="1">
        <f t="shared" si="176"/>
        <v>7985.7015905570061</v>
      </c>
      <c r="I556" s="1">
        <v>0</v>
      </c>
      <c r="J556" s="1">
        <v>0</v>
      </c>
      <c r="K556" s="1">
        <f t="shared" si="184"/>
        <v>-1170.9452186285623</v>
      </c>
      <c r="L556" s="1">
        <f t="shared" si="177"/>
        <v>1008264.5880818563</v>
      </c>
      <c r="N556" s="1">
        <f t="shared" si="185"/>
        <v>533</v>
      </c>
      <c r="O556" s="2">
        <f t="shared" si="190"/>
        <v>44</v>
      </c>
      <c r="P556" s="2">
        <f t="shared" si="191"/>
        <v>5</v>
      </c>
      <c r="Q556" s="2">
        <f t="shared" si="192"/>
        <v>44</v>
      </c>
      <c r="R556" s="1">
        <f t="shared" si="186"/>
        <v>46117559.983622149</v>
      </c>
      <c r="S556" s="4">
        <f>IF($G$4="mensual",S555,0)</f>
        <v>10000</v>
      </c>
      <c r="U556" s="1">
        <f t="shared" si="193"/>
        <v>367827.64095208485</v>
      </c>
      <c r="V556" s="35">
        <f t="shared" si="175"/>
        <v>-496.45500080359272</v>
      </c>
      <c r="X556" s="35">
        <f t="shared" si="194"/>
        <v>-53934.073756705184</v>
      </c>
      <c r="Y556" s="1">
        <f t="shared" si="178"/>
        <v>46440957.095816731</v>
      </c>
      <c r="AA556" s="2">
        <f>+Bono!J556</f>
        <v>638919.60876497428</v>
      </c>
      <c r="AC556" s="10">
        <f t="shared" si="179"/>
        <v>44.416666666666664</v>
      </c>
      <c r="AD556" s="1">
        <f t="shared" si="180"/>
        <v>48088141.292663567</v>
      </c>
    </row>
    <row r="557" spans="1:30">
      <c r="A557" s="1">
        <f t="shared" si="181"/>
        <v>44.5</v>
      </c>
      <c r="B557" s="1">
        <f t="shared" si="182"/>
        <v>534</v>
      </c>
      <c r="C557" s="2">
        <f t="shared" si="187"/>
        <v>44</v>
      </c>
      <c r="D557" s="2">
        <f t="shared" si="188"/>
        <v>6</v>
      </c>
      <c r="E557" s="2">
        <f t="shared" si="189"/>
        <v>73</v>
      </c>
      <c r="F557" s="1">
        <f t="shared" si="183"/>
        <v>1008264.5880818563</v>
      </c>
      <c r="H557" s="1">
        <f t="shared" si="176"/>
        <v>8040.0434148555305</v>
      </c>
      <c r="I557" s="1">
        <v>0</v>
      </c>
      <c r="J557" s="69">
        <f>-SUM(F557:H557)*$J$21*1.16</f>
        <v>-10610.220352825672</v>
      </c>
      <c r="K557" s="1">
        <f t="shared" si="184"/>
        <v>-1166.6055169269077</v>
      </c>
      <c r="L557" s="1">
        <f t="shared" si="177"/>
        <v>1004527.8056269592</v>
      </c>
      <c r="N557" s="1">
        <f t="shared" si="185"/>
        <v>534</v>
      </c>
      <c r="O557" s="2">
        <f t="shared" si="190"/>
        <v>44</v>
      </c>
      <c r="P557" s="2">
        <f t="shared" si="191"/>
        <v>6</v>
      </c>
      <c r="Q557" s="2">
        <f t="shared" si="192"/>
        <v>44</v>
      </c>
      <c r="R557" s="1">
        <f t="shared" si="186"/>
        <v>46440957.095816731</v>
      </c>
      <c r="S557" s="4">
        <f>IF($G$4="mensual",S556,0)</f>
        <v>10000</v>
      </c>
      <c r="U557" s="1">
        <f t="shared" si="193"/>
        <v>370406.45493902639</v>
      </c>
      <c r="V557" s="35">
        <f t="shared" si="175"/>
        <v>-496.45500080359272</v>
      </c>
      <c r="X557" s="35">
        <f t="shared" si="194"/>
        <v>-54312.205831075742</v>
      </c>
      <c r="Y557" s="1">
        <f t="shared" si="178"/>
        <v>46766554.889923878</v>
      </c>
      <c r="AA557" s="2">
        <f>+Bono!J557</f>
        <v>637089.26386877941</v>
      </c>
      <c r="AC557" s="10">
        <f t="shared" si="179"/>
        <v>44.5</v>
      </c>
      <c r="AD557" s="1">
        <f t="shared" si="180"/>
        <v>48408171.959419616</v>
      </c>
    </row>
    <row r="558" spans="1:30">
      <c r="A558" s="1">
        <f t="shared" si="181"/>
        <v>44.583333333333336</v>
      </c>
      <c r="B558" s="1">
        <f t="shared" si="182"/>
        <v>535</v>
      </c>
      <c r="C558" s="2">
        <f t="shared" si="187"/>
        <v>44</v>
      </c>
      <c r="D558" s="2">
        <f t="shared" si="188"/>
        <v>7</v>
      </c>
      <c r="E558" s="2">
        <f t="shared" si="189"/>
        <v>73</v>
      </c>
      <c r="F558" s="1">
        <f t="shared" si="183"/>
        <v>1004527.8056269592</v>
      </c>
      <c r="H558" s="1">
        <f t="shared" si="176"/>
        <v>8010.2457868079173</v>
      </c>
      <c r="I558" s="1">
        <v>0</v>
      </c>
      <c r="J558" s="1">
        <v>0</v>
      </c>
      <c r="K558" s="1">
        <f t="shared" si="184"/>
        <v>-1174.5441396399699</v>
      </c>
      <c r="L558" s="1">
        <f t="shared" si="177"/>
        <v>1011363.5072741272</v>
      </c>
      <c r="N558" s="1">
        <f t="shared" si="185"/>
        <v>535</v>
      </c>
      <c r="O558" s="2">
        <f t="shared" si="190"/>
        <v>44</v>
      </c>
      <c r="P558" s="2">
        <f t="shared" si="191"/>
        <v>7</v>
      </c>
      <c r="Q558" s="2">
        <f t="shared" si="192"/>
        <v>44</v>
      </c>
      <c r="R558" s="1">
        <f t="shared" si="186"/>
        <v>46766554.889923878</v>
      </c>
      <c r="S558" s="1">
        <f>+IF($G$4="mensual",S552,IF($G$4="trimestral",S552,IF($G$4="semestral",S552,0)))</f>
        <v>10000</v>
      </c>
      <c r="U558" s="1">
        <f t="shared" si="193"/>
        <v>373002.81747257808</v>
      </c>
      <c r="V558" s="35">
        <f t="shared" si="175"/>
        <v>-496.45500080359272</v>
      </c>
      <c r="X558" s="35">
        <f t="shared" si="194"/>
        <v>-54692.911052778953</v>
      </c>
      <c r="Y558" s="1">
        <f t="shared" si="178"/>
        <v>47094368.341342874</v>
      </c>
      <c r="AA558" s="2">
        <f>+Bono!J558</f>
        <v>641039.29120254645</v>
      </c>
      <c r="AC558" s="10">
        <f t="shared" si="179"/>
        <v>44.583333333333336</v>
      </c>
      <c r="AD558" s="1">
        <f t="shared" si="180"/>
        <v>48746771.139819548</v>
      </c>
    </row>
    <row r="559" spans="1:30">
      <c r="A559" s="1">
        <f t="shared" si="181"/>
        <v>44.666666666666664</v>
      </c>
      <c r="B559" s="1">
        <f t="shared" si="182"/>
        <v>536</v>
      </c>
      <c r="C559" s="2">
        <f t="shared" si="187"/>
        <v>44</v>
      </c>
      <c r="D559" s="2">
        <f t="shared" si="188"/>
        <v>8</v>
      </c>
      <c r="E559" s="2">
        <f t="shared" si="189"/>
        <v>73</v>
      </c>
      <c r="F559" s="1">
        <f t="shared" si="183"/>
        <v>1011363.5072741272</v>
      </c>
      <c r="H559" s="1">
        <f t="shared" si="176"/>
        <v>8064.7546316725238</v>
      </c>
      <c r="I559" s="1">
        <v>0</v>
      </c>
      <c r="J559" s="1">
        <v>0</v>
      </c>
      <c r="K559" s="1">
        <f t="shared" si="184"/>
        <v>-1182.5367838107277</v>
      </c>
      <c r="L559" s="1">
        <f t="shared" si="177"/>
        <v>1018245.725121989</v>
      </c>
      <c r="N559" s="1">
        <f t="shared" si="185"/>
        <v>536</v>
      </c>
      <c r="O559" s="2">
        <f t="shared" si="190"/>
        <v>44</v>
      </c>
      <c r="P559" s="2">
        <f t="shared" si="191"/>
        <v>8</v>
      </c>
      <c r="Q559" s="2">
        <f t="shared" si="192"/>
        <v>44</v>
      </c>
      <c r="R559" s="1">
        <f t="shared" si="186"/>
        <v>47094368.341342874</v>
      </c>
      <c r="S559" s="4">
        <f>IF($G$4="mensual",S558,0)</f>
        <v>10000</v>
      </c>
      <c r="U559" s="1">
        <f t="shared" si="193"/>
        <v>375616.84796867677</v>
      </c>
      <c r="V559" s="35">
        <f t="shared" si="175"/>
        <v>-496.45500080359272</v>
      </c>
      <c r="X559" s="35">
        <f t="shared" si="194"/>
        <v>-55076.206931800465</v>
      </c>
      <c r="Y559" s="1">
        <f t="shared" si="178"/>
        <v>47424412.527378947</v>
      </c>
      <c r="AA559" s="2">
        <f>+Bono!J559</f>
        <v>645013.80916395772</v>
      </c>
      <c r="AC559" s="10">
        <f t="shared" si="179"/>
        <v>44.666666666666664</v>
      </c>
      <c r="AD559" s="1">
        <f t="shared" si="180"/>
        <v>49087672.061664894</v>
      </c>
    </row>
    <row r="560" spans="1:30">
      <c r="A560" s="1">
        <f t="shared" si="181"/>
        <v>44.75</v>
      </c>
      <c r="B560" s="1">
        <f t="shared" si="182"/>
        <v>537</v>
      </c>
      <c r="C560" s="2">
        <f t="shared" si="187"/>
        <v>44</v>
      </c>
      <c r="D560" s="2">
        <f t="shared" si="188"/>
        <v>9</v>
      </c>
      <c r="E560" s="2">
        <f t="shared" si="189"/>
        <v>73</v>
      </c>
      <c r="F560" s="1">
        <f t="shared" si="183"/>
        <v>1018245.725121989</v>
      </c>
      <c r="H560" s="1">
        <f t="shared" si="176"/>
        <v>8119.6344032536817</v>
      </c>
      <c r="I560" s="1">
        <v>0</v>
      </c>
      <c r="J560" s="69">
        <f>-SUM(F560:H560)*$J$21*1.16</f>
        <v>-10715.254353443534</v>
      </c>
      <c r="K560" s="1">
        <f t="shared" si="184"/>
        <v>-1178.1541219992869</v>
      </c>
      <c r="L560" s="1">
        <f t="shared" si="177"/>
        <v>1014471.9510497999</v>
      </c>
      <c r="N560" s="1">
        <f t="shared" si="185"/>
        <v>537</v>
      </c>
      <c r="O560" s="2">
        <f t="shared" si="190"/>
        <v>44</v>
      </c>
      <c r="P560" s="2">
        <f t="shared" si="191"/>
        <v>9</v>
      </c>
      <c r="Q560" s="2">
        <f t="shared" si="192"/>
        <v>44</v>
      </c>
      <c r="R560" s="1">
        <f t="shared" si="186"/>
        <v>47424412.527378947</v>
      </c>
      <c r="S560" s="4">
        <f>IF($G$4="mensual",S559,0)</f>
        <v>10000</v>
      </c>
      <c r="U560" s="1">
        <f t="shared" si="193"/>
        <v>378248.66665587167</v>
      </c>
      <c r="V560" s="35">
        <f t="shared" si="175"/>
        <v>-496.45500080359272</v>
      </c>
      <c r="X560" s="35">
        <f t="shared" si="194"/>
        <v>-55462.111097279456</v>
      </c>
      <c r="Y560" s="1">
        <f t="shared" si="178"/>
        <v>47756702.627936736</v>
      </c>
      <c r="AA560" s="2">
        <f>+Bono!J560</f>
        <v>643166.0059076756</v>
      </c>
      <c r="AC560" s="10">
        <f t="shared" si="179"/>
        <v>44.75</v>
      </c>
      <c r="AD560" s="1">
        <f t="shared" si="180"/>
        <v>49414340.58489421</v>
      </c>
    </row>
    <row r="561" spans="1:30">
      <c r="A561" s="1">
        <f t="shared" si="181"/>
        <v>44.833333333333336</v>
      </c>
      <c r="B561" s="1">
        <f t="shared" si="182"/>
        <v>538</v>
      </c>
      <c r="C561" s="2">
        <f t="shared" si="187"/>
        <v>44</v>
      </c>
      <c r="D561" s="2">
        <f t="shared" si="188"/>
        <v>10</v>
      </c>
      <c r="E561" s="2">
        <f t="shared" si="189"/>
        <v>73</v>
      </c>
      <c r="F561" s="1">
        <f t="shared" si="183"/>
        <v>1014471.9510497999</v>
      </c>
      <c r="H561" s="1">
        <f t="shared" si="176"/>
        <v>8089.5417988550898</v>
      </c>
      <c r="I561" s="1">
        <v>0</v>
      </c>
      <c r="J561" s="1">
        <v>0</v>
      </c>
      <c r="K561" s="1">
        <f t="shared" si="184"/>
        <v>-1186.1713317044398</v>
      </c>
      <c r="L561" s="1">
        <f t="shared" si="177"/>
        <v>1021375.3215169505</v>
      </c>
      <c r="N561" s="1">
        <f t="shared" si="185"/>
        <v>538</v>
      </c>
      <c r="O561" s="2">
        <f t="shared" si="190"/>
        <v>44</v>
      </c>
      <c r="P561" s="2">
        <f t="shared" si="191"/>
        <v>10</v>
      </c>
      <c r="Q561" s="2">
        <f t="shared" si="192"/>
        <v>44</v>
      </c>
      <c r="R561" s="1">
        <f t="shared" si="186"/>
        <v>47756702.627936736</v>
      </c>
      <c r="S561" s="4">
        <f>IF($G$4="mensual",S552,IF($G$4="trimestral",S552,0))</f>
        <v>10000</v>
      </c>
      <c r="U561" s="1">
        <f t="shared" si="193"/>
        <v>380898.39458085399</v>
      </c>
      <c r="V561" s="35">
        <f t="shared" si="175"/>
        <v>-496.45500080359272</v>
      </c>
      <c r="X561" s="35">
        <f t="shared" si="194"/>
        <v>-55850.641298319475</v>
      </c>
      <c r="Y561" s="1">
        <f t="shared" si="178"/>
        <v>48091253.926218472</v>
      </c>
      <c r="AA561" s="2">
        <f>+Bono!J561</f>
        <v>647153.70974694227</v>
      </c>
      <c r="AC561" s="10">
        <f t="shared" si="179"/>
        <v>44.833333333333336</v>
      </c>
      <c r="AD561" s="1">
        <f t="shared" si="180"/>
        <v>49759782.957482368</v>
      </c>
    </row>
    <row r="562" spans="1:30">
      <c r="A562" s="1">
        <f t="shared" si="181"/>
        <v>44.916666666666664</v>
      </c>
      <c r="B562" s="1">
        <f t="shared" si="182"/>
        <v>539</v>
      </c>
      <c r="C562" s="2">
        <f t="shared" si="187"/>
        <v>44</v>
      </c>
      <c r="D562" s="2">
        <f t="shared" si="188"/>
        <v>11</v>
      </c>
      <c r="E562" s="2">
        <f t="shared" si="189"/>
        <v>73</v>
      </c>
      <c r="F562" s="1">
        <f t="shared" si="183"/>
        <v>1021375.3215169505</v>
      </c>
      <c r="H562" s="1">
        <f t="shared" si="176"/>
        <v>8144.5902443928962</v>
      </c>
      <c r="I562" s="1">
        <v>0</v>
      </c>
      <c r="J562" s="1">
        <v>0</v>
      </c>
      <c r="K562" s="1">
        <f t="shared" si="184"/>
        <v>-1194.2430976431581</v>
      </c>
      <c r="L562" s="1">
        <f t="shared" si="177"/>
        <v>1028325.6686637002</v>
      </c>
      <c r="N562" s="1">
        <f t="shared" si="185"/>
        <v>539</v>
      </c>
      <c r="O562" s="2">
        <f t="shared" si="190"/>
        <v>44</v>
      </c>
      <c r="P562" s="2">
        <f t="shared" si="191"/>
        <v>11</v>
      </c>
      <c r="Q562" s="2">
        <f t="shared" si="192"/>
        <v>44</v>
      </c>
      <c r="R562" s="1">
        <f t="shared" si="186"/>
        <v>48091253.926218472</v>
      </c>
      <c r="S562" s="1">
        <f>IF($G$17="si",S550*(1+$G$20),S550)</f>
        <v>10000</v>
      </c>
      <c r="U562" s="1">
        <f t="shared" si="193"/>
        <v>383566.15361402463</v>
      </c>
      <c r="V562" s="35">
        <f t="shared" si="175"/>
        <v>-496.45500080359272</v>
      </c>
      <c r="X562" s="35">
        <f t="shared" si="194"/>
        <v>-56241.815404804758</v>
      </c>
      <c r="Y562" s="1">
        <f t="shared" si="178"/>
        <v>48428081.809426889</v>
      </c>
      <c r="AA562" s="2">
        <f>+Bono!J562</f>
        <v>651166.13781255751</v>
      </c>
      <c r="AC562" s="10">
        <f t="shared" si="179"/>
        <v>44.916666666666664</v>
      </c>
      <c r="AD562" s="1">
        <f t="shared" si="180"/>
        <v>50107573.615903147</v>
      </c>
    </row>
    <row r="563" spans="1:30">
      <c r="A563" s="1">
        <f t="shared" si="181"/>
        <v>45</v>
      </c>
      <c r="B563" s="1">
        <f t="shared" si="182"/>
        <v>540</v>
      </c>
      <c r="C563" s="2">
        <f t="shared" si="187"/>
        <v>44</v>
      </c>
      <c r="D563" s="2">
        <f t="shared" si="188"/>
        <v>12</v>
      </c>
      <c r="E563" s="2">
        <f t="shared" si="189"/>
        <v>73</v>
      </c>
      <c r="F563" s="1">
        <f t="shared" si="183"/>
        <v>1028325.6686637002</v>
      </c>
      <c r="H563" s="1">
        <f t="shared" si="176"/>
        <v>8200.013288570708</v>
      </c>
      <c r="I563" s="1">
        <v>0</v>
      </c>
      <c r="J563" s="69">
        <f>-SUM(F563:H563)*$J$21*1.16</f>
        <v>-10821.328119581709</v>
      </c>
      <c r="K563" s="1">
        <f t="shared" si="184"/>
        <v>-1189.8170504459194</v>
      </c>
      <c r="L563" s="1">
        <f t="shared" si="177"/>
        <v>1024514.5367822433</v>
      </c>
      <c r="N563" s="1">
        <f t="shared" si="185"/>
        <v>540</v>
      </c>
      <c r="O563" s="2">
        <f t="shared" si="190"/>
        <v>44</v>
      </c>
      <c r="P563" s="2">
        <f t="shared" si="191"/>
        <v>12</v>
      </c>
      <c r="Q563" s="2">
        <f t="shared" si="192"/>
        <v>44</v>
      </c>
      <c r="R563" s="1">
        <f t="shared" si="186"/>
        <v>48428081.809426889</v>
      </c>
      <c r="S563" s="4">
        <f>IF($G$4="mensual",S562,0)</f>
        <v>10000</v>
      </c>
      <c r="U563" s="1">
        <f t="shared" si="193"/>
        <v>386252.06645509897</v>
      </c>
      <c r="V563" s="35">
        <f t="shared" si="175"/>
        <v>-496.45500080359272</v>
      </c>
      <c r="X563" s="35">
        <f t="shared" si="194"/>
        <v>-56635.651408222162</v>
      </c>
      <c r="Y563" s="1">
        <f t="shared" si="178"/>
        <v>48767201.769472957</v>
      </c>
      <c r="AA563" s="2">
        <f>+Bono!J563</f>
        <v>649300.70967328979</v>
      </c>
      <c r="AC563" s="10">
        <f t="shared" si="179"/>
        <v>45</v>
      </c>
      <c r="AD563" s="1">
        <f t="shared" si="180"/>
        <v>50441017.015928492</v>
      </c>
    </row>
    <row r="564" spans="1:30">
      <c r="A564" s="1">
        <f t="shared" si="181"/>
        <v>45.083333333333336</v>
      </c>
      <c r="B564" s="1">
        <f t="shared" si="182"/>
        <v>541</v>
      </c>
      <c r="C564" s="2">
        <f t="shared" si="187"/>
        <v>45</v>
      </c>
      <c r="D564" s="2">
        <f t="shared" si="188"/>
        <v>1</v>
      </c>
      <c r="E564" s="2">
        <f t="shared" si="189"/>
        <v>74</v>
      </c>
      <c r="F564" s="1">
        <f t="shared" si="183"/>
        <v>1024514.5367822433</v>
      </c>
      <c r="H564" s="1">
        <f t="shared" si="176"/>
        <v>8169.622787754899</v>
      </c>
      <c r="I564" s="1">
        <v>0</v>
      </c>
      <c r="J564" s="1">
        <v>0</v>
      </c>
      <c r="K564" s="1">
        <f t="shared" si="184"/>
        <v>-1197.9136251011978</v>
      </c>
      <c r="L564" s="1">
        <f t="shared" si="177"/>
        <v>1031486.2459448969</v>
      </c>
      <c r="N564" s="1">
        <f t="shared" si="185"/>
        <v>541</v>
      </c>
      <c r="O564" s="2">
        <f t="shared" si="190"/>
        <v>45</v>
      </c>
      <c r="P564" s="2">
        <f t="shared" si="191"/>
        <v>1</v>
      </c>
      <c r="Q564" s="2">
        <f t="shared" si="192"/>
        <v>45</v>
      </c>
      <c r="R564" s="1">
        <f t="shared" si="186"/>
        <v>48767201.769472957</v>
      </c>
      <c r="S564" s="1">
        <f>IF($G$17="si",S552*(1+$G$20),S552)</f>
        <v>10000</v>
      </c>
      <c r="U564" s="1">
        <f t="shared" si="193"/>
        <v>388956.25663875055</v>
      </c>
      <c r="V564" s="35">
        <f>V563*(1+$G$18)</f>
        <v>-516.31320083573644</v>
      </c>
      <c r="X564" s="35">
        <f t="shared" si="194"/>
        <v>-57032.144386976601</v>
      </c>
      <c r="Y564" s="1">
        <f t="shared" si="178"/>
        <v>49108609.568523891</v>
      </c>
      <c r="AA564" s="2">
        <f>+Bono!J564</f>
        <v>653326.44938748481</v>
      </c>
      <c r="AC564" s="10">
        <f t="shared" si="179"/>
        <v>45.083333333333336</v>
      </c>
      <c r="AD564" s="1">
        <f t="shared" si="180"/>
        <v>50793422.263856269</v>
      </c>
    </row>
    <row r="565" spans="1:30">
      <c r="A565" s="1">
        <f t="shared" si="181"/>
        <v>45.166666666666664</v>
      </c>
      <c r="B565" s="1">
        <f t="shared" si="182"/>
        <v>542</v>
      </c>
      <c r="C565" s="2">
        <f t="shared" si="187"/>
        <v>45</v>
      </c>
      <c r="D565" s="2">
        <f t="shared" si="188"/>
        <v>2</v>
      </c>
      <c r="E565" s="2">
        <f t="shared" si="189"/>
        <v>74</v>
      </c>
      <c r="F565" s="1">
        <f t="shared" si="183"/>
        <v>1031486.2459448969</v>
      </c>
      <c r="H565" s="1">
        <f t="shared" si="176"/>
        <v>8225.2161756473743</v>
      </c>
      <c r="I565" s="1">
        <v>0</v>
      </c>
      <c r="J565" s="1">
        <v>0</v>
      </c>
      <c r="K565" s="1">
        <f t="shared" si="184"/>
        <v>-1206.0652960598313</v>
      </c>
      <c r="L565" s="1">
        <f t="shared" si="177"/>
        <v>1038505.3968244845</v>
      </c>
      <c r="N565" s="1">
        <f t="shared" si="185"/>
        <v>542</v>
      </c>
      <c r="O565" s="2">
        <f t="shared" si="190"/>
        <v>45</v>
      </c>
      <c r="P565" s="2">
        <f t="shared" si="191"/>
        <v>2</v>
      </c>
      <c r="Q565" s="2">
        <f t="shared" si="192"/>
        <v>45</v>
      </c>
      <c r="R565" s="1">
        <f t="shared" si="186"/>
        <v>49108609.568523891</v>
      </c>
      <c r="S565" s="4">
        <f>IF($G$4="mensual",S564,0)</f>
        <v>10000</v>
      </c>
      <c r="U565" s="1">
        <f t="shared" si="193"/>
        <v>391678.69037190563</v>
      </c>
      <c r="V565" s="35">
        <f t="shared" si="175"/>
        <v>-516.31320083573644</v>
      </c>
      <c r="X565" s="35">
        <f t="shared" si="194"/>
        <v>-57431.335457006157</v>
      </c>
      <c r="Y565" s="1">
        <f t="shared" si="178"/>
        <v>49452340.610237956</v>
      </c>
      <c r="AA565" s="2">
        <f>+Bono!J565</f>
        <v>657377.14915486483</v>
      </c>
      <c r="AC565" s="10">
        <f t="shared" si="179"/>
        <v>45.166666666666664</v>
      </c>
      <c r="AD565" s="1">
        <f t="shared" si="180"/>
        <v>51148223.156217307</v>
      </c>
    </row>
    <row r="566" spans="1:30">
      <c r="A566" s="1">
        <f t="shared" si="181"/>
        <v>45.25</v>
      </c>
      <c r="B566" s="1">
        <f t="shared" si="182"/>
        <v>543</v>
      </c>
      <c r="C566" s="2">
        <f t="shared" si="187"/>
        <v>45</v>
      </c>
      <c r="D566" s="2">
        <f t="shared" si="188"/>
        <v>3</v>
      </c>
      <c r="E566" s="2">
        <f t="shared" si="189"/>
        <v>74</v>
      </c>
      <c r="F566" s="1">
        <f t="shared" si="183"/>
        <v>1038505.3968244845</v>
      </c>
      <c r="H566" s="1">
        <f t="shared" si="176"/>
        <v>8281.1878704528681</v>
      </c>
      <c r="I566" s="1">
        <v>0</v>
      </c>
      <c r="J566" s="69">
        <f>-SUM(F566:H566)*$J$21*1.16</f>
        <v>-10928.451944215147</v>
      </c>
      <c r="K566" s="1">
        <f t="shared" si="184"/>
        <v>-1201.5954339908378</v>
      </c>
      <c r="L566" s="1">
        <f t="shared" si="177"/>
        <v>1034656.5373167314</v>
      </c>
      <c r="N566" s="1">
        <f t="shared" si="185"/>
        <v>543</v>
      </c>
      <c r="O566" s="2">
        <f t="shared" si="190"/>
        <v>45</v>
      </c>
      <c r="P566" s="2">
        <f t="shared" si="191"/>
        <v>3</v>
      </c>
      <c r="Q566" s="2">
        <f t="shared" si="192"/>
        <v>45</v>
      </c>
      <c r="R566" s="1">
        <f t="shared" si="186"/>
        <v>49452340.610237956</v>
      </c>
      <c r="S566" s="4">
        <f>IF($G$4="mensual",S565,0)</f>
        <v>10000</v>
      </c>
      <c r="U566" s="1">
        <f t="shared" si="193"/>
        <v>394419.649968307</v>
      </c>
      <c r="V566" s="35">
        <f t="shared" si="175"/>
        <v>-516.31320083573644</v>
      </c>
      <c r="X566" s="35">
        <f t="shared" si="194"/>
        <v>-57833.242978526287</v>
      </c>
      <c r="Y566" s="1">
        <f t="shared" si="178"/>
        <v>49798410.704026893</v>
      </c>
      <c r="AA566" s="2">
        <f>+Bono!J566</f>
        <v>655493.9280213695</v>
      </c>
      <c r="AC566" s="10">
        <f t="shared" si="179"/>
        <v>45.25</v>
      </c>
      <c r="AD566" s="1">
        <f t="shared" si="180"/>
        <v>51488561.169364996</v>
      </c>
    </row>
    <row r="567" spans="1:30">
      <c r="A567" s="1">
        <f t="shared" si="181"/>
        <v>45.333333333333336</v>
      </c>
      <c r="B567" s="1">
        <f t="shared" si="182"/>
        <v>544</v>
      </c>
      <c r="C567" s="2">
        <f t="shared" si="187"/>
        <v>45</v>
      </c>
      <c r="D567" s="2">
        <f t="shared" si="188"/>
        <v>4</v>
      </c>
      <c r="E567" s="2">
        <f t="shared" si="189"/>
        <v>74</v>
      </c>
      <c r="F567" s="1">
        <f t="shared" si="183"/>
        <v>1034656.5373167314</v>
      </c>
      <c r="H567" s="1">
        <f t="shared" si="176"/>
        <v>8250.4965242469243</v>
      </c>
      <c r="I567" s="1">
        <v>0</v>
      </c>
      <c r="J567" s="1">
        <v>0</v>
      </c>
      <c r="K567" s="1">
        <f t="shared" si="184"/>
        <v>-1209.7721592555347</v>
      </c>
      <c r="L567" s="1">
        <f t="shared" si="177"/>
        <v>1041697.2616817227</v>
      </c>
      <c r="N567" s="1">
        <f t="shared" si="185"/>
        <v>544</v>
      </c>
      <c r="O567" s="2">
        <f t="shared" si="190"/>
        <v>45</v>
      </c>
      <c r="P567" s="2">
        <f t="shared" si="191"/>
        <v>4</v>
      </c>
      <c r="Q567" s="2">
        <f t="shared" si="192"/>
        <v>45</v>
      </c>
      <c r="R567" s="1">
        <f t="shared" si="186"/>
        <v>49798410.704026893</v>
      </c>
      <c r="S567" s="4">
        <f>IF($G$4="mensual",S564,IF($G$4="trimestral",S564,0))</f>
        <v>10000</v>
      </c>
      <c r="U567" s="1">
        <f t="shared" si="193"/>
        <v>397179.26149442384</v>
      </c>
      <c r="V567" s="35">
        <f t="shared" si="175"/>
        <v>-516.31320083573644</v>
      </c>
      <c r="X567" s="35">
        <f t="shared" si="194"/>
        <v>-58237.885436691751</v>
      </c>
      <c r="Y567" s="1">
        <f t="shared" si="178"/>
        <v>50146835.766883783</v>
      </c>
      <c r="AA567" s="2">
        <f>+Bono!J567</f>
        <v>659558.06640769157</v>
      </c>
      <c r="AC567" s="10">
        <f t="shared" si="179"/>
        <v>45.333333333333336</v>
      </c>
      <c r="AD567" s="1">
        <f t="shared" si="180"/>
        <v>51848091.094973192</v>
      </c>
    </row>
    <row r="568" spans="1:30">
      <c r="A568" s="1">
        <f t="shared" si="181"/>
        <v>45.416666666666664</v>
      </c>
      <c r="B568" s="1">
        <f t="shared" si="182"/>
        <v>545</v>
      </c>
      <c r="C568" s="2">
        <f t="shared" si="187"/>
        <v>45</v>
      </c>
      <c r="D568" s="2">
        <f t="shared" si="188"/>
        <v>5</v>
      </c>
      <c r="E568" s="2">
        <f t="shared" si="189"/>
        <v>74</v>
      </c>
      <c r="F568" s="1">
        <f t="shared" si="183"/>
        <v>1041697.2616817227</v>
      </c>
      <c r="H568" s="1">
        <f t="shared" si="176"/>
        <v>8306.6402490545697</v>
      </c>
      <c r="I568" s="1">
        <v>0</v>
      </c>
      <c r="J568" s="1">
        <v>0</v>
      </c>
      <c r="K568" s="1">
        <f t="shared" si="184"/>
        <v>-1218.0045262397016</v>
      </c>
      <c r="L568" s="1">
        <f t="shared" si="177"/>
        <v>1048785.8974045378</v>
      </c>
      <c r="N568" s="1">
        <f t="shared" si="185"/>
        <v>545</v>
      </c>
      <c r="O568" s="2">
        <f t="shared" si="190"/>
        <v>45</v>
      </c>
      <c r="P568" s="2">
        <f t="shared" si="191"/>
        <v>5</v>
      </c>
      <c r="Q568" s="2">
        <f t="shared" si="192"/>
        <v>45</v>
      </c>
      <c r="R568" s="1">
        <f t="shared" si="186"/>
        <v>50146835.766883783</v>
      </c>
      <c r="S568" s="4">
        <f>IF($G$4="mensual",S567,0)</f>
        <v>10000</v>
      </c>
      <c r="U568" s="1">
        <f t="shared" si="193"/>
        <v>399957.65187459433</v>
      </c>
      <c r="V568" s="35">
        <f t="shared" si="175"/>
        <v>-516.31320083573644</v>
      </c>
      <c r="X568" s="35">
        <f t="shared" si="194"/>
        <v>-58645.281442446743</v>
      </c>
      <c r="Y568" s="1">
        <f t="shared" si="178"/>
        <v>50497631.82411509</v>
      </c>
      <c r="AA568" s="2">
        <f>+Bono!J568</f>
        <v>663647.40292341972</v>
      </c>
      <c r="AC568" s="10">
        <f t="shared" si="179"/>
        <v>45.416666666666664</v>
      </c>
      <c r="AD568" s="1">
        <f t="shared" si="180"/>
        <v>52210065.124443047</v>
      </c>
    </row>
    <row r="569" spans="1:30">
      <c r="A569" s="1">
        <f t="shared" si="181"/>
        <v>45.5</v>
      </c>
      <c r="B569" s="1">
        <f t="shared" si="182"/>
        <v>546</v>
      </c>
      <c r="C569" s="2">
        <f t="shared" si="187"/>
        <v>45</v>
      </c>
      <c r="D569" s="2">
        <f t="shared" si="188"/>
        <v>6</v>
      </c>
      <c r="E569" s="2">
        <f t="shared" si="189"/>
        <v>74</v>
      </c>
      <c r="F569" s="1">
        <f t="shared" si="183"/>
        <v>1048785.8974045378</v>
      </c>
      <c r="H569" s="1">
        <f t="shared" si="176"/>
        <v>8363.1660257576405</v>
      </c>
      <c r="I569" s="1">
        <v>0</v>
      </c>
      <c r="J569" s="69">
        <f>-SUM(F569:H569)*$J$21*1.16</f>
        <v>-11036.636222212284</v>
      </c>
      <c r="K569" s="1">
        <f t="shared" si="184"/>
        <v>-1213.4904155613763</v>
      </c>
      <c r="L569" s="1">
        <f t="shared" si="177"/>
        <v>1044898.9367925216</v>
      </c>
      <c r="N569" s="1">
        <f t="shared" si="185"/>
        <v>546</v>
      </c>
      <c r="O569" s="2">
        <f t="shared" si="190"/>
        <v>45</v>
      </c>
      <c r="P569" s="2">
        <f t="shared" si="191"/>
        <v>6</v>
      </c>
      <c r="Q569" s="2">
        <f t="shared" si="192"/>
        <v>45</v>
      </c>
      <c r="R569" s="1">
        <f t="shared" si="186"/>
        <v>50497631.82411509</v>
      </c>
      <c r="S569" s="4">
        <f>IF($G$4="mensual",S568,0)</f>
        <v>10000</v>
      </c>
      <c r="U569" s="1">
        <f t="shared" si="193"/>
        <v>402754.94889686251</v>
      </c>
      <c r="V569" s="35">
        <f t="shared" si="175"/>
        <v>-516.31320083573644</v>
      </c>
      <c r="X569" s="35">
        <f t="shared" si="194"/>
        <v>-59055.44973338089</v>
      </c>
      <c r="Y569" s="1">
        <f t="shared" si="178"/>
        <v>50850815.01007773</v>
      </c>
      <c r="AA569" s="2">
        <f>+Bono!J569</f>
        <v>661746.21908096119</v>
      </c>
      <c r="AC569" s="10">
        <f t="shared" si="179"/>
        <v>45.5</v>
      </c>
      <c r="AD569" s="1">
        <f t="shared" si="180"/>
        <v>52557460.165951215</v>
      </c>
    </row>
    <row r="570" spans="1:30">
      <c r="A570" s="1">
        <f t="shared" si="181"/>
        <v>45.583333333333336</v>
      </c>
      <c r="B570" s="1">
        <f t="shared" si="182"/>
        <v>547</v>
      </c>
      <c r="C570" s="2">
        <f t="shared" si="187"/>
        <v>45</v>
      </c>
      <c r="D570" s="2">
        <f t="shared" si="188"/>
        <v>7</v>
      </c>
      <c r="E570" s="2">
        <f t="shared" si="189"/>
        <v>74</v>
      </c>
      <c r="F570" s="1">
        <f t="shared" si="183"/>
        <v>1044898.9367925216</v>
      </c>
      <c r="H570" s="1">
        <f t="shared" si="176"/>
        <v>8332.1708559958061</v>
      </c>
      <c r="I570" s="1">
        <v>0</v>
      </c>
      <c r="J570" s="1">
        <v>0</v>
      </c>
      <c r="K570" s="1">
        <f t="shared" si="184"/>
        <v>-1221.7480848722803</v>
      </c>
      <c r="L570" s="1">
        <f t="shared" si="177"/>
        <v>1052009.3595636452</v>
      </c>
      <c r="N570" s="1">
        <f t="shared" si="185"/>
        <v>547</v>
      </c>
      <c r="O570" s="2">
        <f t="shared" si="190"/>
        <v>45</v>
      </c>
      <c r="P570" s="2">
        <f t="shared" si="191"/>
        <v>7</v>
      </c>
      <c r="Q570" s="2">
        <f t="shared" si="192"/>
        <v>45</v>
      </c>
      <c r="R570" s="1">
        <f t="shared" si="186"/>
        <v>50850815.01007773</v>
      </c>
      <c r="S570" s="1">
        <f>+IF($G$4="mensual",S564,IF($G$4="trimestral",S564,IF($G$4="semestral",S564,0)))</f>
        <v>10000</v>
      </c>
      <c r="U570" s="1">
        <f t="shared" si="193"/>
        <v>405571.28121885622</v>
      </c>
      <c r="V570" s="35">
        <f t="shared" si="175"/>
        <v>-516.31320083573644</v>
      </c>
      <c r="X570" s="35">
        <f t="shared" si="194"/>
        <v>-59468.409174591063</v>
      </c>
      <c r="Y570" s="1">
        <f t="shared" si="178"/>
        <v>51206401.568921156</v>
      </c>
      <c r="AA570" s="2">
        <f>+Bono!J570</f>
        <v>665849.12239707354</v>
      </c>
      <c r="AC570" s="10">
        <f t="shared" si="179"/>
        <v>45.583333333333336</v>
      </c>
      <c r="AD570" s="1">
        <f t="shared" si="180"/>
        <v>52924260.050881878</v>
      </c>
    </row>
    <row r="571" spans="1:30">
      <c r="A571" s="1">
        <f t="shared" si="181"/>
        <v>45.666666666666664</v>
      </c>
      <c r="B571" s="1">
        <f t="shared" si="182"/>
        <v>548</v>
      </c>
      <c r="C571" s="2">
        <f t="shared" si="187"/>
        <v>45</v>
      </c>
      <c r="D571" s="2">
        <f t="shared" si="188"/>
        <v>8</v>
      </c>
      <c r="E571" s="2">
        <f t="shared" si="189"/>
        <v>74</v>
      </c>
      <c r="F571" s="1">
        <f t="shared" si="183"/>
        <v>1052009.3595636452</v>
      </c>
      <c r="H571" s="1">
        <f t="shared" si="176"/>
        <v>8388.8703656816197</v>
      </c>
      <c r="I571" s="1">
        <v>0</v>
      </c>
      <c r="J571" s="1">
        <v>0</v>
      </c>
      <c r="K571" s="1">
        <f t="shared" si="184"/>
        <v>-1230.061946718019</v>
      </c>
      <c r="L571" s="1">
        <f t="shared" si="177"/>
        <v>1059168.1679826088</v>
      </c>
      <c r="N571" s="1">
        <f t="shared" si="185"/>
        <v>548</v>
      </c>
      <c r="O571" s="2">
        <f t="shared" si="190"/>
        <v>45</v>
      </c>
      <c r="P571" s="2">
        <f t="shared" si="191"/>
        <v>8</v>
      </c>
      <c r="Q571" s="2">
        <f t="shared" si="192"/>
        <v>45</v>
      </c>
      <c r="R571" s="1">
        <f t="shared" si="186"/>
        <v>51206401.568921156</v>
      </c>
      <c r="S571" s="4">
        <f>IF($G$4="mensual",S570,0)</f>
        <v>10000</v>
      </c>
      <c r="U571" s="1">
        <f t="shared" si="193"/>
        <v>408406.77837370435</v>
      </c>
      <c r="V571" s="35">
        <f t="shared" si="175"/>
        <v>-516.31320083573644</v>
      </c>
      <c r="X571" s="35">
        <f t="shared" si="194"/>
        <v>-59884.17875954906</v>
      </c>
      <c r="Y571" s="1">
        <f t="shared" si="178"/>
        <v>51564407.855334468</v>
      </c>
      <c r="AA571" s="2">
        <f>+Bono!J571</f>
        <v>669977.46418965317</v>
      </c>
      <c r="AC571" s="10">
        <f t="shared" si="179"/>
        <v>45.666666666666664</v>
      </c>
      <c r="AD571" s="1">
        <f t="shared" si="180"/>
        <v>53293553.487506732</v>
      </c>
    </row>
    <row r="572" spans="1:30">
      <c r="A572" s="1">
        <f t="shared" si="181"/>
        <v>45.75</v>
      </c>
      <c r="B572" s="1">
        <f t="shared" si="182"/>
        <v>549</v>
      </c>
      <c r="C572" s="2">
        <f t="shared" si="187"/>
        <v>45</v>
      </c>
      <c r="D572" s="2">
        <f t="shared" si="188"/>
        <v>9</v>
      </c>
      <c r="E572" s="2">
        <f t="shared" si="189"/>
        <v>74</v>
      </c>
      <c r="F572" s="1">
        <f t="shared" si="183"/>
        <v>1059168.1679826088</v>
      </c>
      <c r="H572" s="1">
        <f t="shared" si="176"/>
        <v>8445.9557093180538</v>
      </c>
      <c r="I572" s="1">
        <v>0</v>
      </c>
      <c r="J572" s="69">
        <f>-SUM(F572:H572)*$J$21*1.16</f>
        <v>-11145.891451343718</v>
      </c>
      <c r="K572" s="1">
        <f t="shared" si="184"/>
        <v>-1225.5031493990766</v>
      </c>
      <c r="L572" s="1">
        <f t="shared" si="177"/>
        <v>1055242.7290911842</v>
      </c>
      <c r="N572" s="1">
        <f t="shared" si="185"/>
        <v>549</v>
      </c>
      <c r="O572" s="2">
        <f t="shared" si="190"/>
        <v>45</v>
      </c>
      <c r="P572" s="2">
        <f t="shared" si="191"/>
        <v>9</v>
      </c>
      <c r="Q572" s="2">
        <f t="shared" si="192"/>
        <v>45</v>
      </c>
      <c r="R572" s="1">
        <f t="shared" si="186"/>
        <v>51564407.855334468</v>
      </c>
      <c r="S572" s="4">
        <f>IF($G$4="mensual",S571,0)</f>
        <v>10000</v>
      </c>
      <c r="U572" s="1">
        <f t="shared" si="193"/>
        <v>411261.57077599445</v>
      </c>
      <c r="V572" s="35">
        <f t="shared" si="175"/>
        <v>-516.31320083573644</v>
      </c>
      <c r="X572" s="35">
        <f t="shared" si="194"/>
        <v>-60302.777610975165</v>
      </c>
      <c r="Y572" s="1">
        <f t="shared" si="178"/>
        <v>51924850.33529865</v>
      </c>
      <c r="AA572" s="2">
        <f>+Bono!J572</f>
        <v>668058.14630470739</v>
      </c>
      <c r="AC572" s="10">
        <f t="shared" si="179"/>
        <v>45.75</v>
      </c>
      <c r="AD572" s="1">
        <f t="shared" si="180"/>
        <v>53648151.210694537</v>
      </c>
    </row>
    <row r="573" spans="1:30">
      <c r="A573" s="1">
        <f t="shared" si="181"/>
        <v>45.833333333333336</v>
      </c>
      <c r="B573" s="1">
        <f t="shared" si="182"/>
        <v>550</v>
      </c>
      <c r="C573" s="2">
        <f t="shared" si="187"/>
        <v>45</v>
      </c>
      <c r="D573" s="2">
        <f t="shared" si="188"/>
        <v>10</v>
      </c>
      <c r="E573" s="2">
        <f t="shared" si="189"/>
        <v>74</v>
      </c>
      <c r="F573" s="1">
        <f t="shared" si="183"/>
        <v>1055242.7290911842</v>
      </c>
      <c r="H573" s="1">
        <f t="shared" si="176"/>
        <v>8414.6537083527546</v>
      </c>
      <c r="I573" s="1">
        <v>0</v>
      </c>
      <c r="J573" s="1">
        <v>0</v>
      </c>
      <c r="K573" s="1">
        <f t="shared" si="184"/>
        <v>-1233.8425640474627</v>
      </c>
      <c r="L573" s="1">
        <f t="shared" si="177"/>
        <v>1062423.5402354894</v>
      </c>
      <c r="N573" s="1">
        <f t="shared" si="185"/>
        <v>550</v>
      </c>
      <c r="O573" s="2">
        <f t="shared" si="190"/>
        <v>45</v>
      </c>
      <c r="P573" s="2">
        <f t="shared" si="191"/>
        <v>10</v>
      </c>
      <c r="Q573" s="2">
        <f t="shared" si="192"/>
        <v>45</v>
      </c>
      <c r="R573" s="1">
        <f t="shared" si="186"/>
        <v>51924850.33529865</v>
      </c>
      <c r="S573" s="4">
        <f>IF($G$4="mensual",S564,IF($G$4="trimestral",S564,0))</f>
        <v>10000</v>
      </c>
      <c r="U573" s="1">
        <f t="shared" si="193"/>
        <v>414135.78972777119</v>
      </c>
      <c r="V573" s="35">
        <f t="shared" si="175"/>
        <v>-516.31320083573644</v>
      </c>
      <c r="X573" s="35">
        <f t="shared" si="194"/>
        <v>-60724.224981717671</v>
      </c>
      <c r="Y573" s="1">
        <f t="shared" si="178"/>
        <v>52287745.586843863</v>
      </c>
      <c r="AA573" s="2">
        <f>+Bono!J573</f>
        <v>672200.18430174526</v>
      </c>
      <c r="AC573" s="10">
        <f t="shared" si="179"/>
        <v>45.833333333333336</v>
      </c>
      <c r="AD573" s="1">
        <f t="shared" si="180"/>
        <v>54022369.311381102</v>
      </c>
    </row>
    <row r="574" spans="1:30">
      <c r="A574" s="1">
        <f t="shared" si="181"/>
        <v>45.916666666666664</v>
      </c>
      <c r="B574" s="1">
        <f t="shared" si="182"/>
        <v>551</v>
      </c>
      <c r="C574" s="2">
        <f t="shared" si="187"/>
        <v>45</v>
      </c>
      <c r="D574" s="2">
        <f t="shared" si="188"/>
        <v>11</v>
      </c>
      <c r="E574" s="2">
        <f t="shared" si="189"/>
        <v>74</v>
      </c>
      <c r="F574" s="1">
        <f t="shared" si="183"/>
        <v>1062423.5402354894</v>
      </c>
      <c r="H574" s="1">
        <f t="shared" si="176"/>
        <v>8471.9145048108803</v>
      </c>
      <c r="I574" s="1">
        <v>0</v>
      </c>
      <c r="J574" s="1">
        <v>0</v>
      </c>
      <c r="K574" s="1">
        <f t="shared" si="184"/>
        <v>-1242.2387274987482</v>
      </c>
      <c r="L574" s="1">
        <f t="shared" si="177"/>
        <v>1069653.2160128015</v>
      </c>
      <c r="N574" s="1">
        <f t="shared" si="185"/>
        <v>551</v>
      </c>
      <c r="O574" s="2">
        <f t="shared" si="190"/>
        <v>45</v>
      </c>
      <c r="P574" s="2">
        <f t="shared" si="191"/>
        <v>11</v>
      </c>
      <c r="Q574" s="2">
        <f t="shared" si="192"/>
        <v>45</v>
      </c>
      <c r="R574" s="1">
        <f t="shared" si="186"/>
        <v>52287745.586843863</v>
      </c>
      <c r="S574" s="1">
        <f>IF($G$17="si",S562*(1+$G$20),S562)</f>
        <v>10000</v>
      </c>
      <c r="U574" s="1">
        <f t="shared" si="193"/>
        <v>417029.56742457504</v>
      </c>
      <c r="V574" s="35">
        <f t="shared" si="175"/>
        <v>-516.31320083573644</v>
      </c>
      <c r="X574" s="35">
        <f t="shared" si="194"/>
        <v>-61148.540255638407</v>
      </c>
      <c r="Y574" s="1">
        <f t="shared" si="178"/>
        <v>52653110.300811961</v>
      </c>
      <c r="AA574" s="2">
        <f>+Bono!J574</f>
        <v>676367.90341481147</v>
      </c>
      <c r="AC574" s="10">
        <f t="shared" si="179"/>
        <v>45.916666666666664</v>
      </c>
      <c r="AD574" s="1">
        <f t="shared" si="180"/>
        <v>54399131.420239568</v>
      </c>
    </row>
    <row r="575" spans="1:30">
      <c r="A575" s="1">
        <f t="shared" si="181"/>
        <v>46</v>
      </c>
      <c r="B575" s="1">
        <f t="shared" si="182"/>
        <v>552</v>
      </c>
      <c r="C575" s="2">
        <f t="shared" si="187"/>
        <v>45</v>
      </c>
      <c r="D575" s="2">
        <f t="shared" si="188"/>
        <v>12</v>
      </c>
      <c r="E575" s="2">
        <f t="shared" si="189"/>
        <v>74</v>
      </c>
      <c r="F575" s="1">
        <f t="shared" si="183"/>
        <v>1069653.2160128015</v>
      </c>
      <c r="H575" s="1">
        <f t="shared" si="176"/>
        <v>8529.5649547146113</v>
      </c>
      <c r="I575" s="1">
        <v>0</v>
      </c>
      <c r="J575" s="69">
        <f>-SUM(F575:H575)*$J$21*1.16</f>
        <v>-11256.228233300868</v>
      </c>
      <c r="K575" s="1">
        <f t="shared" si="184"/>
        <v>-1237.6348011716896</v>
      </c>
      <c r="L575" s="1">
        <f t="shared" si="177"/>
        <v>1065688.9179330436</v>
      </c>
      <c r="N575" s="1">
        <f t="shared" si="185"/>
        <v>552</v>
      </c>
      <c r="O575" s="2">
        <f t="shared" si="190"/>
        <v>45</v>
      </c>
      <c r="P575" s="2">
        <f t="shared" si="191"/>
        <v>12</v>
      </c>
      <c r="Q575" s="2">
        <f t="shared" si="192"/>
        <v>45</v>
      </c>
      <c r="R575" s="1">
        <f t="shared" si="186"/>
        <v>52653110.300811961</v>
      </c>
      <c r="S575" s="4">
        <f>IF($G$4="mensual",S574,0)</f>
        <v>10000</v>
      </c>
      <c r="U575" s="1">
        <f t="shared" si="193"/>
        <v>419943.03696152294</v>
      </c>
      <c r="V575" s="35">
        <f t="shared" si="175"/>
        <v>-516.31320083573644</v>
      </c>
      <c r="X575" s="35">
        <f t="shared" si="194"/>
        <v>-61575.742948504274</v>
      </c>
      <c r="Y575" s="1">
        <f t="shared" si="178"/>
        <v>53020961.281624146</v>
      </c>
      <c r="AA575" s="2">
        <f>+Bono!J575</f>
        <v>674430.27851962566</v>
      </c>
      <c r="AC575" s="10">
        <f t="shared" si="179"/>
        <v>46</v>
      </c>
      <c r="AD575" s="1">
        <f t="shared" si="180"/>
        <v>54761080.478076816</v>
      </c>
    </row>
    <row r="576" spans="1:30">
      <c r="A576" s="1">
        <f t="shared" si="181"/>
        <v>46.083333333333336</v>
      </c>
      <c r="B576" s="1">
        <f t="shared" si="182"/>
        <v>553</v>
      </c>
      <c r="C576" s="2">
        <f t="shared" si="187"/>
        <v>46</v>
      </c>
      <c r="D576" s="2">
        <f t="shared" si="188"/>
        <v>1</v>
      </c>
      <c r="E576" s="2">
        <f t="shared" si="189"/>
        <v>75</v>
      </c>
      <c r="F576" s="1">
        <f t="shared" si="183"/>
        <v>1065688.9179330436</v>
      </c>
      <c r="H576" s="1">
        <f t="shared" si="176"/>
        <v>8497.9530851245891</v>
      </c>
      <c r="I576" s="1">
        <v>0</v>
      </c>
      <c r="J576" s="1">
        <v>0</v>
      </c>
      <c r="K576" s="1">
        <f t="shared" si="184"/>
        <v>-1246.056770381075</v>
      </c>
      <c r="L576" s="1">
        <f t="shared" si="177"/>
        <v>1072940.814247787</v>
      </c>
      <c r="N576" s="1">
        <f t="shared" si="185"/>
        <v>553</v>
      </c>
      <c r="O576" s="2">
        <f t="shared" si="190"/>
        <v>46</v>
      </c>
      <c r="P576" s="2">
        <f t="shared" si="191"/>
        <v>1</v>
      </c>
      <c r="Q576" s="2">
        <f t="shared" si="192"/>
        <v>46</v>
      </c>
      <c r="R576" s="1">
        <f t="shared" si="186"/>
        <v>53020961.281624146</v>
      </c>
      <c r="S576" s="1">
        <f>IF($G$17="si",S564*(1+$G$20),S564)</f>
        <v>10000</v>
      </c>
      <c r="U576" s="1">
        <f t="shared" si="193"/>
        <v>422876.3323394293</v>
      </c>
      <c r="V576" s="35">
        <f>V575*(1+$G$18)</f>
        <v>-536.9657288691659</v>
      </c>
      <c r="X576" s="35">
        <f t="shared" si="194"/>
        <v>-62005.828751952256</v>
      </c>
      <c r="Y576" s="1">
        <f t="shared" si="178"/>
        <v>53391294.819482751</v>
      </c>
      <c r="AA576" s="2">
        <f>+Bono!J576</f>
        <v>678611.82447551761</v>
      </c>
      <c r="AC576" s="10">
        <f t="shared" si="179"/>
        <v>46.083333333333336</v>
      </c>
      <c r="AD576" s="1">
        <f t="shared" si="180"/>
        <v>55142847.458206058</v>
      </c>
    </row>
    <row r="577" spans="1:30">
      <c r="A577" s="1">
        <f t="shared" si="181"/>
        <v>46.166666666666664</v>
      </c>
      <c r="B577" s="1">
        <f t="shared" si="182"/>
        <v>554</v>
      </c>
      <c r="C577" s="2">
        <f t="shared" si="187"/>
        <v>46</v>
      </c>
      <c r="D577" s="2">
        <f t="shared" si="188"/>
        <v>2</v>
      </c>
      <c r="E577" s="2">
        <f t="shared" si="189"/>
        <v>75</v>
      </c>
      <c r="F577" s="1">
        <f t="shared" si="183"/>
        <v>1072940.814247787</v>
      </c>
      <c r="H577" s="1">
        <f t="shared" si="176"/>
        <v>8555.7807247142027</v>
      </c>
      <c r="I577" s="1">
        <v>0</v>
      </c>
      <c r="J577" s="1">
        <v>0</v>
      </c>
      <c r="K577" s="1">
        <f t="shared" si="184"/>
        <v>-1254.5360501681014</v>
      </c>
      <c r="L577" s="1">
        <f t="shared" si="177"/>
        <v>1080242.0589223332</v>
      </c>
      <c r="N577" s="1">
        <f t="shared" si="185"/>
        <v>554</v>
      </c>
      <c r="O577" s="2">
        <f t="shared" si="190"/>
        <v>46</v>
      </c>
      <c r="P577" s="2">
        <f t="shared" si="191"/>
        <v>2</v>
      </c>
      <c r="Q577" s="2">
        <f t="shared" si="192"/>
        <v>46</v>
      </c>
      <c r="R577" s="1">
        <f t="shared" si="186"/>
        <v>53391294.819482751</v>
      </c>
      <c r="S577" s="4">
        <f>IF($G$4="mensual",S576,0)</f>
        <v>10000</v>
      </c>
      <c r="U577" s="1">
        <f t="shared" si="193"/>
        <v>425829.42397584656</v>
      </c>
      <c r="V577" s="35">
        <f t="shared" si="175"/>
        <v>-536.9657288691659</v>
      </c>
      <c r="X577" s="35">
        <f t="shared" si="194"/>
        <v>-62438.841242166476</v>
      </c>
      <c r="Y577" s="1">
        <f t="shared" si="178"/>
        <v>53764148.436487563</v>
      </c>
      <c r="AA577" s="2">
        <f>+Bono!J577</f>
        <v>682819.29650136537</v>
      </c>
      <c r="AC577" s="10">
        <f t="shared" si="179"/>
        <v>46.166666666666664</v>
      </c>
      <c r="AD577" s="1">
        <f t="shared" si="180"/>
        <v>55527209.791911267</v>
      </c>
    </row>
    <row r="578" spans="1:30">
      <c r="A578" s="1">
        <f t="shared" si="181"/>
        <v>46.25</v>
      </c>
      <c r="B578" s="1">
        <f t="shared" si="182"/>
        <v>555</v>
      </c>
      <c r="C578" s="2">
        <f t="shared" si="187"/>
        <v>46</v>
      </c>
      <c r="D578" s="2">
        <f t="shared" si="188"/>
        <v>3</v>
      </c>
      <c r="E578" s="2">
        <f t="shared" si="189"/>
        <v>75</v>
      </c>
      <c r="F578" s="1">
        <f t="shared" si="183"/>
        <v>1080242.0589223332</v>
      </c>
      <c r="H578" s="1">
        <f t="shared" si="176"/>
        <v>8614.0018750548188</v>
      </c>
      <c r="I578" s="1">
        <v>0</v>
      </c>
      <c r="J578" s="69">
        <f>-SUM(F578:H578)*$J$21*1.16</f>
        <v>-11367.65727472473</v>
      </c>
      <c r="K578" s="1">
        <f t="shared" si="184"/>
        <v>-1249.8865480862894</v>
      </c>
      <c r="L578" s="1">
        <f t="shared" si="177"/>
        <v>1076238.516974577</v>
      </c>
      <c r="N578" s="1">
        <f t="shared" si="185"/>
        <v>555</v>
      </c>
      <c r="O578" s="2">
        <f t="shared" si="190"/>
        <v>46</v>
      </c>
      <c r="P578" s="2">
        <f t="shared" si="191"/>
        <v>3</v>
      </c>
      <c r="Q578" s="2">
        <f t="shared" si="192"/>
        <v>46</v>
      </c>
      <c r="R578" s="1">
        <f t="shared" si="186"/>
        <v>53764148.436487563</v>
      </c>
      <c r="S578" s="4">
        <f>IF($G$4="mensual",S577,0)</f>
        <v>10000</v>
      </c>
      <c r="U578" s="1">
        <f t="shared" si="193"/>
        <v>428802.61107726762</v>
      </c>
      <c r="V578" s="35">
        <f t="shared" si="175"/>
        <v>-536.9657288691659</v>
      </c>
      <c r="X578" s="35">
        <f t="shared" si="194"/>
        <v>-62874.800334929707</v>
      </c>
      <c r="Y578" s="1">
        <f t="shared" si="178"/>
        <v>54139539.281501025</v>
      </c>
      <c r="AA578" s="2">
        <f>+Bono!J578</f>
        <v>680863.18997837033</v>
      </c>
      <c r="AC578" s="10">
        <f t="shared" si="179"/>
        <v>46.25</v>
      </c>
      <c r="AD578" s="1">
        <f t="shared" si="180"/>
        <v>55896640.988453969</v>
      </c>
    </row>
    <row r="579" spans="1:30">
      <c r="A579" s="1">
        <f t="shared" si="181"/>
        <v>46.333333333333336</v>
      </c>
      <c r="B579" s="1">
        <f t="shared" si="182"/>
        <v>556</v>
      </c>
      <c r="C579" s="2">
        <f t="shared" si="187"/>
        <v>46</v>
      </c>
      <c r="D579" s="2">
        <f t="shared" si="188"/>
        <v>4</v>
      </c>
      <c r="E579" s="2">
        <f t="shared" si="189"/>
        <v>75</v>
      </c>
      <c r="F579" s="1">
        <f t="shared" si="183"/>
        <v>1076238.516974577</v>
      </c>
      <c r="H579" s="1">
        <f t="shared" si="176"/>
        <v>8582.0770693504037</v>
      </c>
      <c r="I579" s="1">
        <v>0</v>
      </c>
      <c r="J579" s="1">
        <v>0</v>
      </c>
      <c r="K579" s="1">
        <f t="shared" si="184"/>
        <v>-1258.3918890909558</v>
      </c>
      <c r="L579" s="1">
        <f t="shared" si="177"/>
        <v>1083562.2021548366</v>
      </c>
      <c r="N579" s="1">
        <f t="shared" si="185"/>
        <v>556</v>
      </c>
      <c r="O579" s="2">
        <f t="shared" si="190"/>
        <v>46</v>
      </c>
      <c r="P579" s="2">
        <f t="shared" si="191"/>
        <v>4</v>
      </c>
      <c r="Q579" s="2">
        <f t="shared" si="192"/>
        <v>46</v>
      </c>
      <c r="R579" s="1">
        <f t="shared" si="186"/>
        <v>54139539.281501025</v>
      </c>
      <c r="S579" s="4">
        <f>IF($G$4="mensual",S576,IF($G$4="trimestral",S576,0))</f>
        <v>10000</v>
      </c>
      <c r="U579" s="1">
        <f t="shared" si="193"/>
        <v>431796.03039112984</v>
      </c>
      <c r="V579" s="35">
        <f t="shared" si="175"/>
        <v>-536.9657288691659</v>
      </c>
      <c r="X579" s="35">
        <f t="shared" si="194"/>
        <v>-63313.726081549401</v>
      </c>
      <c r="Y579" s="1">
        <f t="shared" si="178"/>
        <v>54517484.62008173</v>
      </c>
      <c r="AA579" s="2">
        <f>+Bono!J579</f>
        <v>685084.62073147809</v>
      </c>
      <c r="AC579" s="10">
        <f t="shared" si="179"/>
        <v>46.333333333333336</v>
      </c>
      <c r="AD579" s="1">
        <f t="shared" si="180"/>
        <v>56286131.442968048</v>
      </c>
    </row>
    <row r="580" spans="1:30">
      <c r="A580" s="1">
        <f t="shared" si="181"/>
        <v>46.416666666666664</v>
      </c>
      <c r="B580" s="1">
        <f t="shared" si="182"/>
        <v>557</v>
      </c>
      <c r="C580" s="2">
        <f t="shared" si="187"/>
        <v>46</v>
      </c>
      <c r="D580" s="2">
        <f t="shared" si="188"/>
        <v>5</v>
      </c>
      <c r="E580" s="2">
        <f t="shared" si="189"/>
        <v>75</v>
      </c>
      <c r="F580" s="1">
        <f t="shared" si="183"/>
        <v>1083562.2021548366</v>
      </c>
      <c r="H580" s="1">
        <f t="shared" si="176"/>
        <v>8640.4771634348763</v>
      </c>
      <c r="I580" s="1">
        <v>0</v>
      </c>
      <c r="J580" s="1">
        <v>0</v>
      </c>
      <c r="K580" s="1">
        <f t="shared" si="184"/>
        <v>-1266.9551080091949</v>
      </c>
      <c r="L580" s="1">
        <f t="shared" si="177"/>
        <v>1090935.7242102623</v>
      </c>
      <c r="N580" s="1">
        <f t="shared" si="185"/>
        <v>557</v>
      </c>
      <c r="O580" s="2">
        <f t="shared" si="190"/>
        <v>46</v>
      </c>
      <c r="P580" s="2">
        <f t="shared" si="191"/>
        <v>5</v>
      </c>
      <c r="Q580" s="2">
        <f t="shared" si="192"/>
        <v>46</v>
      </c>
      <c r="R580" s="1">
        <f t="shared" si="186"/>
        <v>54517484.62008173</v>
      </c>
      <c r="S580" s="4">
        <f>IF($G$4="mensual",S579,0)</f>
        <v>10000</v>
      </c>
      <c r="U580" s="1">
        <f t="shared" si="193"/>
        <v>434809.81959542196</v>
      </c>
      <c r="V580" s="35">
        <f t="shared" si="175"/>
        <v>-536.9657288691659</v>
      </c>
      <c r="X580" s="35">
        <f t="shared" si="194"/>
        <v>-63755.638669780004</v>
      </c>
      <c r="Y580" s="1">
        <f t="shared" si="178"/>
        <v>54898001.835278496</v>
      </c>
      <c r="AA580" s="2">
        <f>+Bono!J580</f>
        <v>689332.22484491079</v>
      </c>
      <c r="AC580" s="10">
        <f t="shared" si="179"/>
        <v>46.416666666666664</v>
      </c>
      <c r="AD580" s="1">
        <f t="shared" si="180"/>
        <v>56678269.784333669</v>
      </c>
    </row>
    <row r="581" spans="1:30">
      <c r="A581" s="1">
        <f t="shared" si="181"/>
        <v>46.5</v>
      </c>
      <c r="B581" s="1">
        <f t="shared" si="182"/>
        <v>558</v>
      </c>
      <c r="C581" s="2">
        <f t="shared" si="187"/>
        <v>46</v>
      </c>
      <c r="D581" s="2">
        <f t="shared" si="188"/>
        <v>6</v>
      </c>
      <c r="E581" s="2">
        <f t="shared" si="189"/>
        <v>75</v>
      </c>
      <c r="F581" s="1">
        <f t="shared" si="183"/>
        <v>1090935.7242102623</v>
      </c>
      <c r="H581" s="1">
        <f t="shared" si="176"/>
        <v>8699.2746637604596</v>
      </c>
      <c r="I581" s="1">
        <v>0</v>
      </c>
      <c r="J581" s="69">
        <f>-SUM(F581:H581)*$J$21*1.16</f>
        <v>-11480.189388244798</v>
      </c>
      <c r="K581" s="1">
        <f t="shared" si="184"/>
        <v>-1262.2595790035025</v>
      </c>
      <c r="L581" s="1">
        <f t="shared" si="177"/>
        <v>1086892.5499067744</v>
      </c>
      <c r="N581" s="1">
        <f t="shared" si="185"/>
        <v>558</v>
      </c>
      <c r="O581" s="2">
        <f t="shared" si="190"/>
        <v>46</v>
      </c>
      <c r="P581" s="2">
        <f t="shared" si="191"/>
        <v>6</v>
      </c>
      <c r="Q581" s="2">
        <f t="shared" si="192"/>
        <v>46</v>
      </c>
      <c r="R581" s="1">
        <f t="shared" si="186"/>
        <v>54898001.835278496</v>
      </c>
      <c r="S581" s="4">
        <f>IF($G$4="mensual",S580,0)</f>
        <v>10000</v>
      </c>
      <c r="U581" s="1">
        <f t="shared" si="193"/>
        <v>437844.11730501632</v>
      </c>
      <c r="V581" s="35">
        <f t="shared" si="175"/>
        <v>-536.9657288691659</v>
      </c>
      <c r="X581" s="35">
        <f t="shared" si="194"/>
        <v>-64200.558424751383</v>
      </c>
      <c r="Y581" s="1">
        <f t="shared" si="178"/>
        <v>55281108.428429894</v>
      </c>
      <c r="AA581" s="2">
        <f>+Bono!J581</f>
        <v>687357.46041098388</v>
      </c>
      <c r="AC581" s="10">
        <f t="shared" si="179"/>
        <v>46.5</v>
      </c>
      <c r="AD581" s="1">
        <f t="shared" si="180"/>
        <v>57055358.438747652</v>
      </c>
    </row>
    <row r="582" spans="1:30">
      <c r="A582" s="1">
        <f t="shared" si="181"/>
        <v>46.583333333333336</v>
      </c>
      <c r="B582" s="1">
        <f t="shared" si="182"/>
        <v>559</v>
      </c>
      <c r="C582" s="2">
        <f t="shared" si="187"/>
        <v>46</v>
      </c>
      <c r="D582" s="2">
        <f t="shared" si="188"/>
        <v>7</v>
      </c>
      <c r="E582" s="2">
        <f t="shared" si="189"/>
        <v>75</v>
      </c>
      <c r="F582" s="1">
        <f t="shared" si="183"/>
        <v>1086892.5499067744</v>
      </c>
      <c r="H582" s="1">
        <f t="shared" si="176"/>
        <v>8667.0338240859128</v>
      </c>
      <c r="I582" s="1">
        <v>0</v>
      </c>
      <c r="J582" s="1">
        <v>0</v>
      </c>
      <c r="K582" s="1">
        <f t="shared" si="184"/>
        <v>-1270.8491171277979</v>
      </c>
      <c r="L582" s="1">
        <f t="shared" si="177"/>
        <v>1094288.7346137327</v>
      </c>
      <c r="N582" s="1">
        <f t="shared" si="185"/>
        <v>559</v>
      </c>
      <c r="O582" s="2">
        <f t="shared" si="190"/>
        <v>46</v>
      </c>
      <c r="P582" s="2">
        <f t="shared" si="191"/>
        <v>7</v>
      </c>
      <c r="Q582" s="2">
        <f t="shared" si="192"/>
        <v>46</v>
      </c>
      <c r="R582" s="1">
        <f t="shared" si="186"/>
        <v>55281108.428429894</v>
      </c>
      <c r="S582" s="1">
        <f>+IF($G$4="mensual",S576,IF($G$4="trimestral",S576,IF($G$4="semestral",S576,0)))</f>
        <v>10000</v>
      </c>
      <c r="U582" s="1">
        <f t="shared" si="193"/>
        <v>440899.06307804451</v>
      </c>
      <c r="V582" s="35">
        <f t="shared" si="175"/>
        <v>-536.9657288691659</v>
      </c>
      <c r="X582" s="35">
        <f t="shared" si="194"/>
        <v>-64648.50580990372</v>
      </c>
      <c r="Y582" s="1">
        <f t="shared" si="178"/>
        <v>55666822.019969165</v>
      </c>
      <c r="AA582" s="2">
        <f>+Bono!J582</f>
        <v>691619.15639406256</v>
      </c>
      <c r="AC582" s="10">
        <f t="shared" si="179"/>
        <v>46.583333333333336</v>
      </c>
      <c r="AD582" s="1">
        <f t="shared" si="180"/>
        <v>57452729.910976961</v>
      </c>
    </row>
    <row r="583" spans="1:30">
      <c r="A583" s="1">
        <f t="shared" si="181"/>
        <v>46.666666666666664</v>
      </c>
      <c r="B583" s="1">
        <f t="shared" si="182"/>
        <v>560</v>
      </c>
      <c r="C583" s="2">
        <f t="shared" si="187"/>
        <v>46</v>
      </c>
      <c r="D583" s="2">
        <f t="shared" si="188"/>
        <v>8</v>
      </c>
      <c r="E583" s="2">
        <f t="shared" si="189"/>
        <v>75</v>
      </c>
      <c r="F583" s="1">
        <f t="shared" si="183"/>
        <v>1094288.7346137327</v>
      </c>
      <c r="H583" s="1">
        <f t="shared" si="176"/>
        <v>8726.0120395773083</v>
      </c>
      <c r="I583" s="1">
        <v>0</v>
      </c>
      <c r="J583" s="1">
        <v>0</v>
      </c>
      <c r="K583" s="1">
        <f t="shared" si="184"/>
        <v>-1279.4971061178396</v>
      </c>
      <c r="L583" s="1">
        <f t="shared" si="177"/>
        <v>1101735.2495471921</v>
      </c>
      <c r="N583" s="1">
        <f t="shared" si="185"/>
        <v>560</v>
      </c>
      <c r="O583" s="2">
        <f t="shared" si="190"/>
        <v>46</v>
      </c>
      <c r="P583" s="2">
        <f t="shared" si="191"/>
        <v>8</v>
      </c>
      <c r="Q583" s="2">
        <f t="shared" si="192"/>
        <v>46</v>
      </c>
      <c r="R583" s="1">
        <f t="shared" si="186"/>
        <v>55666822.019969165</v>
      </c>
      <c r="S583" s="4">
        <f>IF($G$4="mensual",S582,0)</f>
        <v>10000</v>
      </c>
      <c r="U583" s="1">
        <f t="shared" si="193"/>
        <v>443974.79742231546</v>
      </c>
      <c r="V583" s="35">
        <f t="shared" si="175"/>
        <v>-536.9657288691659</v>
      </c>
      <c r="X583" s="35">
        <f t="shared" si="194"/>
        <v>-65099.501427928626</v>
      </c>
      <c r="Y583" s="1">
        <f t="shared" si="178"/>
        <v>56055160.35023468</v>
      </c>
      <c r="AA583" s="2">
        <f>+Bono!J583</f>
        <v>695907.27538656245</v>
      </c>
      <c r="AC583" s="10">
        <f t="shared" si="179"/>
        <v>46.666666666666664</v>
      </c>
      <c r="AD583" s="1">
        <f t="shared" si="180"/>
        <v>57852802.875168435</v>
      </c>
    </row>
    <row r="584" spans="1:30">
      <c r="A584" s="1">
        <f t="shared" si="181"/>
        <v>46.75</v>
      </c>
      <c r="B584" s="1">
        <f t="shared" si="182"/>
        <v>561</v>
      </c>
      <c r="C584" s="2">
        <f t="shared" si="187"/>
        <v>46</v>
      </c>
      <c r="D584" s="2">
        <f t="shared" si="188"/>
        <v>9</v>
      </c>
      <c r="E584" s="2">
        <f t="shared" si="189"/>
        <v>75</v>
      </c>
      <c r="F584" s="1">
        <f t="shared" si="183"/>
        <v>1101735.2495471921</v>
      </c>
      <c r="H584" s="1">
        <f t="shared" si="176"/>
        <v>8785.391595362642</v>
      </c>
      <c r="I584" s="1">
        <v>0</v>
      </c>
      <c r="J584" s="69">
        <f>-SUM(F584:H584)*$J$21*1.16</f>
        <v>-11593.835493528273</v>
      </c>
      <c r="K584" s="1">
        <f t="shared" si="184"/>
        <v>-1274.7550945528708</v>
      </c>
      <c r="L584" s="1">
        <f t="shared" si="177"/>
        <v>1097652.0505544737</v>
      </c>
      <c r="N584" s="1">
        <f t="shared" si="185"/>
        <v>561</v>
      </c>
      <c r="O584" s="2">
        <f t="shared" si="190"/>
        <v>46</v>
      </c>
      <c r="P584" s="2">
        <f t="shared" si="191"/>
        <v>9</v>
      </c>
      <c r="Q584" s="2">
        <f t="shared" si="192"/>
        <v>46</v>
      </c>
      <c r="R584" s="1">
        <f t="shared" si="186"/>
        <v>56055160.35023468</v>
      </c>
      <c r="S584" s="4">
        <f>IF($G$4="mensual",S583,0)</f>
        <v>10000</v>
      </c>
      <c r="U584" s="1">
        <f t="shared" si="193"/>
        <v>447071.4618017787</v>
      </c>
      <c r="V584" s="35">
        <f t="shared" si="175"/>
        <v>-536.9657288691659</v>
      </c>
      <c r="X584" s="35">
        <f t="shared" si="194"/>
        <v>-65553.566021716804</v>
      </c>
      <c r="Y584" s="1">
        <f t="shared" si="178"/>
        <v>56446141.280285873</v>
      </c>
      <c r="AA584" s="2">
        <f>+Bono!J584</f>
        <v>693913.67507714196</v>
      </c>
      <c r="AC584" s="10">
        <f t="shared" si="179"/>
        <v>46.75</v>
      </c>
      <c r="AD584" s="1">
        <f t="shared" si="180"/>
        <v>58237707.00591749</v>
      </c>
    </row>
    <row r="585" spans="1:30">
      <c r="A585" s="1">
        <f t="shared" si="181"/>
        <v>46.833333333333336</v>
      </c>
      <c r="B585" s="1">
        <f t="shared" si="182"/>
        <v>562</v>
      </c>
      <c r="C585" s="2">
        <f t="shared" si="187"/>
        <v>46</v>
      </c>
      <c r="D585" s="2">
        <f t="shared" si="188"/>
        <v>10</v>
      </c>
      <c r="E585" s="2">
        <f t="shared" si="189"/>
        <v>75</v>
      </c>
      <c r="F585" s="1">
        <f t="shared" si="183"/>
        <v>1097652.0505544737</v>
      </c>
      <c r="H585" s="1">
        <f t="shared" si="176"/>
        <v>8752.8315931955476</v>
      </c>
      <c r="I585" s="1">
        <v>0</v>
      </c>
      <c r="J585" s="1">
        <v>0</v>
      </c>
      <c r="K585" s="1">
        <f t="shared" si="184"/>
        <v>-1283.429663291296</v>
      </c>
      <c r="L585" s="1">
        <f t="shared" si="177"/>
        <v>1105121.4524843779</v>
      </c>
      <c r="N585" s="1">
        <f t="shared" si="185"/>
        <v>562</v>
      </c>
      <c r="O585" s="2">
        <f t="shared" si="190"/>
        <v>46</v>
      </c>
      <c r="P585" s="2">
        <f t="shared" si="191"/>
        <v>10</v>
      </c>
      <c r="Q585" s="2">
        <f t="shared" si="192"/>
        <v>46</v>
      </c>
      <c r="R585" s="1">
        <f t="shared" si="186"/>
        <v>56446141.280285873</v>
      </c>
      <c r="S585" s="4">
        <f>IF($G$4="mensual",S576,IF($G$4="trimestral",S576,0))</f>
        <v>10000</v>
      </c>
      <c r="U585" s="1">
        <f t="shared" si="193"/>
        <v>450189.19864303031</v>
      </c>
      <c r="V585" s="35">
        <f>V584</f>
        <v>-536.9657288691659</v>
      </c>
      <c r="X585" s="35">
        <f t="shared" si="194"/>
        <v>-66010.720475312031</v>
      </c>
      <c r="Y585" s="1">
        <f t="shared" si="178"/>
        <v>56839782.792724721</v>
      </c>
      <c r="AA585" s="2">
        <f>+Bono!J585</f>
        <v>698216.0203516247</v>
      </c>
      <c r="AC585" s="10">
        <f t="shared" si="179"/>
        <v>46.833333333333336</v>
      </c>
      <c r="AD585" s="1">
        <f t="shared" si="180"/>
        <v>58643120.265560724</v>
      </c>
    </row>
    <row r="586" spans="1:30">
      <c r="A586" s="1">
        <f t="shared" si="181"/>
        <v>46.916666666666664</v>
      </c>
      <c r="B586" s="1">
        <f t="shared" si="182"/>
        <v>563</v>
      </c>
      <c r="C586" s="2">
        <f t="shared" si="187"/>
        <v>46</v>
      </c>
      <c r="D586" s="2">
        <f t="shared" si="188"/>
        <v>11</v>
      </c>
      <c r="E586" s="2">
        <f t="shared" si="189"/>
        <v>75</v>
      </c>
      <c r="F586" s="1">
        <f t="shared" si="183"/>
        <v>1105121.4524843779</v>
      </c>
      <c r="H586" s="1">
        <f t="shared" si="176"/>
        <v>8812.3936531045274</v>
      </c>
      <c r="I586" s="1">
        <v>0</v>
      </c>
      <c r="J586" s="1">
        <v>0</v>
      </c>
      <c r="K586" s="1">
        <f t="shared" si="184"/>
        <v>-1292.1632615194796</v>
      </c>
      <c r="L586" s="1">
        <f t="shared" si="177"/>
        <v>1112641.6828759629</v>
      </c>
      <c r="N586" s="1">
        <f t="shared" si="185"/>
        <v>563</v>
      </c>
      <c r="O586" s="2">
        <f t="shared" si="190"/>
        <v>46</v>
      </c>
      <c r="P586" s="2">
        <f t="shared" si="191"/>
        <v>11</v>
      </c>
      <c r="Q586" s="2">
        <f t="shared" si="192"/>
        <v>46</v>
      </c>
      <c r="R586" s="1">
        <f t="shared" si="186"/>
        <v>56839782.792724721</v>
      </c>
      <c r="S586" s="1">
        <f>IF($G$17="si",S574*(1+$G$20),S574)</f>
        <v>10000</v>
      </c>
      <c r="U586" s="1">
        <f t="shared" si="193"/>
        <v>453328.15134186373</v>
      </c>
      <c r="V586" s="35">
        <f>V585</f>
        <v>-536.9657288691659</v>
      </c>
      <c r="X586" s="35">
        <f t="shared" si="194"/>
        <v>-66470.985814871747</v>
      </c>
      <c r="Y586" s="1">
        <f t="shared" si="178"/>
        <v>57236102.992522843</v>
      </c>
      <c r="AA586" s="2">
        <f>+Bono!J586</f>
        <v>702545.04066585028</v>
      </c>
      <c r="AC586" s="10">
        <f t="shared" si="179"/>
        <v>46.916666666666664</v>
      </c>
      <c r="AD586" s="1">
        <f t="shared" si="180"/>
        <v>59051289.716064654</v>
      </c>
    </row>
    <row r="587" spans="1:30">
      <c r="A587" s="1">
        <f t="shared" si="181"/>
        <v>47</v>
      </c>
      <c r="B587" s="1">
        <f t="shared" si="182"/>
        <v>564</v>
      </c>
      <c r="C587" s="2">
        <f t="shared" si="187"/>
        <v>46</v>
      </c>
      <c r="D587" s="2">
        <f t="shared" si="188"/>
        <v>12</v>
      </c>
      <c r="E587" s="2">
        <f t="shared" si="189"/>
        <v>75</v>
      </c>
      <c r="F587" s="1">
        <f t="shared" si="183"/>
        <v>1112641.6828759629</v>
      </c>
      <c r="H587" s="1">
        <f t="shared" si="176"/>
        <v>8872.3610263047376</v>
      </c>
      <c r="I587" s="1">
        <v>0</v>
      </c>
      <c r="J587" s="69">
        <f>-SUM(F587:H587)*$J$21*1.16</f>
        <v>-11708.606618339676</v>
      </c>
      <c r="K587" s="1">
        <f t="shared" si="184"/>
        <v>-1287.3743072493564</v>
      </c>
      <c r="L587" s="1">
        <f t="shared" si="177"/>
        <v>1108518.0629766786</v>
      </c>
      <c r="N587" s="1">
        <f t="shared" si="185"/>
        <v>564</v>
      </c>
      <c r="O587" s="2">
        <f t="shared" si="190"/>
        <v>46</v>
      </c>
      <c r="P587" s="2">
        <f t="shared" si="191"/>
        <v>12</v>
      </c>
      <c r="Q587" s="2">
        <f t="shared" si="192"/>
        <v>46</v>
      </c>
      <c r="R587" s="1">
        <f t="shared" si="186"/>
        <v>57236102.992522843</v>
      </c>
      <c r="S587" s="4">
        <f>IF($G$4="mensual",S586,0)</f>
        <v>10000</v>
      </c>
      <c r="U587" s="1">
        <f t="shared" si="193"/>
        <v>456488.46426986519</v>
      </c>
      <c r="V587" s="35">
        <f>V586</f>
        <v>-536.9657288691659</v>
      </c>
      <c r="X587" s="35">
        <f t="shared" si="194"/>
        <v>-66934.383209634048</v>
      </c>
      <c r="Y587" s="1">
        <f t="shared" si="178"/>
        <v>57635120.107854202</v>
      </c>
      <c r="AA587" s="2">
        <f>+Bono!J587</f>
        <v>700532.42481889669</v>
      </c>
      <c r="AC587" s="10">
        <f t="shared" si="179"/>
        <v>47</v>
      </c>
      <c r="AD587" s="1">
        <f t="shared" si="180"/>
        <v>59444170.595649779</v>
      </c>
    </row>
    <row r="588" spans="1:30">
      <c r="A588" s="1">
        <f t="shared" si="181"/>
        <v>47.083333333333336</v>
      </c>
      <c r="B588" s="1">
        <f t="shared" si="182"/>
        <v>565</v>
      </c>
      <c r="C588" s="2">
        <f t="shared" si="187"/>
        <v>47</v>
      </c>
      <c r="D588" s="2">
        <f t="shared" si="188"/>
        <v>1</v>
      </c>
      <c r="E588" s="2">
        <f t="shared" si="189"/>
        <v>76</v>
      </c>
      <c r="F588" s="1">
        <f t="shared" si="183"/>
        <v>1108518.0629766786</v>
      </c>
      <c r="H588" s="1">
        <f t="shared" si="176"/>
        <v>8839.4787021524226</v>
      </c>
      <c r="I588" s="1">
        <v>0</v>
      </c>
      <c r="J588" s="1">
        <v>0</v>
      </c>
      <c r="K588" s="1">
        <f t="shared" si="184"/>
        <v>-1296.134748347444</v>
      </c>
      <c r="L588" s="1">
        <f t="shared" si="177"/>
        <v>1116061.4069304836</v>
      </c>
      <c r="N588" s="1">
        <f t="shared" si="185"/>
        <v>565</v>
      </c>
      <c r="O588" s="2">
        <f t="shared" si="190"/>
        <v>47</v>
      </c>
      <c r="P588" s="2">
        <f t="shared" si="191"/>
        <v>1</v>
      </c>
      <c r="Q588" s="2">
        <f t="shared" si="192"/>
        <v>47</v>
      </c>
      <c r="R588" s="1">
        <f t="shared" si="186"/>
        <v>57635120.107854202</v>
      </c>
      <c r="S588" s="1">
        <f>IF($G$17="si",S576*(1+$G$20),S576)</f>
        <v>10000</v>
      </c>
      <c r="U588" s="1">
        <f t="shared" si="193"/>
        <v>459670.28278105351</v>
      </c>
      <c r="V588" s="35">
        <f>V587*(1+$G$18)</f>
        <v>-558.44435802393252</v>
      </c>
      <c r="X588" s="35">
        <f t="shared" si="194"/>
        <v>-67400.909057681594</v>
      </c>
      <c r="Y588" s="1">
        <f t="shared" si="178"/>
        <v>58036831.037219554</v>
      </c>
      <c r="AA588" s="2">
        <f>+Bono!J588</f>
        <v>704875.80710950575</v>
      </c>
      <c r="AC588" s="10">
        <f t="shared" si="179"/>
        <v>47.083333333333336</v>
      </c>
      <c r="AD588" s="1">
        <f t="shared" si="180"/>
        <v>59857768.251259543</v>
      </c>
    </row>
    <row r="589" spans="1:30">
      <c r="A589" s="1">
        <f t="shared" si="181"/>
        <v>47.166666666666664</v>
      </c>
      <c r="B589" s="1">
        <f t="shared" si="182"/>
        <v>566</v>
      </c>
      <c r="C589" s="2">
        <f t="shared" si="187"/>
        <v>47</v>
      </c>
      <c r="D589" s="2">
        <f t="shared" si="188"/>
        <v>2</v>
      </c>
      <c r="E589" s="2">
        <f t="shared" si="189"/>
        <v>76</v>
      </c>
      <c r="F589" s="1">
        <f t="shared" si="183"/>
        <v>1116061.4069304836</v>
      </c>
      <c r="H589" s="1">
        <f t="shared" si="176"/>
        <v>8899.6303861435863</v>
      </c>
      <c r="I589" s="1">
        <v>0</v>
      </c>
      <c r="J589" s="1">
        <v>0</v>
      </c>
      <c r="K589" s="1">
        <f t="shared" si="184"/>
        <v>-1304.9548032872876</v>
      </c>
      <c r="L589" s="1">
        <f t="shared" si="177"/>
        <v>1123656.0825133401</v>
      </c>
      <c r="N589" s="1">
        <f t="shared" si="185"/>
        <v>566</v>
      </c>
      <c r="O589" s="2">
        <f t="shared" si="190"/>
        <v>47</v>
      </c>
      <c r="P589" s="2">
        <f t="shared" si="191"/>
        <v>2</v>
      </c>
      <c r="Q589" s="2">
        <f t="shared" si="192"/>
        <v>47</v>
      </c>
      <c r="R589" s="1">
        <f t="shared" si="186"/>
        <v>58036831.037219554</v>
      </c>
      <c r="S589" s="4">
        <f>IF($G$4="mensual",S588,0)</f>
        <v>10000</v>
      </c>
      <c r="U589" s="1">
        <f t="shared" si="193"/>
        <v>462873.58214363828</v>
      </c>
      <c r="V589" s="35">
        <f t="shared" ref="V589:V652" si="195">V588</f>
        <v>-558.44435802393252</v>
      </c>
      <c r="X589" s="35">
        <f t="shared" si="194"/>
        <v>-67870.609563005986</v>
      </c>
      <c r="Y589" s="1">
        <f t="shared" si="178"/>
        <v>58441275.56544216</v>
      </c>
      <c r="AA589" s="2">
        <f>+Bono!J589</f>
        <v>709246.11887411762</v>
      </c>
      <c r="AC589" s="10">
        <f t="shared" si="179"/>
        <v>47.166666666666664</v>
      </c>
      <c r="AD589" s="1">
        <f t="shared" si="180"/>
        <v>60274177.766829617</v>
      </c>
    </row>
    <row r="590" spans="1:30">
      <c r="A590" s="1">
        <f t="shared" si="181"/>
        <v>47.25</v>
      </c>
      <c r="B590" s="1">
        <f t="shared" si="182"/>
        <v>567</v>
      </c>
      <c r="C590" s="2">
        <f t="shared" si="187"/>
        <v>47</v>
      </c>
      <c r="D590" s="2">
        <f t="shared" si="188"/>
        <v>3</v>
      </c>
      <c r="E590" s="2">
        <f t="shared" si="189"/>
        <v>76</v>
      </c>
      <c r="F590" s="1">
        <f t="shared" si="183"/>
        <v>1123656.0825133401</v>
      </c>
      <c r="H590" s="1">
        <f t="shared" si="176"/>
        <v>8960.1913957532488</v>
      </c>
      <c r="I590" s="1">
        <v>0</v>
      </c>
      <c r="J590" s="69">
        <f>-SUM(F590:H590)*$J$21*1.16</f>
        <v>-11824.513899610936</v>
      </c>
      <c r="K590" s="1">
        <f t="shared" si="184"/>
        <v>-1300.1184416109995</v>
      </c>
      <c r="L590" s="1">
        <f t="shared" si="177"/>
        <v>1119491.6415678714</v>
      </c>
      <c r="N590" s="1">
        <f t="shared" si="185"/>
        <v>567</v>
      </c>
      <c r="O590" s="2">
        <f t="shared" si="190"/>
        <v>47</v>
      </c>
      <c r="P590" s="2">
        <f t="shared" si="191"/>
        <v>3</v>
      </c>
      <c r="Q590" s="2">
        <f t="shared" si="192"/>
        <v>47</v>
      </c>
      <c r="R590" s="1">
        <f t="shared" si="186"/>
        <v>58441275.56544216</v>
      </c>
      <c r="S590" s="4">
        <f>IF($G$4="mensual",S589,0)</f>
        <v>10000</v>
      </c>
      <c r="U590" s="1">
        <f t="shared" si="193"/>
        <v>466098.67960738705</v>
      </c>
      <c r="V590" s="35">
        <f t="shared" si="195"/>
        <v>-558.44435802393252</v>
      </c>
      <c r="X590" s="35">
        <f t="shared" si="194"/>
        <v>-68343.506328802163</v>
      </c>
      <c r="Y590" s="1">
        <f t="shared" si="178"/>
        <v>58848472.294362724</v>
      </c>
      <c r="AA590" s="2">
        <f>+Bono!J590</f>
        <v>707214.30611392297</v>
      </c>
      <c r="AC590" s="10">
        <f t="shared" si="179"/>
        <v>47.25</v>
      </c>
      <c r="AD590" s="1">
        <f t="shared" si="180"/>
        <v>60675178.242044516</v>
      </c>
    </row>
    <row r="591" spans="1:30">
      <c r="A591" s="1">
        <f t="shared" si="181"/>
        <v>47.333333333333336</v>
      </c>
      <c r="B591" s="1">
        <f t="shared" si="182"/>
        <v>568</v>
      </c>
      <c r="C591" s="2">
        <f t="shared" si="187"/>
        <v>47</v>
      </c>
      <c r="D591" s="2">
        <f t="shared" si="188"/>
        <v>4</v>
      </c>
      <c r="E591" s="2">
        <f t="shared" si="189"/>
        <v>76</v>
      </c>
      <c r="F591" s="1">
        <f t="shared" si="183"/>
        <v>1119491.6415678714</v>
      </c>
      <c r="H591" s="1">
        <f t="shared" si="176"/>
        <v>8926.9835588462047</v>
      </c>
      <c r="I591" s="1">
        <v>0</v>
      </c>
      <c r="J591" s="1">
        <v>0</v>
      </c>
      <c r="K591" s="1">
        <f t="shared" si="184"/>
        <v>-1308.9656051469924</v>
      </c>
      <c r="L591" s="1">
        <f t="shared" si="177"/>
        <v>1127109.6595215707</v>
      </c>
      <c r="N591" s="1">
        <f t="shared" si="185"/>
        <v>568</v>
      </c>
      <c r="O591" s="2">
        <f t="shared" si="190"/>
        <v>47</v>
      </c>
      <c r="P591" s="2">
        <f t="shared" si="191"/>
        <v>4</v>
      </c>
      <c r="Q591" s="2">
        <f t="shared" si="192"/>
        <v>47</v>
      </c>
      <c r="R591" s="1">
        <f t="shared" si="186"/>
        <v>58848472.294362724</v>
      </c>
      <c r="S591" s="4">
        <f>IF($G$4="mensual",S588,IF($G$4="trimestral",S588,0))</f>
        <v>10000</v>
      </c>
      <c r="U591" s="1">
        <f t="shared" si="193"/>
        <v>469345.72350598988</v>
      </c>
      <c r="V591" s="35">
        <f t="shared" si="195"/>
        <v>-558.44435802393252</v>
      </c>
      <c r="X591" s="35">
        <f t="shared" si="194"/>
        <v>-68819.621105272396</v>
      </c>
      <c r="Y591" s="1">
        <f t="shared" si="178"/>
        <v>59258439.952405415</v>
      </c>
      <c r="AA591" s="2">
        <f>+Bono!J591</f>
        <v>711599.11684361135</v>
      </c>
      <c r="AC591" s="10">
        <f t="shared" si="179"/>
        <v>47.333333333333336</v>
      </c>
      <c r="AD591" s="1">
        <f t="shared" si="180"/>
        <v>61097148.728770599</v>
      </c>
    </row>
    <row r="592" spans="1:30">
      <c r="A592" s="1">
        <f t="shared" si="181"/>
        <v>47.416666666666664</v>
      </c>
      <c r="B592" s="1">
        <f t="shared" si="182"/>
        <v>569</v>
      </c>
      <c r="C592" s="2">
        <f t="shared" si="187"/>
        <v>47</v>
      </c>
      <c r="D592" s="2">
        <f t="shared" si="188"/>
        <v>5</v>
      </c>
      <c r="E592" s="2">
        <f t="shared" si="189"/>
        <v>76</v>
      </c>
      <c r="F592" s="1">
        <f t="shared" si="183"/>
        <v>1127109.6595215707</v>
      </c>
      <c r="H592" s="1">
        <f t="shared" si="176"/>
        <v>8987.730703798914</v>
      </c>
      <c r="I592" s="1">
        <v>0</v>
      </c>
      <c r="J592" s="1">
        <v>0</v>
      </c>
      <c r="K592" s="1">
        <f t="shared" si="184"/>
        <v>-1317.8729726614285</v>
      </c>
      <c r="L592" s="1">
        <f t="shared" si="177"/>
        <v>1134779.5172527081</v>
      </c>
      <c r="N592" s="1">
        <f t="shared" si="185"/>
        <v>569</v>
      </c>
      <c r="O592" s="2">
        <f t="shared" si="190"/>
        <v>47</v>
      </c>
      <c r="P592" s="2">
        <f t="shared" si="191"/>
        <v>5</v>
      </c>
      <c r="Q592" s="2">
        <f t="shared" si="192"/>
        <v>47</v>
      </c>
      <c r="R592" s="1">
        <f t="shared" si="186"/>
        <v>59258439.952405415</v>
      </c>
      <c r="S592" s="4">
        <f>IF($G$4="mensual",S591,0)</f>
        <v>10000</v>
      </c>
      <c r="U592" s="1">
        <f t="shared" si="193"/>
        <v>472614.86318253115</v>
      </c>
      <c r="V592" s="35">
        <f t="shared" si="195"/>
        <v>-558.44435802393252</v>
      </c>
      <c r="X592" s="35">
        <f t="shared" si="194"/>
        <v>-69298.975790626719</v>
      </c>
      <c r="Y592" s="1">
        <f t="shared" si="178"/>
        <v>59671197.395439297</v>
      </c>
      <c r="AA592" s="2">
        <f>+Bono!J592</f>
        <v>716011.11390843045</v>
      </c>
      <c r="AC592" s="10">
        <f t="shared" si="179"/>
        <v>47.416666666666664</v>
      </c>
      <c r="AD592" s="1">
        <f t="shared" si="180"/>
        <v>61521988.026600435</v>
      </c>
    </row>
    <row r="593" spans="1:30">
      <c r="A593" s="1">
        <f t="shared" si="181"/>
        <v>47.5</v>
      </c>
      <c r="B593" s="1">
        <f t="shared" si="182"/>
        <v>570</v>
      </c>
      <c r="C593" s="2">
        <f t="shared" si="187"/>
        <v>47</v>
      </c>
      <c r="D593" s="2">
        <f t="shared" si="188"/>
        <v>6</v>
      </c>
      <c r="E593" s="2">
        <f t="shared" si="189"/>
        <v>76</v>
      </c>
      <c r="F593" s="1">
        <f t="shared" si="183"/>
        <v>1134779.5172527081</v>
      </c>
      <c r="H593" s="1">
        <f t="shared" si="176"/>
        <v>9048.8912264167157</v>
      </c>
      <c r="I593" s="1">
        <v>0</v>
      </c>
      <c r="J593" s="69">
        <f>-SUM(F593:H593)*$J$21*1.16</f>
        <v>-11941.568584522063</v>
      </c>
      <c r="K593" s="1">
        <f t="shared" si="184"/>
        <v>-1312.9887342777392</v>
      </c>
      <c r="L593" s="1">
        <f t="shared" si="177"/>
        <v>1130573.8511603251</v>
      </c>
      <c r="N593" s="1">
        <f t="shared" si="185"/>
        <v>570</v>
      </c>
      <c r="O593" s="2">
        <f t="shared" si="190"/>
        <v>47</v>
      </c>
      <c r="P593" s="2">
        <f t="shared" si="191"/>
        <v>6</v>
      </c>
      <c r="Q593" s="2">
        <f t="shared" si="192"/>
        <v>47</v>
      </c>
      <c r="R593" s="1">
        <f t="shared" si="186"/>
        <v>59671197.395439297</v>
      </c>
      <c r="S593" s="4">
        <f>IF($G$4="mensual",S592,0)</f>
        <v>10000</v>
      </c>
      <c r="U593" s="1">
        <f t="shared" si="193"/>
        <v>475906.24899635854</v>
      </c>
      <c r="V593" s="35">
        <f t="shared" si="195"/>
        <v>-558.44435802393252</v>
      </c>
      <c r="X593" s="35">
        <f t="shared" si="194"/>
        <v>-69781.592432090067</v>
      </c>
      <c r="Y593" s="1">
        <f t="shared" si="178"/>
        <v>60086763.607645549</v>
      </c>
      <c r="AA593" s="2">
        <f>+Bono!J593</f>
        <v>713959.92112927255</v>
      </c>
      <c r="AC593" s="10">
        <f t="shared" si="179"/>
        <v>47.5</v>
      </c>
      <c r="AD593" s="1">
        <f t="shared" si="180"/>
        <v>61931297.379935145</v>
      </c>
    </row>
    <row r="594" spans="1:30">
      <c r="A594" s="1">
        <f t="shared" si="181"/>
        <v>47.583333333333336</v>
      </c>
      <c r="B594" s="1">
        <f t="shared" si="182"/>
        <v>571</v>
      </c>
      <c r="C594" s="2">
        <f t="shared" si="187"/>
        <v>47</v>
      </c>
      <c r="D594" s="2">
        <f t="shared" si="188"/>
        <v>7</v>
      </c>
      <c r="E594" s="2">
        <f t="shared" si="189"/>
        <v>76</v>
      </c>
      <c r="F594" s="1">
        <f t="shared" si="183"/>
        <v>1130573.8511603251</v>
      </c>
      <c r="H594" s="1">
        <f t="shared" si="176"/>
        <v>9015.354654398976</v>
      </c>
      <c r="I594" s="1">
        <v>0</v>
      </c>
      <c r="J594" s="1">
        <v>0</v>
      </c>
      <c r="K594" s="1">
        <f t="shared" si="184"/>
        <v>-1321.92347874508</v>
      </c>
      <c r="L594" s="1">
        <f t="shared" si="177"/>
        <v>1138267.2823359789</v>
      </c>
      <c r="N594" s="1">
        <f t="shared" si="185"/>
        <v>571</v>
      </c>
      <c r="O594" s="2">
        <f t="shared" si="190"/>
        <v>47</v>
      </c>
      <c r="P594" s="2">
        <f t="shared" si="191"/>
        <v>7</v>
      </c>
      <c r="Q594" s="2">
        <f t="shared" si="192"/>
        <v>47</v>
      </c>
      <c r="R594" s="1">
        <f t="shared" si="186"/>
        <v>60086763.607645549</v>
      </c>
      <c r="S594" s="1">
        <f>+IF($G$4="mensual",S588,IF($G$4="trimestral",S588,IF($G$4="semestral",S588,0)))</f>
        <v>10000</v>
      </c>
      <c r="U594" s="1">
        <f t="shared" si="193"/>
        <v>479220.03232999879</v>
      </c>
      <c r="V594" s="35">
        <f t="shared" si="195"/>
        <v>-558.44435802393252</v>
      </c>
      <c r="X594" s="35">
        <f t="shared" si="194"/>
        <v>-70267.493226916326</v>
      </c>
      <c r="Y594" s="1">
        <f t="shared" si="178"/>
        <v>60505157.702390611</v>
      </c>
      <c r="AA594" s="2">
        <f>+Bono!J594</f>
        <v>718386.55545449909</v>
      </c>
      <c r="AC594" s="10">
        <f t="shared" si="179"/>
        <v>47.583333333333336</v>
      </c>
      <c r="AD594" s="1">
        <f t="shared" si="180"/>
        <v>62361811.540181093</v>
      </c>
    </row>
    <row r="595" spans="1:30">
      <c r="A595" s="1">
        <f t="shared" si="181"/>
        <v>47.666666666666664</v>
      </c>
      <c r="B595" s="1">
        <f t="shared" si="182"/>
        <v>572</v>
      </c>
      <c r="C595" s="2">
        <f t="shared" si="187"/>
        <v>47</v>
      </c>
      <c r="D595" s="2">
        <f t="shared" si="188"/>
        <v>8</v>
      </c>
      <c r="E595" s="2">
        <f t="shared" si="189"/>
        <v>76</v>
      </c>
      <c r="F595" s="1">
        <f t="shared" si="183"/>
        <v>1138267.2823359789</v>
      </c>
      <c r="H595" s="1">
        <f t="shared" si="176"/>
        <v>9076.7031549737458</v>
      </c>
      <c r="I595" s="1">
        <v>0</v>
      </c>
      <c r="J595" s="1">
        <v>0</v>
      </c>
      <c r="K595" s="1">
        <f t="shared" si="184"/>
        <v>-1330.919023169505</v>
      </c>
      <c r="L595" s="1">
        <f t="shared" si="177"/>
        <v>1146013.0664677832</v>
      </c>
      <c r="N595" s="1">
        <f t="shared" si="185"/>
        <v>572</v>
      </c>
      <c r="O595" s="2">
        <f t="shared" si="190"/>
        <v>47</v>
      </c>
      <c r="P595" s="2">
        <f t="shared" si="191"/>
        <v>8</v>
      </c>
      <c r="Q595" s="2">
        <f t="shared" si="192"/>
        <v>47</v>
      </c>
      <c r="R595" s="1">
        <f t="shared" si="186"/>
        <v>60505157.702390611</v>
      </c>
      <c r="S595" s="4">
        <f>IF($G$4="mensual",S594,0)</f>
        <v>10000</v>
      </c>
      <c r="U595" s="1">
        <f t="shared" si="193"/>
        <v>482556.36559612001</v>
      </c>
      <c r="V595" s="35">
        <f t="shared" si="195"/>
        <v>-558.44435802393252</v>
      </c>
      <c r="X595" s="35">
        <f t="shared" si="194"/>
        <v>-70756.700523409309</v>
      </c>
      <c r="Y595" s="1">
        <f t="shared" si="178"/>
        <v>60926398.923105307</v>
      </c>
      <c r="AA595" s="2">
        <f>+Bono!J595</f>
        <v>722840.63542599976</v>
      </c>
      <c r="AC595" s="10">
        <f t="shared" si="179"/>
        <v>47.666666666666664</v>
      </c>
      <c r="AD595" s="1">
        <f t="shared" si="180"/>
        <v>62795252.624999091</v>
      </c>
    </row>
    <row r="596" spans="1:30">
      <c r="A596" s="1">
        <f t="shared" si="181"/>
        <v>47.75</v>
      </c>
      <c r="B596" s="1">
        <f t="shared" si="182"/>
        <v>573</v>
      </c>
      <c r="C596" s="2">
        <f t="shared" si="187"/>
        <v>47</v>
      </c>
      <c r="D596" s="2">
        <f t="shared" si="188"/>
        <v>9</v>
      </c>
      <c r="E596" s="2">
        <f t="shared" si="189"/>
        <v>76</v>
      </c>
      <c r="F596" s="1">
        <f t="shared" si="183"/>
        <v>1146013.0664677832</v>
      </c>
      <c r="H596" s="1">
        <f t="shared" si="176"/>
        <v>9138.4691253727269</v>
      </c>
      <c r="I596" s="1">
        <v>0</v>
      </c>
      <c r="J596" s="69">
        <f>-SUM(F596:H596)*$J$21*1.16</f>
        <v>-12059.782031592549</v>
      </c>
      <c r="K596" s="1">
        <f t="shared" si="184"/>
        <v>-1325.9864341314137</v>
      </c>
      <c r="L596" s="1">
        <f t="shared" si="177"/>
        <v>1141765.7671274322</v>
      </c>
      <c r="N596" s="1">
        <f t="shared" si="185"/>
        <v>573</v>
      </c>
      <c r="O596" s="2">
        <f t="shared" si="190"/>
        <v>47</v>
      </c>
      <c r="P596" s="2">
        <f t="shared" si="191"/>
        <v>9</v>
      </c>
      <c r="Q596" s="2">
        <f t="shared" si="192"/>
        <v>47</v>
      </c>
      <c r="R596" s="1">
        <f t="shared" si="186"/>
        <v>60926398.923105307</v>
      </c>
      <c r="S596" s="4">
        <f>IF($G$4="mensual",S595,0)</f>
        <v>10000</v>
      </c>
      <c r="U596" s="1">
        <f t="shared" si="193"/>
        <v>485915.40224454185</v>
      </c>
      <c r="V596" s="35">
        <f t="shared" si="195"/>
        <v>-558.44435802393252</v>
      </c>
      <c r="X596" s="35">
        <f t="shared" si="194"/>
        <v>-71249.236821950515</v>
      </c>
      <c r="Y596" s="1">
        <f t="shared" si="178"/>
        <v>61350506.644169882</v>
      </c>
      <c r="AA596" s="2">
        <f>+Bono!J596</f>
        <v>720769.87777564104</v>
      </c>
      <c r="AC596" s="10">
        <f t="shared" si="179"/>
        <v>47.75</v>
      </c>
      <c r="AD596" s="1">
        <f t="shared" si="180"/>
        <v>63213042.289072953</v>
      </c>
    </row>
    <row r="597" spans="1:30">
      <c r="A597" s="1">
        <f t="shared" si="181"/>
        <v>47.833333333333336</v>
      </c>
      <c r="B597" s="1">
        <f t="shared" si="182"/>
        <v>574</v>
      </c>
      <c r="C597" s="2">
        <f t="shared" si="187"/>
        <v>47</v>
      </c>
      <c r="D597" s="2">
        <f t="shared" si="188"/>
        <v>10</v>
      </c>
      <c r="E597" s="2">
        <f t="shared" si="189"/>
        <v>76</v>
      </c>
      <c r="F597" s="1">
        <f t="shared" si="183"/>
        <v>1141765.7671274322</v>
      </c>
      <c r="H597" s="1">
        <f t="shared" si="176"/>
        <v>9104.6005639891773</v>
      </c>
      <c r="I597" s="1">
        <v>0</v>
      </c>
      <c r="J597" s="1">
        <v>0</v>
      </c>
      <c r="K597" s="1">
        <f t="shared" si="184"/>
        <v>-1335.0096265220488</v>
      </c>
      <c r="L597" s="1">
        <f t="shared" si="177"/>
        <v>1149535.3580648995</v>
      </c>
      <c r="N597" s="1">
        <f t="shared" si="185"/>
        <v>574</v>
      </c>
      <c r="O597" s="2">
        <f t="shared" si="190"/>
        <v>47</v>
      </c>
      <c r="P597" s="2">
        <f t="shared" si="191"/>
        <v>10</v>
      </c>
      <c r="Q597" s="2">
        <f t="shared" si="192"/>
        <v>47</v>
      </c>
      <c r="R597" s="1">
        <f t="shared" si="186"/>
        <v>61350506.644169882</v>
      </c>
      <c r="S597" s="4">
        <f>IF($G$4="mensual",S588,IF($G$4="trimestral",S588,0))</f>
        <v>10000</v>
      </c>
      <c r="U597" s="1">
        <f t="shared" si="193"/>
        <v>489297.29676929308</v>
      </c>
      <c r="V597" s="35">
        <f t="shared" si="195"/>
        <v>-558.44435802393252</v>
      </c>
      <c r="X597" s="35">
        <f t="shared" si="194"/>
        <v>-71745.124776034136</v>
      </c>
      <c r="Y597" s="1">
        <f t="shared" si="178"/>
        <v>61777500.371805117</v>
      </c>
      <c r="AA597" s="2">
        <f>+Bono!J597</f>
        <v>725238.73462198116</v>
      </c>
      <c r="AC597" s="10">
        <f t="shared" si="179"/>
        <v>47.833333333333336</v>
      </c>
      <c r="AD597" s="1">
        <f t="shared" si="180"/>
        <v>63652274.464491993</v>
      </c>
    </row>
    <row r="598" spans="1:30">
      <c r="A598" s="1">
        <f t="shared" si="181"/>
        <v>47.916666666666664</v>
      </c>
      <c r="B598" s="1">
        <f t="shared" si="182"/>
        <v>575</v>
      </c>
      <c r="C598" s="2">
        <f t="shared" si="187"/>
        <v>47</v>
      </c>
      <c r="D598" s="2">
        <f t="shared" si="188"/>
        <v>11</v>
      </c>
      <c r="E598" s="2">
        <f t="shared" si="189"/>
        <v>76</v>
      </c>
      <c r="F598" s="1">
        <f t="shared" si="183"/>
        <v>1149535.3580648995</v>
      </c>
      <c r="H598" s="1">
        <f t="shared" si="176"/>
        <v>9166.556373199679</v>
      </c>
      <c r="I598" s="1">
        <v>0</v>
      </c>
      <c r="J598" s="1">
        <v>0</v>
      </c>
      <c r="K598" s="1">
        <f t="shared" si="184"/>
        <v>-1344.0942207481951</v>
      </c>
      <c r="L598" s="1">
        <f t="shared" si="177"/>
        <v>1157357.820217351</v>
      </c>
      <c r="N598" s="1">
        <f t="shared" si="185"/>
        <v>575</v>
      </c>
      <c r="O598" s="2">
        <f t="shared" si="190"/>
        <v>47</v>
      </c>
      <c r="P598" s="2">
        <f t="shared" si="191"/>
        <v>11</v>
      </c>
      <c r="Q598" s="2">
        <f t="shared" si="192"/>
        <v>47</v>
      </c>
      <c r="R598" s="1">
        <f t="shared" si="186"/>
        <v>61777500.371805117</v>
      </c>
      <c r="S598" s="1">
        <f>IF($G$17="si",S586*(1+$G$20),S586)</f>
        <v>10000</v>
      </c>
      <c r="U598" s="1">
        <f t="shared" si="193"/>
        <v>492702.20471571753</v>
      </c>
      <c r="V598" s="35">
        <f t="shared" si="195"/>
        <v>-558.44435802393252</v>
      </c>
      <c r="X598" s="35">
        <f t="shared" si="194"/>
        <v>-72244.387193308852</v>
      </c>
      <c r="Y598" s="1">
        <f t="shared" si="178"/>
        <v>62207399.744969502</v>
      </c>
      <c r="AA598" s="2">
        <f>+Bono!J598</f>
        <v>729735.29889912391</v>
      </c>
      <c r="AC598" s="10">
        <f t="shared" si="179"/>
        <v>47.916666666666664</v>
      </c>
      <c r="AD598" s="1">
        <f t="shared" si="180"/>
        <v>64094492.864085972</v>
      </c>
    </row>
    <row r="599" spans="1:30">
      <c r="A599" s="1">
        <f t="shared" si="181"/>
        <v>48</v>
      </c>
      <c r="B599" s="1">
        <f t="shared" si="182"/>
        <v>576</v>
      </c>
      <c r="C599" s="2">
        <f t="shared" si="187"/>
        <v>47</v>
      </c>
      <c r="D599" s="2">
        <f t="shared" si="188"/>
        <v>12</v>
      </c>
      <c r="E599" s="2">
        <f t="shared" si="189"/>
        <v>76</v>
      </c>
      <c r="F599" s="1">
        <f t="shared" si="183"/>
        <v>1157357.820217351</v>
      </c>
      <c r="H599" s="1">
        <f t="shared" si="176"/>
        <v>9228.9337849031126</v>
      </c>
      <c r="I599" s="1">
        <v>0</v>
      </c>
      <c r="J599" s="69">
        <f>-SUM(F599:H599)*$J$21*1.16</f>
        <v>-12179.165711783531</v>
      </c>
      <c r="K599" s="1">
        <f t="shared" si="184"/>
        <v>-1339.1128024169454</v>
      </c>
      <c r="L599" s="1">
        <f t="shared" si="177"/>
        <v>1153068.4754880534</v>
      </c>
      <c r="N599" s="1">
        <f t="shared" si="185"/>
        <v>576</v>
      </c>
      <c r="O599" s="2">
        <f t="shared" si="190"/>
        <v>47</v>
      </c>
      <c r="P599" s="2">
        <f t="shared" si="191"/>
        <v>12</v>
      </c>
      <c r="Q599" s="2">
        <f t="shared" si="192"/>
        <v>47</v>
      </c>
      <c r="R599" s="1">
        <f t="shared" si="186"/>
        <v>62207399.744969502</v>
      </c>
      <c r="S599" s="4">
        <f>IF($G$4="mensual",S598,0)</f>
        <v>10000</v>
      </c>
      <c r="U599" s="1">
        <f t="shared" si="193"/>
        <v>496130.28268762806</v>
      </c>
      <c r="V599" s="35">
        <f t="shared" si="195"/>
        <v>-558.44435802393252</v>
      </c>
      <c r="X599" s="35">
        <f t="shared" si="194"/>
        <v>-72747.047036626958</v>
      </c>
      <c r="Y599" s="1">
        <f t="shared" si="178"/>
        <v>62640224.536262482</v>
      </c>
      <c r="AA599" s="2">
        <f>+Bono!J599</f>
        <v>727644.78976215271</v>
      </c>
      <c r="AC599" s="10">
        <f t="shared" si="179"/>
        <v>48</v>
      </c>
      <c r="AD599" s="1">
        <f t="shared" si="180"/>
        <v>64520937.801512688</v>
      </c>
    </row>
    <row r="600" spans="1:30">
      <c r="A600" s="1">
        <f t="shared" si="181"/>
        <v>48.083333333333336</v>
      </c>
      <c r="B600" s="1">
        <f t="shared" si="182"/>
        <v>577</v>
      </c>
      <c r="C600" s="2">
        <f t="shared" si="187"/>
        <v>48</v>
      </c>
      <c r="D600" s="2">
        <f t="shared" si="188"/>
        <v>1</v>
      </c>
      <c r="E600" s="2">
        <f t="shared" si="189"/>
        <v>77</v>
      </c>
      <c r="F600" s="1">
        <f t="shared" si="183"/>
        <v>1153068.4754880534</v>
      </c>
      <c r="H600" s="1">
        <f t="shared" ref="H600:H663" si="196">SUM(F600:G600)*$G$8</f>
        <v>9194.7299476837161</v>
      </c>
      <c r="I600" s="1">
        <v>0</v>
      </c>
      <c r="J600" s="1">
        <v>0</v>
      </c>
      <c r="K600" s="1">
        <f t="shared" si="184"/>
        <v>-1348.2253183054549</v>
      </c>
      <c r="L600" s="1">
        <f t="shared" ref="L600:L663" si="197">SUM(F600:K600)</f>
        <v>1160914.9801174316</v>
      </c>
      <c r="N600" s="1">
        <f t="shared" si="185"/>
        <v>577</v>
      </c>
      <c r="O600" s="2">
        <f t="shared" si="190"/>
        <v>48</v>
      </c>
      <c r="P600" s="2">
        <f t="shared" si="191"/>
        <v>1</v>
      </c>
      <c r="Q600" s="2">
        <f t="shared" si="192"/>
        <v>48</v>
      </c>
      <c r="R600" s="1">
        <f t="shared" si="186"/>
        <v>62640224.536262482</v>
      </c>
      <c r="S600" s="1">
        <f>IF($G$17="si",S588*(1+$G$20),S588)</f>
        <v>10000</v>
      </c>
      <c r="U600" s="1">
        <f t="shared" si="193"/>
        <v>499581.68835450924</v>
      </c>
      <c r="V600" s="35">
        <f>V599*(1+$G$18)</f>
        <v>-580.78213234488987</v>
      </c>
      <c r="X600" s="35">
        <f t="shared" si="194"/>
        <v>-73253.101513282192</v>
      </c>
      <c r="Y600" s="1">
        <f t="shared" ref="Y600:Y663" si="198">SUM(R600:X600)</f>
        <v>63075972.340971366</v>
      </c>
      <c r="AA600" s="2">
        <f>+Bono!J600</f>
        <v>732156.27186024969</v>
      </c>
      <c r="AC600" s="10">
        <f t="shared" ref="AC600:AC663" si="199">+B600/12</f>
        <v>48.083333333333336</v>
      </c>
      <c r="AD600" s="1">
        <f t="shared" ref="AD600:AD663" si="200">+AA600+Y600+L600</f>
        <v>64969043.592949048</v>
      </c>
    </row>
    <row r="601" spans="1:30">
      <c r="A601" s="1">
        <f t="shared" ref="A601:A664" si="201">+B601/12</f>
        <v>48.166666666666664</v>
      </c>
      <c r="B601" s="1">
        <f t="shared" ref="B601:B664" si="202">+B600+1</f>
        <v>578</v>
      </c>
      <c r="C601" s="2">
        <f t="shared" si="187"/>
        <v>48</v>
      </c>
      <c r="D601" s="2">
        <f t="shared" si="188"/>
        <v>2</v>
      </c>
      <c r="E601" s="2">
        <f t="shared" si="189"/>
        <v>77</v>
      </c>
      <c r="F601" s="1">
        <f t="shared" ref="F601:F664" si="203">L600</f>
        <v>1160914.9801174316</v>
      </c>
      <c r="H601" s="1">
        <f t="shared" si="196"/>
        <v>9257.2990774744212</v>
      </c>
      <c r="I601" s="1">
        <v>0</v>
      </c>
      <c r="J601" s="1">
        <v>0</v>
      </c>
      <c r="K601" s="1">
        <f t="shared" ref="K601:K664" si="204">-SUM(F601:J601)*0.1%*1.16</f>
        <v>-1357.399843866091</v>
      </c>
      <c r="L601" s="1">
        <f t="shared" si="197"/>
        <v>1168814.8793510401</v>
      </c>
      <c r="N601" s="1">
        <f t="shared" ref="N601:N664" si="205">+N600+1</f>
        <v>578</v>
      </c>
      <c r="O601" s="2">
        <f t="shared" si="190"/>
        <v>48</v>
      </c>
      <c r="P601" s="2">
        <f t="shared" si="191"/>
        <v>2</v>
      </c>
      <c r="Q601" s="2">
        <f t="shared" si="192"/>
        <v>48</v>
      </c>
      <c r="R601" s="1">
        <f t="shared" ref="R601:R664" si="206">Y600</f>
        <v>63075972.340971366</v>
      </c>
      <c r="S601" s="4">
        <f>IF($G$4="mensual",S600,0)</f>
        <v>10000</v>
      </c>
      <c r="U601" s="1">
        <f t="shared" si="193"/>
        <v>503056.4025408444</v>
      </c>
      <c r="V601" s="35">
        <f t="shared" si="195"/>
        <v>-580.78213234488987</v>
      </c>
      <c r="X601" s="35">
        <f t="shared" si="194"/>
        <v>-73762.599635200648</v>
      </c>
      <c r="Y601" s="1">
        <f t="shared" si="198"/>
        <v>63514685.361744672</v>
      </c>
      <c r="AA601" s="2">
        <f>+Bono!J601</f>
        <v>736695.72567065433</v>
      </c>
      <c r="AC601" s="10">
        <f t="shared" si="199"/>
        <v>48.166666666666664</v>
      </c>
      <c r="AD601" s="1">
        <f t="shared" si="200"/>
        <v>65420195.966766365</v>
      </c>
    </row>
    <row r="602" spans="1:30">
      <c r="A602" s="1">
        <f t="shared" si="201"/>
        <v>48.25</v>
      </c>
      <c r="B602" s="1">
        <f t="shared" si="202"/>
        <v>579</v>
      </c>
      <c r="C602" s="2">
        <f t="shared" si="187"/>
        <v>48</v>
      </c>
      <c r="D602" s="2">
        <f t="shared" si="188"/>
        <v>3</v>
      </c>
      <c r="E602" s="2">
        <f t="shared" si="189"/>
        <v>77</v>
      </c>
      <c r="F602" s="1">
        <f t="shared" si="203"/>
        <v>1168814.8793510401</v>
      </c>
      <c r="H602" s="1">
        <f t="shared" si="196"/>
        <v>9320.2939833374039</v>
      </c>
      <c r="I602" s="1">
        <v>0</v>
      </c>
      <c r="J602" s="69">
        <f>-SUM(F602:H602)*$J$21*1.16</f>
        <v>-12299.731209610902</v>
      </c>
      <c r="K602" s="1">
        <f t="shared" si="204"/>
        <v>-1352.3691128647295</v>
      </c>
      <c r="L602" s="1">
        <f t="shared" si="197"/>
        <v>1164483.0730119019</v>
      </c>
      <c r="N602" s="1">
        <f t="shared" si="205"/>
        <v>579</v>
      </c>
      <c r="O602" s="2">
        <f t="shared" si="190"/>
        <v>48</v>
      </c>
      <c r="P602" s="2">
        <f t="shared" si="191"/>
        <v>3</v>
      </c>
      <c r="Q602" s="2">
        <f t="shared" si="192"/>
        <v>48</v>
      </c>
      <c r="R602" s="1">
        <f t="shared" si="206"/>
        <v>63514685.361744672</v>
      </c>
      <c r="S602" s="4">
        <f>IF($G$4="mensual",S601,0)</f>
        <v>10000</v>
      </c>
      <c r="U602" s="1">
        <f t="shared" si="193"/>
        <v>506554.76177647931</v>
      </c>
      <c r="V602" s="35">
        <f t="shared" si="195"/>
        <v>-580.78213234488987</v>
      </c>
      <c r="X602" s="35">
        <f t="shared" si="194"/>
        <v>-74275.564836011021</v>
      </c>
      <c r="Y602" s="1">
        <f t="shared" si="198"/>
        <v>63956383.776552796</v>
      </c>
      <c r="AA602" s="2">
        <f>+Bono!J602</f>
        <v>734585.27665166697</v>
      </c>
      <c r="AC602" s="10">
        <f t="shared" si="199"/>
        <v>48.25</v>
      </c>
      <c r="AD602" s="1">
        <f t="shared" si="200"/>
        <v>65855452.126216367</v>
      </c>
    </row>
    <row r="603" spans="1:30">
      <c r="A603" s="1">
        <f t="shared" si="201"/>
        <v>48.333333333333336</v>
      </c>
      <c r="B603" s="1">
        <f t="shared" si="202"/>
        <v>580</v>
      </c>
      <c r="C603" s="2">
        <f t="shared" si="187"/>
        <v>48</v>
      </c>
      <c r="D603" s="2">
        <f t="shared" si="188"/>
        <v>4</v>
      </c>
      <c r="E603" s="2">
        <f t="shared" si="189"/>
        <v>77</v>
      </c>
      <c r="F603" s="1">
        <f t="shared" si="203"/>
        <v>1164483.0730119019</v>
      </c>
      <c r="H603" s="1">
        <f t="shared" si="196"/>
        <v>9285.7515512783011</v>
      </c>
      <c r="I603" s="1">
        <v>0</v>
      </c>
      <c r="J603" s="1">
        <v>0</v>
      </c>
      <c r="K603" s="1">
        <f t="shared" si="204"/>
        <v>-1361.5718364932891</v>
      </c>
      <c r="L603" s="1">
        <f t="shared" si="197"/>
        <v>1172407.2527266871</v>
      </c>
      <c r="N603" s="1">
        <f t="shared" si="205"/>
        <v>580</v>
      </c>
      <c r="O603" s="2">
        <f t="shared" si="190"/>
        <v>48</v>
      </c>
      <c r="P603" s="2">
        <f t="shared" si="191"/>
        <v>4</v>
      </c>
      <c r="Q603" s="2">
        <f t="shared" si="192"/>
        <v>48</v>
      </c>
      <c r="R603" s="1">
        <f t="shared" si="206"/>
        <v>63956383.776552796</v>
      </c>
      <c r="S603" s="4">
        <f>IF($G$4="mensual",S600,IF($G$4="trimestral",S600,0))</f>
        <v>10000</v>
      </c>
      <c r="U603" s="1">
        <f t="shared" si="193"/>
        <v>510076.92696338351</v>
      </c>
      <c r="V603" s="35">
        <f t="shared" si="195"/>
        <v>-580.78213234488987</v>
      </c>
      <c r="X603" s="35">
        <f t="shared" si="194"/>
        <v>-74792.020708805241</v>
      </c>
      <c r="Y603" s="1">
        <f t="shared" si="198"/>
        <v>64401087.900675029</v>
      </c>
      <c r="AA603" s="2">
        <f>+Bono!J603</f>
        <v>739139.79057352548</v>
      </c>
      <c r="AC603" s="10">
        <f t="shared" si="199"/>
        <v>48.333333333333336</v>
      </c>
      <c r="AD603" s="1">
        <f t="shared" si="200"/>
        <v>66312634.94397524</v>
      </c>
    </row>
    <row r="604" spans="1:30">
      <c r="A604" s="1">
        <f t="shared" si="201"/>
        <v>48.416666666666664</v>
      </c>
      <c r="B604" s="1">
        <f t="shared" si="202"/>
        <v>581</v>
      </c>
      <c r="C604" s="2">
        <f t="shared" si="187"/>
        <v>48</v>
      </c>
      <c r="D604" s="2">
        <f t="shared" si="188"/>
        <v>5</v>
      </c>
      <c r="E604" s="2">
        <f t="shared" si="189"/>
        <v>77</v>
      </c>
      <c r="F604" s="1">
        <f t="shared" si="203"/>
        <v>1172407.2527266871</v>
      </c>
      <c r="H604" s="1">
        <f t="shared" si="196"/>
        <v>9348.9400731078695</v>
      </c>
      <c r="I604" s="1">
        <v>0</v>
      </c>
      <c r="J604" s="1">
        <v>0</v>
      </c>
      <c r="K604" s="1">
        <f t="shared" si="204"/>
        <v>-1370.837183647762</v>
      </c>
      <c r="L604" s="1">
        <f t="shared" si="197"/>
        <v>1180385.3556161472</v>
      </c>
      <c r="N604" s="1">
        <f t="shared" si="205"/>
        <v>581</v>
      </c>
      <c r="O604" s="2">
        <f t="shared" si="190"/>
        <v>48</v>
      </c>
      <c r="P604" s="2">
        <f t="shared" si="191"/>
        <v>5</v>
      </c>
      <c r="Q604" s="2">
        <f t="shared" si="192"/>
        <v>48</v>
      </c>
      <c r="R604" s="1">
        <f t="shared" si="206"/>
        <v>64401087.900675029</v>
      </c>
      <c r="S604" s="4">
        <f>IF($G$4="mensual",S603,0)</f>
        <v>10000</v>
      </c>
      <c r="U604" s="1">
        <f t="shared" si="193"/>
        <v>513623.06009844685</v>
      </c>
      <c r="V604" s="35">
        <f t="shared" si="195"/>
        <v>-580.78213234488987</v>
      </c>
      <c r="X604" s="35">
        <f t="shared" si="194"/>
        <v>-75311.991007223711</v>
      </c>
      <c r="Y604" s="1">
        <f t="shared" si="198"/>
        <v>64848818.187633909</v>
      </c>
      <c r="AA604" s="2">
        <f>+Bono!J604</f>
        <v>743722.54300999036</v>
      </c>
      <c r="AC604" s="10">
        <f t="shared" si="199"/>
        <v>48.416666666666664</v>
      </c>
      <c r="AD604" s="1">
        <f t="shared" si="200"/>
        <v>66772926.086260043</v>
      </c>
    </row>
    <row r="605" spans="1:30">
      <c r="A605" s="1">
        <f t="shared" si="201"/>
        <v>48.5</v>
      </c>
      <c r="B605" s="1">
        <f t="shared" si="202"/>
        <v>582</v>
      </c>
      <c r="C605" s="2">
        <f t="shared" si="187"/>
        <v>48</v>
      </c>
      <c r="D605" s="2">
        <f t="shared" si="188"/>
        <v>6</v>
      </c>
      <c r="E605" s="2">
        <f t="shared" si="189"/>
        <v>77</v>
      </c>
      <c r="F605" s="1">
        <f t="shared" si="203"/>
        <v>1180385.3556161472</v>
      </c>
      <c r="H605" s="1">
        <f t="shared" si="196"/>
        <v>9412.558585904666</v>
      </c>
      <c r="I605" s="1">
        <v>0</v>
      </c>
      <c r="J605" s="69">
        <f>-SUM(F605:H605)*$J$21*1.16</f>
        <v>-12421.490224269422</v>
      </c>
      <c r="K605" s="1">
        <f t="shared" si="204"/>
        <v>-1365.7566518142276</v>
      </c>
      <c r="L605" s="1">
        <f t="shared" si="197"/>
        <v>1176010.6673259682</v>
      </c>
      <c r="N605" s="1">
        <f t="shared" si="205"/>
        <v>582</v>
      </c>
      <c r="O605" s="2">
        <f t="shared" si="190"/>
        <v>48</v>
      </c>
      <c r="P605" s="2">
        <f t="shared" si="191"/>
        <v>6</v>
      </c>
      <c r="Q605" s="2">
        <f t="shared" si="192"/>
        <v>48</v>
      </c>
      <c r="R605" s="1">
        <f t="shared" si="206"/>
        <v>64848818.187633909</v>
      </c>
      <c r="S605" s="4">
        <f>IF($G$4="mensual",S604,0)</f>
        <v>10000</v>
      </c>
      <c r="U605" s="1">
        <f t="shared" si="193"/>
        <v>517193.32428093033</v>
      </c>
      <c r="V605" s="35">
        <f t="shared" si="195"/>
        <v>-580.78213234488987</v>
      </c>
      <c r="X605" s="35">
        <f t="shared" si="194"/>
        <v>-75835.499646547702</v>
      </c>
      <c r="Y605" s="1">
        <f t="shared" si="198"/>
        <v>65299595.230135955</v>
      </c>
      <c r="AA605" s="2">
        <f>+Bono!J605</f>
        <v>741591.96391661314</v>
      </c>
      <c r="AC605" s="10">
        <f t="shared" si="199"/>
        <v>48.5</v>
      </c>
      <c r="AD605" s="1">
        <f t="shared" si="200"/>
        <v>67217197.861378536</v>
      </c>
    </row>
    <row r="606" spans="1:30">
      <c r="A606" s="1">
        <f t="shared" si="201"/>
        <v>48.583333333333336</v>
      </c>
      <c r="B606" s="1">
        <f t="shared" si="202"/>
        <v>583</v>
      </c>
      <c r="C606" s="2">
        <f t="shared" si="187"/>
        <v>48</v>
      </c>
      <c r="D606" s="2">
        <f t="shared" si="188"/>
        <v>7</v>
      </c>
      <c r="E606" s="2">
        <f t="shared" si="189"/>
        <v>77</v>
      </c>
      <c r="F606" s="1">
        <f t="shared" si="203"/>
        <v>1176010.6673259682</v>
      </c>
      <c r="H606" s="1">
        <f t="shared" si="196"/>
        <v>9377.6742071460976</v>
      </c>
      <c r="I606" s="1">
        <v>0</v>
      </c>
      <c r="J606" s="1">
        <v>0</v>
      </c>
      <c r="K606" s="1">
        <f t="shared" si="204"/>
        <v>-1375.0504761784125</v>
      </c>
      <c r="L606" s="1">
        <f t="shared" si="197"/>
        <v>1184013.2910569357</v>
      </c>
      <c r="N606" s="1">
        <f t="shared" si="205"/>
        <v>583</v>
      </c>
      <c r="O606" s="2">
        <f t="shared" si="190"/>
        <v>48</v>
      </c>
      <c r="P606" s="2">
        <f t="shared" si="191"/>
        <v>7</v>
      </c>
      <c r="Q606" s="2">
        <f t="shared" si="192"/>
        <v>48</v>
      </c>
      <c r="R606" s="1">
        <f t="shared" si="206"/>
        <v>65299595.230135955</v>
      </c>
      <c r="S606" s="1">
        <f>+IF($G$4="mensual",S600,IF($G$4="trimestral",S600,IF($G$4="semestral",S600,0)))</f>
        <v>10000</v>
      </c>
      <c r="U606" s="1">
        <f t="shared" si="193"/>
        <v>520787.88371996756</v>
      </c>
      <c r="V606" s="35">
        <f t="shared" si="195"/>
        <v>-580.78213234488987</v>
      </c>
      <c r="X606" s="35">
        <f t="shared" si="194"/>
        <v>-76362.570704799349</v>
      </c>
      <c r="Y606" s="1">
        <f t="shared" si="198"/>
        <v>65753439.761018775</v>
      </c>
      <c r="AA606" s="2">
        <f>+Bono!J606</f>
        <v>746189.92011223966</v>
      </c>
      <c r="AC606" s="10">
        <f t="shared" si="199"/>
        <v>48.583333333333336</v>
      </c>
      <c r="AD606" s="1">
        <f t="shared" si="200"/>
        <v>67683642.972187951</v>
      </c>
    </row>
    <row r="607" spans="1:30">
      <c r="A607" s="1">
        <f t="shared" si="201"/>
        <v>48.666666666666664</v>
      </c>
      <c r="B607" s="1">
        <f t="shared" si="202"/>
        <v>584</v>
      </c>
      <c r="C607" s="2">
        <f t="shared" si="187"/>
        <v>48</v>
      </c>
      <c r="D607" s="2">
        <f t="shared" si="188"/>
        <v>8</v>
      </c>
      <c r="E607" s="2">
        <f t="shared" si="189"/>
        <v>77</v>
      </c>
      <c r="F607" s="1">
        <f t="shared" si="203"/>
        <v>1184013.2910569357</v>
      </c>
      <c r="H607" s="1">
        <f t="shared" si="196"/>
        <v>9441.4882525765097</v>
      </c>
      <c r="I607" s="1">
        <v>0</v>
      </c>
      <c r="J607" s="1">
        <v>0</v>
      </c>
      <c r="K607" s="1">
        <f t="shared" si="204"/>
        <v>-1384.407543999034</v>
      </c>
      <c r="L607" s="1">
        <f t="shared" si="197"/>
        <v>1192070.371765513</v>
      </c>
      <c r="N607" s="1">
        <f t="shared" si="205"/>
        <v>584</v>
      </c>
      <c r="O607" s="2">
        <f t="shared" si="190"/>
        <v>48</v>
      </c>
      <c r="P607" s="2">
        <f t="shared" si="191"/>
        <v>8</v>
      </c>
      <c r="Q607" s="2">
        <f t="shared" si="192"/>
        <v>48</v>
      </c>
      <c r="R607" s="1">
        <f t="shared" si="206"/>
        <v>65753439.761018775</v>
      </c>
      <c r="S607" s="4">
        <f>IF($G$4="mensual",S606,0)</f>
        <v>10000</v>
      </c>
      <c r="U607" s="1">
        <f t="shared" si="193"/>
        <v>524406.90374211711</v>
      </c>
      <c r="V607" s="35">
        <f t="shared" si="195"/>
        <v>-580.78213234488987</v>
      </c>
      <c r="X607" s="35">
        <f t="shared" si="194"/>
        <v>-76893.228423849112</v>
      </c>
      <c r="Y607" s="1">
        <f t="shared" si="198"/>
        <v>66210372.654204704</v>
      </c>
      <c r="AA607" s="2">
        <f>+Bono!J607</f>
        <v>750816.38416960905</v>
      </c>
      <c r="AC607" s="10">
        <f t="shared" si="199"/>
        <v>48.666666666666664</v>
      </c>
      <c r="AD607" s="1">
        <f t="shared" si="200"/>
        <v>68153259.410139829</v>
      </c>
    </row>
    <row r="608" spans="1:30">
      <c r="A608" s="1">
        <f t="shared" si="201"/>
        <v>48.75</v>
      </c>
      <c r="B608" s="1">
        <f t="shared" si="202"/>
        <v>585</v>
      </c>
      <c r="C608" s="2">
        <f t="shared" si="187"/>
        <v>48</v>
      </c>
      <c r="D608" s="2">
        <f t="shared" si="188"/>
        <v>9</v>
      </c>
      <c r="E608" s="2">
        <f t="shared" si="189"/>
        <v>77</v>
      </c>
      <c r="F608" s="1">
        <f t="shared" si="203"/>
        <v>1192070.371765513</v>
      </c>
      <c r="H608" s="1">
        <f t="shared" si="196"/>
        <v>9505.7365455937179</v>
      </c>
      <c r="I608" s="1">
        <v>0</v>
      </c>
      <c r="J608" s="69">
        <f>-SUM(F608:H608)*$J$21*1.16</f>
        <v>-12544.454570767955</v>
      </c>
      <c r="K608" s="1">
        <f t="shared" si="204"/>
        <v>-1379.2767183387928</v>
      </c>
      <c r="L608" s="1">
        <f t="shared" si="197"/>
        <v>1187652.377022</v>
      </c>
      <c r="N608" s="1">
        <f t="shared" si="205"/>
        <v>585</v>
      </c>
      <c r="O608" s="2">
        <f t="shared" si="190"/>
        <v>48</v>
      </c>
      <c r="P608" s="2">
        <f t="shared" si="191"/>
        <v>9</v>
      </c>
      <c r="Q608" s="2">
        <f t="shared" si="192"/>
        <v>48</v>
      </c>
      <c r="R608" s="1">
        <f t="shared" si="206"/>
        <v>66210372.654204704</v>
      </c>
      <c r="S608" s="4">
        <f>IF($G$4="mensual",S607,0)</f>
        <v>10000</v>
      </c>
      <c r="U608" s="1">
        <f t="shared" si="193"/>
        <v>528050.55079896701</v>
      </c>
      <c r="V608" s="35">
        <f t="shared" si="195"/>
        <v>-580.78213234488987</v>
      </c>
      <c r="X608" s="35">
        <f t="shared" si="194"/>
        <v>-77427.497210530739</v>
      </c>
      <c r="Y608" s="1">
        <f t="shared" si="198"/>
        <v>66670414.925660796</v>
      </c>
      <c r="AA608" s="2">
        <f>+Bono!J608</f>
        <v>748665.48299535841</v>
      </c>
      <c r="AC608" s="10">
        <f t="shared" si="199"/>
        <v>48.75</v>
      </c>
      <c r="AD608" s="1">
        <f t="shared" si="200"/>
        <v>68606732.785678148</v>
      </c>
    </row>
    <row r="609" spans="1:30">
      <c r="A609" s="1">
        <f t="shared" si="201"/>
        <v>48.833333333333336</v>
      </c>
      <c r="B609" s="1">
        <f t="shared" si="202"/>
        <v>586</v>
      </c>
      <c r="C609" s="2">
        <f t="shared" si="187"/>
        <v>48</v>
      </c>
      <c r="D609" s="2">
        <f t="shared" si="188"/>
        <v>10</v>
      </c>
      <c r="E609" s="2">
        <f t="shared" si="189"/>
        <v>77</v>
      </c>
      <c r="F609" s="1">
        <f t="shared" si="203"/>
        <v>1187652.377022</v>
      </c>
      <c r="H609" s="1">
        <f t="shared" si="196"/>
        <v>9470.5068350947859</v>
      </c>
      <c r="I609" s="1">
        <v>0</v>
      </c>
      <c r="J609" s="1">
        <v>0</v>
      </c>
      <c r="K609" s="1">
        <f t="shared" si="204"/>
        <v>-1388.6625452742298</v>
      </c>
      <c r="L609" s="1">
        <f t="shared" si="197"/>
        <v>1195734.2213118207</v>
      </c>
      <c r="N609" s="1">
        <f t="shared" si="205"/>
        <v>586</v>
      </c>
      <c r="O609" s="2">
        <f t="shared" si="190"/>
        <v>48</v>
      </c>
      <c r="P609" s="2">
        <f t="shared" si="191"/>
        <v>10</v>
      </c>
      <c r="Q609" s="2">
        <f t="shared" si="192"/>
        <v>48</v>
      </c>
      <c r="R609" s="1">
        <f t="shared" si="206"/>
        <v>66670414.925660796</v>
      </c>
      <c r="S609" s="4">
        <f>IF($G$4="mensual",S600,IF($G$4="trimestral",S600,0))</f>
        <v>10000</v>
      </c>
      <c r="U609" s="1">
        <f t="shared" si="193"/>
        <v>531718.99247478973</v>
      </c>
      <c r="V609" s="35">
        <f t="shared" si="195"/>
        <v>-580.78213234488987</v>
      </c>
      <c r="X609" s="35">
        <f t="shared" si="194"/>
        <v>-77965.40163776376</v>
      </c>
      <c r="Y609" s="1">
        <f t="shared" si="198"/>
        <v>67133587.734365478</v>
      </c>
      <c r="AA609" s="2">
        <f>+Bono!J609</f>
        <v>753307.2958297506</v>
      </c>
      <c r="AC609" s="10">
        <f t="shared" si="199"/>
        <v>48.833333333333336</v>
      </c>
      <c r="AD609" s="1">
        <f t="shared" si="200"/>
        <v>69082629.251507059</v>
      </c>
    </row>
    <row r="610" spans="1:30">
      <c r="A610" s="1">
        <f t="shared" si="201"/>
        <v>48.916666666666664</v>
      </c>
      <c r="B610" s="1">
        <f t="shared" si="202"/>
        <v>587</v>
      </c>
      <c r="C610" s="2">
        <f t="shared" si="187"/>
        <v>48</v>
      </c>
      <c r="D610" s="2">
        <f t="shared" si="188"/>
        <v>11</v>
      </c>
      <c r="E610" s="2">
        <f t="shared" si="189"/>
        <v>77</v>
      </c>
      <c r="F610" s="1">
        <f t="shared" si="203"/>
        <v>1195734.2213118207</v>
      </c>
      <c r="H610" s="1">
        <f t="shared" si="196"/>
        <v>9534.9525963863507</v>
      </c>
      <c r="I610" s="1">
        <v>0</v>
      </c>
      <c r="J610" s="1">
        <v>0</v>
      </c>
      <c r="K610" s="1">
        <f t="shared" si="204"/>
        <v>-1398.1122417335202</v>
      </c>
      <c r="L610" s="1">
        <f t="shared" si="197"/>
        <v>1203871.0616664735</v>
      </c>
      <c r="N610" s="1">
        <f t="shared" si="205"/>
        <v>587</v>
      </c>
      <c r="O610" s="2">
        <f t="shared" si="190"/>
        <v>48</v>
      </c>
      <c r="P610" s="2">
        <f t="shared" si="191"/>
        <v>11</v>
      </c>
      <c r="Q610" s="2">
        <f t="shared" si="192"/>
        <v>48</v>
      </c>
      <c r="R610" s="1">
        <f t="shared" si="206"/>
        <v>67133587.734365478</v>
      </c>
      <c r="S610" s="1">
        <f>IF($G$17="si",S598*(1+$G$20),S598)</f>
        <v>10000</v>
      </c>
      <c r="U610" s="1">
        <f t="shared" si="193"/>
        <v>535412.39749425068</v>
      </c>
      <c r="V610" s="35">
        <f t="shared" si="195"/>
        <v>-580.78213234488987</v>
      </c>
      <c r="X610" s="35">
        <f t="shared" si="194"/>
        <v>-78506.966445683778</v>
      </c>
      <c r="Y610" s="1">
        <f t="shared" si="198"/>
        <v>67599912.383281708</v>
      </c>
      <c r="AA610" s="2">
        <f>+Bono!J610</f>
        <v>757977.88844213309</v>
      </c>
      <c r="AC610" s="10">
        <f t="shared" si="199"/>
        <v>48.916666666666664</v>
      </c>
      <c r="AD610" s="1">
        <f t="shared" si="200"/>
        <v>69561761.33339031</v>
      </c>
    </row>
    <row r="611" spans="1:30">
      <c r="A611" s="1">
        <f t="shared" si="201"/>
        <v>49</v>
      </c>
      <c r="B611" s="1">
        <f t="shared" si="202"/>
        <v>588</v>
      </c>
      <c r="C611" s="2">
        <f t="shared" si="187"/>
        <v>48</v>
      </c>
      <c r="D611" s="2">
        <f t="shared" si="188"/>
        <v>12</v>
      </c>
      <c r="E611" s="2">
        <f t="shared" si="189"/>
        <v>77</v>
      </c>
      <c r="F611" s="1">
        <f t="shared" si="203"/>
        <v>1203871.0616664735</v>
      </c>
      <c r="H611" s="1">
        <f t="shared" si="196"/>
        <v>9599.8369040219241</v>
      </c>
      <c r="I611" s="1">
        <v>0</v>
      </c>
      <c r="J611" s="69">
        <f>-SUM(F611:H611)*$J$21*1.16</f>
        <v>-12668.636181075972</v>
      </c>
      <c r="K611" s="1">
        <f t="shared" si="204"/>
        <v>-1392.9306243717265</v>
      </c>
      <c r="L611" s="1">
        <f t="shared" si="197"/>
        <v>1199409.3317650477</v>
      </c>
      <c r="N611" s="1">
        <f t="shared" si="205"/>
        <v>588</v>
      </c>
      <c r="O611" s="2">
        <f t="shared" si="190"/>
        <v>48</v>
      </c>
      <c r="P611" s="2">
        <f t="shared" si="191"/>
        <v>12</v>
      </c>
      <c r="Q611" s="2">
        <f t="shared" si="192"/>
        <v>48</v>
      </c>
      <c r="R611" s="1">
        <f t="shared" si="206"/>
        <v>67599912.383281708</v>
      </c>
      <c r="S611" s="4">
        <f>IF($G$4="mensual",S610,0)</f>
        <v>10000</v>
      </c>
      <c r="U611" s="1">
        <f t="shared" si="193"/>
        <v>539130.9357301679</v>
      </c>
      <c r="V611" s="35">
        <f t="shared" si="195"/>
        <v>-580.78213234488987</v>
      </c>
      <c r="X611" s="35">
        <f t="shared" si="194"/>
        <v>-79052.216542780254</v>
      </c>
      <c r="Y611" s="1">
        <f t="shared" si="198"/>
        <v>68069410.320336759</v>
      </c>
      <c r="AA611" s="2">
        <f>+Bono!J611</f>
        <v>755806.47134911199</v>
      </c>
      <c r="AC611" s="10">
        <f t="shared" si="199"/>
        <v>49</v>
      </c>
      <c r="AD611" s="1">
        <f t="shared" si="200"/>
        <v>70024626.123450905</v>
      </c>
    </row>
    <row r="612" spans="1:30">
      <c r="A612" s="1">
        <f t="shared" si="201"/>
        <v>49.083333333333336</v>
      </c>
      <c r="B612" s="1">
        <f t="shared" si="202"/>
        <v>589</v>
      </c>
      <c r="C612" s="2">
        <f t="shared" ref="C612:C675" si="207">C600+1</f>
        <v>49</v>
      </c>
      <c r="D612" s="2">
        <f t="shared" ref="D612:D675" si="208">D600</f>
        <v>1</v>
      </c>
      <c r="E612" s="2">
        <f t="shared" ref="E612:E675" si="209">E600+1</f>
        <v>78</v>
      </c>
      <c r="F612" s="1">
        <f t="shared" si="203"/>
        <v>1199409.3317650477</v>
      </c>
      <c r="H612" s="1">
        <f t="shared" si="196"/>
        <v>9564.2584432321146</v>
      </c>
      <c r="I612" s="1">
        <v>0</v>
      </c>
      <c r="J612" s="1">
        <v>0</v>
      </c>
      <c r="K612" s="1">
        <f t="shared" si="204"/>
        <v>-1402.4093646416047</v>
      </c>
      <c r="L612" s="1">
        <f t="shared" si="197"/>
        <v>1207571.1808436383</v>
      </c>
      <c r="N612" s="1">
        <f t="shared" si="205"/>
        <v>589</v>
      </c>
      <c r="O612" s="2">
        <f t="shared" ref="O612:O675" si="210">O600+1</f>
        <v>49</v>
      </c>
      <c r="P612" s="2">
        <f t="shared" ref="P612:P675" si="211">P600</f>
        <v>1</v>
      </c>
      <c r="Q612" s="2">
        <f t="shared" ref="Q612:Q675" si="212">Q600+1</f>
        <v>49</v>
      </c>
      <c r="R612" s="1">
        <f t="shared" si="206"/>
        <v>68069410.320336759</v>
      </c>
      <c r="S612" s="1">
        <f>IF($G$17="si",S600*(1+$G$20),S600)</f>
        <v>10000</v>
      </c>
      <c r="U612" s="1">
        <f t="shared" ref="U612:U675" si="213">SUM(R612:T612)*$G$8</f>
        <v>542874.77821132552</v>
      </c>
      <c r="V612" s="35">
        <f>V611*(1+$G$18)</f>
        <v>-604.0134176386855</v>
      </c>
      <c r="X612" s="35">
        <f t="shared" si="194"/>
        <v>-79601.150058751329</v>
      </c>
      <c r="Y612" s="1">
        <f t="shared" si="198"/>
        <v>68542079.935071707</v>
      </c>
      <c r="AA612" s="2">
        <f>+Bono!J612</f>
        <v>760492.55913960095</v>
      </c>
      <c r="AC612" s="10">
        <f t="shared" si="199"/>
        <v>49.083333333333336</v>
      </c>
      <c r="AD612" s="1">
        <f t="shared" si="200"/>
        <v>70510143.675054938</v>
      </c>
    </row>
    <row r="613" spans="1:30">
      <c r="A613" s="1">
        <f t="shared" si="201"/>
        <v>49.166666666666664</v>
      </c>
      <c r="B613" s="1">
        <f t="shared" si="202"/>
        <v>590</v>
      </c>
      <c r="C613" s="2">
        <f t="shared" si="207"/>
        <v>49</v>
      </c>
      <c r="D613" s="2">
        <f t="shared" si="208"/>
        <v>2</v>
      </c>
      <c r="E613" s="2">
        <f t="shared" si="209"/>
        <v>78</v>
      </c>
      <c r="F613" s="1">
        <f t="shared" si="203"/>
        <v>1207571.1808436383</v>
      </c>
      <c r="H613" s="1">
        <f t="shared" si="196"/>
        <v>9629.3421739443147</v>
      </c>
      <c r="I613" s="1">
        <v>0</v>
      </c>
      <c r="J613" s="1">
        <v>0</v>
      </c>
      <c r="K613" s="1">
        <f t="shared" si="204"/>
        <v>-1411.9526067003956</v>
      </c>
      <c r="L613" s="1">
        <f t="shared" si="197"/>
        <v>1215788.5704108821</v>
      </c>
      <c r="N613" s="1">
        <f t="shared" si="205"/>
        <v>590</v>
      </c>
      <c r="O613" s="2">
        <f t="shared" si="210"/>
        <v>49</v>
      </c>
      <c r="P613" s="2">
        <f t="shared" si="211"/>
        <v>2</v>
      </c>
      <c r="Q613" s="2">
        <f t="shared" si="212"/>
        <v>49</v>
      </c>
      <c r="R613" s="1">
        <f t="shared" si="206"/>
        <v>68542079.935071707</v>
      </c>
      <c r="S613" s="4">
        <f>IF($G$4="mensual",S612,0)</f>
        <v>10000</v>
      </c>
      <c r="U613" s="1">
        <f t="shared" si="213"/>
        <v>546643.91209569783</v>
      </c>
      <c r="V613" s="35">
        <f t="shared" si="195"/>
        <v>-604.0134176386855</v>
      </c>
      <c r="X613" s="35">
        <f t="shared" si="194"/>
        <v>-80153.819007149737</v>
      </c>
      <c r="Y613" s="1">
        <f t="shared" si="198"/>
        <v>69017966.014742628</v>
      </c>
      <c r="AA613" s="2">
        <f>+Bono!J613</f>
        <v>765207.70121794345</v>
      </c>
      <c r="AC613" s="10">
        <f t="shared" si="199"/>
        <v>49.166666666666664</v>
      </c>
      <c r="AD613" s="1">
        <f t="shared" si="200"/>
        <v>70998962.286371455</v>
      </c>
    </row>
    <row r="614" spans="1:30">
      <c r="A614" s="1">
        <f t="shared" si="201"/>
        <v>49.25</v>
      </c>
      <c r="B614" s="1">
        <f t="shared" si="202"/>
        <v>591</v>
      </c>
      <c r="C614" s="2">
        <f t="shared" si="207"/>
        <v>49</v>
      </c>
      <c r="D614" s="2">
        <f t="shared" si="208"/>
        <v>3</v>
      </c>
      <c r="E614" s="2">
        <f t="shared" si="209"/>
        <v>78</v>
      </c>
      <c r="F614" s="1">
        <f t="shared" si="203"/>
        <v>1215788.5704108821</v>
      </c>
      <c r="H614" s="1">
        <f t="shared" si="196"/>
        <v>9694.8687923125253</v>
      </c>
      <c r="I614" s="1">
        <v>0</v>
      </c>
      <c r="J614" s="69">
        <f>-SUM(F614:H614)*$J$21*1.16</f>
        <v>-12794.047105281352</v>
      </c>
      <c r="K614" s="1">
        <f t="shared" si="204"/>
        <v>-1406.7196948335793</v>
      </c>
      <c r="L614" s="1">
        <f t="shared" si="197"/>
        <v>1211282.6724030797</v>
      </c>
      <c r="N614" s="1">
        <f t="shared" si="205"/>
        <v>591</v>
      </c>
      <c r="O614" s="2">
        <f t="shared" si="210"/>
        <v>49</v>
      </c>
      <c r="P614" s="2">
        <f t="shared" si="211"/>
        <v>3</v>
      </c>
      <c r="Q614" s="2">
        <f t="shared" si="212"/>
        <v>49</v>
      </c>
      <c r="R614" s="1">
        <f t="shared" si="206"/>
        <v>69017966.014742628</v>
      </c>
      <c r="S614" s="4">
        <f>IF($G$4="mensual",S613,0)</f>
        <v>10000</v>
      </c>
      <c r="U614" s="1">
        <f t="shared" si="213"/>
        <v>550438.69452315429</v>
      </c>
      <c r="V614" s="35">
        <f t="shared" si="195"/>
        <v>-604.0134176386855</v>
      </c>
      <c r="X614" s="35">
        <f t="shared" si="194"/>
        <v>-80710.24880718386</v>
      </c>
      <c r="Y614" s="1">
        <f t="shared" si="198"/>
        <v>69497090.447040975</v>
      </c>
      <c r="AA614" s="2">
        <f>+Bono!J614</f>
        <v>763015.57251937268</v>
      </c>
      <c r="AC614" s="10">
        <f t="shared" si="199"/>
        <v>49.25</v>
      </c>
      <c r="AD614" s="1">
        <f t="shared" si="200"/>
        <v>71471388.691963434</v>
      </c>
    </row>
    <row r="615" spans="1:30">
      <c r="A615" s="1">
        <f t="shared" si="201"/>
        <v>49.333333333333336</v>
      </c>
      <c r="B615" s="1">
        <f t="shared" si="202"/>
        <v>592</v>
      </c>
      <c r="C615" s="2">
        <f t="shared" si="207"/>
        <v>49</v>
      </c>
      <c r="D615" s="2">
        <f t="shared" si="208"/>
        <v>4</v>
      </c>
      <c r="E615" s="2">
        <f t="shared" si="209"/>
        <v>78</v>
      </c>
      <c r="F615" s="1">
        <f t="shared" si="203"/>
        <v>1211282.6724030797</v>
      </c>
      <c r="H615" s="1">
        <f t="shared" si="196"/>
        <v>9658.9381288399909</v>
      </c>
      <c r="I615" s="1">
        <v>0</v>
      </c>
      <c r="J615" s="1">
        <v>0</v>
      </c>
      <c r="K615" s="1">
        <f t="shared" si="204"/>
        <v>-1416.2922682170267</v>
      </c>
      <c r="L615" s="1">
        <f t="shared" si="197"/>
        <v>1219525.3182637026</v>
      </c>
      <c r="N615" s="1">
        <f t="shared" si="205"/>
        <v>592</v>
      </c>
      <c r="O615" s="2">
        <f t="shared" si="210"/>
        <v>49</v>
      </c>
      <c r="P615" s="2">
        <f t="shared" si="211"/>
        <v>4</v>
      </c>
      <c r="Q615" s="2">
        <f t="shared" si="212"/>
        <v>49</v>
      </c>
      <c r="R615" s="1">
        <f t="shared" si="206"/>
        <v>69497090.447040975</v>
      </c>
      <c r="S615" s="4">
        <f>IF($G$4="mensual",S612,IF($G$4="trimestral",S612,0))</f>
        <v>10000</v>
      </c>
      <c r="U615" s="1">
        <f t="shared" si="213"/>
        <v>554259.30002922006</v>
      </c>
      <c r="V615" s="35">
        <f t="shared" si="195"/>
        <v>-604.0134176386855</v>
      </c>
      <c r="X615" s="35">
        <f t="shared" si="194"/>
        <v>-81270.465051036968</v>
      </c>
      <c r="Y615" s="1">
        <f t="shared" si="198"/>
        <v>69979475.268601522</v>
      </c>
      <c r="AA615" s="2">
        <f>+Bono!J615</f>
        <v>767746.35757332121</v>
      </c>
      <c r="AC615" s="10">
        <f t="shared" si="199"/>
        <v>49.333333333333336</v>
      </c>
      <c r="AD615" s="1">
        <f t="shared" si="200"/>
        <v>71966746.944438547</v>
      </c>
    </row>
    <row r="616" spans="1:30">
      <c r="A616" s="1">
        <f t="shared" si="201"/>
        <v>49.416666666666664</v>
      </c>
      <c r="B616" s="1">
        <f t="shared" si="202"/>
        <v>593</v>
      </c>
      <c r="C616" s="2">
        <f t="shared" si="207"/>
        <v>49</v>
      </c>
      <c r="D616" s="2">
        <f t="shared" si="208"/>
        <v>5</v>
      </c>
      <c r="E616" s="2">
        <f t="shared" si="209"/>
        <v>78</v>
      </c>
      <c r="F616" s="1">
        <f t="shared" si="203"/>
        <v>1219525.3182637026</v>
      </c>
      <c r="H616" s="1">
        <f t="shared" si="196"/>
        <v>9724.6661444383208</v>
      </c>
      <c r="I616" s="1">
        <v>0</v>
      </c>
      <c r="J616" s="1">
        <v>0</v>
      </c>
      <c r="K616" s="1">
        <f t="shared" si="204"/>
        <v>-1425.9299819134435</v>
      </c>
      <c r="L616" s="1">
        <f t="shared" si="197"/>
        <v>1227824.0544262275</v>
      </c>
      <c r="N616" s="1">
        <f t="shared" si="205"/>
        <v>593</v>
      </c>
      <c r="O616" s="2">
        <f t="shared" si="210"/>
        <v>49</v>
      </c>
      <c r="P616" s="2">
        <f t="shared" si="211"/>
        <v>5</v>
      </c>
      <c r="Q616" s="2">
        <f t="shared" si="212"/>
        <v>49</v>
      </c>
      <c r="R616" s="1">
        <f t="shared" si="206"/>
        <v>69979475.268601522</v>
      </c>
      <c r="S616" s="4">
        <f>IF($G$4="mensual",S615,0)</f>
        <v>10000</v>
      </c>
      <c r="U616" s="1">
        <f t="shared" si="213"/>
        <v>558105.90433711559</v>
      </c>
      <c r="V616" s="35">
        <f t="shared" si="195"/>
        <v>-604.0134176386855</v>
      </c>
      <c r="X616" s="35">
        <f t="shared" si="194"/>
        <v>-81834.493505044375</v>
      </c>
      <c r="Y616" s="1">
        <f t="shared" si="198"/>
        <v>70465142.666015968</v>
      </c>
      <c r="AA616" s="2">
        <f>+Bono!J616</f>
        <v>772506.47404334135</v>
      </c>
      <c r="AC616" s="10">
        <f t="shared" si="199"/>
        <v>49.416666666666664</v>
      </c>
      <c r="AD616" s="1">
        <f t="shared" si="200"/>
        <v>72465473.19448553</v>
      </c>
    </row>
    <row r="617" spans="1:30">
      <c r="A617" s="1">
        <f t="shared" si="201"/>
        <v>49.5</v>
      </c>
      <c r="B617" s="1">
        <f t="shared" si="202"/>
        <v>594</v>
      </c>
      <c r="C617" s="2">
        <f t="shared" si="207"/>
        <v>49</v>
      </c>
      <c r="D617" s="2">
        <f t="shared" si="208"/>
        <v>6</v>
      </c>
      <c r="E617" s="2">
        <f t="shared" si="209"/>
        <v>78</v>
      </c>
      <c r="F617" s="1">
        <f t="shared" si="203"/>
        <v>1227824.0544262275</v>
      </c>
      <c r="H617" s="1">
        <f t="shared" si="196"/>
        <v>9790.8414319807162</v>
      </c>
      <c r="I617" s="1">
        <v>0</v>
      </c>
      <c r="J617" s="69">
        <f>-SUM(F617:H617)*$J$21*1.16</f>
        <v>-12920.699512759695</v>
      </c>
      <c r="K617" s="1">
        <f t="shared" si="204"/>
        <v>-1420.6452677607201</v>
      </c>
      <c r="L617" s="1">
        <f t="shared" si="197"/>
        <v>1223273.5510776879</v>
      </c>
      <c r="N617" s="1">
        <f t="shared" si="205"/>
        <v>594</v>
      </c>
      <c r="O617" s="2">
        <f t="shared" si="210"/>
        <v>49</v>
      </c>
      <c r="P617" s="2">
        <f t="shared" si="211"/>
        <v>6</v>
      </c>
      <c r="Q617" s="2">
        <f t="shared" si="212"/>
        <v>49</v>
      </c>
      <c r="R617" s="1">
        <f t="shared" si="206"/>
        <v>70465142.666015968</v>
      </c>
      <c r="S617" s="4">
        <f>IF($G$4="mensual",S616,0)</f>
        <v>10000</v>
      </c>
      <c r="U617" s="1">
        <f t="shared" si="213"/>
        <v>561978.68436583853</v>
      </c>
      <c r="V617" s="35">
        <f t="shared" si="195"/>
        <v>-604.0134176386855</v>
      </c>
      <c r="X617" s="35">
        <f t="shared" si="194"/>
        <v>-82402.360110878435</v>
      </c>
      <c r="Y617" s="1">
        <f t="shared" si="198"/>
        <v>70954114.976853296</v>
      </c>
      <c r="AA617" s="2">
        <f>+Bono!J617</f>
        <v>770293.43618592457</v>
      </c>
      <c r="AC617" s="10">
        <f t="shared" si="199"/>
        <v>49.5</v>
      </c>
      <c r="AD617" s="1">
        <f t="shared" si="200"/>
        <v>72947681.964116916</v>
      </c>
    </row>
    <row r="618" spans="1:30">
      <c r="A618" s="1">
        <f t="shared" si="201"/>
        <v>49.583333333333336</v>
      </c>
      <c r="B618" s="1">
        <f t="shared" si="202"/>
        <v>595</v>
      </c>
      <c r="C618" s="2">
        <f t="shared" si="207"/>
        <v>49</v>
      </c>
      <c r="D618" s="2">
        <f t="shared" si="208"/>
        <v>7</v>
      </c>
      <c r="E618" s="2">
        <f t="shared" si="209"/>
        <v>78</v>
      </c>
      <c r="F618" s="1">
        <f t="shared" si="203"/>
        <v>1223273.5510776879</v>
      </c>
      <c r="H618" s="1">
        <f t="shared" si="196"/>
        <v>9754.5550792572649</v>
      </c>
      <c r="I618" s="1">
        <v>0</v>
      </c>
      <c r="J618" s="1">
        <v>0</v>
      </c>
      <c r="K618" s="1">
        <f t="shared" si="204"/>
        <v>-1430.3126031420566</v>
      </c>
      <c r="L618" s="1">
        <f t="shared" si="197"/>
        <v>1231597.7935538031</v>
      </c>
      <c r="N618" s="1">
        <f t="shared" si="205"/>
        <v>595</v>
      </c>
      <c r="O618" s="2">
        <f t="shared" si="210"/>
        <v>49</v>
      </c>
      <c r="P618" s="2">
        <f t="shared" si="211"/>
        <v>7</v>
      </c>
      <c r="Q618" s="2">
        <f t="shared" si="212"/>
        <v>49</v>
      </c>
      <c r="R618" s="1">
        <f t="shared" si="206"/>
        <v>70954114.976853296</v>
      </c>
      <c r="S618" s="1">
        <f>+IF($G$4="mensual",S612,IF($G$4="trimestral",S612,IF($G$4="semestral",S612,0)))</f>
        <v>10000</v>
      </c>
      <c r="U618" s="1">
        <f t="shared" si="213"/>
        <v>565877.81823830097</v>
      </c>
      <c r="V618" s="35">
        <f t="shared" si="195"/>
        <v>-604.0134176386855</v>
      </c>
      <c r="X618" s="35">
        <f t="shared" si="194"/>
        <v>-82974.090986741809</v>
      </c>
      <c r="Y618" s="1">
        <f t="shared" si="198"/>
        <v>71446414.690687224</v>
      </c>
      <c r="AA618" s="2">
        <f>+Bono!J618</f>
        <v>775069.34483878571</v>
      </c>
      <c r="AC618" s="10">
        <f t="shared" si="199"/>
        <v>49.583333333333336</v>
      </c>
      <c r="AD618" s="1">
        <f t="shared" si="200"/>
        <v>73453081.829079807</v>
      </c>
    </row>
    <row r="619" spans="1:30">
      <c r="A619" s="1">
        <f t="shared" si="201"/>
        <v>49.666666666666664</v>
      </c>
      <c r="B619" s="1">
        <f t="shared" si="202"/>
        <v>596</v>
      </c>
      <c r="C619" s="2">
        <f t="shared" si="207"/>
        <v>49</v>
      </c>
      <c r="D619" s="2">
        <f t="shared" si="208"/>
        <v>8</v>
      </c>
      <c r="E619" s="2">
        <f t="shared" si="209"/>
        <v>78</v>
      </c>
      <c r="F619" s="1">
        <f t="shared" si="203"/>
        <v>1231597.7935538031</v>
      </c>
      <c r="H619" s="1">
        <f t="shared" si="196"/>
        <v>9820.933757726054</v>
      </c>
      <c r="I619" s="1">
        <v>0</v>
      </c>
      <c r="J619" s="1">
        <v>0</v>
      </c>
      <c r="K619" s="1">
        <f t="shared" si="204"/>
        <v>-1440.0457236813738</v>
      </c>
      <c r="L619" s="1">
        <f t="shared" si="197"/>
        <v>1239978.6815878479</v>
      </c>
      <c r="N619" s="1">
        <f t="shared" si="205"/>
        <v>596</v>
      </c>
      <c r="O619" s="2">
        <f t="shared" si="210"/>
        <v>49</v>
      </c>
      <c r="P619" s="2">
        <f t="shared" si="211"/>
        <v>8</v>
      </c>
      <c r="Q619" s="2">
        <f t="shared" si="212"/>
        <v>49</v>
      </c>
      <c r="R619" s="1">
        <f t="shared" si="206"/>
        <v>71446414.690687224</v>
      </c>
      <c r="S619" s="4">
        <f>IF($G$4="mensual",S618,0)</f>
        <v>10000</v>
      </c>
      <c r="U619" s="1">
        <f t="shared" si="213"/>
        <v>569803.48528952186</v>
      </c>
      <c r="V619" s="35">
        <f t="shared" si="195"/>
        <v>-604.0134176386855</v>
      </c>
      <c r="X619" s="35">
        <f t="shared" ref="X619:X682" si="214">-SUM(R619:V619)*0.1%*1.16</f>
        <v>-83549.712428568586</v>
      </c>
      <c r="Y619" s="1">
        <f t="shared" si="198"/>
        <v>71942064.450130552</v>
      </c>
      <c r="AA619" s="2">
        <f>+Bono!J619</f>
        <v>779874.86467926565</v>
      </c>
      <c r="AC619" s="10">
        <f t="shared" si="199"/>
        <v>49.666666666666664</v>
      </c>
      <c r="AD619" s="1">
        <f t="shared" si="200"/>
        <v>73961917.996397659</v>
      </c>
    </row>
    <row r="620" spans="1:30">
      <c r="A620" s="1">
        <f t="shared" si="201"/>
        <v>49.75</v>
      </c>
      <c r="B620" s="1">
        <f t="shared" si="202"/>
        <v>597</v>
      </c>
      <c r="C620" s="2">
        <f t="shared" si="207"/>
        <v>49</v>
      </c>
      <c r="D620" s="2">
        <f t="shared" si="208"/>
        <v>9</v>
      </c>
      <c r="E620" s="2">
        <f t="shared" si="209"/>
        <v>78</v>
      </c>
      <c r="F620" s="1">
        <f t="shared" si="203"/>
        <v>1239978.6815878479</v>
      </c>
      <c r="H620" s="1">
        <f t="shared" si="196"/>
        <v>9887.7641358284454</v>
      </c>
      <c r="I620" s="1">
        <v>0</v>
      </c>
      <c r="J620" s="69">
        <f>-SUM(F620:H620)*$J$21*1.16</f>
        <v>-13048.605693355183</v>
      </c>
      <c r="K620" s="1">
        <f t="shared" si="204"/>
        <v>-1434.7086944351724</v>
      </c>
      <c r="L620" s="1">
        <f t="shared" si="197"/>
        <v>1235383.131335886</v>
      </c>
      <c r="N620" s="1">
        <f t="shared" si="205"/>
        <v>597</v>
      </c>
      <c r="O620" s="2">
        <f t="shared" si="210"/>
        <v>49</v>
      </c>
      <c r="P620" s="2">
        <f t="shared" si="211"/>
        <v>9</v>
      </c>
      <c r="Q620" s="2">
        <f t="shared" si="212"/>
        <v>49</v>
      </c>
      <c r="R620" s="1">
        <f t="shared" si="206"/>
        <v>71942064.450130552</v>
      </c>
      <c r="S620" s="4">
        <f>IF($G$4="mensual",S619,0)</f>
        <v>10000</v>
      </c>
      <c r="U620" s="1">
        <f t="shared" si="213"/>
        <v>573755.86607487535</v>
      </c>
      <c r="V620" s="35">
        <f t="shared" si="195"/>
        <v>-604.0134176386855</v>
      </c>
      <c r="X620" s="35">
        <f t="shared" si="214"/>
        <v>-84129.250911233845</v>
      </c>
      <c r="Y620" s="1">
        <f t="shared" si="198"/>
        <v>72441087.05187656</v>
      </c>
      <c r="AA620" s="2">
        <f>+Bono!J620</f>
        <v>777640.71822538611</v>
      </c>
      <c r="AC620" s="10">
        <f t="shared" si="199"/>
        <v>49.75</v>
      </c>
      <c r="AD620" s="1">
        <f t="shared" si="200"/>
        <v>74454110.901437834</v>
      </c>
    </row>
    <row r="621" spans="1:30">
      <c r="A621" s="1">
        <f t="shared" si="201"/>
        <v>49.833333333333336</v>
      </c>
      <c r="B621" s="1">
        <f t="shared" si="202"/>
        <v>598</v>
      </c>
      <c r="C621" s="2">
        <f t="shared" si="207"/>
        <v>49</v>
      </c>
      <c r="D621" s="2">
        <f t="shared" si="208"/>
        <v>10</v>
      </c>
      <c r="E621" s="2">
        <f t="shared" si="209"/>
        <v>78</v>
      </c>
      <c r="F621" s="1">
        <f t="shared" si="203"/>
        <v>1235383.131335886</v>
      </c>
      <c r="H621" s="1">
        <f t="shared" si="196"/>
        <v>9851.1185727712163</v>
      </c>
      <c r="I621" s="1">
        <v>0</v>
      </c>
      <c r="J621" s="1">
        <v>0</v>
      </c>
      <c r="K621" s="1">
        <f t="shared" si="204"/>
        <v>-1444.4717298940425</v>
      </c>
      <c r="L621" s="1">
        <f t="shared" si="197"/>
        <v>1243789.7781787633</v>
      </c>
      <c r="N621" s="1">
        <f t="shared" si="205"/>
        <v>598</v>
      </c>
      <c r="O621" s="2">
        <f t="shared" si="210"/>
        <v>49</v>
      </c>
      <c r="P621" s="2">
        <f t="shared" si="211"/>
        <v>10</v>
      </c>
      <c r="Q621" s="2">
        <f t="shared" si="212"/>
        <v>49</v>
      </c>
      <c r="R621" s="1">
        <f t="shared" si="206"/>
        <v>72441087.05187656</v>
      </c>
      <c r="S621" s="4">
        <f>IF($G$4="mensual",S612,IF($G$4="trimestral",S612,0))</f>
        <v>10000</v>
      </c>
      <c r="U621" s="1">
        <f t="shared" si="213"/>
        <v>577735.14237839496</v>
      </c>
      <c r="V621" s="35">
        <f t="shared" si="195"/>
        <v>-604.0134176386855</v>
      </c>
      <c r="X621" s="35">
        <f t="shared" si="214"/>
        <v>-84712.733089771282</v>
      </c>
      <c r="Y621" s="1">
        <f t="shared" si="198"/>
        <v>72943505.447747543</v>
      </c>
      <c r="AA621" s="2">
        <f>+Bono!J621</f>
        <v>782462.18087912374</v>
      </c>
      <c r="AC621" s="10">
        <f t="shared" si="199"/>
        <v>49.833333333333336</v>
      </c>
      <c r="AD621" s="1">
        <f t="shared" si="200"/>
        <v>74969757.406805441</v>
      </c>
    </row>
    <row r="622" spans="1:30">
      <c r="A622" s="1">
        <f t="shared" si="201"/>
        <v>49.916666666666664</v>
      </c>
      <c r="B622" s="1">
        <f t="shared" si="202"/>
        <v>599</v>
      </c>
      <c r="C622" s="2">
        <f t="shared" si="207"/>
        <v>49</v>
      </c>
      <c r="D622" s="2">
        <f t="shared" si="208"/>
        <v>11</v>
      </c>
      <c r="E622" s="2">
        <f t="shared" si="209"/>
        <v>78</v>
      </c>
      <c r="F622" s="1">
        <f t="shared" si="203"/>
        <v>1243789.7781787633</v>
      </c>
      <c r="H622" s="1">
        <f t="shared" si="196"/>
        <v>9918.154355232522</v>
      </c>
      <c r="I622" s="1">
        <v>0</v>
      </c>
      <c r="J622" s="1">
        <v>0</v>
      </c>
      <c r="K622" s="1">
        <f t="shared" si="204"/>
        <v>-1454.3012017394353</v>
      </c>
      <c r="L622" s="1">
        <f t="shared" si="197"/>
        <v>1252253.6313322566</v>
      </c>
      <c r="N622" s="1">
        <f t="shared" si="205"/>
        <v>599</v>
      </c>
      <c r="O622" s="2">
        <f t="shared" si="210"/>
        <v>49</v>
      </c>
      <c r="P622" s="2">
        <f t="shared" si="211"/>
        <v>11</v>
      </c>
      <c r="Q622" s="2">
        <f t="shared" si="212"/>
        <v>49</v>
      </c>
      <c r="R622" s="1">
        <f t="shared" si="206"/>
        <v>72943505.447747543</v>
      </c>
      <c r="S622" s="1">
        <f>IF($G$17="si",S610*(1+$G$20),S610)</f>
        <v>10000</v>
      </c>
      <c r="U622" s="1">
        <f t="shared" si="213"/>
        <v>581741.49722113472</v>
      </c>
      <c r="V622" s="35">
        <f t="shared" si="195"/>
        <v>-604.0134176386855</v>
      </c>
      <c r="X622" s="35">
        <f t="shared" si="214"/>
        <v>-85300.185800599225</v>
      </c>
      <c r="Y622" s="1">
        <f t="shared" si="198"/>
        <v>73449342.745750457</v>
      </c>
      <c r="AA622" s="2">
        <f>+Bono!J622</f>
        <v>787313.53716056957</v>
      </c>
      <c r="AC622" s="10">
        <f t="shared" si="199"/>
        <v>49.916666666666664</v>
      </c>
      <c r="AD622" s="1">
        <f t="shared" si="200"/>
        <v>75488909.914243296</v>
      </c>
    </row>
    <row r="623" spans="1:30">
      <c r="A623" s="1">
        <f t="shared" si="201"/>
        <v>50</v>
      </c>
      <c r="B623" s="1">
        <f t="shared" si="202"/>
        <v>600</v>
      </c>
      <c r="C623" s="2">
        <f t="shared" si="207"/>
        <v>49</v>
      </c>
      <c r="D623" s="2">
        <f t="shared" si="208"/>
        <v>12</v>
      </c>
      <c r="E623" s="2">
        <f t="shared" si="209"/>
        <v>78</v>
      </c>
      <c r="F623" s="1">
        <f t="shared" si="203"/>
        <v>1252253.6313322566</v>
      </c>
      <c r="H623" s="1">
        <f t="shared" si="196"/>
        <v>9985.6463088480978</v>
      </c>
      <c r="I623" s="1">
        <v>0</v>
      </c>
      <c r="J623" s="69">
        <f>-SUM(F623:H623)*$J$21*1.16</f>
        <v>-13177.778058573136</v>
      </c>
      <c r="K623" s="1">
        <f t="shared" si="204"/>
        <v>-1448.9113395157367</v>
      </c>
      <c r="L623" s="1">
        <f t="shared" si="197"/>
        <v>1247612.5882430158</v>
      </c>
      <c r="N623" s="1">
        <f t="shared" si="205"/>
        <v>600</v>
      </c>
      <c r="O623" s="2">
        <f t="shared" si="210"/>
        <v>49</v>
      </c>
      <c r="P623" s="2">
        <f t="shared" si="211"/>
        <v>12</v>
      </c>
      <c r="Q623" s="2">
        <f t="shared" si="212"/>
        <v>49</v>
      </c>
      <c r="R623" s="1">
        <f t="shared" si="206"/>
        <v>73449342.745750457</v>
      </c>
      <c r="S623" s="4">
        <f>IF($G$4="mensual",S622,0)</f>
        <v>10000</v>
      </c>
      <c r="U623" s="1">
        <f t="shared" si="213"/>
        <v>585775.11486958712</v>
      </c>
      <c r="V623" s="35">
        <f t="shared" si="195"/>
        <v>-604.0134176386855</v>
      </c>
      <c r="X623" s="35">
        <f t="shared" si="214"/>
        <v>-85891.636062754813</v>
      </c>
      <c r="Y623" s="1">
        <f t="shared" si="198"/>
        <v>73958622.211139664</v>
      </c>
      <c r="AA623" s="2">
        <f>+Bono!J623</f>
        <v>785058.08077031642</v>
      </c>
      <c r="AC623" s="10">
        <f t="shared" si="199"/>
        <v>50</v>
      </c>
      <c r="AD623" s="1">
        <f t="shared" si="200"/>
        <v>75991292.880153</v>
      </c>
    </row>
    <row r="624" spans="1:30">
      <c r="A624" s="1">
        <f t="shared" si="201"/>
        <v>50.083333333333336</v>
      </c>
      <c r="B624" s="1">
        <f t="shared" si="202"/>
        <v>601</v>
      </c>
      <c r="C624" s="2">
        <f t="shared" si="207"/>
        <v>50</v>
      </c>
      <c r="D624" s="2">
        <f t="shared" si="208"/>
        <v>1</v>
      </c>
      <c r="E624" s="2">
        <f t="shared" si="209"/>
        <v>79</v>
      </c>
      <c r="F624" s="1">
        <f t="shared" si="203"/>
        <v>1247612.5882430158</v>
      </c>
      <c r="H624" s="1">
        <f t="shared" si="196"/>
        <v>9948.6379795178982</v>
      </c>
      <c r="I624" s="1">
        <v>0</v>
      </c>
      <c r="J624" s="1">
        <v>0</v>
      </c>
      <c r="K624" s="1">
        <f t="shared" si="204"/>
        <v>-1458.7710224181392</v>
      </c>
      <c r="L624" s="1">
        <f t="shared" si="197"/>
        <v>1256102.4552001157</v>
      </c>
      <c r="N624" s="1">
        <f t="shared" si="205"/>
        <v>601</v>
      </c>
      <c r="O624" s="2">
        <f t="shared" si="210"/>
        <v>50</v>
      </c>
      <c r="P624" s="2">
        <f t="shared" si="211"/>
        <v>1</v>
      </c>
      <c r="Q624" s="2">
        <f t="shared" si="212"/>
        <v>50</v>
      </c>
      <c r="R624" s="1">
        <f t="shared" si="206"/>
        <v>73958622.211139664</v>
      </c>
      <c r="S624" s="1">
        <f>IF($G$17="si",S612*(1+$G$20),S612)</f>
        <v>10000</v>
      </c>
      <c r="U624" s="1">
        <f t="shared" si="213"/>
        <v>589836.1808441577</v>
      </c>
      <c r="V624" s="35">
        <f>V623*(1+$G$18)</f>
        <v>-628.17395434423292</v>
      </c>
      <c r="X624" s="35">
        <f t="shared" si="214"/>
        <v>-86487.083052914197</v>
      </c>
      <c r="Y624" s="1">
        <f t="shared" si="198"/>
        <v>74471343.134976566</v>
      </c>
      <c r="AA624" s="2">
        <f>+Bono!J624</f>
        <v>789925.53193219344</v>
      </c>
      <c r="AC624" s="10">
        <f t="shared" si="199"/>
        <v>50.083333333333336</v>
      </c>
      <c r="AD624" s="1">
        <f t="shared" si="200"/>
        <v>76517371.122108877</v>
      </c>
    </row>
    <row r="625" spans="1:30">
      <c r="A625" s="1">
        <f t="shared" si="201"/>
        <v>50.166666666666664</v>
      </c>
      <c r="B625" s="1">
        <f t="shared" si="202"/>
        <v>602</v>
      </c>
      <c r="C625" s="2">
        <f t="shared" si="207"/>
        <v>50</v>
      </c>
      <c r="D625" s="2">
        <f t="shared" si="208"/>
        <v>2</v>
      </c>
      <c r="E625" s="2">
        <f t="shared" si="209"/>
        <v>79</v>
      </c>
      <c r="F625" s="1">
        <f t="shared" si="203"/>
        <v>1256102.4552001157</v>
      </c>
      <c r="H625" s="1">
        <f t="shared" si="196"/>
        <v>10016.337370856521</v>
      </c>
      <c r="I625" s="1">
        <v>0</v>
      </c>
      <c r="J625" s="1">
        <v>0</v>
      </c>
      <c r="K625" s="1">
        <f t="shared" si="204"/>
        <v>-1468.6977993823275</v>
      </c>
      <c r="L625" s="1">
        <f t="shared" si="197"/>
        <v>1264650.0947715899</v>
      </c>
      <c r="N625" s="1">
        <f t="shared" si="205"/>
        <v>602</v>
      </c>
      <c r="O625" s="2">
        <f t="shared" si="210"/>
        <v>50</v>
      </c>
      <c r="P625" s="2">
        <f t="shared" si="211"/>
        <v>2</v>
      </c>
      <c r="Q625" s="2">
        <f t="shared" si="212"/>
        <v>50</v>
      </c>
      <c r="R625" s="1">
        <f t="shared" si="206"/>
        <v>74471343.134976566</v>
      </c>
      <c r="S625" s="4">
        <f>IF($G$4="mensual",S624,0)</f>
        <v>10000</v>
      </c>
      <c r="U625" s="1">
        <f t="shared" si="213"/>
        <v>593924.68949167046</v>
      </c>
      <c r="V625" s="35">
        <f t="shared" si="195"/>
        <v>-628.17395434423292</v>
      </c>
      <c r="X625" s="35">
        <f t="shared" si="214"/>
        <v>-87086.581994596112</v>
      </c>
      <c r="Y625" s="1">
        <f t="shared" si="198"/>
        <v>74987553.068519309</v>
      </c>
      <c r="AA625" s="2">
        <f>+Bono!J625</f>
        <v>794823.16185586352</v>
      </c>
      <c r="AC625" s="10">
        <f t="shared" si="199"/>
        <v>50.166666666666664</v>
      </c>
      <c r="AD625" s="1">
        <f t="shared" si="200"/>
        <v>77047026.325146765</v>
      </c>
    </row>
    <row r="626" spans="1:30">
      <c r="A626" s="1">
        <f t="shared" si="201"/>
        <v>50.25</v>
      </c>
      <c r="B626" s="1">
        <f t="shared" si="202"/>
        <v>603</v>
      </c>
      <c r="C626" s="2">
        <f t="shared" si="207"/>
        <v>50</v>
      </c>
      <c r="D626" s="2">
        <f t="shared" si="208"/>
        <v>3</v>
      </c>
      <c r="E626" s="2">
        <f t="shared" si="209"/>
        <v>79</v>
      </c>
      <c r="F626" s="1">
        <f t="shared" si="203"/>
        <v>1264650.0947715899</v>
      </c>
      <c r="H626" s="1">
        <f t="shared" si="196"/>
        <v>10084.497449135111</v>
      </c>
      <c r="I626" s="1">
        <v>0</v>
      </c>
      <c r="J626" s="69">
        <f>-SUM(F626:H626)*$J$21*1.16</f>
        <v>-13308.22914278437</v>
      </c>
      <c r="K626" s="1">
        <f t="shared" si="204"/>
        <v>-1463.2545811704113</v>
      </c>
      <c r="L626" s="1">
        <f t="shared" si="197"/>
        <v>1259963.1084967703</v>
      </c>
      <c r="N626" s="1">
        <f t="shared" si="205"/>
        <v>603</v>
      </c>
      <c r="O626" s="2">
        <f t="shared" si="210"/>
        <v>50</v>
      </c>
      <c r="P626" s="2">
        <f t="shared" si="211"/>
        <v>3</v>
      </c>
      <c r="Q626" s="2">
        <f t="shared" si="212"/>
        <v>50</v>
      </c>
      <c r="R626" s="1">
        <f t="shared" si="206"/>
        <v>74987553.068519309</v>
      </c>
      <c r="S626" s="4">
        <f>IF($G$4="mensual",S625,0)</f>
        <v>10000</v>
      </c>
      <c r="U626" s="1">
        <f t="shared" si="213"/>
        <v>598041.01999253535</v>
      </c>
      <c r="V626" s="35">
        <f t="shared" si="195"/>
        <v>-628.17395434423292</v>
      </c>
      <c r="X626" s="35">
        <f t="shared" si="214"/>
        <v>-87690.160460886691</v>
      </c>
      <c r="Y626" s="1">
        <f t="shared" si="198"/>
        <v>75507275.754096612</v>
      </c>
      <c r="AA626" s="2">
        <f>+Bono!J626</f>
        <v>792546.19226888765</v>
      </c>
      <c r="AC626" s="10">
        <f t="shared" si="199"/>
        <v>50.25</v>
      </c>
      <c r="AD626" s="1">
        <f t="shared" si="200"/>
        <v>77559785.054862276</v>
      </c>
    </row>
    <row r="627" spans="1:30">
      <c r="A627" s="1">
        <f t="shared" si="201"/>
        <v>50.333333333333336</v>
      </c>
      <c r="B627" s="1">
        <f t="shared" si="202"/>
        <v>604</v>
      </c>
      <c r="C627" s="2">
        <f t="shared" si="207"/>
        <v>50</v>
      </c>
      <c r="D627" s="2">
        <f t="shared" si="208"/>
        <v>4</v>
      </c>
      <c r="E627" s="2">
        <f t="shared" si="209"/>
        <v>79</v>
      </c>
      <c r="F627" s="1">
        <f t="shared" si="203"/>
        <v>1259963.1084967703</v>
      </c>
      <c r="H627" s="1">
        <f t="shared" si="196"/>
        <v>10047.122762391356</v>
      </c>
      <c r="I627" s="1">
        <v>0</v>
      </c>
      <c r="J627" s="1">
        <v>0</v>
      </c>
      <c r="K627" s="1">
        <f t="shared" si="204"/>
        <v>-1473.2118682606274</v>
      </c>
      <c r="L627" s="1">
        <f t="shared" si="197"/>
        <v>1268537.0193909011</v>
      </c>
      <c r="N627" s="1">
        <f t="shared" si="205"/>
        <v>604</v>
      </c>
      <c r="O627" s="2">
        <f t="shared" si="210"/>
        <v>50</v>
      </c>
      <c r="P627" s="2">
        <f t="shared" si="211"/>
        <v>4</v>
      </c>
      <c r="Q627" s="2">
        <f t="shared" si="212"/>
        <v>50</v>
      </c>
      <c r="R627" s="1">
        <f t="shared" si="206"/>
        <v>75507275.754096612</v>
      </c>
      <c r="S627" s="4">
        <f>IF($G$4="mensual",S624,IF($G$4="trimestral",S624,0))</f>
        <v>10000</v>
      </c>
      <c r="U627" s="1">
        <f t="shared" si="213"/>
        <v>602185.36167141586</v>
      </c>
      <c r="V627" s="35">
        <f t="shared" si="195"/>
        <v>-628.17395434423292</v>
      </c>
      <c r="X627" s="35">
        <f t="shared" si="214"/>
        <v>-88297.846212503893</v>
      </c>
      <c r="Y627" s="1">
        <f t="shared" si="198"/>
        <v>76030535.095601186</v>
      </c>
      <c r="AA627" s="2">
        <f>+Bono!J627</f>
        <v>797460.07059062307</v>
      </c>
      <c r="AC627" s="10">
        <f t="shared" si="199"/>
        <v>50.333333333333336</v>
      </c>
      <c r="AD627" s="1">
        <f t="shared" si="200"/>
        <v>78096532.185582712</v>
      </c>
    </row>
    <row r="628" spans="1:30">
      <c r="A628" s="1">
        <f t="shared" si="201"/>
        <v>50.416666666666664</v>
      </c>
      <c r="B628" s="1">
        <f t="shared" si="202"/>
        <v>605</v>
      </c>
      <c r="C628" s="2">
        <f t="shared" si="207"/>
        <v>50</v>
      </c>
      <c r="D628" s="2">
        <f t="shared" si="208"/>
        <v>5</v>
      </c>
      <c r="E628" s="2">
        <f t="shared" si="209"/>
        <v>79</v>
      </c>
      <c r="F628" s="1">
        <f t="shared" si="203"/>
        <v>1268537.0193909011</v>
      </c>
      <c r="H628" s="1">
        <f t="shared" si="196"/>
        <v>10115.492331886062</v>
      </c>
      <c r="I628" s="1">
        <v>0</v>
      </c>
      <c r="J628" s="1">
        <v>0</v>
      </c>
      <c r="K628" s="1">
        <f t="shared" si="204"/>
        <v>-1483.2369135984329</v>
      </c>
      <c r="L628" s="1">
        <f t="shared" si="197"/>
        <v>1277169.2748091887</v>
      </c>
      <c r="N628" s="1">
        <f t="shared" si="205"/>
        <v>605</v>
      </c>
      <c r="O628" s="2">
        <f t="shared" si="210"/>
        <v>50</v>
      </c>
      <c r="P628" s="2">
        <f t="shared" si="211"/>
        <v>5</v>
      </c>
      <c r="Q628" s="2">
        <f t="shared" si="212"/>
        <v>50</v>
      </c>
      <c r="R628" s="1">
        <f t="shared" si="206"/>
        <v>76030535.095601186</v>
      </c>
      <c r="S628" s="4">
        <f>IF($G$4="mensual",S627,0)</f>
        <v>10000</v>
      </c>
      <c r="U628" s="1">
        <f t="shared" si="213"/>
        <v>606357.90514130902</v>
      </c>
      <c r="V628" s="35">
        <f t="shared" si="195"/>
        <v>-628.17395434423292</v>
      </c>
      <c r="X628" s="35">
        <f t="shared" si="214"/>
        <v>-88909.667199074262</v>
      </c>
      <c r="Y628" s="1">
        <f t="shared" si="198"/>
        <v>76557355.159589082</v>
      </c>
      <c r="AA628" s="2">
        <f>+Bono!J628</f>
        <v>802404.41552792781</v>
      </c>
      <c r="AC628" s="10">
        <f t="shared" si="199"/>
        <v>50.416666666666664</v>
      </c>
      <c r="AD628" s="1">
        <f t="shared" si="200"/>
        <v>78636928.849926189</v>
      </c>
    </row>
    <row r="629" spans="1:30">
      <c r="A629" s="1">
        <f t="shared" si="201"/>
        <v>50.5</v>
      </c>
      <c r="B629" s="1">
        <f t="shared" si="202"/>
        <v>606</v>
      </c>
      <c r="C629" s="2">
        <f t="shared" si="207"/>
        <v>50</v>
      </c>
      <c r="D629" s="2">
        <f t="shared" si="208"/>
        <v>6</v>
      </c>
      <c r="E629" s="2">
        <f t="shared" si="209"/>
        <v>79</v>
      </c>
      <c r="F629" s="1">
        <f t="shared" si="203"/>
        <v>1277169.2748091887</v>
      </c>
      <c r="H629" s="1">
        <f t="shared" si="196"/>
        <v>10184.327148809652</v>
      </c>
      <c r="I629" s="1">
        <v>0</v>
      </c>
      <c r="J629" s="69">
        <f>-SUM(F629:H629)*$J$21*1.16</f>
        <v>-13439.971604441502</v>
      </c>
      <c r="K629" s="1">
        <f t="shared" si="204"/>
        <v>-1477.7398112101257</v>
      </c>
      <c r="L629" s="1">
        <f t="shared" si="197"/>
        <v>1272435.8905423465</v>
      </c>
      <c r="N629" s="1">
        <f t="shared" si="205"/>
        <v>606</v>
      </c>
      <c r="O629" s="2">
        <f t="shared" si="210"/>
        <v>50</v>
      </c>
      <c r="P629" s="2">
        <f t="shared" si="211"/>
        <v>6</v>
      </c>
      <c r="Q629" s="2">
        <f t="shared" si="212"/>
        <v>50</v>
      </c>
      <c r="R629" s="1">
        <f t="shared" si="206"/>
        <v>76557355.159589082</v>
      </c>
      <c r="S629" s="4">
        <f>IF($G$4="mensual",S628,0)</f>
        <v>10000</v>
      </c>
      <c r="U629" s="1">
        <f t="shared" si="213"/>
        <v>610558.84231231257</v>
      </c>
      <c r="V629" s="35">
        <f t="shared" si="195"/>
        <v>-628.17395434423292</v>
      </c>
      <c r="X629" s="35">
        <f t="shared" si="214"/>
        <v>-89525.65156041857</v>
      </c>
      <c r="Y629" s="1">
        <f t="shared" si="198"/>
        <v>77087760.176386625</v>
      </c>
      <c r="AA629" s="2">
        <f>+Bono!J629</f>
        <v>800105.72754512401</v>
      </c>
      <c r="AC629" s="10">
        <f t="shared" si="199"/>
        <v>50.5</v>
      </c>
      <c r="AD629" s="1">
        <f t="shared" si="200"/>
        <v>79160301.794474095</v>
      </c>
    </row>
    <row r="630" spans="1:30">
      <c r="A630" s="1">
        <f t="shared" si="201"/>
        <v>50.583333333333336</v>
      </c>
      <c r="B630" s="1">
        <f t="shared" si="202"/>
        <v>607</v>
      </c>
      <c r="C630" s="2">
        <f t="shared" si="207"/>
        <v>50</v>
      </c>
      <c r="D630" s="2">
        <f t="shared" si="208"/>
        <v>7</v>
      </c>
      <c r="E630" s="2">
        <f t="shared" si="209"/>
        <v>79</v>
      </c>
      <c r="F630" s="1">
        <f t="shared" si="203"/>
        <v>1272435.8905423465</v>
      </c>
      <c r="H630" s="1">
        <f t="shared" si="196"/>
        <v>10146.582477961891</v>
      </c>
      <c r="I630" s="1">
        <v>0</v>
      </c>
      <c r="J630" s="1">
        <v>0</v>
      </c>
      <c r="K630" s="1">
        <f t="shared" si="204"/>
        <v>-1487.7956687035578</v>
      </c>
      <c r="L630" s="1">
        <f t="shared" si="197"/>
        <v>1281094.6773516049</v>
      </c>
      <c r="N630" s="1">
        <f t="shared" si="205"/>
        <v>607</v>
      </c>
      <c r="O630" s="2">
        <f t="shared" si="210"/>
        <v>50</v>
      </c>
      <c r="P630" s="2">
        <f t="shared" si="211"/>
        <v>7</v>
      </c>
      <c r="Q630" s="2">
        <f t="shared" si="212"/>
        <v>50</v>
      </c>
      <c r="R630" s="1">
        <f t="shared" si="206"/>
        <v>77087760.176386625</v>
      </c>
      <c r="S630" s="1">
        <f>+IF($G$4="mensual",S624,IF($G$4="trimestral",S624,IF($G$4="semestral",S624,0)))</f>
        <v>10000</v>
      </c>
      <c r="U630" s="1">
        <f t="shared" si="213"/>
        <v>614788.36640045117</v>
      </c>
      <c r="V630" s="35">
        <f t="shared" si="195"/>
        <v>-628.17395434423292</v>
      </c>
      <c r="X630" s="35">
        <f t="shared" si="214"/>
        <v>-90145.827627845967</v>
      </c>
      <c r="Y630" s="1">
        <f t="shared" si="198"/>
        <v>77621774.541204885</v>
      </c>
      <c r="AA630" s="2">
        <f>+Bono!J630</f>
        <v>805066.47586242389</v>
      </c>
      <c r="AC630" s="10">
        <f t="shared" si="199"/>
        <v>50.583333333333336</v>
      </c>
      <c r="AD630" s="1">
        <f t="shared" si="200"/>
        <v>79707935.694418922</v>
      </c>
    </row>
    <row r="631" spans="1:30">
      <c r="A631" s="1">
        <f t="shared" si="201"/>
        <v>50.666666666666664</v>
      </c>
      <c r="B631" s="1">
        <f t="shared" si="202"/>
        <v>608</v>
      </c>
      <c r="C631" s="2">
        <f t="shared" si="207"/>
        <v>50</v>
      </c>
      <c r="D631" s="2">
        <f t="shared" si="208"/>
        <v>8</v>
      </c>
      <c r="E631" s="2">
        <f t="shared" si="209"/>
        <v>79</v>
      </c>
      <c r="F631" s="1">
        <f t="shared" si="203"/>
        <v>1281094.6773516049</v>
      </c>
      <c r="H631" s="1">
        <f t="shared" si="196"/>
        <v>10215.628859922856</v>
      </c>
      <c r="I631" s="1">
        <v>0</v>
      </c>
      <c r="J631" s="1">
        <v>0</v>
      </c>
      <c r="K631" s="1">
        <f t="shared" si="204"/>
        <v>-1497.9199552053719</v>
      </c>
      <c r="L631" s="1">
        <f t="shared" si="197"/>
        <v>1289812.3862563223</v>
      </c>
      <c r="N631" s="1">
        <f t="shared" si="205"/>
        <v>608</v>
      </c>
      <c r="O631" s="2">
        <f t="shared" si="210"/>
        <v>50</v>
      </c>
      <c r="P631" s="2">
        <f t="shared" si="211"/>
        <v>8</v>
      </c>
      <c r="Q631" s="2">
        <f t="shared" si="212"/>
        <v>50</v>
      </c>
      <c r="R631" s="1">
        <f t="shared" si="206"/>
        <v>77621774.541204885</v>
      </c>
      <c r="S631" s="4">
        <f>IF($G$4="mensual",S630,0)</f>
        <v>10000</v>
      </c>
      <c r="U631" s="1">
        <f t="shared" si="213"/>
        <v>619046.6719365638</v>
      </c>
      <c r="V631" s="35">
        <f t="shared" si="195"/>
        <v>-628.17395434423292</v>
      </c>
      <c r="X631" s="35">
        <f t="shared" si="214"/>
        <v>-90770.22392545703</v>
      </c>
      <c r="Y631" s="1">
        <f t="shared" si="198"/>
        <v>78159422.815261647</v>
      </c>
      <c r="AA631" s="2">
        <f>+Bono!J631</f>
        <v>810057.98139470222</v>
      </c>
      <c r="AC631" s="10">
        <f t="shared" si="199"/>
        <v>50.666666666666664</v>
      </c>
      <c r="AD631" s="1">
        <f t="shared" si="200"/>
        <v>80259293.182912678</v>
      </c>
    </row>
    <row r="632" spans="1:30">
      <c r="A632" s="1">
        <f t="shared" si="201"/>
        <v>50.75</v>
      </c>
      <c r="B632" s="1">
        <f t="shared" si="202"/>
        <v>609</v>
      </c>
      <c r="C632" s="2">
        <f t="shared" si="207"/>
        <v>50</v>
      </c>
      <c r="D632" s="2">
        <f t="shared" si="208"/>
        <v>9</v>
      </c>
      <c r="E632" s="2">
        <f t="shared" si="209"/>
        <v>79</v>
      </c>
      <c r="F632" s="1">
        <f t="shared" si="203"/>
        <v>1289812.3862563223</v>
      </c>
      <c r="H632" s="1">
        <f t="shared" si="196"/>
        <v>10285.145094947376</v>
      </c>
      <c r="I632" s="1">
        <v>0</v>
      </c>
      <c r="J632" s="69">
        <f>-SUM(F632:H632)*$J$21*1.16</f>
        <v>-13573.018227307257</v>
      </c>
      <c r="K632" s="1">
        <f t="shared" si="204"/>
        <v>-1492.3684352237963</v>
      </c>
      <c r="L632" s="1">
        <f t="shared" si="197"/>
        <v>1285032.1446887385</v>
      </c>
      <c r="N632" s="1">
        <f t="shared" si="205"/>
        <v>609</v>
      </c>
      <c r="O632" s="2">
        <f t="shared" si="210"/>
        <v>50</v>
      </c>
      <c r="P632" s="2">
        <f t="shared" si="211"/>
        <v>9</v>
      </c>
      <c r="Q632" s="2">
        <f t="shared" si="212"/>
        <v>50</v>
      </c>
      <c r="R632" s="1">
        <f t="shared" si="206"/>
        <v>78159422.815261647</v>
      </c>
      <c r="S632" s="4">
        <f>IF($G$4="mensual",S631,0)</f>
        <v>10000</v>
      </c>
      <c r="U632" s="1">
        <f t="shared" si="213"/>
        <v>623333.95477525017</v>
      </c>
      <c r="V632" s="35">
        <f t="shared" si="195"/>
        <v>-628.17395434423292</v>
      </c>
      <c r="X632" s="35">
        <f t="shared" si="214"/>
        <v>-91398.86917145575</v>
      </c>
      <c r="Y632" s="1">
        <f t="shared" si="198"/>
        <v>78700729.726911098</v>
      </c>
      <c r="AA632" s="2">
        <f>+Bono!J632</f>
        <v>807737.36785971664</v>
      </c>
      <c r="AC632" s="10">
        <f t="shared" si="199"/>
        <v>50.75</v>
      </c>
      <c r="AD632" s="1">
        <f t="shared" si="200"/>
        <v>80793499.239459559</v>
      </c>
    </row>
    <row r="633" spans="1:30">
      <c r="A633" s="1">
        <f t="shared" si="201"/>
        <v>50.833333333333336</v>
      </c>
      <c r="B633" s="1">
        <f t="shared" si="202"/>
        <v>610</v>
      </c>
      <c r="C633" s="2">
        <f t="shared" si="207"/>
        <v>50</v>
      </c>
      <c r="D633" s="2">
        <f t="shared" si="208"/>
        <v>10</v>
      </c>
      <c r="E633" s="2">
        <f t="shared" si="209"/>
        <v>79</v>
      </c>
      <c r="F633" s="1">
        <f t="shared" si="203"/>
        <v>1285032.1446887385</v>
      </c>
      <c r="H633" s="1">
        <f t="shared" si="196"/>
        <v>10247.026777403382</v>
      </c>
      <c r="I633" s="1">
        <v>0</v>
      </c>
      <c r="J633" s="1">
        <v>0</v>
      </c>
      <c r="K633" s="1">
        <f t="shared" si="204"/>
        <v>-1502.5238389007245</v>
      </c>
      <c r="L633" s="1">
        <f t="shared" si="197"/>
        <v>1293776.6476272412</v>
      </c>
      <c r="N633" s="1">
        <f t="shared" si="205"/>
        <v>610</v>
      </c>
      <c r="O633" s="2">
        <f t="shared" si="210"/>
        <v>50</v>
      </c>
      <c r="P633" s="2">
        <f t="shared" si="211"/>
        <v>10</v>
      </c>
      <c r="Q633" s="2">
        <f t="shared" si="212"/>
        <v>50</v>
      </c>
      <c r="R633" s="1">
        <f t="shared" si="206"/>
        <v>78700729.726911098</v>
      </c>
      <c r="S633" s="4">
        <f>IF($G$4="mensual",S624,IF($G$4="trimestral",S624,0))</f>
        <v>10000</v>
      </c>
      <c r="U633" s="1">
        <f t="shared" si="213"/>
        <v>627650.41210387915</v>
      </c>
      <c r="V633" s="35">
        <f t="shared" si="195"/>
        <v>-628.17395434423292</v>
      </c>
      <c r="X633" s="35">
        <f t="shared" si="214"/>
        <v>-92031.792279470334</v>
      </c>
      <c r="Y633" s="1">
        <f t="shared" si="198"/>
        <v>79245720.172781169</v>
      </c>
      <c r="AA633" s="2">
        <f>+Bono!J633</f>
        <v>812745.43323218252</v>
      </c>
      <c r="AC633" s="10">
        <f t="shared" si="199"/>
        <v>50.833333333333336</v>
      </c>
      <c r="AD633" s="1">
        <f t="shared" si="200"/>
        <v>81352242.253640592</v>
      </c>
    </row>
    <row r="634" spans="1:30">
      <c r="A634" s="1">
        <f t="shared" si="201"/>
        <v>50.916666666666664</v>
      </c>
      <c r="B634" s="1">
        <f t="shared" si="202"/>
        <v>611</v>
      </c>
      <c r="C634" s="2">
        <f t="shared" si="207"/>
        <v>50</v>
      </c>
      <c r="D634" s="2">
        <f t="shared" si="208"/>
        <v>11</v>
      </c>
      <c r="E634" s="2">
        <f t="shared" si="209"/>
        <v>79</v>
      </c>
      <c r="F634" s="1">
        <f t="shared" si="203"/>
        <v>1293776.6476272412</v>
      </c>
      <c r="H634" s="1">
        <f t="shared" si="196"/>
        <v>10316.756671815963</v>
      </c>
      <c r="I634" s="1">
        <v>0</v>
      </c>
      <c r="J634" s="1">
        <v>0</v>
      </c>
      <c r="K634" s="1">
        <f t="shared" si="204"/>
        <v>-1512.7483489869062</v>
      </c>
      <c r="L634" s="1">
        <f t="shared" si="197"/>
        <v>1302580.6559500701</v>
      </c>
      <c r="N634" s="1">
        <f t="shared" si="205"/>
        <v>611</v>
      </c>
      <c r="O634" s="2">
        <f t="shared" si="210"/>
        <v>50</v>
      </c>
      <c r="P634" s="2">
        <f t="shared" si="211"/>
        <v>11</v>
      </c>
      <c r="Q634" s="2">
        <f t="shared" si="212"/>
        <v>50</v>
      </c>
      <c r="R634" s="1">
        <f t="shared" si="206"/>
        <v>79245720.172781169</v>
      </c>
      <c r="S634" s="1">
        <f>IF($G$17="si",S622*(1+$G$20),S622)</f>
        <v>10000</v>
      </c>
      <c r="U634" s="1">
        <f t="shared" si="213"/>
        <v>631996.24245165801</v>
      </c>
      <c r="V634" s="35">
        <f t="shared" si="195"/>
        <v>-628.17395434423292</v>
      </c>
      <c r="X634" s="35">
        <f t="shared" si="214"/>
        <v>-92669.022359883034</v>
      </c>
      <c r="Y634" s="1">
        <f t="shared" si="198"/>
        <v>79794419.218918607</v>
      </c>
      <c r="AA634" s="2">
        <f>+Bono!J634</f>
        <v>817784.54919085733</v>
      </c>
      <c r="AC634" s="10">
        <f t="shared" si="199"/>
        <v>50.916666666666664</v>
      </c>
      <c r="AD634" s="1">
        <f t="shared" si="200"/>
        <v>81914784.42405954</v>
      </c>
    </row>
    <row r="635" spans="1:30">
      <c r="A635" s="1">
        <f t="shared" si="201"/>
        <v>51</v>
      </c>
      <c r="B635" s="1">
        <f t="shared" si="202"/>
        <v>612</v>
      </c>
      <c r="C635" s="2">
        <f t="shared" si="207"/>
        <v>50</v>
      </c>
      <c r="D635" s="2">
        <f t="shared" si="208"/>
        <v>12</v>
      </c>
      <c r="E635" s="2">
        <f t="shared" si="209"/>
        <v>79</v>
      </c>
      <c r="F635" s="1">
        <f t="shared" si="203"/>
        <v>1302580.6559500701</v>
      </c>
      <c r="H635" s="1">
        <f t="shared" si="196"/>
        <v>10386.961070519439</v>
      </c>
      <c r="I635" s="1">
        <v>0</v>
      </c>
      <c r="J635" s="69">
        <f>-SUM(F635:H635)*$J$21*1.16</f>
        <v>-13707.381921694954</v>
      </c>
      <c r="K635" s="1">
        <f t="shared" si="204"/>
        <v>-1507.1418727147179</v>
      </c>
      <c r="L635" s="1">
        <f t="shared" si="197"/>
        <v>1297753.0932261799</v>
      </c>
      <c r="N635" s="1">
        <f t="shared" si="205"/>
        <v>612</v>
      </c>
      <c r="O635" s="2">
        <f t="shared" si="210"/>
        <v>50</v>
      </c>
      <c r="P635" s="2">
        <f t="shared" si="211"/>
        <v>12</v>
      </c>
      <c r="Q635" s="2">
        <f t="shared" si="212"/>
        <v>50</v>
      </c>
      <c r="R635" s="1">
        <f t="shared" si="206"/>
        <v>79794419.218918607</v>
      </c>
      <c r="S635" s="4">
        <f>IF($G$4="mensual",S634,0)</f>
        <v>10000</v>
      </c>
      <c r="U635" s="1">
        <f t="shared" si="213"/>
        <v>636371.64569876343</v>
      </c>
      <c r="V635" s="35">
        <f t="shared" si="195"/>
        <v>-628.17395434423292</v>
      </c>
      <c r="X635" s="35">
        <f t="shared" si="214"/>
        <v>-93310.588721169115</v>
      </c>
      <c r="Y635" s="1">
        <f t="shared" si="198"/>
        <v>80346852.101941869</v>
      </c>
      <c r="AA635" s="2">
        <f>+Bono!J635</f>
        <v>815441.80097141885</v>
      </c>
      <c r="AC635" s="10">
        <f t="shared" si="199"/>
        <v>51</v>
      </c>
      <c r="AD635" s="1">
        <f t="shared" si="200"/>
        <v>82460046.996139467</v>
      </c>
    </row>
    <row r="636" spans="1:30">
      <c r="A636" s="1">
        <f t="shared" si="201"/>
        <v>51.083333333333336</v>
      </c>
      <c r="B636" s="1">
        <f t="shared" si="202"/>
        <v>613</v>
      </c>
      <c r="C636" s="2">
        <f t="shared" si="207"/>
        <v>51</v>
      </c>
      <c r="D636" s="2">
        <f t="shared" si="208"/>
        <v>1</v>
      </c>
      <c r="E636" s="2">
        <f t="shared" si="209"/>
        <v>80</v>
      </c>
      <c r="F636" s="1">
        <f t="shared" si="203"/>
        <v>1297753.0932261799</v>
      </c>
      <c r="H636" s="1">
        <f t="shared" si="196"/>
        <v>10348.465407429798</v>
      </c>
      <c r="I636" s="1">
        <v>0</v>
      </c>
      <c r="J636" s="1">
        <v>0</v>
      </c>
      <c r="K636" s="1">
        <f t="shared" si="204"/>
        <v>-1517.3978080149873</v>
      </c>
      <c r="L636" s="1">
        <f t="shared" si="197"/>
        <v>1306584.1608255948</v>
      </c>
      <c r="N636" s="1">
        <f t="shared" si="205"/>
        <v>613</v>
      </c>
      <c r="O636" s="2">
        <f t="shared" si="210"/>
        <v>51</v>
      </c>
      <c r="P636" s="2">
        <f t="shared" si="211"/>
        <v>1</v>
      </c>
      <c r="Q636" s="2">
        <f t="shared" si="212"/>
        <v>51</v>
      </c>
      <c r="R636" s="1">
        <f t="shared" si="206"/>
        <v>80346852.101941869</v>
      </c>
      <c r="S636" s="1">
        <f>IF($G$17="si",S624*(1+$G$20),S624)</f>
        <v>10000</v>
      </c>
      <c r="U636" s="1">
        <f t="shared" si="213"/>
        <v>640776.82308553508</v>
      </c>
      <c r="V636" s="35">
        <f>V635*(1+$G$18)</f>
        <v>-653.30091251800229</v>
      </c>
      <c r="X636" s="35">
        <f t="shared" si="214"/>
        <v>-93956.49172397326</v>
      </c>
      <c r="Y636" s="1">
        <f t="shared" si="198"/>
        <v>80903019.132390916</v>
      </c>
      <c r="AA636" s="2">
        <f>+Bono!J636</f>
        <v>820497.6347228362</v>
      </c>
      <c r="AC636" s="10">
        <f t="shared" si="199"/>
        <v>51.083333333333336</v>
      </c>
      <c r="AD636" s="1">
        <f t="shared" si="200"/>
        <v>83030100.92793934</v>
      </c>
    </row>
    <row r="637" spans="1:30">
      <c r="A637" s="1">
        <f t="shared" si="201"/>
        <v>51.166666666666664</v>
      </c>
      <c r="B637" s="1">
        <f t="shared" si="202"/>
        <v>614</v>
      </c>
      <c r="C637" s="2">
        <f t="shared" si="207"/>
        <v>51</v>
      </c>
      <c r="D637" s="2">
        <f t="shared" si="208"/>
        <v>2</v>
      </c>
      <c r="E637" s="2">
        <f t="shared" si="209"/>
        <v>80</v>
      </c>
      <c r="F637" s="1">
        <f t="shared" si="203"/>
        <v>1306584.1608255948</v>
      </c>
      <c r="H637" s="1">
        <f t="shared" si="196"/>
        <v>10418.885580604674</v>
      </c>
      <c r="I637" s="1">
        <v>0</v>
      </c>
      <c r="J637" s="1">
        <v>0</v>
      </c>
      <c r="K637" s="1">
        <f t="shared" si="204"/>
        <v>-1527.7235338311914</v>
      </c>
      <c r="L637" s="1">
        <f t="shared" si="197"/>
        <v>1315475.3228723682</v>
      </c>
      <c r="N637" s="1">
        <f t="shared" si="205"/>
        <v>614</v>
      </c>
      <c r="O637" s="2">
        <f t="shared" si="210"/>
        <v>51</v>
      </c>
      <c r="P637" s="2">
        <f t="shared" si="211"/>
        <v>2</v>
      </c>
      <c r="Q637" s="2">
        <f t="shared" si="212"/>
        <v>51</v>
      </c>
      <c r="R637" s="1">
        <f t="shared" si="206"/>
        <v>80903019.132390916</v>
      </c>
      <c r="S637" s="4">
        <f>IF($G$4="mensual",S636,0)</f>
        <v>10000</v>
      </c>
      <c r="U637" s="1">
        <f t="shared" si="213"/>
        <v>645211.77708826214</v>
      </c>
      <c r="V637" s="35">
        <f t="shared" si="195"/>
        <v>-653.30091251800229</v>
      </c>
      <c r="X637" s="35">
        <f t="shared" si="214"/>
        <v>-94606.790025937313</v>
      </c>
      <c r="Y637" s="1">
        <f t="shared" si="198"/>
        <v>81462970.818540722</v>
      </c>
      <c r="AA637" s="2">
        <f>+Bono!J637</f>
        <v>825584.81522995268</v>
      </c>
      <c r="AC637" s="10">
        <f t="shared" si="199"/>
        <v>51.166666666666664</v>
      </c>
      <c r="AD637" s="1">
        <f t="shared" si="200"/>
        <v>83604030.956643045</v>
      </c>
    </row>
    <row r="638" spans="1:30">
      <c r="A638" s="1">
        <f t="shared" si="201"/>
        <v>51.25</v>
      </c>
      <c r="B638" s="1">
        <f t="shared" si="202"/>
        <v>615</v>
      </c>
      <c r="C638" s="2">
        <f t="shared" si="207"/>
        <v>51</v>
      </c>
      <c r="D638" s="2">
        <f t="shared" si="208"/>
        <v>3</v>
      </c>
      <c r="E638" s="2">
        <f t="shared" si="209"/>
        <v>80</v>
      </c>
      <c r="F638" s="1">
        <f t="shared" si="203"/>
        <v>1315475.3228723682</v>
      </c>
      <c r="H638" s="1">
        <f t="shared" si="196"/>
        <v>10489.784955341784</v>
      </c>
      <c r="I638" s="1">
        <v>0</v>
      </c>
      <c r="J638" s="69">
        <f>-SUM(F638:H638)*$J$21*1.16</f>
        <v>-13843.075725721292</v>
      </c>
      <c r="K638" s="1">
        <f t="shared" si="204"/>
        <v>-1522.0615572383069</v>
      </c>
      <c r="L638" s="1">
        <f t="shared" si="197"/>
        <v>1310599.9705447506</v>
      </c>
      <c r="N638" s="1">
        <f t="shared" si="205"/>
        <v>615</v>
      </c>
      <c r="O638" s="2">
        <f t="shared" si="210"/>
        <v>51</v>
      </c>
      <c r="P638" s="2">
        <f t="shared" si="211"/>
        <v>3</v>
      </c>
      <c r="Q638" s="2">
        <f t="shared" si="212"/>
        <v>51</v>
      </c>
      <c r="R638" s="1">
        <f t="shared" si="206"/>
        <v>81462970.818540722</v>
      </c>
      <c r="S638" s="4">
        <f>IF($G$4="mensual",S637,0)</f>
        <v>10000</v>
      </c>
      <c r="U638" s="1">
        <f t="shared" si="213"/>
        <v>649676.91046702222</v>
      </c>
      <c r="V638" s="35">
        <f t="shared" si="195"/>
        <v>-653.30091251800229</v>
      </c>
      <c r="X638" s="35">
        <f t="shared" si="214"/>
        <v>-95261.513536590457</v>
      </c>
      <c r="Y638" s="1">
        <f t="shared" si="198"/>
        <v>82026732.914558649</v>
      </c>
      <c r="AA638" s="2">
        <f>+Bono!J638</f>
        <v>823219.72119902587</v>
      </c>
      <c r="AC638" s="10">
        <f t="shared" si="199"/>
        <v>51.25</v>
      </c>
      <c r="AD638" s="1">
        <f t="shared" si="200"/>
        <v>84160552.606302425</v>
      </c>
    </row>
    <row r="639" spans="1:30">
      <c r="A639" s="1">
        <f t="shared" si="201"/>
        <v>51.333333333333336</v>
      </c>
      <c r="B639" s="1">
        <f t="shared" si="202"/>
        <v>616</v>
      </c>
      <c r="C639" s="2">
        <f t="shared" si="207"/>
        <v>51</v>
      </c>
      <c r="D639" s="2">
        <f t="shared" si="208"/>
        <v>4</v>
      </c>
      <c r="E639" s="2">
        <f t="shared" si="209"/>
        <v>80</v>
      </c>
      <c r="F639" s="1">
        <f t="shared" si="203"/>
        <v>1310599.9705447506</v>
      </c>
      <c r="H639" s="1">
        <f t="shared" si="196"/>
        <v>10450.908211240978</v>
      </c>
      <c r="I639" s="1">
        <v>0</v>
      </c>
      <c r="J639" s="1">
        <v>0</v>
      </c>
      <c r="K639" s="1">
        <f t="shared" si="204"/>
        <v>-1532.41901935695</v>
      </c>
      <c r="L639" s="1">
        <f t="shared" si="197"/>
        <v>1319518.4597366347</v>
      </c>
      <c r="N639" s="1">
        <f t="shared" si="205"/>
        <v>616</v>
      </c>
      <c r="O639" s="2">
        <f t="shared" si="210"/>
        <v>51</v>
      </c>
      <c r="P639" s="2">
        <f t="shared" si="211"/>
        <v>4</v>
      </c>
      <c r="Q639" s="2">
        <f t="shared" si="212"/>
        <v>51</v>
      </c>
      <c r="R639" s="1">
        <f t="shared" si="206"/>
        <v>82026732.914558649</v>
      </c>
      <c r="S639" s="4">
        <f>IF($G$4="mensual",S636,IF($G$4="trimestral",S636,0))</f>
        <v>10000</v>
      </c>
      <c r="U639" s="1">
        <f t="shared" si="213"/>
        <v>654172.4285891623</v>
      </c>
      <c r="V639" s="35">
        <f t="shared" si="195"/>
        <v>-653.30091251800229</v>
      </c>
      <c r="X639" s="35">
        <f t="shared" si="214"/>
        <v>-95920.692368992939</v>
      </c>
      <c r="Y639" s="1">
        <f t="shared" si="198"/>
        <v>82594331.349866301</v>
      </c>
      <c r="AA639" s="2">
        <f>+Bono!J639</f>
        <v>828323.77895803715</v>
      </c>
      <c r="AC639" s="10">
        <f t="shared" si="199"/>
        <v>51.333333333333336</v>
      </c>
      <c r="AD639" s="1">
        <f t="shared" si="200"/>
        <v>84742173.588560969</v>
      </c>
    </row>
    <row r="640" spans="1:30">
      <c r="A640" s="1">
        <f t="shared" si="201"/>
        <v>51.416666666666664</v>
      </c>
      <c r="B640" s="1">
        <f t="shared" si="202"/>
        <v>617</v>
      </c>
      <c r="C640" s="2">
        <f t="shared" si="207"/>
        <v>51</v>
      </c>
      <c r="D640" s="2">
        <f t="shared" si="208"/>
        <v>5</v>
      </c>
      <c r="E640" s="2">
        <f t="shared" si="209"/>
        <v>80</v>
      </c>
      <c r="F640" s="1">
        <f t="shared" si="203"/>
        <v>1319518.4597366347</v>
      </c>
      <c r="H640" s="1">
        <f t="shared" si="196"/>
        <v>10522.025496470724</v>
      </c>
      <c r="I640" s="1">
        <v>0</v>
      </c>
      <c r="J640" s="1">
        <v>0</v>
      </c>
      <c r="K640" s="1">
        <f t="shared" si="204"/>
        <v>-1542.8469628704022</v>
      </c>
      <c r="L640" s="1">
        <f t="shared" si="197"/>
        <v>1328497.6382702352</v>
      </c>
      <c r="N640" s="1">
        <f t="shared" si="205"/>
        <v>617</v>
      </c>
      <c r="O640" s="2">
        <f t="shared" si="210"/>
        <v>51</v>
      </c>
      <c r="P640" s="2">
        <f t="shared" si="211"/>
        <v>5</v>
      </c>
      <c r="Q640" s="2">
        <f t="shared" si="212"/>
        <v>51</v>
      </c>
      <c r="R640" s="1">
        <f t="shared" si="206"/>
        <v>82594331.349866301</v>
      </c>
      <c r="S640" s="4">
        <f>IF($G$4="mensual",S639,0)</f>
        <v>10000</v>
      </c>
      <c r="U640" s="1">
        <f t="shared" si="213"/>
        <v>658698.53821953153</v>
      </c>
      <c r="V640" s="35">
        <f t="shared" si="195"/>
        <v>-653.30091251800229</v>
      </c>
      <c r="X640" s="35">
        <f t="shared" si="214"/>
        <v>-96584.356841121044</v>
      </c>
      <c r="Y640" s="1">
        <f t="shared" si="198"/>
        <v>83165792.230332196</v>
      </c>
      <c r="AA640" s="2">
        <f>+Bono!J640</f>
        <v>833459.48246718838</v>
      </c>
      <c r="AC640" s="10">
        <f t="shared" si="199"/>
        <v>51.416666666666664</v>
      </c>
      <c r="AD640" s="1">
        <f t="shared" si="200"/>
        <v>85327749.351069614</v>
      </c>
    </row>
    <row r="641" spans="1:30">
      <c r="A641" s="1">
        <f t="shared" si="201"/>
        <v>51.5</v>
      </c>
      <c r="B641" s="1">
        <f t="shared" si="202"/>
        <v>618</v>
      </c>
      <c r="C641" s="2">
        <f t="shared" si="207"/>
        <v>51</v>
      </c>
      <c r="D641" s="2">
        <f t="shared" si="208"/>
        <v>6</v>
      </c>
      <c r="E641" s="2">
        <f t="shared" si="209"/>
        <v>80</v>
      </c>
      <c r="F641" s="1">
        <f t="shared" si="203"/>
        <v>1328497.6382702352</v>
      </c>
      <c r="H641" s="1">
        <f t="shared" si="196"/>
        <v>10593.62672703385</v>
      </c>
      <c r="I641" s="1">
        <v>0</v>
      </c>
      <c r="J641" s="69">
        <f>-SUM(F641:H641)*$J$21*1.16</f>
        <v>-13980.112806571489</v>
      </c>
      <c r="K641" s="1">
        <f t="shared" si="204"/>
        <v>-1537.128936541209</v>
      </c>
      <c r="L641" s="1">
        <f t="shared" si="197"/>
        <v>1323574.0232541563</v>
      </c>
      <c r="N641" s="1">
        <f t="shared" si="205"/>
        <v>618</v>
      </c>
      <c r="O641" s="2">
        <f t="shared" si="210"/>
        <v>51</v>
      </c>
      <c r="P641" s="2">
        <f t="shared" si="211"/>
        <v>6</v>
      </c>
      <c r="Q641" s="2">
        <f t="shared" si="212"/>
        <v>51</v>
      </c>
      <c r="R641" s="1">
        <f t="shared" si="206"/>
        <v>83165792.230332196</v>
      </c>
      <c r="S641" s="4">
        <f>IF($G$4="mensual",S640,0)</f>
        <v>10000</v>
      </c>
      <c r="U641" s="1">
        <f t="shared" si="213"/>
        <v>663255.44752999151</v>
      </c>
      <c r="V641" s="35">
        <f t="shared" si="195"/>
        <v>-653.30091251800229</v>
      </c>
      <c r="X641" s="35">
        <f t="shared" si="214"/>
        <v>-97252.537477261605</v>
      </c>
      <c r="Y641" s="1">
        <f t="shared" si="198"/>
        <v>83741141.839472413</v>
      </c>
      <c r="AA641" s="2">
        <f>+Bono!J641</f>
        <v>831071.82948394713</v>
      </c>
      <c r="AC641" s="10">
        <f t="shared" si="199"/>
        <v>51.5</v>
      </c>
      <c r="AD641" s="1">
        <f t="shared" si="200"/>
        <v>85895787.69221051</v>
      </c>
    </row>
    <row r="642" spans="1:30">
      <c r="A642" s="1">
        <f t="shared" si="201"/>
        <v>51.583333333333336</v>
      </c>
      <c r="B642" s="1">
        <f t="shared" si="202"/>
        <v>619</v>
      </c>
      <c r="C642" s="2">
        <f t="shared" si="207"/>
        <v>51</v>
      </c>
      <c r="D642" s="2">
        <f t="shared" si="208"/>
        <v>7</v>
      </c>
      <c r="E642" s="2">
        <f t="shared" si="209"/>
        <v>80</v>
      </c>
      <c r="F642" s="1">
        <f t="shared" si="203"/>
        <v>1323574.0232541563</v>
      </c>
      <c r="H642" s="1">
        <f t="shared" si="196"/>
        <v>10554.365129477779</v>
      </c>
      <c r="I642" s="1">
        <v>0</v>
      </c>
      <c r="J642" s="1">
        <v>0</v>
      </c>
      <c r="K642" s="1">
        <f t="shared" si="204"/>
        <v>-1547.5889305250157</v>
      </c>
      <c r="L642" s="1">
        <f t="shared" si="197"/>
        <v>1332580.799453109</v>
      </c>
      <c r="N642" s="1">
        <f t="shared" si="205"/>
        <v>619</v>
      </c>
      <c r="O642" s="2">
        <f t="shared" si="210"/>
        <v>51</v>
      </c>
      <c r="P642" s="2">
        <f t="shared" si="211"/>
        <v>7</v>
      </c>
      <c r="Q642" s="2">
        <f t="shared" si="212"/>
        <v>51</v>
      </c>
      <c r="R642" s="1">
        <f t="shared" si="206"/>
        <v>83741141.839472413</v>
      </c>
      <c r="S642" s="1">
        <f>+IF($G$4="mensual",S636,IF($G$4="trimestral",S636,IF($G$4="semestral",S636,0)))</f>
        <v>10000</v>
      </c>
      <c r="U642" s="1">
        <f t="shared" si="213"/>
        <v>667843.36610899051</v>
      </c>
      <c r="V642" s="35">
        <f t="shared" si="195"/>
        <v>-653.30091251800229</v>
      </c>
      <c r="X642" s="35">
        <f t="shared" si="214"/>
        <v>-97925.265009415903</v>
      </c>
      <c r="Y642" s="1">
        <f t="shared" si="198"/>
        <v>84320406.639659464</v>
      </c>
      <c r="AA642" s="2">
        <f>+Bono!J642</f>
        <v>836224.57122511312</v>
      </c>
      <c r="AC642" s="10">
        <f t="shared" si="199"/>
        <v>51.583333333333336</v>
      </c>
      <c r="AD642" s="1">
        <f t="shared" si="200"/>
        <v>86489212.010337681</v>
      </c>
    </row>
    <row r="643" spans="1:30">
      <c r="A643" s="1">
        <f t="shared" si="201"/>
        <v>51.666666666666664</v>
      </c>
      <c r="B643" s="1">
        <f t="shared" si="202"/>
        <v>620</v>
      </c>
      <c r="C643" s="2">
        <f t="shared" si="207"/>
        <v>51</v>
      </c>
      <c r="D643" s="2">
        <f t="shared" si="208"/>
        <v>8</v>
      </c>
      <c r="E643" s="2">
        <f t="shared" si="209"/>
        <v>80</v>
      </c>
      <c r="F643" s="1">
        <f t="shared" si="203"/>
        <v>1332580.799453109</v>
      </c>
      <c r="H643" s="1">
        <f t="shared" si="196"/>
        <v>10626.186427699937</v>
      </c>
      <c r="I643" s="1">
        <v>0</v>
      </c>
      <c r="J643" s="1">
        <v>0</v>
      </c>
      <c r="K643" s="1">
        <f t="shared" si="204"/>
        <v>-1558.1201036217383</v>
      </c>
      <c r="L643" s="1">
        <f t="shared" si="197"/>
        <v>1341648.8657771873</v>
      </c>
      <c r="N643" s="1">
        <f t="shared" si="205"/>
        <v>620</v>
      </c>
      <c r="O643" s="2">
        <f t="shared" si="210"/>
        <v>51</v>
      </c>
      <c r="P643" s="2">
        <f t="shared" si="211"/>
        <v>8</v>
      </c>
      <c r="Q643" s="2">
        <f t="shared" si="212"/>
        <v>51</v>
      </c>
      <c r="R643" s="1">
        <f t="shared" si="206"/>
        <v>84320406.639659464</v>
      </c>
      <c r="S643" s="4">
        <f>IF($G$4="mensual",S642,0)</f>
        <v>10000</v>
      </c>
      <c r="U643" s="1">
        <f t="shared" si="213"/>
        <v>672462.50497120293</v>
      </c>
      <c r="V643" s="35">
        <f t="shared" si="195"/>
        <v>-653.30091251800229</v>
      </c>
      <c r="X643" s="35">
        <f t="shared" si="214"/>
        <v>-98602.570378713062</v>
      </c>
      <c r="Y643" s="1">
        <f t="shared" si="198"/>
        <v>84903613.27333945</v>
      </c>
      <c r="AA643" s="2">
        <f>+Bono!J643</f>
        <v>841409.26056275552</v>
      </c>
      <c r="AC643" s="10">
        <f t="shared" si="199"/>
        <v>51.666666666666664</v>
      </c>
      <c r="AD643" s="1">
        <f t="shared" si="200"/>
        <v>87086671.399679407</v>
      </c>
    </row>
    <row r="644" spans="1:30">
      <c r="A644" s="1">
        <f t="shared" si="201"/>
        <v>51.75</v>
      </c>
      <c r="B644" s="1">
        <f t="shared" si="202"/>
        <v>621</v>
      </c>
      <c r="C644" s="2">
        <f t="shared" si="207"/>
        <v>51</v>
      </c>
      <c r="D644" s="2">
        <f t="shared" si="208"/>
        <v>9</v>
      </c>
      <c r="E644" s="2">
        <f t="shared" si="209"/>
        <v>80</v>
      </c>
      <c r="F644" s="1">
        <f t="shared" si="203"/>
        <v>1341648.8657771873</v>
      </c>
      <c r="H644" s="1">
        <f t="shared" si="196"/>
        <v>10698.49646198675</v>
      </c>
      <c r="I644" s="1">
        <v>0</v>
      </c>
      <c r="J644" s="69">
        <f>-SUM(F644:H644)*$J$21*1.16</f>
        <v>-14118.506461776979</v>
      </c>
      <c r="K644" s="1">
        <f t="shared" si="204"/>
        <v>-1552.3454727017804</v>
      </c>
      <c r="L644" s="1">
        <f t="shared" si="197"/>
        <v>1336676.5103046952</v>
      </c>
      <c r="N644" s="1">
        <f t="shared" si="205"/>
        <v>621</v>
      </c>
      <c r="O644" s="2">
        <f t="shared" si="210"/>
        <v>51</v>
      </c>
      <c r="P644" s="2">
        <f t="shared" si="211"/>
        <v>9</v>
      </c>
      <c r="Q644" s="2">
        <f t="shared" si="212"/>
        <v>51</v>
      </c>
      <c r="R644" s="1">
        <f t="shared" si="206"/>
        <v>84903613.27333945</v>
      </c>
      <c r="S644" s="4">
        <f>IF($G$4="mensual",S643,0)</f>
        <v>10000</v>
      </c>
      <c r="U644" s="1">
        <f t="shared" si="213"/>
        <v>677113.0765672354</v>
      </c>
      <c r="V644" s="35">
        <f t="shared" si="195"/>
        <v>-653.30091251800229</v>
      </c>
      <c r="X644" s="35">
        <f t="shared" si="214"/>
        <v>-99284.484736833227</v>
      </c>
      <c r="Y644" s="1">
        <f t="shared" si="198"/>
        <v>85490788.564257339</v>
      </c>
      <c r="AA644" s="2">
        <f>+Bono!J644</f>
        <v>838998.83345337457</v>
      </c>
      <c r="AC644" s="10">
        <f t="shared" si="199"/>
        <v>51.75</v>
      </c>
      <c r="AD644" s="1">
        <f t="shared" si="200"/>
        <v>87666463.9080154</v>
      </c>
    </row>
    <row r="645" spans="1:30">
      <c r="A645" s="1">
        <f t="shared" si="201"/>
        <v>51.833333333333336</v>
      </c>
      <c r="B645" s="1">
        <f t="shared" si="202"/>
        <v>622</v>
      </c>
      <c r="C645" s="2">
        <f t="shared" si="207"/>
        <v>51</v>
      </c>
      <c r="D645" s="2">
        <f t="shared" si="208"/>
        <v>10</v>
      </c>
      <c r="E645" s="2">
        <f t="shared" si="209"/>
        <v>80</v>
      </c>
      <c r="F645" s="1">
        <f t="shared" si="203"/>
        <v>1336676.5103046952</v>
      </c>
      <c r="H645" s="1">
        <f t="shared" si="196"/>
        <v>10658.846201186669</v>
      </c>
      <c r="I645" s="1">
        <v>0</v>
      </c>
      <c r="J645" s="1">
        <v>0</v>
      </c>
      <c r="K645" s="1">
        <f t="shared" si="204"/>
        <v>-1562.909013546823</v>
      </c>
      <c r="L645" s="1">
        <f t="shared" si="197"/>
        <v>1345772.4474923352</v>
      </c>
      <c r="N645" s="1">
        <f t="shared" si="205"/>
        <v>622</v>
      </c>
      <c r="O645" s="2">
        <f t="shared" si="210"/>
        <v>51</v>
      </c>
      <c r="P645" s="2">
        <f t="shared" si="211"/>
        <v>10</v>
      </c>
      <c r="Q645" s="2">
        <f t="shared" si="212"/>
        <v>51</v>
      </c>
      <c r="R645" s="1">
        <f t="shared" si="206"/>
        <v>85490788.564257339</v>
      </c>
      <c r="S645" s="4">
        <f>IF($G$4="mensual",S636,IF($G$4="trimestral",S636,0))</f>
        <v>10000</v>
      </c>
      <c r="U645" s="1">
        <f t="shared" si="213"/>
        <v>681795.29479339707</v>
      </c>
      <c r="V645" s="35">
        <f t="shared" si="195"/>
        <v>-653.30091251800229</v>
      </c>
      <c r="X645" s="35">
        <f t="shared" si="214"/>
        <v>-99971.039447440329</v>
      </c>
      <c r="Y645" s="1">
        <f t="shared" si="198"/>
        <v>86081959.51869078</v>
      </c>
      <c r="AA645" s="2">
        <f>+Bono!J645</f>
        <v>844200.72353862668</v>
      </c>
      <c r="AC645" s="10">
        <f t="shared" si="199"/>
        <v>51.833333333333336</v>
      </c>
      <c r="AD645" s="1">
        <f t="shared" si="200"/>
        <v>88271932.689721733</v>
      </c>
    </row>
    <row r="646" spans="1:30">
      <c r="A646" s="1">
        <f t="shared" si="201"/>
        <v>51.916666666666664</v>
      </c>
      <c r="B646" s="1">
        <f t="shared" si="202"/>
        <v>623</v>
      </c>
      <c r="C646" s="2">
        <f t="shared" si="207"/>
        <v>51</v>
      </c>
      <c r="D646" s="2">
        <f t="shared" si="208"/>
        <v>11</v>
      </c>
      <c r="E646" s="2">
        <f t="shared" si="209"/>
        <v>80</v>
      </c>
      <c r="F646" s="1">
        <f t="shared" si="203"/>
        <v>1345772.4474923352</v>
      </c>
      <c r="H646" s="1">
        <f t="shared" si="196"/>
        <v>10731.378481653399</v>
      </c>
      <c r="I646" s="1">
        <v>0</v>
      </c>
      <c r="J646" s="1">
        <v>0</v>
      </c>
      <c r="K646" s="1">
        <f t="shared" si="204"/>
        <v>-1573.5444381298266</v>
      </c>
      <c r="L646" s="1">
        <f t="shared" si="197"/>
        <v>1354930.2815358588</v>
      </c>
      <c r="N646" s="1">
        <f t="shared" si="205"/>
        <v>623</v>
      </c>
      <c r="O646" s="2">
        <f t="shared" si="210"/>
        <v>51</v>
      </c>
      <c r="P646" s="2">
        <f t="shared" si="211"/>
        <v>11</v>
      </c>
      <c r="Q646" s="2">
        <f t="shared" si="212"/>
        <v>51</v>
      </c>
      <c r="R646" s="1">
        <f t="shared" si="206"/>
        <v>86081959.51869078</v>
      </c>
      <c r="S646" s="1">
        <f>IF($G$17="si",S634*(1+$G$20),S634)</f>
        <v>10000</v>
      </c>
      <c r="U646" s="1">
        <f t="shared" si="213"/>
        <v>686509.37500153843</v>
      </c>
      <c r="V646" s="35">
        <f t="shared" si="195"/>
        <v>-653.30091251800229</v>
      </c>
      <c r="X646" s="35">
        <f t="shared" si="214"/>
        <v>-100662.26608762456</v>
      </c>
      <c r="Y646" s="1">
        <f t="shared" si="198"/>
        <v>86677153.326692179</v>
      </c>
      <c r="AA646" s="2">
        <f>+Bono!J646</f>
        <v>849434.86594578926</v>
      </c>
      <c r="AC646" s="10">
        <f t="shared" si="199"/>
        <v>51.916666666666664</v>
      </c>
      <c r="AD646" s="1">
        <f t="shared" si="200"/>
        <v>88881518.474173829</v>
      </c>
    </row>
    <row r="647" spans="1:30">
      <c r="A647" s="1">
        <f t="shared" si="201"/>
        <v>52</v>
      </c>
      <c r="B647" s="1">
        <f t="shared" si="202"/>
        <v>624</v>
      </c>
      <c r="C647" s="2">
        <f t="shared" si="207"/>
        <v>51</v>
      </c>
      <c r="D647" s="2">
        <f t="shared" si="208"/>
        <v>12</v>
      </c>
      <c r="E647" s="2">
        <f t="shared" si="209"/>
        <v>80</v>
      </c>
      <c r="F647" s="1">
        <f t="shared" si="203"/>
        <v>1354930.2815358588</v>
      </c>
      <c r="H647" s="1">
        <f t="shared" si="196"/>
        <v>10804.404336341051</v>
      </c>
      <c r="I647" s="1">
        <v>0</v>
      </c>
      <c r="J647" s="69">
        <f>-SUM(F647:H647)*$J$21*1.16</f>
        <v>-14258.270120505766</v>
      </c>
      <c r="K647" s="1">
        <f t="shared" si="204"/>
        <v>-1567.712642271965</v>
      </c>
      <c r="L647" s="1">
        <f t="shared" si="197"/>
        <v>1349908.703109422</v>
      </c>
      <c r="N647" s="1">
        <f t="shared" si="205"/>
        <v>624</v>
      </c>
      <c r="O647" s="2">
        <f t="shared" si="210"/>
        <v>51</v>
      </c>
      <c r="P647" s="2">
        <f t="shared" si="211"/>
        <v>12</v>
      </c>
      <c r="Q647" s="2">
        <f t="shared" si="212"/>
        <v>51</v>
      </c>
      <c r="R647" s="1">
        <f t="shared" si="206"/>
        <v>86677153.326692179</v>
      </c>
      <c r="S647" s="4">
        <f>IF($G$4="mensual",S646,0)</f>
        <v>10000</v>
      </c>
      <c r="U647" s="1">
        <f t="shared" si="213"/>
        <v>691255.53400895558</v>
      </c>
      <c r="V647" s="35">
        <f t="shared" si="195"/>
        <v>-653.30091251800229</v>
      </c>
      <c r="X647" s="35">
        <f t="shared" si="214"/>
        <v>-101358.19644935479</v>
      </c>
      <c r="Y647" s="1">
        <f t="shared" si="198"/>
        <v>87276397.36333926</v>
      </c>
      <c r="AA647" s="2">
        <f>+Bono!J647</f>
        <v>847001.44748405321</v>
      </c>
      <c r="AC647" s="10">
        <f t="shared" si="199"/>
        <v>52</v>
      </c>
      <c r="AD647" s="1">
        <f t="shared" si="200"/>
        <v>89473307.513932735</v>
      </c>
    </row>
    <row r="648" spans="1:30">
      <c r="A648" s="1">
        <f t="shared" si="201"/>
        <v>52.083333333333336</v>
      </c>
      <c r="B648" s="1">
        <f t="shared" si="202"/>
        <v>625</v>
      </c>
      <c r="C648" s="2">
        <f t="shared" si="207"/>
        <v>52</v>
      </c>
      <c r="D648" s="2">
        <f t="shared" si="208"/>
        <v>1</v>
      </c>
      <c r="E648" s="2">
        <f t="shared" si="209"/>
        <v>81</v>
      </c>
      <c r="F648" s="1">
        <f t="shared" si="203"/>
        <v>1349908.703109422</v>
      </c>
      <c r="H648" s="1">
        <f t="shared" si="196"/>
        <v>10764.361564793891</v>
      </c>
      <c r="I648" s="1">
        <v>0</v>
      </c>
      <c r="J648" s="1">
        <v>0</v>
      </c>
      <c r="K648" s="1">
        <f t="shared" si="204"/>
        <v>-1578.3807550220904</v>
      </c>
      <c r="L648" s="1">
        <f t="shared" si="197"/>
        <v>1359094.6839191937</v>
      </c>
      <c r="N648" s="1">
        <f t="shared" si="205"/>
        <v>625</v>
      </c>
      <c r="O648" s="2">
        <f t="shared" si="210"/>
        <v>52</v>
      </c>
      <c r="P648" s="2">
        <f t="shared" si="211"/>
        <v>1</v>
      </c>
      <c r="Q648" s="2">
        <f t="shared" si="212"/>
        <v>52</v>
      </c>
      <c r="R648" s="1">
        <f t="shared" si="206"/>
        <v>87276397.36333926</v>
      </c>
      <c r="S648" s="1">
        <f>IF($G$17="si",S636*(1+$G$20),S636)</f>
        <v>10000</v>
      </c>
      <c r="U648" s="1">
        <f t="shared" si="213"/>
        <v>696033.99010836252</v>
      </c>
      <c r="V648" s="35">
        <f>V647*(1+$G$18)</f>
        <v>-679.43294901872241</v>
      </c>
      <c r="X648" s="35">
        <f t="shared" si="214"/>
        <v>-102058.83222777837</v>
      </c>
      <c r="Y648" s="1">
        <f t="shared" si="198"/>
        <v>87879693.088270813</v>
      </c>
      <c r="AA648" s="2">
        <f>+Bono!J648</f>
        <v>852252.95470454125</v>
      </c>
      <c r="AC648" s="10">
        <f t="shared" si="199"/>
        <v>52.083333333333336</v>
      </c>
      <c r="AD648" s="1">
        <f t="shared" si="200"/>
        <v>90091040.726894543</v>
      </c>
    </row>
    <row r="649" spans="1:30">
      <c r="A649" s="1">
        <f t="shared" si="201"/>
        <v>52.166666666666664</v>
      </c>
      <c r="B649" s="1">
        <f t="shared" si="202"/>
        <v>626</v>
      </c>
      <c r="C649" s="2">
        <f t="shared" si="207"/>
        <v>52</v>
      </c>
      <c r="D649" s="2">
        <f t="shared" si="208"/>
        <v>2</v>
      </c>
      <c r="E649" s="2">
        <f t="shared" si="209"/>
        <v>81</v>
      </c>
      <c r="F649" s="1">
        <f t="shared" si="203"/>
        <v>1359094.6839191937</v>
      </c>
      <c r="H649" s="1">
        <f t="shared" si="196"/>
        <v>10837.611865748226</v>
      </c>
      <c r="I649" s="1">
        <v>0</v>
      </c>
      <c r="J649" s="1">
        <v>0</v>
      </c>
      <c r="K649" s="1">
        <f t="shared" si="204"/>
        <v>-1589.1214631105327</v>
      </c>
      <c r="L649" s="1">
        <f t="shared" si="197"/>
        <v>1368343.1743218314</v>
      </c>
      <c r="N649" s="1">
        <f t="shared" si="205"/>
        <v>626</v>
      </c>
      <c r="O649" s="2">
        <f t="shared" si="210"/>
        <v>52</v>
      </c>
      <c r="P649" s="2">
        <f t="shared" si="211"/>
        <v>2</v>
      </c>
      <c r="Q649" s="2">
        <f t="shared" si="212"/>
        <v>52</v>
      </c>
      <c r="R649" s="1">
        <f t="shared" si="206"/>
        <v>87879693.088270813</v>
      </c>
      <c r="S649" s="4">
        <f>IF($G$4="mensual",S648,0)</f>
        <v>10000</v>
      </c>
      <c r="U649" s="1">
        <f t="shared" si="213"/>
        <v>700844.75493912399</v>
      </c>
      <c r="V649" s="35">
        <f t="shared" si="195"/>
        <v>-679.43294901872241</v>
      </c>
      <c r="X649" s="35">
        <f t="shared" si="214"/>
        <v>-102764.23575590266</v>
      </c>
      <c r="Y649" s="1">
        <f t="shared" si="198"/>
        <v>88487094.17450501</v>
      </c>
      <c r="AA649" s="2">
        <f>+Bono!J649</f>
        <v>857537.02187893353</v>
      </c>
      <c r="AC649" s="10">
        <f t="shared" si="199"/>
        <v>52.166666666666664</v>
      </c>
      <c r="AD649" s="1">
        <f t="shared" si="200"/>
        <v>90712974.370705768</v>
      </c>
    </row>
    <row r="650" spans="1:30">
      <c r="A650" s="1">
        <f t="shared" si="201"/>
        <v>52.25</v>
      </c>
      <c r="B650" s="1">
        <f t="shared" si="202"/>
        <v>627</v>
      </c>
      <c r="C650" s="2">
        <f t="shared" si="207"/>
        <v>52</v>
      </c>
      <c r="D650" s="2">
        <f t="shared" si="208"/>
        <v>3</v>
      </c>
      <c r="E650" s="2">
        <f t="shared" si="209"/>
        <v>81</v>
      </c>
      <c r="F650" s="1">
        <f t="shared" si="203"/>
        <v>1368343.1743218314</v>
      </c>
      <c r="H650" s="1">
        <f t="shared" si="196"/>
        <v>10911.360626974227</v>
      </c>
      <c r="I650" s="1">
        <v>0</v>
      </c>
      <c r="J650" s="69">
        <f>-SUM(F650:H650)*$J$21*1.16</f>
        <v>-14399.417344865531</v>
      </c>
      <c r="K650" s="1">
        <f t="shared" si="204"/>
        <v>-1583.2319364205703</v>
      </c>
      <c r="L650" s="1">
        <f t="shared" si="197"/>
        <v>1363271.8856675194</v>
      </c>
      <c r="N650" s="1">
        <f t="shared" si="205"/>
        <v>627</v>
      </c>
      <c r="O650" s="2">
        <f t="shared" si="210"/>
        <v>52</v>
      </c>
      <c r="P650" s="2">
        <f t="shared" si="211"/>
        <v>3</v>
      </c>
      <c r="Q650" s="2">
        <f t="shared" si="212"/>
        <v>52</v>
      </c>
      <c r="R650" s="1">
        <f t="shared" si="206"/>
        <v>88487094.17450501</v>
      </c>
      <c r="S650" s="4">
        <f>IF($G$4="mensual",S649,0)</f>
        <v>10000</v>
      </c>
      <c r="U650" s="1">
        <f t="shared" si="213"/>
        <v>705688.25649742421</v>
      </c>
      <c r="V650" s="35">
        <f t="shared" si="195"/>
        <v>-679.43294901872241</v>
      </c>
      <c r="X650" s="35">
        <f t="shared" si="214"/>
        <v>-103474.43947774197</v>
      </c>
      <c r="Y650" s="1">
        <f t="shared" si="198"/>
        <v>89098628.558575675</v>
      </c>
      <c r="AA650" s="2">
        <f>+Bono!J650</f>
        <v>855080.3927666602</v>
      </c>
      <c r="AC650" s="10">
        <f t="shared" si="199"/>
        <v>52.25</v>
      </c>
      <c r="AD650" s="1">
        <f t="shared" si="200"/>
        <v>91316980.837009847</v>
      </c>
    </row>
    <row r="651" spans="1:30">
      <c r="A651" s="1">
        <f t="shared" si="201"/>
        <v>52.333333333333336</v>
      </c>
      <c r="B651" s="1">
        <f t="shared" si="202"/>
        <v>628</v>
      </c>
      <c r="C651" s="2">
        <f t="shared" si="207"/>
        <v>52</v>
      </c>
      <c r="D651" s="2">
        <f t="shared" si="208"/>
        <v>4</v>
      </c>
      <c r="E651" s="2">
        <f t="shared" si="209"/>
        <v>81</v>
      </c>
      <c r="F651" s="1">
        <f t="shared" si="203"/>
        <v>1363271.8856675194</v>
      </c>
      <c r="H651" s="1">
        <f t="shared" si="196"/>
        <v>10870.921459089237</v>
      </c>
      <c r="I651" s="1">
        <v>0</v>
      </c>
      <c r="J651" s="1">
        <v>0</v>
      </c>
      <c r="K651" s="1">
        <f t="shared" si="204"/>
        <v>-1594.005656266866</v>
      </c>
      <c r="L651" s="1">
        <f t="shared" si="197"/>
        <v>1372548.8014703419</v>
      </c>
      <c r="N651" s="1">
        <f t="shared" si="205"/>
        <v>628</v>
      </c>
      <c r="O651" s="2">
        <f t="shared" si="210"/>
        <v>52</v>
      </c>
      <c r="P651" s="2">
        <f t="shared" si="211"/>
        <v>4</v>
      </c>
      <c r="Q651" s="2">
        <f t="shared" si="212"/>
        <v>52</v>
      </c>
      <c r="R651" s="1">
        <f t="shared" si="206"/>
        <v>89098628.558575675</v>
      </c>
      <c r="S651" s="4">
        <f>IF($G$4="mensual",S648,IF($G$4="trimestral",S648,0))</f>
        <v>10000</v>
      </c>
      <c r="U651" s="1">
        <f t="shared" si="213"/>
        <v>710564.71755310684</v>
      </c>
      <c r="V651" s="35">
        <f t="shared" si="195"/>
        <v>-679.43294901872241</v>
      </c>
      <c r="X651" s="35">
        <f t="shared" si="214"/>
        <v>-104189.47605808852</v>
      </c>
      <c r="Y651" s="1">
        <f t="shared" si="198"/>
        <v>89714324.367121667</v>
      </c>
      <c r="AA651" s="2">
        <f>+Bono!J651</f>
        <v>860381.99038500001</v>
      </c>
      <c r="AC651" s="10">
        <f t="shared" si="199"/>
        <v>52.333333333333336</v>
      </c>
      <c r="AD651" s="1">
        <f t="shared" si="200"/>
        <v>91947255.158977002</v>
      </c>
    </row>
    <row r="652" spans="1:30">
      <c r="A652" s="1">
        <f t="shared" si="201"/>
        <v>52.416666666666664</v>
      </c>
      <c r="B652" s="1">
        <f t="shared" si="202"/>
        <v>629</v>
      </c>
      <c r="C652" s="2">
        <f t="shared" si="207"/>
        <v>52</v>
      </c>
      <c r="D652" s="2">
        <f t="shared" si="208"/>
        <v>5</v>
      </c>
      <c r="E652" s="2">
        <f t="shared" si="209"/>
        <v>81</v>
      </c>
      <c r="F652" s="1">
        <f t="shared" si="203"/>
        <v>1372548.8014703419</v>
      </c>
      <c r="H652" s="1">
        <f t="shared" si="196"/>
        <v>10944.89688844806</v>
      </c>
      <c r="I652" s="1">
        <v>0</v>
      </c>
      <c r="J652" s="1">
        <v>0</v>
      </c>
      <c r="K652" s="1">
        <f t="shared" si="204"/>
        <v>-1604.8526900961963</v>
      </c>
      <c r="L652" s="1">
        <f t="shared" si="197"/>
        <v>1381888.8456686938</v>
      </c>
      <c r="N652" s="1">
        <f t="shared" si="205"/>
        <v>629</v>
      </c>
      <c r="O652" s="2">
        <f t="shared" si="210"/>
        <v>52</v>
      </c>
      <c r="P652" s="2">
        <f t="shared" si="211"/>
        <v>5</v>
      </c>
      <c r="Q652" s="2">
        <f t="shared" si="212"/>
        <v>52</v>
      </c>
      <c r="R652" s="1">
        <f t="shared" si="206"/>
        <v>89714324.367121667</v>
      </c>
      <c r="S652" s="4">
        <f>IF($G$4="mensual",S651,0)</f>
        <v>10000</v>
      </c>
      <c r="U652" s="1">
        <f t="shared" si="213"/>
        <v>715474.36239194009</v>
      </c>
      <c r="V652" s="35">
        <f t="shared" si="195"/>
        <v>-679.43294901872241</v>
      </c>
      <c r="X652" s="35">
        <f t="shared" si="214"/>
        <v>-104909.3783840149</v>
      </c>
      <c r="Y652" s="1">
        <f t="shared" si="198"/>
        <v>90334209.91818057</v>
      </c>
      <c r="AA652" s="2">
        <f>+Bono!J652</f>
        <v>865716.45852352085</v>
      </c>
      <c r="AC652" s="10">
        <f t="shared" si="199"/>
        <v>52.416666666666664</v>
      </c>
      <c r="AD652" s="1">
        <f t="shared" si="200"/>
        <v>92581815.222372785</v>
      </c>
    </row>
    <row r="653" spans="1:30">
      <c r="A653" s="1">
        <f t="shared" si="201"/>
        <v>52.5</v>
      </c>
      <c r="B653" s="1">
        <f t="shared" si="202"/>
        <v>630</v>
      </c>
      <c r="C653" s="2">
        <f t="shared" si="207"/>
        <v>52</v>
      </c>
      <c r="D653" s="2">
        <f t="shared" si="208"/>
        <v>6</v>
      </c>
      <c r="E653" s="2">
        <f t="shared" si="209"/>
        <v>81</v>
      </c>
      <c r="F653" s="1">
        <f t="shared" si="203"/>
        <v>1381888.8456686938</v>
      </c>
      <c r="H653" s="1">
        <f t="shared" si="196"/>
        <v>11019.375712497886</v>
      </c>
      <c r="I653" s="1">
        <v>0</v>
      </c>
      <c r="J653" s="69">
        <f>-SUM(F653:H653)*$J$21*1.16</f>
        <v>-14541.961831219642</v>
      </c>
      <c r="K653" s="1">
        <f t="shared" si="204"/>
        <v>-1598.9048610779676</v>
      </c>
      <c r="L653" s="1">
        <f t="shared" si="197"/>
        <v>1376767.354688894</v>
      </c>
      <c r="N653" s="1">
        <f t="shared" si="205"/>
        <v>630</v>
      </c>
      <c r="O653" s="2">
        <f t="shared" si="210"/>
        <v>52</v>
      </c>
      <c r="P653" s="2">
        <f t="shared" si="211"/>
        <v>6</v>
      </c>
      <c r="Q653" s="2">
        <f t="shared" si="212"/>
        <v>52</v>
      </c>
      <c r="R653" s="1">
        <f t="shared" si="206"/>
        <v>90334209.91818057</v>
      </c>
      <c r="S653" s="4">
        <f>IF($G$4="mensual",S652,0)</f>
        <v>10000</v>
      </c>
      <c r="U653" s="1">
        <f t="shared" si="213"/>
        <v>720417.4168259321</v>
      </c>
      <c r="V653" s="35">
        <f t="shared" ref="V653:V716" si="215">V652</f>
        <v>-679.43294901872241</v>
      </c>
      <c r="X653" s="35">
        <f t="shared" si="214"/>
        <v>-105634.17956638667</v>
      </c>
      <c r="Y653" s="1">
        <f t="shared" si="198"/>
        <v>90958313.7224911</v>
      </c>
      <c r="AA653" s="2">
        <f>+Bono!J653</f>
        <v>863236.39737079875</v>
      </c>
      <c r="AC653" s="10">
        <f t="shared" si="199"/>
        <v>52.5</v>
      </c>
      <c r="AD653" s="1">
        <f t="shared" si="200"/>
        <v>93198317.474550799</v>
      </c>
    </row>
    <row r="654" spans="1:30">
      <c r="A654" s="1">
        <f t="shared" si="201"/>
        <v>52.583333333333336</v>
      </c>
      <c r="B654" s="1">
        <f t="shared" si="202"/>
        <v>631</v>
      </c>
      <c r="C654" s="2">
        <f t="shared" si="207"/>
        <v>52</v>
      </c>
      <c r="D654" s="2">
        <f t="shared" si="208"/>
        <v>7</v>
      </c>
      <c r="E654" s="2">
        <f t="shared" si="209"/>
        <v>81</v>
      </c>
      <c r="F654" s="1">
        <f t="shared" si="203"/>
        <v>1376767.354688894</v>
      </c>
      <c r="H654" s="1">
        <f t="shared" si="196"/>
        <v>10978.536224219599</v>
      </c>
      <c r="I654" s="1">
        <v>0</v>
      </c>
      <c r="J654" s="1">
        <v>0</v>
      </c>
      <c r="K654" s="1">
        <f t="shared" si="204"/>
        <v>-1609.7852334592114</v>
      </c>
      <c r="L654" s="1">
        <f t="shared" si="197"/>
        <v>1386136.1056796543</v>
      </c>
      <c r="N654" s="1">
        <f t="shared" si="205"/>
        <v>631</v>
      </c>
      <c r="O654" s="2">
        <f t="shared" si="210"/>
        <v>52</v>
      </c>
      <c r="P654" s="2">
        <f t="shared" si="211"/>
        <v>7</v>
      </c>
      <c r="Q654" s="2">
        <f t="shared" si="212"/>
        <v>52</v>
      </c>
      <c r="R654" s="1">
        <f t="shared" si="206"/>
        <v>90958313.7224911</v>
      </c>
      <c r="S654" s="1">
        <f>+IF($G$4="mensual",S648,IF($G$4="trimestral",S648,IF($G$4="semestral",S648,0)))</f>
        <v>10000</v>
      </c>
      <c r="U654" s="1">
        <f t="shared" si="213"/>
        <v>725394.10820371739</v>
      </c>
      <c r="V654" s="35">
        <f t="shared" si="215"/>
        <v>-679.43294901872241</v>
      </c>
      <c r="X654" s="35">
        <f t="shared" si="214"/>
        <v>-106363.91294138512</v>
      </c>
      <c r="Y654" s="1">
        <f t="shared" si="198"/>
        <v>91586664.484804422</v>
      </c>
      <c r="AA654" s="2">
        <f>+Bono!J654</f>
        <v>868588.56316372228</v>
      </c>
      <c r="AC654" s="10">
        <f t="shared" si="199"/>
        <v>52.583333333333336</v>
      </c>
      <c r="AD654" s="1">
        <f t="shared" si="200"/>
        <v>93841389.15364781</v>
      </c>
    </row>
    <row r="655" spans="1:30">
      <c r="A655" s="1">
        <f t="shared" si="201"/>
        <v>52.666666666666664</v>
      </c>
      <c r="B655" s="1">
        <f t="shared" si="202"/>
        <v>632</v>
      </c>
      <c r="C655" s="2">
        <f t="shared" si="207"/>
        <v>52</v>
      </c>
      <c r="D655" s="2">
        <f t="shared" si="208"/>
        <v>8</v>
      </c>
      <c r="E655" s="2">
        <f t="shared" si="209"/>
        <v>81</v>
      </c>
      <c r="F655" s="1">
        <f t="shared" si="203"/>
        <v>1386136.1056796543</v>
      </c>
      <c r="H655" s="1">
        <f t="shared" si="196"/>
        <v>11053.243960263351</v>
      </c>
      <c r="I655" s="1">
        <v>0</v>
      </c>
      <c r="J655" s="1">
        <v>0</v>
      </c>
      <c r="K655" s="1">
        <f t="shared" si="204"/>
        <v>-1620.7396455823045</v>
      </c>
      <c r="L655" s="1">
        <f t="shared" si="197"/>
        <v>1395568.6099943353</v>
      </c>
      <c r="N655" s="1">
        <f t="shared" si="205"/>
        <v>632</v>
      </c>
      <c r="O655" s="2">
        <f t="shared" si="210"/>
        <v>52</v>
      </c>
      <c r="P655" s="2">
        <f t="shared" si="211"/>
        <v>8</v>
      </c>
      <c r="Q655" s="2">
        <f t="shared" si="212"/>
        <v>52</v>
      </c>
      <c r="R655" s="1">
        <f t="shared" si="206"/>
        <v>91586664.484804422</v>
      </c>
      <c r="S655" s="4">
        <f>IF($G$4="mensual",S654,0)</f>
        <v>10000</v>
      </c>
      <c r="U655" s="1">
        <f t="shared" si="213"/>
        <v>730404.66542101256</v>
      </c>
      <c r="V655" s="35">
        <f t="shared" si="215"/>
        <v>-679.43294901872241</v>
      </c>
      <c r="X655" s="35">
        <f t="shared" si="214"/>
        <v>-107098.61207204063</v>
      </c>
      <c r="Y655" s="1">
        <f t="shared" si="198"/>
        <v>92219291.105204374</v>
      </c>
      <c r="AA655" s="2">
        <f>+Bono!J655</f>
        <v>873973.91300537472</v>
      </c>
      <c r="AC655" s="10">
        <f t="shared" si="199"/>
        <v>52.666666666666664</v>
      </c>
      <c r="AD655" s="1">
        <f t="shared" si="200"/>
        <v>94488833.628204092</v>
      </c>
    </row>
    <row r="656" spans="1:30">
      <c r="A656" s="1">
        <f t="shared" si="201"/>
        <v>52.75</v>
      </c>
      <c r="B656" s="1">
        <f t="shared" si="202"/>
        <v>633</v>
      </c>
      <c r="C656" s="2">
        <f t="shared" si="207"/>
        <v>52</v>
      </c>
      <c r="D656" s="2">
        <f t="shared" si="208"/>
        <v>9</v>
      </c>
      <c r="E656" s="2">
        <f t="shared" si="209"/>
        <v>81</v>
      </c>
      <c r="F656" s="1">
        <f t="shared" si="203"/>
        <v>1395568.6099943353</v>
      </c>
      <c r="H656" s="1">
        <f t="shared" si="196"/>
        <v>11128.46007426486</v>
      </c>
      <c r="I656" s="1">
        <v>0</v>
      </c>
      <c r="J656" s="69">
        <f>-SUM(F656:H656)*$J$21*1.16</f>
        <v>-14685.917411516186</v>
      </c>
      <c r="K656" s="1">
        <f t="shared" si="204"/>
        <v>-1614.7329370822174</v>
      </c>
      <c r="L656" s="1">
        <f t="shared" si="197"/>
        <v>1390396.4197200018</v>
      </c>
      <c r="N656" s="1">
        <f t="shared" si="205"/>
        <v>633</v>
      </c>
      <c r="O656" s="2">
        <f t="shared" si="210"/>
        <v>52</v>
      </c>
      <c r="P656" s="2">
        <f t="shared" si="211"/>
        <v>9</v>
      </c>
      <c r="Q656" s="2">
        <f t="shared" si="212"/>
        <v>52</v>
      </c>
      <c r="R656" s="1">
        <f t="shared" si="206"/>
        <v>92219291.105204374</v>
      </c>
      <c r="S656" s="4">
        <f>IF($G$4="mensual",S655,0)</f>
        <v>10000</v>
      </c>
      <c r="U656" s="1">
        <f t="shared" si="213"/>
        <v>735449.31893114455</v>
      </c>
      <c r="V656" s="35">
        <f t="shared" si="215"/>
        <v>-679.43294901872241</v>
      </c>
      <c r="X656" s="35">
        <f t="shared" si="214"/>
        <v>-107838.31074977634</v>
      </c>
      <c r="Y656" s="1">
        <f t="shared" si="198"/>
        <v>92856222.68043673</v>
      </c>
      <c r="AA656" s="2">
        <f>+Bono!J656</f>
        <v>871470.19631061086</v>
      </c>
      <c r="AC656" s="10">
        <f t="shared" si="199"/>
        <v>52.75</v>
      </c>
      <c r="AD656" s="1">
        <f t="shared" si="200"/>
        <v>95118089.296467349</v>
      </c>
    </row>
    <row r="657" spans="1:30">
      <c r="A657" s="1">
        <f t="shared" si="201"/>
        <v>52.833333333333336</v>
      </c>
      <c r="B657" s="1">
        <f t="shared" si="202"/>
        <v>634</v>
      </c>
      <c r="C657" s="2">
        <f t="shared" si="207"/>
        <v>52</v>
      </c>
      <c r="D657" s="2">
        <f t="shared" si="208"/>
        <v>10</v>
      </c>
      <c r="E657" s="2">
        <f t="shared" si="209"/>
        <v>81</v>
      </c>
      <c r="F657" s="1">
        <f t="shared" si="203"/>
        <v>1390396.4197200018</v>
      </c>
      <c r="H657" s="1">
        <f t="shared" si="196"/>
        <v>11087.216302692314</v>
      </c>
      <c r="I657" s="1">
        <v>0</v>
      </c>
      <c r="J657" s="1">
        <v>0</v>
      </c>
      <c r="K657" s="1">
        <f t="shared" si="204"/>
        <v>-1625.7210177863251</v>
      </c>
      <c r="L657" s="1">
        <f t="shared" si="197"/>
        <v>1399857.9150049079</v>
      </c>
      <c r="N657" s="1">
        <f t="shared" si="205"/>
        <v>634</v>
      </c>
      <c r="O657" s="2">
        <f t="shared" si="210"/>
        <v>52</v>
      </c>
      <c r="P657" s="2">
        <f t="shared" si="211"/>
        <v>10</v>
      </c>
      <c r="Q657" s="2">
        <f t="shared" si="212"/>
        <v>52</v>
      </c>
      <c r="R657" s="1">
        <f t="shared" si="206"/>
        <v>92856222.68043673</v>
      </c>
      <c r="S657" s="4">
        <f>IF($G$4="mensual",S648,IF($G$4="trimestral",S648,0))</f>
        <v>10000</v>
      </c>
      <c r="U657" s="1">
        <f t="shared" si="213"/>
        <v>740528.30075565027</v>
      </c>
      <c r="V657" s="35">
        <f t="shared" si="215"/>
        <v>-679.43294901872241</v>
      </c>
      <c r="X657" s="35">
        <f t="shared" si="214"/>
        <v>-108583.04299596229</v>
      </c>
      <c r="Y657" s="1">
        <f t="shared" si="198"/>
        <v>93497488.505247399</v>
      </c>
      <c r="AA657" s="2">
        <f>+Bono!J657</f>
        <v>876873.41261202272</v>
      </c>
      <c r="AC657" s="10">
        <f t="shared" si="199"/>
        <v>52.833333333333336</v>
      </c>
      <c r="AD657" s="1">
        <f t="shared" si="200"/>
        <v>95774219.832864329</v>
      </c>
    </row>
    <row r="658" spans="1:30">
      <c r="A658" s="1">
        <f t="shared" si="201"/>
        <v>52.916666666666664</v>
      </c>
      <c r="B658" s="1">
        <f t="shared" si="202"/>
        <v>635</v>
      </c>
      <c r="C658" s="2">
        <f t="shared" si="207"/>
        <v>52</v>
      </c>
      <c r="D658" s="2">
        <f t="shared" si="208"/>
        <v>11</v>
      </c>
      <c r="E658" s="2">
        <f t="shared" si="209"/>
        <v>81</v>
      </c>
      <c r="F658" s="1">
        <f t="shared" si="203"/>
        <v>1399857.9150049079</v>
      </c>
      <c r="H658" s="1">
        <f t="shared" si="196"/>
        <v>11162.663594761565</v>
      </c>
      <c r="I658" s="1">
        <v>0</v>
      </c>
      <c r="J658" s="1">
        <v>0</v>
      </c>
      <c r="K658" s="1">
        <f t="shared" si="204"/>
        <v>-1636.7838711756165</v>
      </c>
      <c r="L658" s="1">
        <f t="shared" si="197"/>
        <v>1409383.7947284938</v>
      </c>
      <c r="N658" s="1">
        <f t="shared" si="205"/>
        <v>635</v>
      </c>
      <c r="O658" s="2">
        <f t="shared" si="210"/>
        <v>52</v>
      </c>
      <c r="P658" s="2">
        <f t="shared" si="211"/>
        <v>11</v>
      </c>
      <c r="Q658" s="2">
        <f t="shared" si="212"/>
        <v>52</v>
      </c>
      <c r="R658" s="1">
        <f t="shared" si="206"/>
        <v>93497488.505247399</v>
      </c>
      <c r="S658" s="1">
        <f>IF($G$17="si",S646*(1+$G$20),S646)</f>
        <v>10000</v>
      </c>
      <c r="U658" s="1">
        <f t="shared" si="213"/>
        <v>745641.84449494735</v>
      </c>
      <c r="V658" s="35">
        <f t="shared" si="215"/>
        <v>-679.43294901872241</v>
      </c>
      <c r="X658" s="35">
        <f t="shared" si="214"/>
        <v>-109332.84306348025</v>
      </c>
      <c r="Y658" s="1">
        <f t="shared" si="198"/>
        <v>94143118.073729858</v>
      </c>
      <c r="AA658" s="2">
        <f>+Bono!J658</f>
        <v>882310.12948123761</v>
      </c>
      <c r="AC658" s="10">
        <f t="shared" si="199"/>
        <v>52.916666666666664</v>
      </c>
      <c r="AD658" s="1">
        <f t="shared" si="200"/>
        <v>96434811.997939587</v>
      </c>
    </row>
    <row r="659" spans="1:30">
      <c r="A659" s="1">
        <f t="shared" si="201"/>
        <v>53</v>
      </c>
      <c r="B659" s="1">
        <f t="shared" si="202"/>
        <v>636</v>
      </c>
      <c r="C659" s="2">
        <f t="shared" si="207"/>
        <v>52</v>
      </c>
      <c r="D659" s="2">
        <f t="shared" si="208"/>
        <v>12</v>
      </c>
      <c r="E659" s="2">
        <f t="shared" si="209"/>
        <v>81</v>
      </c>
      <c r="F659" s="1">
        <f t="shared" si="203"/>
        <v>1409383.7947284938</v>
      </c>
      <c r="H659" s="1">
        <f t="shared" si="196"/>
        <v>11238.624297386286</v>
      </c>
      <c r="I659" s="1">
        <v>0</v>
      </c>
      <c r="J659" s="69">
        <f>-SUM(F659:H659)*$J$21*1.16</f>
        <v>-14831.298054630188</v>
      </c>
      <c r="K659" s="1">
        <f t="shared" si="204"/>
        <v>-1630.7177003266497</v>
      </c>
      <c r="L659" s="1">
        <f t="shared" si="197"/>
        <v>1404160.4032709233</v>
      </c>
      <c r="N659" s="1">
        <f t="shared" si="205"/>
        <v>636</v>
      </c>
      <c r="O659" s="2">
        <f t="shared" si="210"/>
        <v>52</v>
      </c>
      <c r="P659" s="2">
        <f t="shared" si="211"/>
        <v>12</v>
      </c>
      <c r="Q659" s="2">
        <f t="shared" si="212"/>
        <v>52</v>
      </c>
      <c r="R659" s="1">
        <f t="shared" si="206"/>
        <v>94143118.073729858</v>
      </c>
      <c r="S659" s="4">
        <f>IF($G$4="mensual",S658,0)</f>
        <v>10000</v>
      </c>
      <c r="U659" s="1">
        <f t="shared" si="213"/>
        <v>750790.18533907901</v>
      </c>
      <c r="V659" s="35">
        <f t="shared" si="215"/>
        <v>-679.43294901872241</v>
      </c>
      <c r="X659" s="35">
        <f t="shared" si="214"/>
        <v>-110087.7454382991</v>
      </c>
      <c r="Y659" s="1">
        <f t="shared" si="198"/>
        <v>94793141.080681622</v>
      </c>
      <c r="AA659" s="2">
        <f>+Bono!J659</f>
        <v>879782.53161101625</v>
      </c>
      <c r="AC659" s="10">
        <f t="shared" si="199"/>
        <v>53</v>
      </c>
      <c r="AD659" s="1">
        <f t="shared" si="200"/>
        <v>97077084.015563563</v>
      </c>
    </row>
    <row r="660" spans="1:30">
      <c r="A660" s="1">
        <f t="shared" si="201"/>
        <v>53.083333333333336</v>
      </c>
      <c r="B660" s="1">
        <f t="shared" si="202"/>
        <v>637</v>
      </c>
      <c r="C660" s="2">
        <f t="shared" si="207"/>
        <v>53</v>
      </c>
      <c r="D660" s="2">
        <f t="shared" si="208"/>
        <v>1</v>
      </c>
      <c r="E660" s="2">
        <f t="shared" si="209"/>
        <v>82</v>
      </c>
      <c r="F660" s="1">
        <f t="shared" si="203"/>
        <v>1404160.4032709233</v>
      </c>
      <c r="H660" s="1">
        <f t="shared" si="196"/>
        <v>11196.972240388483</v>
      </c>
      <c r="I660" s="1">
        <v>0</v>
      </c>
      <c r="J660" s="1">
        <v>0</v>
      </c>
      <c r="K660" s="1">
        <f t="shared" si="204"/>
        <v>-1641.8145555931217</v>
      </c>
      <c r="L660" s="1">
        <f t="shared" si="197"/>
        <v>1413715.5609557186</v>
      </c>
      <c r="N660" s="1">
        <f t="shared" si="205"/>
        <v>637</v>
      </c>
      <c r="O660" s="2">
        <f t="shared" si="210"/>
        <v>53</v>
      </c>
      <c r="P660" s="2">
        <f t="shared" si="211"/>
        <v>1</v>
      </c>
      <c r="Q660" s="2">
        <f t="shared" si="212"/>
        <v>53</v>
      </c>
      <c r="R660" s="1">
        <f t="shared" si="206"/>
        <v>94793141.080681622</v>
      </c>
      <c r="S660" s="1">
        <f>IF($G$17="si",S648*(1+$G$20),S648)</f>
        <v>10000</v>
      </c>
      <c r="U660" s="1">
        <f t="shared" si="213"/>
        <v>755973.56007853057</v>
      </c>
      <c r="V660" s="35">
        <f>V659*(1+$G$18)</f>
        <v>-706.61026697947136</v>
      </c>
      <c r="X660" s="35">
        <f t="shared" si="214"/>
        <v>-110847.75331537207</v>
      </c>
      <c r="Y660" s="1">
        <f t="shared" si="198"/>
        <v>95447560.277177796</v>
      </c>
      <c r="AA660" s="2">
        <f>+Bono!J660</f>
        <v>885237.28535546188</v>
      </c>
      <c r="AC660" s="10">
        <f t="shared" si="199"/>
        <v>53.083333333333336</v>
      </c>
      <c r="AD660" s="1">
        <f t="shared" si="200"/>
        <v>97746513.123488978</v>
      </c>
    </row>
    <row r="661" spans="1:30">
      <c r="A661" s="1">
        <f t="shared" si="201"/>
        <v>53.166666666666664</v>
      </c>
      <c r="B661" s="1">
        <f t="shared" si="202"/>
        <v>638</v>
      </c>
      <c r="C661" s="2">
        <f t="shared" si="207"/>
        <v>53</v>
      </c>
      <c r="D661" s="2">
        <f t="shared" si="208"/>
        <v>2</v>
      </c>
      <c r="E661" s="2">
        <f t="shared" si="209"/>
        <v>82</v>
      </c>
      <c r="F661" s="1">
        <f t="shared" si="203"/>
        <v>1413715.5609557186</v>
      </c>
      <c r="H661" s="1">
        <f t="shared" si="196"/>
        <v>11273.16640958736</v>
      </c>
      <c r="I661" s="1">
        <v>0</v>
      </c>
      <c r="J661" s="1">
        <v>0</v>
      </c>
      <c r="K661" s="1">
        <f t="shared" si="204"/>
        <v>-1652.9869237437549</v>
      </c>
      <c r="L661" s="1">
        <f t="shared" si="197"/>
        <v>1423335.7404415621</v>
      </c>
      <c r="N661" s="1">
        <f t="shared" si="205"/>
        <v>638</v>
      </c>
      <c r="O661" s="2">
        <f t="shared" si="210"/>
        <v>53</v>
      </c>
      <c r="P661" s="2">
        <f t="shared" si="211"/>
        <v>2</v>
      </c>
      <c r="Q661" s="2">
        <f t="shared" si="212"/>
        <v>53</v>
      </c>
      <c r="R661" s="1">
        <f t="shared" si="206"/>
        <v>95447560.277177796</v>
      </c>
      <c r="S661" s="4">
        <f>IF($G$4="mensual",S660,0)</f>
        <v>10000</v>
      </c>
      <c r="U661" s="1">
        <f t="shared" si="213"/>
        <v>761191.99065076152</v>
      </c>
      <c r="V661" s="35">
        <f t="shared" si="215"/>
        <v>-706.61026697947136</v>
      </c>
      <c r="X661" s="35">
        <f t="shared" si="214"/>
        <v>-111612.93296277142</v>
      </c>
      <c r="Y661" s="1">
        <f t="shared" si="198"/>
        <v>96106432.724598795</v>
      </c>
      <c r="AA661" s="2">
        <f>+Bono!J661</f>
        <v>890725.85920583538</v>
      </c>
      <c r="AC661" s="10">
        <f t="shared" si="199"/>
        <v>53.166666666666664</v>
      </c>
      <c r="AD661" s="1">
        <f t="shared" si="200"/>
        <v>98420494.324246198</v>
      </c>
    </row>
    <row r="662" spans="1:30">
      <c r="A662" s="1">
        <f t="shared" si="201"/>
        <v>53.25</v>
      </c>
      <c r="B662" s="1">
        <f t="shared" si="202"/>
        <v>639</v>
      </c>
      <c r="C662" s="2">
        <f t="shared" si="207"/>
        <v>53</v>
      </c>
      <c r="D662" s="2">
        <f t="shared" si="208"/>
        <v>3</v>
      </c>
      <c r="E662" s="2">
        <f t="shared" si="209"/>
        <v>82</v>
      </c>
      <c r="F662" s="1">
        <f t="shared" si="203"/>
        <v>1423335.7404415621</v>
      </c>
      <c r="H662" s="1">
        <f t="shared" si="196"/>
        <v>11349.879071758734</v>
      </c>
      <c r="I662" s="1">
        <v>0</v>
      </c>
      <c r="J662" s="69">
        <f>-SUM(F662:H662)*$J$21*1.16</f>
        <v>-14978.117867719071</v>
      </c>
      <c r="K662" s="1">
        <f t="shared" si="204"/>
        <v>-1646.8607019088981</v>
      </c>
      <c r="L662" s="1">
        <f t="shared" si="197"/>
        <v>1418060.640943693</v>
      </c>
      <c r="N662" s="1">
        <f t="shared" si="205"/>
        <v>639</v>
      </c>
      <c r="O662" s="2">
        <f t="shared" si="210"/>
        <v>53</v>
      </c>
      <c r="P662" s="2">
        <f t="shared" si="211"/>
        <v>3</v>
      </c>
      <c r="Q662" s="2">
        <f t="shared" si="212"/>
        <v>53</v>
      </c>
      <c r="R662" s="1">
        <f t="shared" si="206"/>
        <v>96106432.724598795</v>
      </c>
      <c r="S662" s="4">
        <f>IF($G$4="mensual",S661,0)</f>
        <v>10000</v>
      </c>
      <c r="U662" s="1">
        <f t="shared" si="213"/>
        <v>766445.932071232</v>
      </c>
      <c r="V662" s="35">
        <f t="shared" si="215"/>
        <v>-706.61026697947136</v>
      </c>
      <c r="X662" s="35">
        <f t="shared" si="214"/>
        <v>-112383.31957382754</v>
      </c>
      <c r="Y662" s="1">
        <f t="shared" si="198"/>
        <v>96769788.726829216</v>
      </c>
      <c r="AA662" s="2">
        <f>+Bono!J662</f>
        <v>888174.15237458388</v>
      </c>
      <c r="AC662" s="10">
        <f t="shared" si="199"/>
        <v>53.25</v>
      </c>
      <c r="AD662" s="1">
        <f t="shared" si="200"/>
        <v>99076023.520147488</v>
      </c>
    </row>
    <row r="663" spans="1:30">
      <c r="A663" s="1">
        <f t="shared" si="201"/>
        <v>53.333333333333336</v>
      </c>
      <c r="B663" s="1">
        <f t="shared" si="202"/>
        <v>640</v>
      </c>
      <c r="C663" s="2">
        <f t="shared" si="207"/>
        <v>53</v>
      </c>
      <c r="D663" s="2">
        <f t="shared" si="208"/>
        <v>4</v>
      </c>
      <c r="E663" s="2">
        <f t="shared" si="209"/>
        <v>82</v>
      </c>
      <c r="F663" s="1">
        <f t="shared" si="203"/>
        <v>1418060.640943693</v>
      </c>
      <c r="H663" s="1">
        <f t="shared" si="196"/>
        <v>11307.814687586288</v>
      </c>
      <c r="I663" s="1">
        <v>0</v>
      </c>
      <c r="J663" s="1">
        <v>0</v>
      </c>
      <c r="K663" s="1">
        <f t="shared" si="204"/>
        <v>-1658.0674085322839</v>
      </c>
      <c r="L663" s="1">
        <f t="shared" si="197"/>
        <v>1427710.388222747</v>
      </c>
      <c r="N663" s="1">
        <f t="shared" si="205"/>
        <v>640</v>
      </c>
      <c r="O663" s="2">
        <f t="shared" si="210"/>
        <v>53</v>
      </c>
      <c r="P663" s="2">
        <f t="shared" si="211"/>
        <v>4</v>
      </c>
      <c r="Q663" s="2">
        <f t="shared" si="212"/>
        <v>53</v>
      </c>
      <c r="R663" s="1">
        <f t="shared" si="206"/>
        <v>96769788.726829216</v>
      </c>
      <c r="S663" s="4">
        <f>IF($G$4="mensual",S660,IF($G$4="trimestral",S660,0))</f>
        <v>10000</v>
      </c>
      <c r="U663" s="1">
        <f t="shared" si="213"/>
        <v>771735.62598737364</v>
      </c>
      <c r="V663" s="35">
        <f t="shared" si="215"/>
        <v>-706.61026697947136</v>
      </c>
      <c r="X663" s="35">
        <f t="shared" si="214"/>
        <v>-113158.94858135754</v>
      </c>
      <c r="Y663" s="1">
        <f t="shared" si="198"/>
        <v>97437658.79396826</v>
      </c>
      <c r="AA663" s="2">
        <f>+Bono!J663</f>
        <v>893680.9351411314</v>
      </c>
      <c r="AC663" s="10">
        <f t="shared" si="199"/>
        <v>53.333333333333336</v>
      </c>
      <c r="AD663" s="1">
        <f t="shared" si="200"/>
        <v>99759050.117332146</v>
      </c>
    </row>
    <row r="664" spans="1:30">
      <c r="A664" s="1">
        <f t="shared" si="201"/>
        <v>53.416666666666664</v>
      </c>
      <c r="B664" s="1">
        <f t="shared" si="202"/>
        <v>641</v>
      </c>
      <c r="C664" s="2">
        <f t="shared" si="207"/>
        <v>53</v>
      </c>
      <c r="D664" s="2">
        <f t="shared" si="208"/>
        <v>5</v>
      </c>
      <c r="E664" s="2">
        <f t="shared" si="209"/>
        <v>82</v>
      </c>
      <c r="F664" s="1">
        <f t="shared" si="203"/>
        <v>1427710.388222747</v>
      </c>
      <c r="H664" s="1">
        <f t="shared" ref="H664:H727" si="216">SUM(F664:G664)*$G$8</f>
        <v>11384.763127492895</v>
      </c>
      <c r="I664" s="1">
        <v>0</v>
      </c>
      <c r="J664" s="1">
        <v>0</v>
      </c>
      <c r="K664" s="1">
        <f t="shared" si="204"/>
        <v>-1669.3503755662782</v>
      </c>
      <c r="L664" s="1">
        <f t="shared" ref="L664:L727" si="217">SUM(F664:K664)</f>
        <v>1437425.8009746738</v>
      </c>
      <c r="N664" s="1">
        <f t="shared" si="205"/>
        <v>641</v>
      </c>
      <c r="O664" s="2">
        <f t="shared" si="210"/>
        <v>53</v>
      </c>
      <c r="P664" s="2">
        <f t="shared" si="211"/>
        <v>5</v>
      </c>
      <c r="Q664" s="2">
        <f t="shared" si="212"/>
        <v>53</v>
      </c>
      <c r="R664" s="1">
        <f t="shared" si="206"/>
        <v>97437658.79396826</v>
      </c>
      <c r="S664" s="4">
        <f>IF($G$4="mensual",S663,0)</f>
        <v>10000</v>
      </c>
      <c r="U664" s="1">
        <f t="shared" si="213"/>
        <v>777061.31569100171</v>
      </c>
      <c r="V664" s="35">
        <f t="shared" si="215"/>
        <v>-706.61026697947136</v>
      </c>
      <c r="X664" s="35">
        <f t="shared" si="214"/>
        <v>-113939.85565929502</v>
      </c>
      <c r="Y664" s="1">
        <f t="shared" ref="Y664:Y727" si="218">SUM(R664:X664)</f>
        <v>98110073.64373298</v>
      </c>
      <c r="AA664" s="2">
        <f>+Bono!J664</f>
        <v>899221.86059957882</v>
      </c>
      <c r="AC664" s="10">
        <f t="shared" ref="AC664:AC727" si="219">+B664/12</f>
        <v>53.416666666666664</v>
      </c>
      <c r="AD664" s="1">
        <f t="shared" ref="AD664:AD727" si="220">+AA664+Y664+L664</f>
        <v>100446721.30530722</v>
      </c>
    </row>
    <row r="665" spans="1:30">
      <c r="A665" s="1">
        <f t="shared" ref="A665:A728" si="221">+B665/12</f>
        <v>53.5</v>
      </c>
      <c r="B665" s="1">
        <f t="shared" ref="B665:B728" si="222">+B664+1</f>
        <v>642</v>
      </c>
      <c r="C665" s="2">
        <f t="shared" si="207"/>
        <v>53</v>
      </c>
      <c r="D665" s="2">
        <f t="shared" si="208"/>
        <v>6</v>
      </c>
      <c r="E665" s="2">
        <f t="shared" si="209"/>
        <v>82</v>
      </c>
      <c r="F665" s="1">
        <f t="shared" ref="F665:F728" si="223">L664</f>
        <v>1437425.8009746738</v>
      </c>
      <c r="H665" s="1">
        <f t="shared" si="216"/>
        <v>11462.235193101522</v>
      </c>
      <c r="I665" s="1">
        <v>0</v>
      </c>
      <c r="J665" s="69">
        <f>-SUM(F665:H665)*$J$21*1.16</f>
        <v>-15126.391097591573</v>
      </c>
      <c r="K665" s="1">
        <f t="shared" ref="K665:K728" si="224">-SUM(F665:J665)*0.1%*1.16</f>
        <v>-1663.1635082814132</v>
      </c>
      <c r="L665" s="1">
        <f t="shared" si="217"/>
        <v>1432098.4815619024</v>
      </c>
      <c r="N665" s="1">
        <f t="shared" ref="N665:N728" si="225">+N664+1</f>
        <v>642</v>
      </c>
      <c r="O665" s="2">
        <f t="shared" si="210"/>
        <v>53</v>
      </c>
      <c r="P665" s="2">
        <f t="shared" si="211"/>
        <v>6</v>
      </c>
      <c r="Q665" s="2">
        <f t="shared" si="212"/>
        <v>53</v>
      </c>
      <c r="R665" s="1">
        <f t="shared" ref="R665:R728" si="226">Y664</f>
        <v>98110073.64373298</v>
      </c>
      <c r="S665" s="4">
        <f>IF($G$4="mensual",S664,0)</f>
        <v>10000</v>
      </c>
      <c r="U665" s="1">
        <f t="shared" si="213"/>
        <v>782423.2461295058</v>
      </c>
      <c r="V665" s="35">
        <f t="shared" si="215"/>
        <v>-706.61026697947136</v>
      </c>
      <c r="X665" s="35">
        <f t="shared" si="214"/>
        <v>-114726.07672433079</v>
      </c>
      <c r="Y665" s="1">
        <f t="shared" si="218"/>
        <v>98787064.202871174</v>
      </c>
      <c r="AA665" s="2">
        <f>+Bono!J665</f>
        <v>896645.81484903942</v>
      </c>
      <c r="AC665" s="10">
        <f t="shared" si="219"/>
        <v>53.5</v>
      </c>
      <c r="AD665" s="1">
        <f t="shared" si="220"/>
        <v>101115808.49928211</v>
      </c>
    </row>
    <row r="666" spans="1:30">
      <c r="A666" s="1">
        <f t="shared" si="221"/>
        <v>53.583333333333336</v>
      </c>
      <c r="B666" s="1">
        <f t="shared" si="222"/>
        <v>643</v>
      </c>
      <c r="C666" s="2">
        <f t="shared" si="207"/>
        <v>53</v>
      </c>
      <c r="D666" s="2">
        <f t="shared" si="208"/>
        <v>7</v>
      </c>
      <c r="E666" s="2">
        <f t="shared" si="209"/>
        <v>82</v>
      </c>
      <c r="F666" s="1">
        <f t="shared" si="223"/>
        <v>1432098.4815619024</v>
      </c>
      <c r="H666" s="1">
        <f t="shared" si="216"/>
        <v>11419.754399994459</v>
      </c>
      <c r="I666" s="1">
        <v>0</v>
      </c>
      <c r="J666" s="1">
        <v>0</v>
      </c>
      <c r="K666" s="1">
        <f t="shared" si="224"/>
        <v>-1674.4811537158002</v>
      </c>
      <c r="L666" s="1">
        <f t="shared" si="217"/>
        <v>1441843.754808181</v>
      </c>
      <c r="N666" s="1">
        <f t="shared" si="225"/>
        <v>643</v>
      </c>
      <c r="O666" s="2">
        <f t="shared" si="210"/>
        <v>53</v>
      </c>
      <c r="P666" s="2">
        <f t="shared" si="211"/>
        <v>7</v>
      </c>
      <c r="Q666" s="2">
        <f t="shared" si="212"/>
        <v>53</v>
      </c>
      <c r="R666" s="1">
        <f t="shared" si="226"/>
        <v>98787064.202871174</v>
      </c>
      <c r="S666" s="1">
        <f>+IF($G$4="mensual",S660,IF($G$4="trimestral",S660,IF($G$4="semestral",S660,0)))</f>
        <v>10000</v>
      </c>
      <c r="U666" s="1">
        <f t="shared" si="213"/>
        <v>787821.66391711589</v>
      </c>
      <c r="V666" s="35">
        <f t="shared" si="215"/>
        <v>-706.61026697947136</v>
      </c>
      <c r="X666" s="35">
        <f t="shared" si="214"/>
        <v>-115517.64793756469</v>
      </c>
      <c r="Y666" s="1">
        <f t="shared" si="218"/>
        <v>99468661.608583733</v>
      </c>
      <c r="AA666" s="2">
        <f>+Bono!J666</f>
        <v>902205.12290558068</v>
      </c>
      <c r="AC666" s="10">
        <f t="shared" si="219"/>
        <v>53.583333333333336</v>
      </c>
      <c r="AD666" s="1">
        <f t="shared" si="220"/>
        <v>101812710.4862975</v>
      </c>
    </row>
    <row r="667" spans="1:30">
      <c r="A667" s="1">
        <f t="shared" si="221"/>
        <v>53.666666666666664</v>
      </c>
      <c r="B667" s="1">
        <f t="shared" si="222"/>
        <v>644</v>
      </c>
      <c r="C667" s="2">
        <f t="shared" si="207"/>
        <v>53</v>
      </c>
      <c r="D667" s="2">
        <f t="shared" si="208"/>
        <v>8</v>
      </c>
      <c r="E667" s="2">
        <f t="shared" si="209"/>
        <v>82</v>
      </c>
      <c r="F667" s="1">
        <f t="shared" si="223"/>
        <v>1441843.754808181</v>
      </c>
      <c r="H667" s="1">
        <f t="shared" si="216"/>
        <v>11497.464577378321</v>
      </c>
      <c r="I667" s="1">
        <v>0</v>
      </c>
      <c r="J667" s="1">
        <v>0</v>
      </c>
      <c r="K667" s="1">
        <f t="shared" si="224"/>
        <v>-1685.8758144872486</v>
      </c>
      <c r="L667" s="1">
        <f t="shared" si="217"/>
        <v>1451655.343571072</v>
      </c>
      <c r="N667" s="1">
        <f t="shared" si="225"/>
        <v>644</v>
      </c>
      <c r="O667" s="2">
        <f t="shared" si="210"/>
        <v>53</v>
      </c>
      <c r="P667" s="2">
        <f t="shared" si="211"/>
        <v>8</v>
      </c>
      <c r="Q667" s="2">
        <f t="shared" si="212"/>
        <v>53</v>
      </c>
      <c r="R667" s="1">
        <f t="shared" si="226"/>
        <v>99468661.608583733</v>
      </c>
      <c r="S667" s="4">
        <f>IF($G$4="mensual",S666,0)</f>
        <v>10000</v>
      </c>
      <c r="U667" s="1">
        <f t="shared" si="213"/>
        <v>793256.81734624435</v>
      </c>
      <c r="V667" s="35">
        <f t="shared" si="215"/>
        <v>-706.61026697947136</v>
      </c>
      <c r="X667" s="35">
        <f t="shared" si="214"/>
        <v>-116314.60570616908</v>
      </c>
      <c r="Y667" s="1">
        <f t="shared" si="218"/>
        <v>100154897.20995682</v>
      </c>
      <c r="AA667" s="2">
        <f>+Bono!J667</f>
        <v>907798.89931691217</v>
      </c>
      <c r="AC667" s="10">
        <f t="shared" si="219"/>
        <v>53.666666666666664</v>
      </c>
      <c r="AD667" s="1">
        <f t="shared" si="220"/>
        <v>102514351.4528448</v>
      </c>
    </row>
    <row r="668" spans="1:30">
      <c r="A668" s="1">
        <f t="shared" si="221"/>
        <v>53.75</v>
      </c>
      <c r="B668" s="1">
        <f t="shared" si="222"/>
        <v>645</v>
      </c>
      <c r="C668" s="2">
        <f t="shared" si="207"/>
        <v>53</v>
      </c>
      <c r="D668" s="2">
        <f t="shared" si="208"/>
        <v>9</v>
      </c>
      <c r="E668" s="2">
        <f t="shared" si="209"/>
        <v>82</v>
      </c>
      <c r="F668" s="1">
        <f t="shared" si="223"/>
        <v>1451655.343571072</v>
      </c>
      <c r="H668" s="1">
        <f t="shared" si="216"/>
        <v>11575.703564004269</v>
      </c>
      <c r="I668" s="1">
        <v>0</v>
      </c>
      <c r="J668" s="69">
        <f>-SUM(F668:H668)*$J$21*1.16</f>
        <v>-15276.132132090197</v>
      </c>
      <c r="K668" s="1">
        <f t="shared" si="224"/>
        <v>-1679.6277014034638</v>
      </c>
      <c r="L668" s="1">
        <f t="shared" si="217"/>
        <v>1446275.2873015825</v>
      </c>
      <c r="N668" s="1">
        <f t="shared" si="225"/>
        <v>645</v>
      </c>
      <c r="O668" s="2">
        <f t="shared" si="210"/>
        <v>53</v>
      </c>
      <c r="P668" s="2">
        <f t="shared" si="211"/>
        <v>9</v>
      </c>
      <c r="Q668" s="2">
        <f t="shared" si="212"/>
        <v>53</v>
      </c>
      <c r="R668" s="1">
        <f t="shared" si="226"/>
        <v>100154897.20995682</v>
      </c>
      <c r="S668" s="4">
        <f>IF($G$4="mensual",S667,0)</f>
        <v>10000</v>
      </c>
      <c r="U668" s="1">
        <f t="shared" si="213"/>
        <v>798728.95639890654</v>
      </c>
      <c r="V668" s="35">
        <f t="shared" si="215"/>
        <v>-706.61026697947136</v>
      </c>
      <c r="X668" s="35">
        <f t="shared" si="214"/>
        <v>-117116.98668506293</v>
      </c>
      <c r="Y668" s="1">
        <f t="shared" si="218"/>
        <v>100845802.56940368</v>
      </c>
      <c r="AA668" s="2">
        <f>+Bono!J668</f>
        <v>905198.28249541891</v>
      </c>
      <c r="AC668" s="10">
        <f t="shared" si="219"/>
        <v>53.75</v>
      </c>
      <c r="AD668" s="1">
        <f t="shared" si="220"/>
        <v>103197276.13920069</v>
      </c>
    </row>
    <row r="669" spans="1:30">
      <c r="A669" s="1">
        <f t="shared" si="221"/>
        <v>53.833333333333336</v>
      </c>
      <c r="B669" s="1">
        <f t="shared" si="222"/>
        <v>646</v>
      </c>
      <c r="C669" s="2">
        <f t="shared" si="207"/>
        <v>53</v>
      </c>
      <c r="D669" s="2">
        <f t="shared" si="208"/>
        <v>10</v>
      </c>
      <c r="E669" s="2">
        <f t="shared" si="209"/>
        <v>82</v>
      </c>
      <c r="F669" s="1">
        <f t="shared" si="223"/>
        <v>1446275.2873015825</v>
      </c>
      <c r="H669" s="1">
        <f t="shared" si="216"/>
        <v>11532.802239795956</v>
      </c>
      <c r="I669" s="1">
        <v>0</v>
      </c>
      <c r="J669" s="1">
        <v>0</v>
      </c>
      <c r="K669" s="1">
        <f t="shared" si="224"/>
        <v>-1691.0573838679989</v>
      </c>
      <c r="L669" s="1">
        <f t="shared" si="217"/>
        <v>1456117.0321575105</v>
      </c>
      <c r="N669" s="1">
        <f t="shared" si="225"/>
        <v>646</v>
      </c>
      <c r="O669" s="2">
        <f t="shared" si="210"/>
        <v>53</v>
      </c>
      <c r="P669" s="2">
        <f t="shared" si="211"/>
        <v>10</v>
      </c>
      <c r="Q669" s="2">
        <f t="shared" si="212"/>
        <v>53</v>
      </c>
      <c r="R669" s="1">
        <f t="shared" si="226"/>
        <v>100845802.56940368</v>
      </c>
      <c r="S669" s="4">
        <f>IF($G$4="mensual",S660,IF($G$4="trimestral",S660,0))</f>
        <v>10000</v>
      </c>
      <c r="U669" s="1">
        <f t="shared" si="213"/>
        <v>804238.33275821805</v>
      </c>
      <c r="V669" s="35">
        <f t="shared" si="215"/>
        <v>-706.61026697947136</v>
      </c>
      <c r="X669" s="35">
        <f t="shared" si="214"/>
        <v>-117924.8277785981</v>
      </c>
      <c r="Y669" s="1">
        <f t="shared" si="218"/>
        <v>101541409.46411632</v>
      </c>
      <c r="AA669" s="2">
        <f>+Bono!J669</f>
        <v>910810.61684339237</v>
      </c>
      <c r="AC669" s="10">
        <f t="shared" si="219"/>
        <v>53.833333333333336</v>
      </c>
      <c r="AD669" s="1">
        <f t="shared" si="220"/>
        <v>103908337.11311722</v>
      </c>
    </row>
    <row r="670" spans="1:30">
      <c r="A670" s="1">
        <f t="shared" si="221"/>
        <v>53.916666666666664</v>
      </c>
      <c r="B670" s="1">
        <f t="shared" si="222"/>
        <v>647</v>
      </c>
      <c r="C670" s="2">
        <f t="shared" si="207"/>
        <v>53</v>
      </c>
      <c r="D670" s="2">
        <f t="shared" si="208"/>
        <v>11</v>
      </c>
      <c r="E670" s="2">
        <f t="shared" si="209"/>
        <v>82</v>
      </c>
      <c r="F670" s="1">
        <f t="shared" si="223"/>
        <v>1456117.0321575105</v>
      </c>
      <c r="H670" s="1">
        <f t="shared" si="216"/>
        <v>11611.281695342568</v>
      </c>
      <c r="I670" s="1">
        <v>0</v>
      </c>
      <c r="J670" s="1">
        <v>0</v>
      </c>
      <c r="K670" s="1">
        <f t="shared" si="224"/>
        <v>-1702.5648440693096</v>
      </c>
      <c r="L670" s="1">
        <f t="shared" si="217"/>
        <v>1466025.7490087838</v>
      </c>
      <c r="N670" s="1">
        <f t="shared" si="225"/>
        <v>647</v>
      </c>
      <c r="O670" s="2">
        <f t="shared" si="210"/>
        <v>53</v>
      </c>
      <c r="P670" s="2">
        <f t="shared" si="211"/>
        <v>11</v>
      </c>
      <c r="Q670" s="2">
        <f t="shared" si="212"/>
        <v>53</v>
      </c>
      <c r="R670" s="1">
        <f t="shared" si="226"/>
        <v>101541409.46411632</v>
      </c>
      <c r="S670" s="1">
        <f>IF($G$17="si",S658*(1+$G$20),S658)</f>
        <v>10000</v>
      </c>
      <c r="U670" s="1">
        <f t="shared" si="213"/>
        <v>809785.19981997029</v>
      </c>
      <c r="V670" s="35">
        <f t="shared" si="215"/>
        <v>-706.61026697947136</v>
      </c>
      <c r="X670" s="35">
        <f t="shared" si="214"/>
        <v>-118738.16614225639</v>
      </c>
      <c r="Y670" s="1">
        <f t="shared" si="218"/>
        <v>102241749.88752705</v>
      </c>
      <c r="AA670" s="2">
        <f>+Bono!J670</f>
        <v>916457.74831531383</v>
      </c>
      <c r="AC670" s="10">
        <f t="shared" si="219"/>
        <v>53.916666666666664</v>
      </c>
      <c r="AD670" s="1">
        <f t="shared" si="220"/>
        <v>104624233.38485116</v>
      </c>
    </row>
    <row r="671" spans="1:30">
      <c r="A671" s="1">
        <f t="shared" si="221"/>
        <v>54</v>
      </c>
      <c r="B671" s="1">
        <f t="shared" si="222"/>
        <v>648</v>
      </c>
      <c r="C671" s="2">
        <f t="shared" si="207"/>
        <v>53</v>
      </c>
      <c r="D671" s="2">
        <f t="shared" si="208"/>
        <v>12</v>
      </c>
      <c r="E671" s="2">
        <f t="shared" si="209"/>
        <v>82</v>
      </c>
      <c r="F671" s="1">
        <f t="shared" si="223"/>
        <v>1466025.7490087838</v>
      </c>
      <c r="H671" s="1">
        <f t="shared" si="216"/>
        <v>11690.295194984867</v>
      </c>
      <c r="I671" s="1">
        <v>0</v>
      </c>
      <c r="J671" s="69">
        <f>-SUM(F671:H671)*$J$21*1.16</f>
        <v>-15427.355501487347</v>
      </c>
      <c r="K671" s="1">
        <f t="shared" si="224"/>
        <v>-1696.2548788946463</v>
      </c>
      <c r="L671" s="1">
        <f t="shared" si="217"/>
        <v>1460592.4338233867</v>
      </c>
      <c r="N671" s="1">
        <f t="shared" si="225"/>
        <v>648</v>
      </c>
      <c r="O671" s="2">
        <f t="shared" si="210"/>
        <v>53</v>
      </c>
      <c r="P671" s="2">
        <f t="shared" si="211"/>
        <v>12</v>
      </c>
      <c r="Q671" s="2">
        <f t="shared" si="212"/>
        <v>53</v>
      </c>
      <c r="R671" s="1">
        <f t="shared" si="226"/>
        <v>102241749.88752705</v>
      </c>
      <c r="S671" s="4">
        <f>IF($G$4="mensual",S670,0)</f>
        <v>10000</v>
      </c>
      <c r="U671" s="1">
        <f t="shared" si="213"/>
        <v>815369.81270428537</v>
      </c>
      <c r="V671" s="35">
        <f t="shared" si="215"/>
        <v>-706.61026697947136</v>
      </c>
      <c r="X671" s="35">
        <f t="shared" si="214"/>
        <v>-119557.03918435864</v>
      </c>
      <c r="Y671" s="1">
        <f t="shared" si="218"/>
        <v>102946856.05077998</v>
      </c>
      <c r="AA671" s="2">
        <f>+Bono!J671</f>
        <v>913832.32605687086</v>
      </c>
      <c r="AC671" s="10">
        <f t="shared" si="219"/>
        <v>54</v>
      </c>
      <c r="AD671" s="1">
        <f t="shared" si="220"/>
        <v>105321280.81066024</v>
      </c>
    </row>
    <row r="672" spans="1:30">
      <c r="A672" s="1">
        <f t="shared" si="221"/>
        <v>54.083333333333336</v>
      </c>
      <c r="B672" s="1">
        <f t="shared" si="222"/>
        <v>649</v>
      </c>
      <c r="C672" s="2">
        <f t="shared" si="207"/>
        <v>54</v>
      </c>
      <c r="D672" s="2">
        <f t="shared" si="208"/>
        <v>1</v>
      </c>
      <c r="E672" s="2">
        <f t="shared" si="209"/>
        <v>83</v>
      </c>
      <c r="F672" s="1">
        <f t="shared" si="223"/>
        <v>1460592.4338233867</v>
      </c>
      <c r="H672" s="1">
        <f t="shared" si="216"/>
        <v>11646.969176702014</v>
      </c>
      <c r="I672" s="1">
        <v>0</v>
      </c>
      <c r="J672" s="1">
        <v>0</v>
      </c>
      <c r="K672" s="1">
        <f t="shared" si="224"/>
        <v>-1707.7977074801029</v>
      </c>
      <c r="L672" s="1">
        <f t="shared" si="217"/>
        <v>1470531.6052926085</v>
      </c>
      <c r="N672" s="1">
        <f t="shared" si="225"/>
        <v>649</v>
      </c>
      <c r="O672" s="2">
        <f t="shared" si="210"/>
        <v>54</v>
      </c>
      <c r="P672" s="2">
        <f t="shared" si="211"/>
        <v>1</v>
      </c>
      <c r="Q672" s="2">
        <f t="shared" si="212"/>
        <v>54</v>
      </c>
      <c r="R672" s="1">
        <f t="shared" si="226"/>
        <v>102946856.05077998</v>
      </c>
      <c r="S672" s="1">
        <f>IF($G$17="si",S660*(1+$G$20),S660)</f>
        <v>10000</v>
      </c>
      <c r="U672" s="1">
        <f t="shared" si="213"/>
        <v>820992.42826734984</v>
      </c>
      <c r="V672" s="35">
        <f>V671*(1+$G$18)</f>
        <v>-734.87467765865028</v>
      </c>
      <c r="X672" s="35">
        <f t="shared" si="214"/>
        <v>-120381.45178106881</v>
      </c>
      <c r="Y672" s="1">
        <f t="shared" si="218"/>
        <v>103656732.15258861</v>
      </c>
      <c r="AA672" s="2">
        <f>+Bono!J672</f>
        <v>919498.19247641251</v>
      </c>
      <c r="AC672" s="10">
        <f t="shared" si="219"/>
        <v>54.083333333333336</v>
      </c>
      <c r="AD672" s="1">
        <f t="shared" si="220"/>
        <v>106046761.95035762</v>
      </c>
    </row>
    <row r="673" spans="1:30">
      <c r="A673" s="1">
        <f t="shared" si="221"/>
        <v>54.166666666666664</v>
      </c>
      <c r="B673" s="1">
        <f t="shared" si="222"/>
        <v>650</v>
      </c>
      <c r="C673" s="2">
        <f t="shared" si="207"/>
        <v>54</v>
      </c>
      <c r="D673" s="2">
        <f t="shared" si="208"/>
        <v>2</v>
      </c>
      <c r="E673" s="2">
        <f t="shared" si="209"/>
        <v>83</v>
      </c>
      <c r="F673" s="1">
        <f t="shared" si="223"/>
        <v>1470531.6052926085</v>
      </c>
      <c r="H673" s="1">
        <f t="shared" si="216"/>
        <v>11726.225525744541</v>
      </c>
      <c r="I673" s="1">
        <v>0</v>
      </c>
      <c r="J673" s="1">
        <v>0</v>
      </c>
      <c r="K673" s="1">
        <f t="shared" si="224"/>
        <v>-1719.4190837492895</v>
      </c>
      <c r="L673" s="1">
        <f t="shared" si="217"/>
        <v>1480538.4117346038</v>
      </c>
      <c r="N673" s="1">
        <f t="shared" si="225"/>
        <v>650</v>
      </c>
      <c r="O673" s="2">
        <f t="shared" si="210"/>
        <v>54</v>
      </c>
      <c r="P673" s="2">
        <f t="shared" si="211"/>
        <v>2</v>
      </c>
      <c r="Q673" s="2">
        <f t="shared" si="212"/>
        <v>54</v>
      </c>
      <c r="R673" s="1">
        <f t="shared" si="226"/>
        <v>103656732.15258861</v>
      </c>
      <c r="S673" s="4">
        <f>IF($G$4="mensual",S672,0)</f>
        <v>10000</v>
      </c>
      <c r="U673" s="1">
        <f t="shared" si="213"/>
        <v>826653.07999029453</v>
      </c>
      <c r="V673" s="35">
        <f t="shared" si="215"/>
        <v>-734.87467765865028</v>
      </c>
      <c r="X673" s="35">
        <f t="shared" si="214"/>
        <v>-121211.47441516544</v>
      </c>
      <c r="Y673" s="1">
        <f t="shared" si="218"/>
        <v>104371438.88348608</v>
      </c>
      <c r="AA673" s="2">
        <f>+Bono!J673</f>
        <v>925199.18792495504</v>
      </c>
      <c r="AC673" s="10">
        <f t="shared" si="219"/>
        <v>54.166666666666664</v>
      </c>
      <c r="AD673" s="1">
        <f t="shared" si="220"/>
        <v>106777176.48314564</v>
      </c>
    </row>
    <row r="674" spans="1:30">
      <c r="A674" s="1">
        <f t="shared" si="221"/>
        <v>54.25</v>
      </c>
      <c r="B674" s="1">
        <f t="shared" si="222"/>
        <v>651</v>
      </c>
      <c r="C674" s="2">
        <f t="shared" si="207"/>
        <v>54</v>
      </c>
      <c r="D674" s="2">
        <f t="shared" si="208"/>
        <v>3</v>
      </c>
      <c r="E674" s="2">
        <f t="shared" si="209"/>
        <v>83</v>
      </c>
      <c r="F674" s="1">
        <f t="shared" si="223"/>
        <v>1480538.4117346038</v>
      </c>
      <c r="H674" s="1">
        <f t="shared" si="216"/>
        <v>11806.021205557872</v>
      </c>
      <c r="I674" s="1">
        <v>0</v>
      </c>
      <c r="J674" s="69">
        <f>-SUM(F674:H674)*$J$21*1.16</f>
        <v>-15580.07587989529</v>
      </c>
      <c r="K674" s="1">
        <f t="shared" si="224"/>
        <v>-1713.0466541899091</v>
      </c>
      <c r="L674" s="1">
        <f t="shared" si="217"/>
        <v>1475051.3104060765</v>
      </c>
      <c r="N674" s="1">
        <f t="shared" si="225"/>
        <v>651</v>
      </c>
      <c r="O674" s="2">
        <f t="shared" si="210"/>
        <v>54</v>
      </c>
      <c r="P674" s="2">
        <f t="shared" si="211"/>
        <v>3</v>
      </c>
      <c r="Q674" s="2">
        <f t="shared" si="212"/>
        <v>54</v>
      </c>
      <c r="R674" s="1">
        <f t="shared" si="226"/>
        <v>104371438.88348608</v>
      </c>
      <c r="S674" s="4">
        <f>IF($G$4="mensual",S673,0)</f>
        <v>10000</v>
      </c>
      <c r="U674" s="1">
        <f t="shared" si="213"/>
        <v>832352.25182795373</v>
      </c>
      <c r="V674" s="35">
        <f t="shared" si="215"/>
        <v>-734.87467765865028</v>
      </c>
      <c r="X674" s="35">
        <f t="shared" si="214"/>
        <v>-122047.14526233819</v>
      </c>
      <c r="Y674" s="1">
        <f t="shared" si="218"/>
        <v>105091009.11537404</v>
      </c>
      <c r="AA674" s="2">
        <f>+Bono!J674</f>
        <v>922548.72362811572</v>
      </c>
      <c r="AC674" s="10">
        <f t="shared" si="219"/>
        <v>54.25</v>
      </c>
      <c r="AD674" s="1">
        <f t="shared" si="220"/>
        <v>107488609.14940824</v>
      </c>
    </row>
    <row r="675" spans="1:30">
      <c r="A675" s="1">
        <f t="shared" si="221"/>
        <v>54.333333333333336</v>
      </c>
      <c r="B675" s="1">
        <f t="shared" si="222"/>
        <v>652</v>
      </c>
      <c r="C675" s="2">
        <f t="shared" si="207"/>
        <v>54</v>
      </c>
      <c r="D675" s="2">
        <f t="shared" si="208"/>
        <v>4</v>
      </c>
      <c r="E675" s="2">
        <f t="shared" si="209"/>
        <v>83</v>
      </c>
      <c r="F675" s="1">
        <f t="shared" si="223"/>
        <v>1475051.3104060765</v>
      </c>
      <c r="H675" s="1">
        <f t="shared" si="216"/>
        <v>11762.26628901657</v>
      </c>
      <c r="I675" s="1">
        <v>0</v>
      </c>
      <c r="J675" s="1">
        <v>0</v>
      </c>
      <c r="K675" s="1">
        <f t="shared" si="224"/>
        <v>-1724.7037489663078</v>
      </c>
      <c r="L675" s="1">
        <f t="shared" si="217"/>
        <v>1485088.8729461266</v>
      </c>
      <c r="N675" s="1">
        <f t="shared" si="225"/>
        <v>652</v>
      </c>
      <c r="O675" s="2">
        <f t="shared" si="210"/>
        <v>54</v>
      </c>
      <c r="P675" s="2">
        <f t="shared" si="211"/>
        <v>4</v>
      </c>
      <c r="Q675" s="2">
        <f t="shared" si="212"/>
        <v>54</v>
      </c>
      <c r="R675" s="1">
        <f t="shared" si="226"/>
        <v>105091009.11537404</v>
      </c>
      <c r="S675" s="4">
        <f>IF($G$4="mensual",S672,IF($G$4="trimestral",S672,0))</f>
        <v>10000</v>
      </c>
      <c r="U675" s="1">
        <f t="shared" si="213"/>
        <v>838090.20590548718</v>
      </c>
      <c r="V675" s="35">
        <f t="shared" si="215"/>
        <v>-734.87467765865028</v>
      </c>
      <c r="X675" s="35">
        <f t="shared" si="214"/>
        <v>-122888.50275805817</v>
      </c>
      <c r="Y675" s="1">
        <f t="shared" si="218"/>
        <v>105815475.94384381</v>
      </c>
      <c r="AA675" s="2">
        <f>+Bono!J675</f>
        <v>928268.63272363856</v>
      </c>
      <c r="AC675" s="10">
        <f t="shared" si="219"/>
        <v>54.333333333333336</v>
      </c>
      <c r="AD675" s="1">
        <f t="shared" si="220"/>
        <v>108228833.44951358</v>
      </c>
    </row>
    <row r="676" spans="1:30">
      <c r="A676" s="1">
        <f t="shared" si="221"/>
        <v>54.416666666666664</v>
      </c>
      <c r="B676" s="1">
        <f t="shared" si="222"/>
        <v>653</v>
      </c>
      <c r="C676" s="2">
        <f t="shared" ref="C676:C739" si="227">C664+1</f>
        <v>54</v>
      </c>
      <c r="D676" s="2">
        <f t="shared" ref="D676:D739" si="228">D664</f>
        <v>5</v>
      </c>
      <c r="E676" s="2">
        <f t="shared" ref="E676:E739" si="229">E664+1</f>
        <v>83</v>
      </c>
      <c r="F676" s="1">
        <f t="shared" si="223"/>
        <v>1485088.8729461266</v>
      </c>
      <c r="H676" s="1">
        <f t="shared" si="216"/>
        <v>11842.307222274834</v>
      </c>
      <c r="I676" s="1">
        <v>0</v>
      </c>
      <c r="J676" s="1">
        <v>0</v>
      </c>
      <c r="K676" s="1">
        <f t="shared" si="224"/>
        <v>-1736.4401689953454</v>
      </c>
      <c r="L676" s="1">
        <f t="shared" si="217"/>
        <v>1495194.739999406</v>
      </c>
      <c r="N676" s="1">
        <f t="shared" si="225"/>
        <v>653</v>
      </c>
      <c r="O676" s="2">
        <f t="shared" ref="O676:O739" si="230">O664+1</f>
        <v>54</v>
      </c>
      <c r="P676" s="2">
        <f t="shared" ref="P676:P739" si="231">P664</f>
        <v>5</v>
      </c>
      <c r="Q676" s="2">
        <f t="shared" ref="Q676:Q739" si="232">Q664+1</f>
        <v>54</v>
      </c>
      <c r="R676" s="1">
        <f t="shared" si="226"/>
        <v>105815475.94384381</v>
      </c>
      <c r="S676" s="4">
        <f>IF($G$4="mensual",S675,0)</f>
        <v>10000</v>
      </c>
      <c r="U676" s="1">
        <f t="shared" ref="U676:U739" si="233">SUM(R676:T676)*$G$8</f>
        <v>843867.20613178774</v>
      </c>
      <c r="V676" s="35">
        <f t="shared" si="215"/>
        <v>-734.87467765865028</v>
      </c>
      <c r="X676" s="35">
        <f t="shared" si="214"/>
        <v>-123735.58559934561</v>
      </c>
      <c r="Y676" s="1">
        <f t="shared" si="218"/>
        <v>106544872.68969859</v>
      </c>
      <c r="AA676" s="2">
        <f>+Bono!J676</f>
        <v>934024.00591902202</v>
      </c>
      <c r="AC676" s="10">
        <f t="shared" si="219"/>
        <v>54.416666666666664</v>
      </c>
      <c r="AD676" s="1">
        <f t="shared" si="220"/>
        <v>108974091.43561703</v>
      </c>
    </row>
    <row r="677" spans="1:30">
      <c r="A677" s="1">
        <f t="shared" si="221"/>
        <v>54.5</v>
      </c>
      <c r="B677" s="1">
        <f t="shared" si="222"/>
        <v>654</v>
      </c>
      <c r="C677" s="2">
        <f t="shared" si="227"/>
        <v>54</v>
      </c>
      <c r="D677" s="2">
        <f t="shared" si="228"/>
        <v>6</v>
      </c>
      <c r="E677" s="2">
        <f t="shared" si="229"/>
        <v>83</v>
      </c>
      <c r="F677" s="1">
        <f t="shared" si="223"/>
        <v>1495194.739999406</v>
      </c>
      <c r="H677" s="1">
        <f t="shared" si="216"/>
        <v>11922.892825313516</v>
      </c>
      <c r="I677" s="1">
        <v>0</v>
      </c>
      <c r="J677" s="69">
        <f>-SUM(F677:H677)*$J$21*1.16</f>
        <v>-15734.308086690073</v>
      </c>
      <c r="K677" s="1">
        <f t="shared" si="224"/>
        <v>-1730.0046566961141</v>
      </c>
      <c r="L677" s="1">
        <f t="shared" si="217"/>
        <v>1489653.3200813334</v>
      </c>
      <c r="N677" s="1">
        <f t="shared" si="225"/>
        <v>654</v>
      </c>
      <c r="O677" s="2">
        <f t="shared" si="230"/>
        <v>54</v>
      </c>
      <c r="P677" s="2">
        <f t="shared" si="231"/>
        <v>6</v>
      </c>
      <c r="Q677" s="2">
        <f t="shared" si="232"/>
        <v>54</v>
      </c>
      <c r="R677" s="1">
        <f t="shared" si="226"/>
        <v>106544872.68969859</v>
      </c>
      <c r="S677" s="4">
        <f>IF($G$4="mensual",S676,0)</f>
        <v>10000</v>
      </c>
      <c r="U677" s="1">
        <f t="shared" si="233"/>
        <v>849683.51821161911</v>
      </c>
      <c r="V677" s="35">
        <f t="shared" si="215"/>
        <v>-734.87467765865028</v>
      </c>
      <c r="X677" s="35">
        <f t="shared" si="214"/>
        <v>-124588.43274654975</v>
      </c>
      <c r="Y677" s="1">
        <f t="shared" si="218"/>
        <v>107279232.90048601</v>
      </c>
      <c r="AA677" s="2">
        <f>+Bono!J677</f>
        <v>931348.26072556642</v>
      </c>
      <c r="AC677" s="10">
        <f t="shared" si="219"/>
        <v>54.5</v>
      </c>
      <c r="AD677" s="1">
        <f t="shared" si="220"/>
        <v>109700234.48129292</v>
      </c>
    </row>
    <row r="678" spans="1:30">
      <c r="A678" s="1">
        <f t="shared" si="221"/>
        <v>54.583333333333336</v>
      </c>
      <c r="B678" s="1">
        <f t="shared" si="222"/>
        <v>655</v>
      </c>
      <c r="C678" s="2">
        <f t="shared" si="227"/>
        <v>54</v>
      </c>
      <c r="D678" s="2">
        <f t="shared" si="228"/>
        <v>7</v>
      </c>
      <c r="E678" s="2">
        <f t="shared" si="229"/>
        <v>83</v>
      </c>
      <c r="F678" s="1">
        <f t="shared" si="223"/>
        <v>1489653.3200813334</v>
      </c>
      <c r="H678" s="1">
        <f t="shared" si="216"/>
        <v>11878.704764711279</v>
      </c>
      <c r="I678" s="1">
        <v>0</v>
      </c>
      <c r="J678" s="1">
        <v>0</v>
      </c>
      <c r="K678" s="1">
        <f t="shared" si="224"/>
        <v>-1741.7771488214116</v>
      </c>
      <c r="L678" s="1">
        <f t="shared" si="217"/>
        <v>1499790.2476972232</v>
      </c>
      <c r="N678" s="1">
        <f t="shared" si="225"/>
        <v>655</v>
      </c>
      <c r="O678" s="2">
        <f t="shared" si="230"/>
        <v>54</v>
      </c>
      <c r="P678" s="2">
        <f t="shared" si="231"/>
        <v>7</v>
      </c>
      <c r="Q678" s="2">
        <f t="shared" si="232"/>
        <v>54</v>
      </c>
      <c r="R678" s="1">
        <f t="shared" si="226"/>
        <v>107279232.90048601</v>
      </c>
      <c r="S678" s="1">
        <f>+IF($G$4="mensual",S672,IF($G$4="trimestral",S672,IF($G$4="semestral",S672,0)))</f>
        <v>10000</v>
      </c>
      <c r="U678" s="1">
        <f t="shared" si="233"/>
        <v>855539.40965783736</v>
      </c>
      <c r="V678" s="35">
        <f t="shared" si="215"/>
        <v>-734.87467765865028</v>
      </c>
      <c r="X678" s="35">
        <f t="shared" si="214"/>
        <v>-125447.08342514078</v>
      </c>
      <c r="Y678" s="1">
        <f t="shared" si="218"/>
        <v>108018590.35204105</v>
      </c>
      <c r="AA678" s="2">
        <f>+Bono!J678</f>
        <v>937122.72797177662</v>
      </c>
      <c r="AC678" s="10">
        <f t="shared" si="219"/>
        <v>54.583333333333336</v>
      </c>
      <c r="AD678" s="1">
        <f t="shared" si="220"/>
        <v>110455503.32771005</v>
      </c>
    </row>
    <row r="679" spans="1:30">
      <c r="A679" s="1">
        <f t="shared" si="221"/>
        <v>54.666666666666664</v>
      </c>
      <c r="B679" s="1">
        <f t="shared" si="222"/>
        <v>656</v>
      </c>
      <c r="C679" s="2">
        <f t="shared" si="227"/>
        <v>54</v>
      </c>
      <c r="D679" s="2">
        <f t="shared" si="228"/>
        <v>8</v>
      </c>
      <c r="E679" s="2">
        <f t="shared" si="229"/>
        <v>83</v>
      </c>
      <c r="F679" s="1">
        <f t="shared" si="223"/>
        <v>1499790.2476972232</v>
      </c>
      <c r="H679" s="1">
        <f t="shared" si="216"/>
        <v>11959.538049038018</v>
      </c>
      <c r="I679" s="1">
        <v>0</v>
      </c>
      <c r="J679" s="1">
        <v>0</v>
      </c>
      <c r="K679" s="1">
        <f t="shared" si="224"/>
        <v>-1753.629751465663</v>
      </c>
      <c r="L679" s="1">
        <f t="shared" si="217"/>
        <v>1509996.1559947955</v>
      </c>
      <c r="N679" s="1">
        <f t="shared" si="225"/>
        <v>656</v>
      </c>
      <c r="O679" s="2">
        <f t="shared" si="230"/>
        <v>54</v>
      </c>
      <c r="P679" s="2">
        <f t="shared" si="231"/>
        <v>8</v>
      </c>
      <c r="Q679" s="2">
        <f t="shared" si="232"/>
        <v>54</v>
      </c>
      <c r="R679" s="1">
        <f t="shared" si="226"/>
        <v>108018590.35204105</v>
      </c>
      <c r="S679" s="4">
        <f>IF($G$4="mensual",S678,0)</f>
        <v>10000</v>
      </c>
      <c r="U679" s="1">
        <f t="shared" si="233"/>
        <v>861435.14980369364</v>
      </c>
      <c r="V679" s="35">
        <f t="shared" si="215"/>
        <v>-734.87467765865028</v>
      </c>
      <c r="X679" s="35">
        <f t="shared" si="214"/>
        <v>-126311.57712751382</v>
      </c>
      <c r="Y679" s="1">
        <f t="shared" si="218"/>
        <v>108762979.05003957</v>
      </c>
      <c r="AA679" s="2">
        <f>+Bono!J679</f>
        <v>942932.99758471001</v>
      </c>
      <c r="AC679" s="10">
        <f t="shared" si="219"/>
        <v>54.666666666666664</v>
      </c>
      <c r="AD679" s="1">
        <f t="shared" si="220"/>
        <v>111215908.20361909</v>
      </c>
    </row>
    <row r="680" spans="1:30">
      <c r="A680" s="1">
        <f t="shared" si="221"/>
        <v>54.75</v>
      </c>
      <c r="B680" s="1">
        <f t="shared" si="222"/>
        <v>657</v>
      </c>
      <c r="C680" s="2">
        <f t="shared" si="227"/>
        <v>54</v>
      </c>
      <c r="D680" s="2">
        <f t="shared" si="228"/>
        <v>9</v>
      </c>
      <c r="E680" s="2">
        <f t="shared" si="229"/>
        <v>83</v>
      </c>
      <c r="F680" s="1">
        <f t="shared" si="223"/>
        <v>1509996.1559947955</v>
      </c>
      <c r="H680" s="1">
        <f t="shared" si="216"/>
        <v>12040.921395007374</v>
      </c>
      <c r="I680" s="1">
        <v>0</v>
      </c>
      <c r="J680" s="69">
        <f>-SUM(F680:H680)*$J$21*1.16</f>
        <v>-15890.067087949543</v>
      </c>
      <c r="K680" s="1">
        <f t="shared" si="224"/>
        <v>-1747.1305319501496</v>
      </c>
      <c r="L680" s="1">
        <f t="shared" si="217"/>
        <v>1504399.8797699031</v>
      </c>
      <c r="N680" s="1">
        <f t="shared" si="225"/>
        <v>657</v>
      </c>
      <c r="O680" s="2">
        <f t="shared" si="230"/>
        <v>54</v>
      </c>
      <c r="P680" s="2">
        <f t="shared" si="231"/>
        <v>9</v>
      </c>
      <c r="Q680" s="2">
        <f t="shared" si="232"/>
        <v>54</v>
      </c>
      <c r="R680" s="1">
        <f t="shared" si="226"/>
        <v>108762979.05003957</v>
      </c>
      <c r="S680" s="4">
        <f>IF($G$4="mensual",S679,0)</f>
        <v>10000</v>
      </c>
      <c r="U680" s="1">
        <f t="shared" si="233"/>
        <v>867371.0098152227</v>
      </c>
      <c r="V680" s="35">
        <f t="shared" si="215"/>
        <v>-734.87467765865028</v>
      </c>
      <c r="X680" s="35">
        <f t="shared" si="214"/>
        <v>-127181.95361480546</v>
      </c>
      <c r="Y680" s="1">
        <f t="shared" si="218"/>
        <v>109512433.23156233</v>
      </c>
      <c r="AA680" s="2">
        <f>+Bono!J680</f>
        <v>940231.73035811936</v>
      </c>
      <c r="AC680" s="10">
        <f t="shared" si="219"/>
        <v>54.75</v>
      </c>
      <c r="AD680" s="1">
        <f t="shared" si="220"/>
        <v>111957064.84169036</v>
      </c>
    </row>
    <row r="681" spans="1:30">
      <c r="A681" s="1">
        <f t="shared" si="221"/>
        <v>54.833333333333336</v>
      </c>
      <c r="B681" s="1">
        <f t="shared" si="222"/>
        <v>658</v>
      </c>
      <c r="C681" s="2">
        <f t="shared" si="227"/>
        <v>54</v>
      </c>
      <c r="D681" s="2">
        <f t="shared" si="228"/>
        <v>10</v>
      </c>
      <c r="E681" s="2">
        <f t="shared" si="229"/>
        <v>83</v>
      </c>
      <c r="F681" s="1">
        <f t="shared" si="223"/>
        <v>1504399.8797699031</v>
      </c>
      <c r="H681" s="1">
        <f t="shared" si="216"/>
        <v>11996.295902511147</v>
      </c>
      <c r="I681" s="1">
        <v>0</v>
      </c>
      <c r="J681" s="1">
        <v>0</v>
      </c>
      <c r="K681" s="1">
        <f t="shared" si="224"/>
        <v>-1759.0195637800005</v>
      </c>
      <c r="L681" s="1">
        <f t="shared" si="217"/>
        <v>1514637.1561086343</v>
      </c>
      <c r="N681" s="1">
        <f t="shared" si="225"/>
        <v>658</v>
      </c>
      <c r="O681" s="2">
        <f t="shared" si="230"/>
        <v>54</v>
      </c>
      <c r="P681" s="2">
        <f t="shared" si="231"/>
        <v>10</v>
      </c>
      <c r="Q681" s="2">
        <f t="shared" si="232"/>
        <v>54</v>
      </c>
      <c r="R681" s="1">
        <f t="shared" si="226"/>
        <v>109512433.23156233</v>
      </c>
      <c r="S681" s="4">
        <f>IF($G$4="mensual",S672,IF($G$4="trimestral",S672,0))</f>
        <v>10000</v>
      </c>
      <c r="U681" s="1">
        <f t="shared" si="233"/>
        <v>873347.26270371431</v>
      </c>
      <c r="V681" s="35">
        <f t="shared" si="215"/>
        <v>-734.87467765865028</v>
      </c>
      <c r="X681" s="35">
        <f t="shared" si="214"/>
        <v>-128058.25291872252</v>
      </c>
      <c r="Y681" s="1">
        <f t="shared" si="218"/>
        <v>110266987.36666967</v>
      </c>
      <c r="AA681" s="2">
        <f>+Bono!J681</f>
        <v>946061.2761464701</v>
      </c>
      <c r="AC681" s="10">
        <f t="shared" si="219"/>
        <v>54.833333333333336</v>
      </c>
      <c r="AD681" s="1">
        <f t="shared" si="220"/>
        <v>112727685.79892477</v>
      </c>
    </row>
    <row r="682" spans="1:30">
      <c r="A682" s="1">
        <f t="shared" si="221"/>
        <v>54.916666666666664</v>
      </c>
      <c r="B682" s="1">
        <f t="shared" si="222"/>
        <v>659</v>
      </c>
      <c r="C682" s="2">
        <f t="shared" si="227"/>
        <v>54</v>
      </c>
      <c r="D682" s="2">
        <f t="shared" si="228"/>
        <v>11</v>
      </c>
      <c r="E682" s="2">
        <f t="shared" si="229"/>
        <v>83</v>
      </c>
      <c r="F682" s="1">
        <f t="shared" si="223"/>
        <v>1514637.1561086343</v>
      </c>
      <c r="H682" s="1">
        <f t="shared" si="216"/>
        <v>12077.929381645683</v>
      </c>
      <c r="I682" s="1">
        <v>0</v>
      </c>
      <c r="J682" s="1">
        <v>0</v>
      </c>
      <c r="K682" s="1">
        <f t="shared" si="224"/>
        <v>-1770.9894991687247</v>
      </c>
      <c r="L682" s="1">
        <f t="shared" si="217"/>
        <v>1524944.0959911114</v>
      </c>
      <c r="N682" s="1">
        <f t="shared" si="225"/>
        <v>659</v>
      </c>
      <c r="O682" s="2">
        <f t="shared" si="230"/>
        <v>54</v>
      </c>
      <c r="P682" s="2">
        <f t="shared" si="231"/>
        <v>11</v>
      </c>
      <c r="Q682" s="2">
        <f t="shared" si="232"/>
        <v>54</v>
      </c>
      <c r="R682" s="1">
        <f t="shared" si="226"/>
        <v>110266987.36666967</v>
      </c>
      <c r="S682" s="1">
        <f>IF($G$17="si",S670*(1+$G$20),S670)</f>
        <v>10000</v>
      </c>
      <c r="U682" s="1">
        <f t="shared" si="233"/>
        <v>879364.18333827029</v>
      </c>
      <c r="V682" s="35">
        <f t="shared" si="215"/>
        <v>-734.87467765865028</v>
      </c>
      <c r="X682" s="35">
        <f t="shared" si="214"/>
        <v>-128940.51534338311</v>
      </c>
      <c r="Y682" s="1">
        <f t="shared" si="218"/>
        <v>111026676.1599869</v>
      </c>
      <c r="AA682" s="2">
        <f>+Bono!J682</f>
        <v>951926.96579489415</v>
      </c>
      <c r="AC682" s="10">
        <f t="shared" si="219"/>
        <v>54.916666666666664</v>
      </c>
      <c r="AD682" s="1">
        <f t="shared" si="220"/>
        <v>113503547.22177289</v>
      </c>
    </row>
    <row r="683" spans="1:30">
      <c r="A683" s="1">
        <f t="shared" si="221"/>
        <v>55</v>
      </c>
      <c r="B683" s="1">
        <f t="shared" si="222"/>
        <v>660</v>
      </c>
      <c r="C683" s="2">
        <f t="shared" si="227"/>
        <v>54</v>
      </c>
      <c r="D683" s="2">
        <f t="shared" si="228"/>
        <v>12</v>
      </c>
      <c r="E683" s="2">
        <f t="shared" si="229"/>
        <v>83</v>
      </c>
      <c r="F683" s="1">
        <f t="shared" si="223"/>
        <v>1524944.0959911114</v>
      </c>
      <c r="H683" s="1">
        <f t="shared" si="216"/>
        <v>12160.118367660823</v>
      </c>
      <c r="I683" s="1">
        <v>0</v>
      </c>
      <c r="J683" s="69">
        <f>-SUM(F683:H683)*$J$21*1.16</f>
        <v>-16047.367997905581</v>
      </c>
      <c r="K683" s="1">
        <f t="shared" si="224"/>
        <v>-1764.4259417786054</v>
      </c>
      <c r="L683" s="1">
        <f t="shared" si="217"/>
        <v>1519292.4204190881</v>
      </c>
      <c r="N683" s="1">
        <f t="shared" si="225"/>
        <v>660</v>
      </c>
      <c r="O683" s="2">
        <f t="shared" si="230"/>
        <v>54</v>
      </c>
      <c r="P683" s="2">
        <f t="shared" si="231"/>
        <v>12</v>
      </c>
      <c r="Q683" s="2">
        <f t="shared" si="232"/>
        <v>54</v>
      </c>
      <c r="R683" s="1">
        <f t="shared" si="226"/>
        <v>111026676.1599869</v>
      </c>
      <c r="S683" s="4">
        <f>IF($G$4="mensual",S682,0)</f>
        <v>10000</v>
      </c>
      <c r="U683" s="1">
        <f t="shared" si="233"/>
        <v>885422.04845844628</v>
      </c>
      <c r="V683" s="35">
        <f t="shared" si="215"/>
        <v>-734.87467765865028</v>
      </c>
      <c r="X683" s="35">
        <f t="shared" ref="X683:X746" si="234">-SUM(R683:V683)*0.1%*1.16</f>
        <v>-129828.78146717051</v>
      </c>
      <c r="Y683" s="1">
        <f t="shared" si="218"/>
        <v>111791534.55230051</v>
      </c>
      <c r="AA683" s="2">
        <f>+Bono!J683</f>
        <v>949199.93309861969</v>
      </c>
      <c r="AC683" s="10">
        <f t="shared" si="219"/>
        <v>55</v>
      </c>
      <c r="AD683" s="1">
        <f t="shared" si="220"/>
        <v>114260026.90581821</v>
      </c>
    </row>
    <row r="684" spans="1:30">
      <c r="A684" s="1">
        <f t="shared" si="221"/>
        <v>55.083333333333336</v>
      </c>
      <c r="B684" s="1">
        <f t="shared" si="222"/>
        <v>661</v>
      </c>
      <c r="C684" s="2">
        <f t="shared" si="227"/>
        <v>55</v>
      </c>
      <c r="D684" s="2">
        <f t="shared" si="228"/>
        <v>1</v>
      </c>
      <c r="E684" s="2">
        <f t="shared" si="229"/>
        <v>84</v>
      </c>
      <c r="F684" s="1">
        <f t="shared" si="223"/>
        <v>1519292.4204190881</v>
      </c>
      <c r="H684" s="1">
        <f t="shared" si="216"/>
        <v>12115.051112990905</v>
      </c>
      <c r="I684" s="1">
        <v>0</v>
      </c>
      <c r="J684" s="1">
        <v>0</v>
      </c>
      <c r="K684" s="1">
        <f t="shared" si="224"/>
        <v>-1776.4326669772115</v>
      </c>
      <c r="L684" s="1">
        <f t="shared" si="217"/>
        <v>1529631.0388651018</v>
      </c>
      <c r="N684" s="1">
        <f t="shared" si="225"/>
        <v>661</v>
      </c>
      <c r="O684" s="2">
        <f t="shared" si="230"/>
        <v>55</v>
      </c>
      <c r="P684" s="2">
        <f t="shared" si="231"/>
        <v>1</v>
      </c>
      <c r="Q684" s="2">
        <f t="shared" si="232"/>
        <v>55</v>
      </c>
      <c r="R684" s="1">
        <f t="shared" si="226"/>
        <v>111791534.55230051</v>
      </c>
      <c r="S684" s="1">
        <f>IF($G$17="si",S672*(1+$G$20),S672)</f>
        <v>10000</v>
      </c>
      <c r="U684" s="1">
        <f t="shared" si="233"/>
        <v>891521.13668698061</v>
      </c>
      <c r="V684" s="35">
        <f>V683*(1+$G$18)</f>
        <v>-764.26966476499638</v>
      </c>
      <c r="X684" s="35">
        <f t="shared" si="234"/>
        <v>-130723.05804641436</v>
      </c>
      <c r="Y684" s="1">
        <f t="shared" si="218"/>
        <v>112561568.36127631</v>
      </c>
      <c r="AA684" s="2">
        <f>+Bono!J684</f>
        <v>955085.0827842087</v>
      </c>
      <c r="AC684" s="10">
        <f t="shared" si="219"/>
        <v>55.083333333333336</v>
      </c>
      <c r="AD684" s="1">
        <f t="shared" si="220"/>
        <v>115046284.48292562</v>
      </c>
    </row>
    <row r="685" spans="1:30">
      <c r="A685" s="1">
        <f t="shared" si="221"/>
        <v>55.166666666666664</v>
      </c>
      <c r="B685" s="1">
        <f t="shared" si="222"/>
        <v>662</v>
      </c>
      <c r="C685" s="2">
        <f t="shared" si="227"/>
        <v>55</v>
      </c>
      <c r="D685" s="2">
        <f t="shared" si="228"/>
        <v>2</v>
      </c>
      <c r="E685" s="2">
        <f t="shared" si="229"/>
        <v>84</v>
      </c>
      <c r="F685" s="1">
        <f t="shared" si="223"/>
        <v>1529631.0388651018</v>
      </c>
      <c r="H685" s="1">
        <f t="shared" si="216"/>
        <v>12197.492708320273</v>
      </c>
      <c r="I685" s="1">
        <v>0</v>
      </c>
      <c r="J685" s="1">
        <v>0</v>
      </c>
      <c r="K685" s="1">
        <f t="shared" si="224"/>
        <v>-1788.5210966251693</v>
      </c>
      <c r="L685" s="1">
        <f t="shared" si="217"/>
        <v>1540040.0104767969</v>
      </c>
      <c r="N685" s="1">
        <f t="shared" si="225"/>
        <v>662</v>
      </c>
      <c r="O685" s="2">
        <f t="shared" si="230"/>
        <v>55</v>
      </c>
      <c r="P685" s="2">
        <f t="shared" si="231"/>
        <v>2</v>
      </c>
      <c r="Q685" s="2">
        <f t="shared" si="232"/>
        <v>55</v>
      </c>
      <c r="R685" s="1">
        <f t="shared" si="226"/>
        <v>112561568.36127631</v>
      </c>
      <c r="S685" s="4">
        <f>IF($G$4="mensual",S684,0)</f>
        <v>10000</v>
      </c>
      <c r="U685" s="1">
        <f t="shared" si="233"/>
        <v>897661.49441475736</v>
      </c>
      <c r="V685" s="35">
        <f t="shared" si="215"/>
        <v>-764.26966476499638</v>
      </c>
      <c r="X685" s="35">
        <f t="shared" si="234"/>
        <v>-131623.42007979052</v>
      </c>
      <c r="Y685" s="1">
        <f t="shared" si="218"/>
        <v>113336842.16594651</v>
      </c>
      <c r="AA685" s="2">
        <f>+Bono!J685</f>
        <v>961006.72108048352</v>
      </c>
      <c r="AC685" s="10">
        <f t="shared" si="219"/>
        <v>55.166666666666664</v>
      </c>
      <c r="AD685" s="1">
        <f t="shared" si="220"/>
        <v>115837888.89750379</v>
      </c>
    </row>
    <row r="686" spans="1:30">
      <c r="A686" s="1">
        <f t="shared" si="221"/>
        <v>55.25</v>
      </c>
      <c r="B686" s="1">
        <f t="shared" si="222"/>
        <v>663</v>
      </c>
      <c r="C686" s="2">
        <f t="shared" si="227"/>
        <v>55</v>
      </c>
      <c r="D686" s="2">
        <f t="shared" si="228"/>
        <v>3</v>
      </c>
      <c r="E686" s="2">
        <f t="shared" si="229"/>
        <v>84</v>
      </c>
      <c r="F686" s="1">
        <f t="shared" si="223"/>
        <v>1540040.0104767969</v>
      </c>
      <c r="H686" s="1">
        <f t="shared" si="216"/>
        <v>12280.495309672402</v>
      </c>
      <c r="I686" s="1">
        <v>0</v>
      </c>
      <c r="J686" s="69">
        <f>-SUM(F686:H686)*$J$21*1.16</f>
        <v>-16206.226080410741</v>
      </c>
      <c r="K686" s="1">
        <f t="shared" si="224"/>
        <v>-1781.8925644590279</v>
      </c>
      <c r="L686" s="1">
        <f t="shared" si="217"/>
        <v>1534332.3871415996</v>
      </c>
      <c r="N686" s="1">
        <f t="shared" si="225"/>
        <v>663</v>
      </c>
      <c r="O686" s="2">
        <f t="shared" si="230"/>
        <v>55</v>
      </c>
      <c r="P686" s="2">
        <f t="shared" si="231"/>
        <v>3</v>
      </c>
      <c r="Q686" s="2">
        <f t="shared" si="232"/>
        <v>55</v>
      </c>
      <c r="R686" s="1">
        <f t="shared" si="226"/>
        <v>113336842.16594651</v>
      </c>
      <c r="S686" s="4">
        <f>IF($G$4="mensual",S685,0)</f>
        <v>10000</v>
      </c>
      <c r="U686" s="1">
        <f t="shared" si="233"/>
        <v>903843.63660404796</v>
      </c>
      <c r="V686" s="35">
        <f t="shared" si="215"/>
        <v>-764.26966476499638</v>
      </c>
      <c r="X686" s="35">
        <f t="shared" si="234"/>
        <v>-132529.90897814752</v>
      </c>
      <c r="Y686" s="1">
        <f t="shared" si="218"/>
        <v>114117391.62390764</v>
      </c>
      <c r="AA686" s="2">
        <f>+Bono!J686</f>
        <v>958253.67715600808</v>
      </c>
      <c r="AC686" s="10">
        <f t="shared" si="219"/>
        <v>55.25</v>
      </c>
      <c r="AD686" s="1">
        <f t="shared" si="220"/>
        <v>116609977.68820524</v>
      </c>
    </row>
    <row r="687" spans="1:30">
      <c r="A687" s="1">
        <f t="shared" si="221"/>
        <v>55.333333333333336</v>
      </c>
      <c r="B687" s="1">
        <f t="shared" si="222"/>
        <v>664</v>
      </c>
      <c r="C687" s="2">
        <f t="shared" si="227"/>
        <v>55</v>
      </c>
      <c r="D687" s="2">
        <f t="shared" si="228"/>
        <v>4</v>
      </c>
      <c r="E687" s="2">
        <f t="shared" si="229"/>
        <v>84</v>
      </c>
      <c r="F687" s="1">
        <f t="shared" si="223"/>
        <v>1534332.3871415996</v>
      </c>
      <c r="H687" s="1">
        <f t="shared" si="216"/>
        <v>12234.981919682252</v>
      </c>
      <c r="I687" s="1">
        <v>0</v>
      </c>
      <c r="J687" s="1">
        <v>0</v>
      </c>
      <c r="K687" s="1">
        <f t="shared" si="224"/>
        <v>-1794.0181481110869</v>
      </c>
      <c r="L687" s="1">
        <f t="shared" si="217"/>
        <v>1544773.3509131707</v>
      </c>
      <c r="N687" s="1">
        <f t="shared" si="225"/>
        <v>664</v>
      </c>
      <c r="O687" s="2">
        <f t="shared" si="230"/>
        <v>55</v>
      </c>
      <c r="P687" s="2">
        <f t="shared" si="231"/>
        <v>4</v>
      </c>
      <c r="Q687" s="2">
        <f t="shared" si="232"/>
        <v>55</v>
      </c>
      <c r="R687" s="1">
        <f t="shared" si="226"/>
        <v>114117391.62390764</v>
      </c>
      <c r="S687" s="4">
        <f>IF($G$4="mensual",S684,IF($G$4="trimestral",S684,0))</f>
        <v>10000</v>
      </c>
      <c r="U687" s="1">
        <f t="shared" si="233"/>
        <v>910067.84759353474</v>
      </c>
      <c r="V687" s="35">
        <f t="shared" si="215"/>
        <v>-764.26966476499638</v>
      </c>
      <c r="X687" s="35">
        <f t="shared" si="234"/>
        <v>-133442.56643413022</v>
      </c>
      <c r="Y687" s="1">
        <f t="shared" si="218"/>
        <v>114903252.63540228</v>
      </c>
      <c r="AA687" s="2">
        <f>+Bono!J687</f>
        <v>964194.96110492223</v>
      </c>
      <c r="AC687" s="10">
        <f t="shared" si="219"/>
        <v>55.333333333333336</v>
      </c>
      <c r="AD687" s="1">
        <f t="shared" si="220"/>
        <v>117412220.94742037</v>
      </c>
    </row>
    <row r="688" spans="1:30">
      <c r="A688" s="1">
        <f t="shared" si="221"/>
        <v>55.416666666666664</v>
      </c>
      <c r="B688" s="1">
        <f t="shared" si="222"/>
        <v>665</v>
      </c>
      <c r="C688" s="2">
        <f t="shared" si="227"/>
        <v>55</v>
      </c>
      <c r="D688" s="2">
        <f t="shared" si="228"/>
        <v>5</v>
      </c>
      <c r="E688" s="2">
        <f t="shared" si="229"/>
        <v>84</v>
      </c>
      <c r="F688" s="1">
        <f t="shared" si="223"/>
        <v>1544773.3509131707</v>
      </c>
      <c r="H688" s="1">
        <f t="shared" si="216"/>
        <v>12318.239631009856</v>
      </c>
      <c r="I688" s="1">
        <v>0</v>
      </c>
      <c r="J688" s="1">
        <v>0</v>
      </c>
      <c r="K688" s="1">
        <f t="shared" si="224"/>
        <v>-1806.2262450312492</v>
      </c>
      <c r="L688" s="1">
        <f t="shared" si="217"/>
        <v>1555285.3642991493</v>
      </c>
      <c r="N688" s="1">
        <f t="shared" si="225"/>
        <v>665</v>
      </c>
      <c r="O688" s="2">
        <f t="shared" si="230"/>
        <v>55</v>
      </c>
      <c r="P688" s="2">
        <f t="shared" si="231"/>
        <v>5</v>
      </c>
      <c r="Q688" s="2">
        <f t="shared" si="232"/>
        <v>55</v>
      </c>
      <c r="R688" s="1">
        <f t="shared" si="226"/>
        <v>114903252.63540228</v>
      </c>
      <c r="S688" s="4">
        <f>IF($G$4="mensual",S687,0)</f>
        <v>10000</v>
      </c>
      <c r="U688" s="1">
        <f t="shared" si="233"/>
        <v>916334.4136567933</v>
      </c>
      <c r="V688" s="35">
        <f t="shared" si="215"/>
        <v>-764.26966476499638</v>
      </c>
      <c r="X688" s="35">
        <f t="shared" si="234"/>
        <v>-134361.43442409739</v>
      </c>
      <c r="Y688" s="1">
        <f t="shared" si="218"/>
        <v>115694461.3449702</v>
      </c>
      <c r="AA688" s="2">
        <f>+Bono!J688</f>
        <v>970173.0817034659</v>
      </c>
      <c r="AC688" s="10">
        <f t="shared" si="219"/>
        <v>55.416666666666664</v>
      </c>
      <c r="AD688" s="1">
        <f t="shared" si="220"/>
        <v>118219919.79097281</v>
      </c>
    </row>
    <row r="689" spans="1:30">
      <c r="A689" s="1">
        <f t="shared" si="221"/>
        <v>55.5</v>
      </c>
      <c r="B689" s="1">
        <f t="shared" si="222"/>
        <v>666</v>
      </c>
      <c r="C689" s="2">
        <f t="shared" si="227"/>
        <v>55</v>
      </c>
      <c r="D689" s="2">
        <f t="shared" si="228"/>
        <v>6</v>
      </c>
      <c r="E689" s="2">
        <f t="shared" si="229"/>
        <v>84</v>
      </c>
      <c r="F689" s="1">
        <f t="shared" si="223"/>
        <v>1555285.3642991493</v>
      </c>
      <c r="H689" s="1">
        <f t="shared" si="216"/>
        <v>12402.063901940166</v>
      </c>
      <c r="I689" s="1">
        <v>0</v>
      </c>
      <c r="J689" s="69">
        <f>-SUM(F689:H689)*$J$21*1.16</f>
        <v>-16366.656750419374</v>
      </c>
      <c r="K689" s="1">
        <f t="shared" si="224"/>
        <v>-1799.5320948827771</v>
      </c>
      <c r="L689" s="1">
        <f t="shared" si="217"/>
        <v>1549521.2393557872</v>
      </c>
      <c r="N689" s="1">
        <f t="shared" si="225"/>
        <v>666</v>
      </c>
      <c r="O689" s="2">
        <f t="shared" si="230"/>
        <v>55</v>
      </c>
      <c r="P689" s="2">
        <f t="shared" si="231"/>
        <v>6</v>
      </c>
      <c r="Q689" s="2">
        <f t="shared" si="232"/>
        <v>55</v>
      </c>
      <c r="R689" s="1">
        <f t="shared" si="226"/>
        <v>115694461.3449702</v>
      </c>
      <c r="S689" s="4">
        <f>IF($G$4="mensual",S688,0)</f>
        <v>10000</v>
      </c>
      <c r="U689" s="1">
        <f t="shared" si="233"/>
        <v>922643.62301545963</v>
      </c>
      <c r="V689" s="35">
        <f t="shared" si="215"/>
        <v>-764.26966476499638</v>
      </c>
      <c r="X689" s="35">
        <f t="shared" si="234"/>
        <v>-135286.55521005223</v>
      </c>
      <c r="Y689" s="1">
        <f t="shared" si="218"/>
        <v>116491054.14311084</v>
      </c>
      <c r="AA689" s="2">
        <f>+Bono!J689</f>
        <v>967393.77844815643</v>
      </c>
      <c r="AC689" s="10">
        <f t="shared" si="219"/>
        <v>55.5</v>
      </c>
      <c r="AD689" s="1">
        <f t="shared" si="220"/>
        <v>119007969.16091478</v>
      </c>
    </row>
    <row r="690" spans="1:30">
      <c r="A690" s="1">
        <f t="shared" si="221"/>
        <v>55.583333333333336</v>
      </c>
      <c r="B690" s="1">
        <f t="shared" si="222"/>
        <v>667</v>
      </c>
      <c r="C690" s="2">
        <f t="shared" si="227"/>
        <v>55</v>
      </c>
      <c r="D690" s="2">
        <f t="shared" si="228"/>
        <v>7</v>
      </c>
      <c r="E690" s="2">
        <f t="shared" si="229"/>
        <v>84</v>
      </c>
      <c r="F690" s="1">
        <f t="shared" si="223"/>
        <v>1549521.2393557872</v>
      </c>
      <c r="H690" s="1">
        <f t="shared" si="216"/>
        <v>12356.099960192048</v>
      </c>
      <c r="I690" s="1">
        <v>0</v>
      </c>
      <c r="J690" s="1">
        <v>0</v>
      </c>
      <c r="K690" s="1">
        <f t="shared" si="224"/>
        <v>-1811.7777136065358</v>
      </c>
      <c r="L690" s="1">
        <f t="shared" si="217"/>
        <v>1560065.5616023727</v>
      </c>
      <c r="N690" s="1">
        <f t="shared" si="225"/>
        <v>667</v>
      </c>
      <c r="O690" s="2">
        <f t="shared" si="230"/>
        <v>55</v>
      </c>
      <c r="P690" s="2">
        <f t="shared" si="231"/>
        <v>7</v>
      </c>
      <c r="Q690" s="2">
        <f t="shared" si="232"/>
        <v>55</v>
      </c>
      <c r="R690" s="1">
        <f t="shared" si="226"/>
        <v>116491054.14311084</v>
      </c>
      <c r="S690" s="1">
        <f>+IF($G$4="mensual",S684,IF($G$4="trimestral",S684,IF($G$4="semestral",S684,0)))</f>
        <v>10000</v>
      </c>
      <c r="U690" s="1">
        <f t="shared" si="233"/>
        <v>928995.7658524866</v>
      </c>
      <c r="V690" s="35">
        <f t="shared" si="215"/>
        <v>-764.26966476499638</v>
      </c>
      <c r="X690" s="35">
        <f t="shared" si="234"/>
        <v>-136217.97134158632</v>
      </c>
      <c r="Y690" s="1">
        <f t="shared" si="218"/>
        <v>117293067.66795698</v>
      </c>
      <c r="AA690" s="2">
        <f>+Bono!J690</f>
        <v>973391.73208526801</v>
      </c>
      <c r="AC690" s="10">
        <f t="shared" si="219"/>
        <v>55.583333333333336</v>
      </c>
      <c r="AD690" s="1">
        <f t="shared" si="220"/>
        <v>119826524.96164462</v>
      </c>
    </row>
    <row r="691" spans="1:30">
      <c r="A691" s="1">
        <f t="shared" si="221"/>
        <v>55.666666666666664</v>
      </c>
      <c r="B691" s="1">
        <f t="shared" si="222"/>
        <v>668</v>
      </c>
      <c r="C691" s="2">
        <f t="shared" si="227"/>
        <v>55</v>
      </c>
      <c r="D691" s="2">
        <f t="shared" si="228"/>
        <v>8</v>
      </c>
      <c r="E691" s="2">
        <f t="shared" si="229"/>
        <v>84</v>
      </c>
      <c r="F691" s="1">
        <f t="shared" si="223"/>
        <v>1560065.5616023727</v>
      </c>
      <c r="H691" s="1">
        <f t="shared" si="216"/>
        <v>12440.181866513936</v>
      </c>
      <c r="I691" s="1">
        <v>0</v>
      </c>
      <c r="J691" s="1">
        <v>0</v>
      </c>
      <c r="K691" s="1">
        <f t="shared" si="224"/>
        <v>-1824.1066624239086</v>
      </c>
      <c r="L691" s="1">
        <f t="shared" si="217"/>
        <v>1570681.6368064629</v>
      </c>
      <c r="N691" s="1">
        <f t="shared" si="225"/>
        <v>668</v>
      </c>
      <c r="O691" s="2">
        <f t="shared" si="230"/>
        <v>55</v>
      </c>
      <c r="P691" s="2">
        <f t="shared" si="231"/>
        <v>8</v>
      </c>
      <c r="Q691" s="2">
        <f t="shared" si="232"/>
        <v>55</v>
      </c>
      <c r="R691" s="1">
        <f t="shared" si="226"/>
        <v>117293067.66795698</v>
      </c>
      <c r="S691" s="4">
        <f>IF($G$4="mensual",S690,0)</f>
        <v>10000</v>
      </c>
      <c r="U691" s="1">
        <f t="shared" si="233"/>
        <v>935391.13432548975</v>
      </c>
      <c r="V691" s="35">
        <f t="shared" si="215"/>
        <v>-764.26966476499638</v>
      </c>
      <c r="X691" s="35">
        <f t="shared" si="234"/>
        <v>-137155.72565783653</v>
      </c>
      <c r="Y691" s="1">
        <f t="shared" si="218"/>
        <v>118100538.80695987</v>
      </c>
      <c r="AA691" s="2">
        <f>+Bono!J691</f>
        <v>979426.87373064912</v>
      </c>
      <c r="AC691" s="10">
        <f t="shared" si="219"/>
        <v>55.666666666666664</v>
      </c>
      <c r="AD691" s="1">
        <f t="shared" si="220"/>
        <v>120650647.31749697</v>
      </c>
    </row>
    <row r="692" spans="1:30">
      <c r="A692" s="1">
        <f t="shared" si="221"/>
        <v>55.75</v>
      </c>
      <c r="B692" s="1">
        <f t="shared" si="222"/>
        <v>669</v>
      </c>
      <c r="C692" s="2">
        <f t="shared" si="227"/>
        <v>55</v>
      </c>
      <c r="D692" s="2">
        <f t="shared" si="228"/>
        <v>9</v>
      </c>
      <c r="E692" s="2">
        <f t="shared" si="229"/>
        <v>84</v>
      </c>
      <c r="F692" s="1">
        <f t="shared" si="223"/>
        <v>1570681.6368064629</v>
      </c>
      <c r="H692" s="1">
        <f t="shared" si="216"/>
        <v>12524.835940995155</v>
      </c>
      <c r="I692" s="1">
        <v>0</v>
      </c>
      <c r="J692" s="69">
        <f>-SUM(F692:H692)*$J$21*1.16</f>
        <v>-16528.675575483463</v>
      </c>
      <c r="K692" s="1">
        <f t="shared" si="224"/>
        <v>-1817.3462447194906</v>
      </c>
      <c r="L692" s="1">
        <f t="shared" si="217"/>
        <v>1564860.4509272552</v>
      </c>
      <c r="N692" s="1">
        <f t="shared" si="225"/>
        <v>669</v>
      </c>
      <c r="O692" s="2">
        <f t="shared" si="230"/>
        <v>55</v>
      </c>
      <c r="P692" s="2">
        <f t="shared" si="231"/>
        <v>9</v>
      </c>
      <c r="Q692" s="2">
        <f t="shared" si="232"/>
        <v>55</v>
      </c>
      <c r="R692" s="1">
        <f t="shared" si="226"/>
        <v>118100538.80695987</v>
      </c>
      <c r="S692" s="4">
        <f>IF($G$4="mensual",S691,0)</f>
        <v>10000</v>
      </c>
      <c r="U692" s="1">
        <f t="shared" si="233"/>
        <v>941830.02258018567</v>
      </c>
      <c r="V692" s="35">
        <f t="shared" si="215"/>
        <v>-764.26966476499638</v>
      </c>
      <c r="X692" s="35">
        <f t="shared" si="234"/>
        <v>-138099.86128945532</v>
      </c>
      <c r="Y692" s="1">
        <f t="shared" si="218"/>
        <v>118913504.69858584</v>
      </c>
      <c r="AA692" s="2">
        <f>+Bono!J692</f>
        <v>976621.06067539752</v>
      </c>
      <c r="AC692" s="10">
        <f t="shared" si="219"/>
        <v>55.75</v>
      </c>
      <c r="AD692" s="1">
        <f t="shared" si="220"/>
        <v>121454986.21018849</v>
      </c>
    </row>
    <row r="693" spans="1:30">
      <c r="A693" s="1">
        <f t="shared" si="221"/>
        <v>55.833333333333336</v>
      </c>
      <c r="B693" s="1">
        <f t="shared" si="222"/>
        <v>670</v>
      </c>
      <c r="C693" s="2">
        <f t="shared" si="227"/>
        <v>55</v>
      </c>
      <c r="D693" s="2">
        <f t="shared" si="228"/>
        <v>10</v>
      </c>
      <c r="E693" s="2">
        <f t="shared" si="229"/>
        <v>84</v>
      </c>
      <c r="F693" s="1">
        <f t="shared" si="223"/>
        <v>1564860.4509272552</v>
      </c>
      <c r="H693" s="1">
        <f t="shared" si="216"/>
        <v>12478.4169873316</v>
      </c>
      <c r="I693" s="1">
        <v>0</v>
      </c>
      <c r="J693" s="1">
        <v>0</v>
      </c>
      <c r="K693" s="1">
        <f t="shared" si="224"/>
        <v>-1829.7130867809208</v>
      </c>
      <c r="L693" s="1">
        <f t="shared" si="217"/>
        <v>1575509.1548278059</v>
      </c>
      <c r="N693" s="1">
        <f t="shared" si="225"/>
        <v>670</v>
      </c>
      <c r="O693" s="2">
        <f t="shared" si="230"/>
        <v>55</v>
      </c>
      <c r="P693" s="2">
        <f t="shared" si="231"/>
        <v>10</v>
      </c>
      <c r="Q693" s="2">
        <f t="shared" si="232"/>
        <v>55</v>
      </c>
      <c r="R693" s="1">
        <f t="shared" si="226"/>
        <v>118913504.69858584</v>
      </c>
      <c r="S693" s="4">
        <f>IF($G$4="mensual",S684,IF($G$4="trimestral",S684,0))</f>
        <v>10000</v>
      </c>
      <c r="U693" s="1">
        <f t="shared" si="233"/>
        <v>948312.72676392016</v>
      </c>
      <c r="V693" s="35">
        <f t="shared" si="215"/>
        <v>-764.26966476499638</v>
      </c>
      <c r="X693" s="35">
        <f t="shared" si="234"/>
        <v>-139050.42166059458</v>
      </c>
      <c r="Y693" s="1">
        <f t="shared" si="218"/>
        <v>119732002.73402441</v>
      </c>
      <c r="AA693" s="2">
        <f>+Bono!J693</f>
        <v>982676.22453261644</v>
      </c>
      <c r="AC693" s="10">
        <f t="shared" si="219"/>
        <v>55.833333333333336</v>
      </c>
      <c r="AD693" s="1">
        <f t="shared" si="220"/>
        <v>122290188.11338483</v>
      </c>
    </row>
    <row r="694" spans="1:30">
      <c r="A694" s="1">
        <f t="shared" si="221"/>
        <v>55.916666666666664</v>
      </c>
      <c r="B694" s="1">
        <f t="shared" si="222"/>
        <v>671</v>
      </c>
      <c r="C694" s="2">
        <f t="shared" si="227"/>
        <v>55</v>
      </c>
      <c r="D694" s="2">
        <f t="shared" si="228"/>
        <v>11</v>
      </c>
      <c r="E694" s="2">
        <f t="shared" si="229"/>
        <v>84</v>
      </c>
      <c r="F694" s="1">
        <f t="shared" si="223"/>
        <v>1575509.1548278059</v>
      </c>
      <c r="H694" s="1">
        <f t="shared" si="216"/>
        <v>12563.331247620408</v>
      </c>
      <c r="I694" s="1">
        <v>0</v>
      </c>
      <c r="J694" s="1">
        <v>0</v>
      </c>
      <c r="K694" s="1">
        <f t="shared" si="224"/>
        <v>-1842.1640838474946</v>
      </c>
      <c r="L694" s="1">
        <f t="shared" si="217"/>
        <v>1586230.3219915789</v>
      </c>
      <c r="N694" s="1">
        <f t="shared" si="225"/>
        <v>671</v>
      </c>
      <c r="O694" s="2">
        <f t="shared" si="230"/>
        <v>55</v>
      </c>
      <c r="P694" s="2">
        <f t="shared" si="231"/>
        <v>11</v>
      </c>
      <c r="Q694" s="2">
        <f t="shared" si="232"/>
        <v>55</v>
      </c>
      <c r="R694" s="1">
        <f t="shared" si="226"/>
        <v>119732002.73402441</v>
      </c>
      <c r="S694" s="1">
        <f>IF($G$17="si",S682*(1+$G$20),S682)</f>
        <v>10000</v>
      </c>
      <c r="U694" s="1">
        <f t="shared" si="233"/>
        <v>954839.54503928905</v>
      </c>
      <c r="V694" s="35">
        <f t="shared" si="215"/>
        <v>-764.26966476499638</v>
      </c>
      <c r="X694" s="35">
        <f t="shared" si="234"/>
        <v>-140007.45049090276</v>
      </c>
      <c r="Y694" s="1">
        <f t="shared" si="218"/>
        <v>120556070.55890803</v>
      </c>
      <c r="AA694" s="2">
        <f>+Bono!J694</f>
        <v>988768.93110810558</v>
      </c>
      <c r="AC694" s="10">
        <f t="shared" si="219"/>
        <v>55.916666666666664</v>
      </c>
      <c r="AD694" s="1">
        <f t="shared" si="220"/>
        <v>123131069.81200771</v>
      </c>
    </row>
    <row r="695" spans="1:30">
      <c r="A695" s="1">
        <f t="shared" si="221"/>
        <v>56</v>
      </c>
      <c r="B695" s="1">
        <f t="shared" si="222"/>
        <v>672</v>
      </c>
      <c r="C695" s="2">
        <f t="shared" si="227"/>
        <v>55</v>
      </c>
      <c r="D695" s="2">
        <f t="shared" si="228"/>
        <v>12</v>
      </c>
      <c r="E695" s="2">
        <f t="shared" si="229"/>
        <v>84</v>
      </c>
      <c r="F695" s="1">
        <f t="shared" si="223"/>
        <v>1586230.3219915789</v>
      </c>
      <c r="H695" s="1">
        <f t="shared" si="216"/>
        <v>12648.823340146086</v>
      </c>
      <c r="I695" s="1">
        <v>0</v>
      </c>
      <c r="J695" s="69">
        <f>-SUM(F695:H695)*$J$21*1.16</f>
        <v>-16692.298277263209</v>
      </c>
      <c r="K695" s="1">
        <f t="shared" si="224"/>
        <v>-1835.3367425831757</v>
      </c>
      <c r="L695" s="1">
        <f t="shared" si="217"/>
        <v>1580351.5103118785</v>
      </c>
      <c r="N695" s="1">
        <f t="shared" si="225"/>
        <v>672</v>
      </c>
      <c r="O695" s="2">
        <f t="shared" si="230"/>
        <v>55</v>
      </c>
      <c r="P695" s="2">
        <f t="shared" si="231"/>
        <v>12</v>
      </c>
      <c r="Q695" s="2">
        <f t="shared" si="232"/>
        <v>55</v>
      </c>
      <c r="R695" s="1">
        <f t="shared" si="226"/>
        <v>120556070.55890803</v>
      </c>
      <c r="S695" s="4">
        <f>IF($G$4="mensual",S694,0)</f>
        <v>10000</v>
      </c>
      <c r="U695" s="1">
        <f t="shared" si="233"/>
        <v>961410.7775978524</v>
      </c>
      <c r="V695" s="35">
        <f t="shared" si="215"/>
        <v>-764.26966476499638</v>
      </c>
      <c r="X695" s="35">
        <f t="shared" si="234"/>
        <v>-140970.99179753571</v>
      </c>
      <c r="Y695" s="1">
        <f t="shared" si="218"/>
        <v>121385746.07504359</v>
      </c>
      <c r="AA695" s="2">
        <f>+Bono!J695</f>
        <v>985936.35539475712</v>
      </c>
      <c r="AC695" s="10">
        <f t="shared" si="219"/>
        <v>56</v>
      </c>
      <c r="AD695" s="1">
        <f t="shared" si="220"/>
        <v>123952033.94075021</v>
      </c>
    </row>
    <row r="696" spans="1:30">
      <c r="A696" s="1">
        <f t="shared" si="221"/>
        <v>56.083333333333336</v>
      </c>
      <c r="B696" s="1">
        <f t="shared" si="222"/>
        <v>673</v>
      </c>
      <c r="C696" s="2">
        <f t="shared" si="227"/>
        <v>56</v>
      </c>
      <c r="D696" s="2">
        <f t="shared" si="228"/>
        <v>1</v>
      </c>
      <c r="E696" s="2">
        <f t="shared" si="229"/>
        <v>85</v>
      </c>
      <c r="F696" s="1">
        <f t="shared" si="223"/>
        <v>1580351.5103118785</v>
      </c>
      <c r="H696" s="1">
        <f t="shared" si="216"/>
        <v>12601.944870257075</v>
      </c>
      <c r="I696" s="1">
        <v>0</v>
      </c>
      <c r="J696" s="1">
        <v>0</v>
      </c>
      <c r="K696" s="1">
        <f t="shared" si="224"/>
        <v>-1847.8260080112773</v>
      </c>
      <c r="L696" s="1">
        <f t="shared" si="217"/>
        <v>1591105.6291741242</v>
      </c>
      <c r="N696" s="1">
        <f t="shared" si="225"/>
        <v>673</v>
      </c>
      <c r="O696" s="2">
        <f t="shared" si="230"/>
        <v>56</v>
      </c>
      <c r="P696" s="2">
        <f t="shared" si="231"/>
        <v>1</v>
      </c>
      <c r="Q696" s="2">
        <f t="shared" si="232"/>
        <v>56</v>
      </c>
      <c r="R696" s="1">
        <f t="shared" si="226"/>
        <v>121385746.07504359</v>
      </c>
      <c r="S696" s="1">
        <f>IF($G$17="si",S684*(1+$G$20),S684)</f>
        <v>10000</v>
      </c>
      <c r="U696" s="1">
        <f t="shared" si="233"/>
        <v>968026.72667394055</v>
      </c>
      <c r="V696" s="35">
        <f>V695*(1+$G$18)</f>
        <v>-794.84045135559631</v>
      </c>
      <c r="X696" s="35">
        <f t="shared" si="234"/>
        <v>-141941.05443506877</v>
      </c>
      <c r="Y696" s="1">
        <f t="shared" si="218"/>
        <v>122221036.9068311</v>
      </c>
      <c r="AA696" s="2">
        <f>+Bono!J696</f>
        <v>992049.27515974338</v>
      </c>
      <c r="AC696" s="10">
        <f t="shared" si="219"/>
        <v>56.083333333333336</v>
      </c>
      <c r="AD696" s="1">
        <f t="shared" si="220"/>
        <v>124804191.81116498</v>
      </c>
    </row>
    <row r="697" spans="1:30">
      <c r="A697" s="1">
        <f t="shared" si="221"/>
        <v>56.166666666666664</v>
      </c>
      <c r="B697" s="1">
        <f t="shared" si="222"/>
        <v>674</v>
      </c>
      <c r="C697" s="2">
        <f t="shared" si="227"/>
        <v>56</v>
      </c>
      <c r="D697" s="2">
        <f t="shared" si="228"/>
        <v>2</v>
      </c>
      <c r="E697" s="2">
        <f t="shared" si="229"/>
        <v>85</v>
      </c>
      <c r="F697" s="1">
        <f t="shared" si="223"/>
        <v>1591105.6291741242</v>
      </c>
      <c r="H697" s="1">
        <f t="shared" si="216"/>
        <v>12687.699724253745</v>
      </c>
      <c r="I697" s="1">
        <v>0</v>
      </c>
      <c r="J697" s="1">
        <v>0</v>
      </c>
      <c r="K697" s="1">
        <f t="shared" si="224"/>
        <v>-1860.4002615221182</v>
      </c>
      <c r="L697" s="1">
        <f t="shared" si="217"/>
        <v>1601932.9286368559</v>
      </c>
      <c r="N697" s="1">
        <f t="shared" si="225"/>
        <v>674</v>
      </c>
      <c r="O697" s="2">
        <f t="shared" si="230"/>
        <v>56</v>
      </c>
      <c r="P697" s="2">
        <f t="shared" si="231"/>
        <v>2</v>
      </c>
      <c r="Q697" s="2">
        <f t="shared" si="232"/>
        <v>56</v>
      </c>
      <c r="R697" s="1">
        <f t="shared" si="226"/>
        <v>122221036.9068311</v>
      </c>
      <c r="S697" s="4">
        <f>IF($G$4="mensual",S696,0)</f>
        <v>10000</v>
      </c>
      <c r="U697" s="1">
        <f t="shared" si="233"/>
        <v>974687.45306559</v>
      </c>
      <c r="V697" s="35">
        <f t="shared" si="215"/>
        <v>-794.84045135559631</v>
      </c>
      <c r="X697" s="35">
        <f t="shared" si="234"/>
        <v>-142917.71824255658</v>
      </c>
      <c r="Y697" s="1">
        <f t="shared" si="218"/>
        <v>123062011.80120277</v>
      </c>
      <c r="AA697" s="2">
        <f>+Bono!J697</f>
        <v>998200.09573632735</v>
      </c>
      <c r="AC697" s="10">
        <f t="shared" si="219"/>
        <v>56.166666666666664</v>
      </c>
      <c r="AD697" s="1">
        <f t="shared" si="220"/>
        <v>125662144.82557595</v>
      </c>
    </row>
    <row r="698" spans="1:30">
      <c r="A698" s="1">
        <f t="shared" si="221"/>
        <v>56.25</v>
      </c>
      <c r="B698" s="1">
        <f t="shared" si="222"/>
        <v>675</v>
      </c>
      <c r="C698" s="2">
        <f t="shared" si="227"/>
        <v>56</v>
      </c>
      <c r="D698" s="2">
        <f t="shared" si="228"/>
        <v>3</v>
      </c>
      <c r="E698" s="2">
        <f t="shared" si="229"/>
        <v>85</v>
      </c>
      <c r="F698" s="1">
        <f t="shared" si="223"/>
        <v>1601932.9286368559</v>
      </c>
      <c r="H698" s="1">
        <f t="shared" si="216"/>
        <v>12774.038130635361</v>
      </c>
      <c r="I698" s="1">
        <v>0</v>
      </c>
      <c r="J698" s="69">
        <f>-SUM(F698:H698)*$J$21*1.16</f>
        <v>-16857.54073305261</v>
      </c>
      <c r="K698" s="1">
        <f t="shared" si="224"/>
        <v>-1853.5053341999487</v>
      </c>
      <c r="L698" s="1">
        <f t="shared" si="217"/>
        <v>1595995.9207002388</v>
      </c>
      <c r="N698" s="1">
        <f t="shared" si="225"/>
        <v>675</v>
      </c>
      <c r="O698" s="2">
        <f t="shared" si="230"/>
        <v>56</v>
      </c>
      <c r="P698" s="2">
        <f t="shared" si="231"/>
        <v>3</v>
      </c>
      <c r="Q698" s="2">
        <f t="shared" si="232"/>
        <v>56</v>
      </c>
      <c r="R698" s="1">
        <f t="shared" si="226"/>
        <v>123062011.80120277</v>
      </c>
      <c r="S698" s="4">
        <f>IF($G$4="mensual",S697,0)</f>
        <v>10000</v>
      </c>
      <c r="U698" s="1">
        <f t="shared" si="233"/>
        <v>981393.50497049221</v>
      </c>
      <c r="V698" s="35">
        <f t="shared" si="215"/>
        <v>-794.84045135559631</v>
      </c>
      <c r="X698" s="35">
        <f t="shared" si="234"/>
        <v>-143901.02814023741</v>
      </c>
      <c r="Y698" s="1">
        <f t="shared" si="218"/>
        <v>123908709.43758167</v>
      </c>
      <c r="AA698" s="2">
        <f>+Bono!J698</f>
        <v>995340.50209489267</v>
      </c>
      <c r="AC698" s="10">
        <f t="shared" si="219"/>
        <v>56.25</v>
      </c>
      <c r="AD698" s="1">
        <f t="shared" si="220"/>
        <v>126500045.86037681</v>
      </c>
    </row>
    <row r="699" spans="1:30">
      <c r="A699" s="1">
        <f t="shared" si="221"/>
        <v>56.333333333333336</v>
      </c>
      <c r="B699" s="1">
        <f t="shared" si="222"/>
        <v>676</v>
      </c>
      <c r="C699" s="2">
        <f t="shared" si="227"/>
        <v>56</v>
      </c>
      <c r="D699" s="2">
        <f t="shared" si="228"/>
        <v>4</v>
      </c>
      <c r="E699" s="2">
        <f t="shared" si="229"/>
        <v>85</v>
      </c>
      <c r="F699" s="1">
        <f t="shared" si="223"/>
        <v>1595995.9207002388</v>
      </c>
      <c r="H699" s="1">
        <f t="shared" si="216"/>
        <v>12726.695595621261</v>
      </c>
      <c r="I699" s="1">
        <v>0</v>
      </c>
      <c r="J699" s="1">
        <v>0</v>
      </c>
      <c r="K699" s="1">
        <f t="shared" si="224"/>
        <v>-1866.1182349031978</v>
      </c>
      <c r="L699" s="1">
        <f t="shared" si="217"/>
        <v>1606856.4980609571</v>
      </c>
      <c r="N699" s="1">
        <f t="shared" si="225"/>
        <v>676</v>
      </c>
      <c r="O699" s="2">
        <f t="shared" si="230"/>
        <v>56</v>
      </c>
      <c r="P699" s="2">
        <f t="shared" si="231"/>
        <v>4</v>
      </c>
      <c r="Q699" s="2">
        <f t="shared" si="232"/>
        <v>56</v>
      </c>
      <c r="R699" s="1">
        <f t="shared" si="226"/>
        <v>123908709.43758167</v>
      </c>
      <c r="S699" s="4">
        <f>IF($G$4="mensual",S696,IF($G$4="trimestral",S696,0))</f>
        <v>10000</v>
      </c>
      <c r="U699" s="1">
        <f t="shared" si="233"/>
        <v>988145.19082379842</v>
      </c>
      <c r="V699" s="35">
        <f t="shared" si="215"/>
        <v>-794.84045135559631</v>
      </c>
      <c r="X699" s="35">
        <f t="shared" si="234"/>
        <v>-144891.02935402677</v>
      </c>
      <c r="Y699" s="1">
        <f t="shared" si="218"/>
        <v>124761168.75860009</v>
      </c>
      <c r="AA699" s="2">
        <f>+Bono!J699</f>
        <v>1001511.7286602333</v>
      </c>
      <c r="AC699" s="10">
        <f t="shared" si="219"/>
        <v>56.333333333333336</v>
      </c>
      <c r="AD699" s="1">
        <f t="shared" si="220"/>
        <v>127369536.98532127</v>
      </c>
    </row>
    <row r="700" spans="1:30">
      <c r="A700" s="1">
        <f t="shared" si="221"/>
        <v>56.416666666666664</v>
      </c>
      <c r="B700" s="1">
        <f t="shared" si="222"/>
        <v>677</v>
      </c>
      <c r="C700" s="2">
        <f t="shared" si="227"/>
        <v>56</v>
      </c>
      <c r="D700" s="2">
        <f t="shared" si="228"/>
        <v>5</v>
      </c>
      <c r="E700" s="2">
        <f t="shared" si="229"/>
        <v>85</v>
      </c>
      <c r="F700" s="1">
        <f t="shared" si="223"/>
        <v>1606856.4980609571</v>
      </c>
      <c r="H700" s="1">
        <f t="shared" si="216"/>
        <v>12813.2993646346</v>
      </c>
      <c r="I700" s="1">
        <v>0</v>
      </c>
      <c r="J700" s="1">
        <v>0</v>
      </c>
      <c r="K700" s="1">
        <f t="shared" si="224"/>
        <v>-1878.8169650136863</v>
      </c>
      <c r="L700" s="1">
        <f t="shared" si="217"/>
        <v>1617790.9804605779</v>
      </c>
      <c r="N700" s="1">
        <f t="shared" si="225"/>
        <v>677</v>
      </c>
      <c r="O700" s="2">
        <f t="shared" si="230"/>
        <v>56</v>
      </c>
      <c r="P700" s="2">
        <f t="shared" si="231"/>
        <v>5</v>
      </c>
      <c r="Q700" s="2">
        <f t="shared" si="232"/>
        <v>56</v>
      </c>
      <c r="R700" s="1">
        <f t="shared" si="226"/>
        <v>124761168.75860009</v>
      </c>
      <c r="S700" s="4">
        <f>IF($G$4="mensual",S699,0)</f>
        <v>10000</v>
      </c>
      <c r="U700" s="1">
        <f t="shared" si="233"/>
        <v>994942.82115952729</v>
      </c>
      <c r="V700" s="35">
        <f t="shared" si="215"/>
        <v>-794.84045135559631</v>
      </c>
      <c r="X700" s="35">
        <f t="shared" si="234"/>
        <v>-145887.76741759756</v>
      </c>
      <c r="Y700" s="1">
        <f t="shared" si="218"/>
        <v>125619428.97189066</v>
      </c>
      <c r="AA700" s="2">
        <f>+Bono!J700</f>
        <v>1007721.217546097</v>
      </c>
      <c r="AC700" s="10">
        <f t="shared" si="219"/>
        <v>56.416666666666664</v>
      </c>
      <c r="AD700" s="1">
        <f t="shared" si="220"/>
        <v>128244941.16989733</v>
      </c>
    </row>
    <row r="701" spans="1:30">
      <c r="A701" s="1">
        <f t="shared" si="221"/>
        <v>56.5</v>
      </c>
      <c r="B701" s="1">
        <f t="shared" si="222"/>
        <v>678</v>
      </c>
      <c r="C701" s="2">
        <f t="shared" si="227"/>
        <v>56</v>
      </c>
      <c r="D701" s="2">
        <f t="shared" si="228"/>
        <v>6</v>
      </c>
      <c r="E701" s="2">
        <f t="shared" si="229"/>
        <v>85</v>
      </c>
      <c r="F701" s="1">
        <f t="shared" si="223"/>
        <v>1617790.9804605779</v>
      </c>
      <c r="H701" s="1">
        <f t="shared" si="216"/>
        <v>12900.492462806555</v>
      </c>
      <c r="I701" s="1">
        <v>0</v>
      </c>
      <c r="J701" s="69">
        <f>-SUM(F701:H701)*$J$21*1.16</f>
        <v>-17024.418977320136</v>
      </c>
      <c r="K701" s="1">
        <f t="shared" si="224"/>
        <v>-1871.8537825774345</v>
      </c>
      <c r="L701" s="1">
        <f t="shared" si="217"/>
        <v>1611795.2001634869</v>
      </c>
      <c r="N701" s="1">
        <f t="shared" si="225"/>
        <v>678</v>
      </c>
      <c r="O701" s="2">
        <f t="shared" si="230"/>
        <v>56</v>
      </c>
      <c r="P701" s="2">
        <f t="shared" si="231"/>
        <v>6</v>
      </c>
      <c r="Q701" s="2">
        <f t="shared" si="232"/>
        <v>56</v>
      </c>
      <c r="R701" s="1">
        <f t="shared" si="226"/>
        <v>125619428.97189066</v>
      </c>
      <c r="S701" s="4">
        <f>IF($G$4="mensual",S700,0)</f>
        <v>10000</v>
      </c>
      <c r="U701" s="1">
        <f t="shared" si="233"/>
        <v>1001786.7086248471</v>
      </c>
      <c r="V701" s="35">
        <f t="shared" si="215"/>
        <v>-794.84045135559631</v>
      </c>
      <c r="X701" s="35">
        <f t="shared" si="234"/>
        <v>-146891.28817447438</v>
      </c>
      <c r="Y701" s="1">
        <f t="shared" si="218"/>
        <v>126483529.55188966</v>
      </c>
      <c r="AA701" s="2">
        <f>+Bono!J701</f>
        <v>1004834.3482717478</v>
      </c>
      <c r="AC701" s="10">
        <f t="shared" si="219"/>
        <v>56.5</v>
      </c>
      <c r="AD701" s="1">
        <f t="shared" si="220"/>
        <v>129100159.10032488</v>
      </c>
    </row>
    <row r="702" spans="1:30">
      <c r="A702" s="1">
        <f t="shared" si="221"/>
        <v>56.583333333333336</v>
      </c>
      <c r="B702" s="1">
        <f t="shared" si="222"/>
        <v>679</v>
      </c>
      <c r="C702" s="2">
        <f t="shared" si="227"/>
        <v>56</v>
      </c>
      <c r="D702" s="2">
        <f t="shared" si="228"/>
        <v>7</v>
      </c>
      <c r="E702" s="2">
        <f t="shared" si="229"/>
        <v>85</v>
      </c>
      <c r="F702" s="1">
        <f t="shared" si="223"/>
        <v>1611795.2001634869</v>
      </c>
      <c r="H702" s="1">
        <f t="shared" si="216"/>
        <v>12852.681268736696</v>
      </c>
      <c r="I702" s="1">
        <v>0</v>
      </c>
      <c r="J702" s="1">
        <v>0</v>
      </c>
      <c r="K702" s="1">
        <f t="shared" si="224"/>
        <v>-1884.5915424613793</v>
      </c>
      <c r="L702" s="1">
        <f t="shared" si="217"/>
        <v>1622763.2898897622</v>
      </c>
      <c r="N702" s="1">
        <f t="shared" si="225"/>
        <v>679</v>
      </c>
      <c r="O702" s="2">
        <f t="shared" si="230"/>
        <v>56</v>
      </c>
      <c r="P702" s="2">
        <f t="shared" si="231"/>
        <v>7</v>
      </c>
      <c r="Q702" s="2">
        <f t="shared" si="232"/>
        <v>56</v>
      </c>
      <c r="R702" s="1">
        <f t="shared" si="226"/>
        <v>126483529.55188966</v>
      </c>
      <c r="S702" s="1">
        <f>+IF($G$4="mensual",S696,IF($G$4="trimestral",S696,IF($G$4="semestral",S696,0)))</f>
        <v>10000</v>
      </c>
      <c r="U702" s="1">
        <f t="shared" si="233"/>
        <v>1008677.1679944564</v>
      </c>
      <c r="V702" s="35">
        <f t="shared" si="215"/>
        <v>-794.84045135559631</v>
      </c>
      <c r="X702" s="35">
        <f t="shared" si="234"/>
        <v>-147901.63778014199</v>
      </c>
      <c r="Y702" s="1">
        <f t="shared" si="218"/>
        <v>127353510.24165261</v>
      </c>
      <c r="AA702" s="2">
        <f>+Bono!J702</f>
        <v>1011064.4377846029</v>
      </c>
      <c r="AC702" s="10">
        <f t="shared" si="219"/>
        <v>56.583333333333336</v>
      </c>
      <c r="AD702" s="1">
        <f t="shared" si="220"/>
        <v>129987337.96932697</v>
      </c>
    </row>
    <row r="703" spans="1:30">
      <c r="A703" s="1">
        <f t="shared" si="221"/>
        <v>56.666666666666664</v>
      </c>
      <c r="B703" s="1">
        <f t="shared" si="222"/>
        <v>680</v>
      </c>
      <c r="C703" s="2">
        <f t="shared" si="227"/>
        <v>56</v>
      </c>
      <c r="D703" s="2">
        <f t="shared" si="228"/>
        <v>8</v>
      </c>
      <c r="E703" s="2">
        <f t="shared" si="229"/>
        <v>85</v>
      </c>
      <c r="F703" s="1">
        <f t="shared" si="223"/>
        <v>1622763.2898897622</v>
      </c>
      <c r="H703" s="1">
        <f t="shared" si="216"/>
        <v>12940.142356450831</v>
      </c>
      <c r="I703" s="1">
        <v>0</v>
      </c>
      <c r="J703" s="1">
        <v>0</v>
      </c>
      <c r="K703" s="1">
        <f t="shared" si="224"/>
        <v>-1897.4159814056072</v>
      </c>
      <c r="L703" s="1">
        <f t="shared" si="217"/>
        <v>1633806.0162648074</v>
      </c>
      <c r="N703" s="1">
        <f t="shared" si="225"/>
        <v>680</v>
      </c>
      <c r="O703" s="2">
        <f t="shared" si="230"/>
        <v>56</v>
      </c>
      <c r="P703" s="2">
        <f t="shared" si="231"/>
        <v>8</v>
      </c>
      <c r="Q703" s="2">
        <f t="shared" si="232"/>
        <v>56</v>
      </c>
      <c r="R703" s="1">
        <f t="shared" si="226"/>
        <v>127353510.24165261</v>
      </c>
      <c r="S703" s="4">
        <f>IF($G$4="mensual",S702,0)</f>
        <v>10000</v>
      </c>
      <c r="U703" s="1">
        <f t="shared" si="233"/>
        <v>1015614.5161850607</v>
      </c>
      <c r="V703" s="35">
        <f t="shared" si="215"/>
        <v>-794.84045135559631</v>
      </c>
      <c r="X703" s="35">
        <f t="shared" si="234"/>
        <v>-148918.8627041681</v>
      </c>
      <c r="Y703" s="1">
        <f t="shared" si="218"/>
        <v>128229411.05468214</v>
      </c>
      <c r="AA703" s="2">
        <f>+Bono!J703</f>
        <v>1017333.1545750833</v>
      </c>
      <c r="AC703" s="10">
        <f t="shared" si="219"/>
        <v>56.666666666666664</v>
      </c>
      <c r="AD703" s="1">
        <f t="shared" si="220"/>
        <v>130880550.22552203</v>
      </c>
    </row>
    <row r="704" spans="1:30">
      <c r="A704" s="1">
        <f t="shared" si="221"/>
        <v>56.75</v>
      </c>
      <c r="B704" s="1">
        <f t="shared" si="222"/>
        <v>681</v>
      </c>
      <c r="C704" s="2">
        <f t="shared" si="227"/>
        <v>56</v>
      </c>
      <c r="D704" s="2">
        <f t="shared" si="228"/>
        <v>9</v>
      </c>
      <c r="E704" s="2">
        <f t="shared" si="229"/>
        <v>85</v>
      </c>
      <c r="F704" s="1">
        <f t="shared" si="223"/>
        <v>1633806.0162648074</v>
      </c>
      <c r="H704" s="1">
        <f t="shared" si="216"/>
        <v>13028.198607283402</v>
      </c>
      <c r="I704" s="1">
        <v>0</v>
      </c>
      <c r="J704" s="69">
        <f>-SUM(F704:H704)*$J$21*1.16</f>
        <v>-17192.94920326463</v>
      </c>
      <c r="K704" s="1">
        <f t="shared" si="224"/>
        <v>-1890.3838681758384</v>
      </c>
      <c r="L704" s="1">
        <f t="shared" si="217"/>
        <v>1627750.8818006504</v>
      </c>
      <c r="N704" s="1">
        <f t="shared" si="225"/>
        <v>681</v>
      </c>
      <c r="O704" s="2">
        <f t="shared" si="230"/>
        <v>56</v>
      </c>
      <c r="P704" s="2">
        <f t="shared" si="231"/>
        <v>9</v>
      </c>
      <c r="Q704" s="2">
        <f t="shared" si="232"/>
        <v>56</v>
      </c>
      <c r="R704" s="1">
        <f t="shared" si="226"/>
        <v>128229411.05468214</v>
      </c>
      <c r="S704" s="4">
        <f>IF($G$4="mensual",S703,0)</f>
        <v>10000</v>
      </c>
      <c r="U704" s="1">
        <f t="shared" si="233"/>
        <v>1022599.0722699491</v>
      </c>
      <c r="V704" s="35">
        <f t="shared" si="215"/>
        <v>-794.84045135559631</v>
      </c>
      <c r="X704" s="35">
        <f t="shared" si="234"/>
        <v>-149943.00973234084</v>
      </c>
      <c r="Y704" s="1">
        <f t="shared" si="218"/>
        <v>129111272.27676839</v>
      </c>
      <c r="AA704" s="2">
        <f>+Bono!J704</f>
        <v>1014418.7495049278</v>
      </c>
      <c r="AC704" s="10">
        <f t="shared" si="219"/>
        <v>56.75</v>
      </c>
      <c r="AD704" s="1">
        <f t="shared" si="220"/>
        <v>131753441.90807396</v>
      </c>
    </row>
    <row r="705" spans="1:30">
      <c r="A705" s="1">
        <f t="shared" si="221"/>
        <v>56.833333333333336</v>
      </c>
      <c r="B705" s="1">
        <f t="shared" si="222"/>
        <v>682</v>
      </c>
      <c r="C705" s="2">
        <f t="shared" si="227"/>
        <v>56</v>
      </c>
      <c r="D705" s="2">
        <f t="shared" si="228"/>
        <v>10</v>
      </c>
      <c r="E705" s="2">
        <f t="shared" si="229"/>
        <v>85</v>
      </c>
      <c r="F705" s="1">
        <f t="shared" si="223"/>
        <v>1627750.8818006504</v>
      </c>
      <c r="H705" s="1">
        <f t="shared" si="216"/>
        <v>12979.91411475032</v>
      </c>
      <c r="I705" s="1">
        <v>0</v>
      </c>
      <c r="J705" s="1">
        <v>0</v>
      </c>
      <c r="K705" s="1">
        <f t="shared" si="224"/>
        <v>-1903.2477232618646</v>
      </c>
      <c r="L705" s="1">
        <f t="shared" si="217"/>
        <v>1638827.5481921388</v>
      </c>
      <c r="N705" s="1">
        <f t="shared" si="225"/>
        <v>682</v>
      </c>
      <c r="O705" s="2">
        <f t="shared" si="230"/>
        <v>56</v>
      </c>
      <c r="P705" s="2">
        <f t="shared" si="231"/>
        <v>10</v>
      </c>
      <c r="Q705" s="2">
        <f t="shared" si="232"/>
        <v>56</v>
      </c>
      <c r="R705" s="1">
        <f t="shared" si="226"/>
        <v>129111272.27676839</v>
      </c>
      <c r="S705" s="4">
        <f>IF($G$4="mensual",S696,IF($G$4="trimestral",S696,0))</f>
        <v>10000</v>
      </c>
      <c r="U705" s="1">
        <f t="shared" si="233"/>
        <v>1029631.1574936695</v>
      </c>
      <c r="V705" s="35">
        <f t="shared" si="215"/>
        <v>-794.84045135559631</v>
      </c>
      <c r="X705" s="35">
        <f t="shared" si="234"/>
        <v>-150974.12596882039</v>
      </c>
      <c r="Y705" s="1">
        <f t="shared" si="218"/>
        <v>129999134.46784188</v>
      </c>
      <c r="AA705" s="2">
        <f>+Bono!J705</f>
        <v>1020708.2634171504</v>
      </c>
      <c r="AC705" s="10">
        <f t="shared" si="219"/>
        <v>56.833333333333336</v>
      </c>
      <c r="AD705" s="1">
        <f t="shared" si="220"/>
        <v>132658670.27945118</v>
      </c>
    </row>
    <row r="706" spans="1:30">
      <c r="A706" s="1">
        <f t="shared" si="221"/>
        <v>56.916666666666664</v>
      </c>
      <c r="B706" s="1">
        <f t="shared" si="222"/>
        <v>683</v>
      </c>
      <c r="C706" s="2">
        <f t="shared" si="227"/>
        <v>56</v>
      </c>
      <c r="D706" s="2">
        <f t="shared" si="228"/>
        <v>11</v>
      </c>
      <c r="E706" s="2">
        <f t="shared" si="229"/>
        <v>85</v>
      </c>
      <c r="F706" s="1">
        <f t="shared" si="223"/>
        <v>1638827.5481921388</v>
      </c>
      <c r="H706" s="1">
        <f t="shared" si="216"/>
        <v>13068.241008040166</v>
      </c>
      <c r="I706" s="1">
        <v>0</v>
      </c>
      <c r="J706" s="1">
        <v>0</v>
      </c>
      <c r="K706" s="1">
        <f t="shared" si="224"/>
        <v>-1916.1991154722075</v>
      </c>
      <c r="L706" s="1">
        <f t="shared" si="217"/>
        <v>1649979.5900847069</v>
      </c>
      <c r="N706" s="1">
        <f t="shared" si="225"/>
        <v>683</v>
      </c>
      <c r="O706" s="2">
        <f t="shared" si="230"/>
        <v>56</v>
      </c>
      <c r="P706" s="2">
        <f t="shared" si="231"/>
        <v>11</v>
      </c>
      <c r="Q706" s="2">
        <f t="shared" si="232"/>
        <v>56</v>
      </c>
      <c r="R706" s="1">
        <f t="shared" si="226"/>
        <v>129999134.46784188</v>
      </c>
      <c r="S706" s="1">
        <f>IF($G$17="si",S694*(1+$G$20),S694)</f>
        <v>10000</v>
      </c>
      <c r="U706" s="1">
        <f t="shared" si="233"/>
        <v>1036711.0952868038</v>
      </c>
      <c r="V706" s="35">
        <f t="shared" si="215"/>
        <v>-794.84045135559631</v>
      </c>
      <c r="X706" s="35">
        <f t="shared" si="234"/>
        <v>-152012.25883830569</v>
      </c>
      <c r="Y706" s="1">
        <f t="shared" si="218"/>
        <v>130893038.46383901</v>
      </c>
      <c r="AA706" s="2">
        <f>+Bono!J706</f>
        <v>1027036.7730451672</v>
      </c>
      <c r="AC706" s="10">
        <f t="shared" si="219"/>
        <v>56.916666666666664</v>
      </c>
      <c r="AD706" s="1">
        <f t="shared" si="220"/>
        <v>133570054.82696888</v>
      </c>
    </row>
    <row r="707" spans="1:30">
      <c r="A707" s="1">
        <f t="shared" si="221"/>
        <v>57</v>
      </c>
      <c r="B707" s="1">
        <f t="shared" si="222"/>
        <v>684</v>
      </c>
      <c r="C707" s="2">
        <f t="shared" si="227"/>
        <v>56</v>
      </c>
      <c r="D707" s="2">
        <f t="shared" si="228"/>
        <v>12</v>
      </c>
      <c r="E707" s="2">
        <f t="shared" si="229"/>
        <v>85</v>
      </c>
      <c r="F707" s="1">
        <f t="shared" si="223"/>
        <v>1649979.5900847069</v>
      </c>
      <c r="H707" s="1">
        <f t="shared" si="216"/>
        <v>13157.168956160522</v>
      </c>
      <c r="I707" s="1">
        <v>0</v>
      </c>
      <c r="J707" s="69">
        <f>-SUM(F707:H707)*$J$21*1.16</f>
        <v>-17363.147764386656</v>
      </c>
      <c r="K707" s="1">
        <f t="shared" si="224"/>
        <v>-1909.0973890807177</v>
      </c>
      <c r="L707" s="1">
        <f t="shared" si="217"/>
        <v>1643864.5138874</v>
      </c>
      <c r="N707" s="1">
        <f t="shared" si="225"/>
        <v>684</v>
      </c>
      <c r="O707" s="2">
        <f t="shared" si="230"/>
        <v>56</v>
      </c>
      <c r="P707" s="2">
        <f t="shared" si="231"/>
        <v>12</v>
      </c>
      <c r="Q707" s="2">
        <f t="shared" si="232"/>
        <v>56</v>
      </c>
      <c r="R707" s="1">
        <f t="shared" si="226"/>
        <v>130893038.46383901</v>
      </c>
      <c r="S707" s="4">
        <f>IF($G$4="mensual",S706,0)</f>
        <v>10000</v>
      </c>
      <c r="U707" s="1">
        <f t="shared" si="233"/>
        <v>1043839.2112808431</v>
      </c>
      <c r="V707" s="35">
        <f t="shared" si="215"/>
        <v>-794.84045135559631</v>
      </c>
      <c r="X707" s="35">
        <f t="shared" si="234"/>
        <v>-153057.45608821543</v>
      </c>
      <c r="Y707" s="1">
        <f t="shared" si="218"/>
        <v>131793025.37858027</v>
      </c>
      <c r="AA707" s="2">
        <f>+Bono!J707</f>
        <v>1024094.5695348049</v>
      </c>
      <c r="AC707" s="10">
        <f t="shared" si="219"/>
        <v>57</v>
      </c>
      <c r="AD707" s="1">
        <f t="shared" si="220"/>
        <v>134460984.46200249</v>
      </c>
    </row>
    <row r="708" spans="1:30">
      <c r="A708" s="1">
        <f t="shared" si="221"/>
        <v>57.083333333333336</v>
      </c>
      <c r="B708" s="1">
        <f t="shared" si="222"/>
        <v>685</v>
      </c>
      <c r="C708" s="2">
        <f t="shared" si="227"/>
        <v>57</v>
      </c>
      <c r="D708" s="2">
        <f t="shared" si="228"/>
        <v>1</v>
      </c>
      <c r="E708" s="2">
        <f t="shared" si="229"/>
        <v>86</v>
      </c>
      <c r="F708" s="1">
        <f t="shared" si="223"/>
        <v>1643864.5138874</v>
      </c>
      <c r="H708" s="1">
        <f t="shared" si="216"/>
        <v>13108.40647982975</v>
      </c>
      <c r="I708" s="1">
        <v>0</v>
      </c>
      <c r="J708" s="1">
        <v>0</v>
      </c>
      <c r="K708" s="1">
        <f t="shared" si="224"/>
        <v>-1922.0885876259865</v>
      </c>
      <c r="L708" s="1">
        <f t="shared" si="217"/>
        <v>1655050.8317796038</v>
      </c>
      <c r="N708" s="1">
        <f t="shared" si="225"/>
        <v>685</v>
      </c>
      <c r="O708" s="2">
        <f t="shared" si="230"/>
        <v>57</v>
      </c>
      <c r="P708" s="2">
        <f t="shared" si="231"/>
        <v>1</v>
      </c>
      <c r="Q708" s="2">
        <f t="shared" si="232"/>
        <v>57</v>
      </c>
      <c r="R708" s="1">
        <f t="shared" si="226"/>
        <v>131793025.37858027</v>
      </c>
      <c r="S708" s="1">
        <f>IF($G$17="si",S696*(1+$G$20),S696)</f>
        <v>10000</v>
      </c>
      <c r="U708" s="1">
        <f t="shared" si="233"/>
        <v>1051015.8333231658</v>
      </c>
      <c r="V708" s="35">
        <f>V707*(1+$G$18)</f>
        <v>-826.6340694098202</v>
      </c>
      <c r="X708" s="35">
        <f t="shared" si="234"/>
        <v>-154109.72891028746</v>
      </c>
      <c r="Y708" s="1">
        <f t="shared" si="218"/>
        <v>132699104.84892374</v>
      </c>
      <c r="AA708" s="2">
        <f>+Bono!J708</f>
        <v>1030444.0746535384</v>
      </c>
      <c r="AC708" s="10">
        <f t="shared" si="219"/>
        <v>57.083333333333336</v>
      </c>
      <c r="AD708" s="1">
        <f t="shared" si="220"/>
        <v>135384599.75535688</v>
      </c>
    </row>
    <row r="709" spans="1:30">
      <c r="A709" s="1">
        <f t="shared" si="221"/>
        <v>57.166666666666664</v>
      </c>
      <c r="B709" s="1">
        <f t="shared" si="222"/>
        <v>686</v>
      </c>
      <c r="C709" s="2">
        <f t="shared" si="227"/>
        <v>57</v>
      </c>
      <c r="D709" s="2">
        <f t="shared" si="228"/>
        <v>2</v>
      </c>
      <c r="E709" s="2">
        <f t="shared" si="229"/>
        <v>86</v>
      </c>
      <c r="F709" s="1">
        <f t="shared" si="223"/>
        <v>1655050.8317796038</v>
      </c>
      <c r="H709" s="1">
        <f t="shared" si="216"/>
        <v>13197.607749584542</v>
      </c>
      <c r="I709" s="1">
        <v>0</v>
      </c>
      <c r="J709" s="1">
        <v>0</v>
      </c>
      <c r="K709" s="1">
        <f t="shared" si="224"/>
        <v>-1935.1681898538586</v>
      </c>
      <c r="L709" s="1">
        <f t="shared" si="217"/>
        <v>1666313.2713393345</v>
      </c>
      <c r="N709" s="1">
        <f t="shared" si="225"/>
        <v>686</v>
      </c>
      <c r="O709" s="2">
        <f t="shared" si="230"/>
        <v>57</v>
      </c>
      <c r="P709" s="2">
        <f t="shared" si="231"/>
        <v>2</v>
      </c>
      <c r="Q709" s="2">
        <f t="shared" si="232"/>
        <v>57</v>
      </c>
      <c r="R709" s="1">
        <f t="shared" si="226"/>
        <v>132699104.84892374</v>
      </c>
      <c r="S709" s="4">
        <f>IF($G$4="mensual",S708,0)</f>
        <v>10000</v>
      </c>
      <c r="U709" s="1">
        <f t="shared" si="233"/>
        <v>1058241.0382594315</v>
      </c>
      <c r="V709" s="35">
        <f t="shared" si="215"/>
        <v>-826.6340694098202</v>
      </c>
      <c r="X709" s="35">
        <f t="shared" si="234"/>
        <v>-155169.16233361195</v>
      </c>
      <c r="Y709" s="1">
        <f t="shared" si="218"/>
        <v>133611350.09078015</v>
      </c>
      <c r="AA709" s="2">
        <f>+Bono!J709</f>
        <v>1036832.947440505</v>
      </c>
      <c r="AC709" s="10">
        <f t="shared" si="219"/>
        <v>57.166666666666664</v>
      </c>
      <c r="AD709" s="1">
        <f t="shared" si="220"/>
        <v>136314496.30955997</v>
      </c>
    </row>
    <row r="710" spans="1:30">
      <c r="A710" s="1">
        <f t="shared" si="221"/>
        <v>57.25</v>
      </c>
      <c r="B710" s="1">
        <f t="shared" si="222"/>
        <v>687</v>
      </c>
      <c r="C710" s="2">
        <f t="shared" si="227"/>
        <v>57</v>
      </c>
      <c r="D710" s="2">
        <f t="shared" si="228"/>
        <v>3</v>
      </c>
      <c r="E710" s="2">
        <f t="shared" si="229"/>
        <v>86</v>
      </c>
      <c r="F710" s="1">
        <f t="shared" si="223"/>
        <v>1666313.2713393345</v>
      </c>
      <c r="H710" s="1">
        <f t="shared" si="216"/>
        <v>13287.416024205875</v>
      </c>
      <c r="I710" s="1">
        <v>0</v>
      </c>
      <c r="J710" s="69">
        <f>-SUM(F710:H710)*$J$21*1.16</f>
        <v>-17535.031176075365</v>
      </c>
      <c r="K710" s="1">
        <f t="shared" si="224"/>
        <v>-1927.9961611774595</v>
      </c>
      <c r="L710" s="1">
        <f t="shared" si="217"/>
        <v>1660137.6600262877</v>
      </c>
      <c r="N710" s="1">
        <f t="shared" si="225"/>
        <v>687</v>
      </c>
      <c r="O710" s="2">
        <f t="shared" si="230"/>
        <v>57</v>
      </c>
      <c r="P710" s="2">
        <f t="shared" si="231"/>
        <v>3</v>
      </c>
      <c r="Q710" s="2">
        <f t="shared" si="232"/>
        <v>57</v>
      </c>
      <c r="R710" s="1">
        <f t="shared" si="226"/>
        <v>133611350.09078015</v>
      </c>
      <c r="S710" s="4">
        <f>IF($G$4="mensual",S709,0)</f>
        <v>10000</v>
      </c>
      <c r="U710" s="1">
        <f t="shared" si="233"/>
        <v>1065515.4099235937</v>
      </c>
      <c r="V710" s="35">
        <f t="shared" si="215"/>
        <v>-826.6340694098202</v>
      </c>
      <c r="X710" s="35">
        <f t="shared" si="234"/>
        <v>-156235.80508529581</v>
      </c>
      <c r="Y710" s="1">
        <f t="shared" si="218"/>
        <v>134529803.06154904</v>
      </c>
      <c r="AA710" s="2">
        <f>+Bono!J710</f>
        <v>1033862.6803403564</v>
      </c>
      <c r="AC710" s="10">
        <f t="shared" si="219"/>
        <v>57.25</v>
      </c>
      <c r="AD710" s="1">
        <f t="shared" si="220"/>
        <v>137223803.40191567</v>
      </c>
    </row>
    <row r="711" spans="1:30">
      <c r="A711" s="1">
        <f t="shared" si="221"/>
        <v>57.333333333333336</v>
      </c>
      <c r="B711" s="1">
        <f t="shared" si="222"/>
        <v>688</v>
      </c>
      <c r="C711" s="2">
        <f t="shared" si="227"/>
        <v>57</v>
      </c>
      <c r="D711" s="2">
        <f t="shared" si="228"/>
        <v>4</v>
      </c>
      <c r="E711" s="2">
        <f t="shared" si="229"/>
        <v>86</v>
      </c>
      <c r="F711" s="1">
        <f t="shared" si="223"/>
        <v>1660137.6600262877</v>
      </c>
      <c r="H711" s="1">
        <f t="shared" si="216"/>
        <v>13238.170832361313</v>
      </c>
      <c r="I711" s="1">
        <v>0</v>
      </c>
      <c r="J711" s="1">
        <v>0</v>
      </c>
      <c r="K711" s="1">
        <f t="shared" si="224"/>
        <v>-1941.1159637960329</v>
      </c>
      <c r="L711" s="1">
        <f t="shared" si="217"/>
        <v>1671434.7148948531</v>
      </c>
      <c r="N711" s="1">
        <f t="shared" si="225"/>
        <v>688</v>
      </c>
      <c r="O711" s="2">
        <f t="shared" si="230"/>
        <v>57</v>
      </c>
      <c r="P711" s="2">
        <f t="shared" si="231"/>
        <v>4</v>
      </c>
      <c r="Q711" s="2">
        <f t="shared" si="232"/>
        <v>57</v>
      </c>
      <c r="R711" s="1">
        <f t="shared" si="226"/>
        <v>134529803.06154904</v>
      </c>
      <c r="S711" s="4">
        <f>IF($G$4="mensual",S708,IF($G$4="trimestral",S708,0))</f>
        <v>10000</v>
      </c>
      <c r="U711" s="1">
        <f t="shared" si="233"/>
        <v>1072839.2828898486</v>
      </c>
      <c r="V711" s="35">
        <f t="shared" si="215"/>
        <v>-826.6340694098202</v>
      </c>
      <c r="X711" s="35">
        <f t="shared" si="234"/>
        <v>-157309.70622402857</v>
      </c>
      <c r="Y711" s="1">
        <f t="shared" si="218"/>
        <v>135454506.00414544</v>
      </c>
      <c r="AA711" s="2">
        <f>+Bono!J711</f>
        <v>1040272.748879115</v>
      </c>
      <c r="AC711" s="10">
        <f t="shared" si="219"/>
        <v>57.333333333333336</v>
      </c>
      <c r="AD711" s="1">
        <f t="shared" si="220"/>
        <v>138166213.46791941</v>
      </c>
    </row>
    <row r="712" spans="1:30">
      <c r="A712" s="1">
        <f t="shared" si="221"/>
        <v>57.416666666666664</v>
      </c>
      <c r="B712" s="1">
        <f t="shared" si="222"/>
        <v>689</v>
      </c>
      <c r="C712" s="2">
        <f t="shared" si="227"/>
        <v>57</v>
      </c>
      <c r="D712" s="2">
        <f t="shared" si="228"/>
        <v>5</v>
      </c>
      <c r="E712" s="2">
        <f t="shared" si="229"/>
        <v>86</v>
      </c>
      <c r="F712" s="1">
        <f t="shared" si="223"/>
        <v>1671434.7148948531</v>
      </c>
      <c r="H712" s="1">
        <f t="shared" si="216"/>
        <v>13328.255134316285</v>
      </c>
      <c r="I712" s="1">
        <v>0</v>
      </c>
      <c r="J712" s="1">
        <v>0</v>
      </c>
      <c r="K712" s="1">
        <f t="shared" si="224"/>
        <v>-1954.3250452338366</v>
      </c>
      <c r="L712" s="1">
        <f t="shared" si="217"/>
        <v>1682808.6449839356</v>
      </c>
      <c r="N712" s="1">
        <f t="shared" si="225"/>
        <v>689</v>
      </c>
      <c r="O712" s="2">
        <f t="shared" si="230"/>
        <v>57</v>
      </c>
      <c r="P712" s="2">
        <f t="shared" si="231"/>
        <v>5</v>
      </c>
      <c r="Q712" s="2">
        <f t="shared" si="232"/>
        <v>57</v>
      </c>
      <c r="R712" s="1">
        <f t="shared" si="226"/>
        <v>135454506.00414544</v>
      </c>
      <c r="S712" s="4">
        <f>IF($G$4="mensual",S711,0)</f>
        <v>10000</v>
      </c>
      <c r="U712" s="1">
        <f t="shared" si="233"/>
        <v>1080212.994009133</v>
      </c>
      <c r="V712" s="35">
        <f t="shared" si="215"/>
        <v>-826.6340694098202</v>
      </c>
      <c r="X712" s="35">
        <f t="shared" si="234"/>
        <v>-158390.91514233878</v>
      </c>
      <c r="Y712" s="1">
        <f t="shared" si="218"/>
        <v>136385501.44894284</v>
      </c>
      <c r="AA712" s="2">
        <f>+Bono!J712</f>
        <v>1046722.5605863358</v>
      </c>
      <c r="AC712" s="10">
        <f t="shared" si="219"/>
        <v>57.416666666666664</v>
      </c>
      <c r="AD712" s="1">
        <f t="shared" si="220"/>
        <v>139115032.65451312</v>
      </c>
    </row>
    <row r="713" spans="1:30">
      <c r="A713" s="1">
        <f t="shared" si="221"/>
        <v>57.5</v>
      </c>
      <c r="B713" s="1">
        <f t="shared" si="222"/>
        <v>690</v>
      </c>
      <c r="C713" s="2">
        <f t="shared" si="227"/>
        <v>57</v>
      </c>
      <c r="D713" s="2">
        <f t="shared" si="228"/>
        <v>6</v>
      </c>
      <c r="E713" s="2">
        <f t="shared" si="229"/>
        <v>86</v>
      </c>
      <c r="F713" s="1">
        <f t="shared" si="223"/>
        <v>1682808.6449839356</v>
      </c>
      <c r="H713" s="1">
        <f t="shared" si="216"/>
        <v>13418.952450075163</v>
      </c>
      <c r="I713" s="1">
        <v>0</v>
      </c>
      <c r="J713" s="69">
        <f>-SUM(F713:H713)*$J$21*1.16</f>
        <v>-17708.616117211073</v>
      </c>
      <c r="K713" s="1">
        <f t="shared" si="224"/>
        <v>-1947.0820183274877</v>
      </c>
      <c r="L713" s="1">
        <f t="shared" si="217"/>
        <v>1676571.8992984723</v>
      </c>
      <c r="N713" s="1">
        <f t="shared" si="225"/>
        <v>690</v>
      </c>
      <c r="O713" s="2">
        <f t="shared" si="230"/>
        <v>57</v>
      </c>
      <c r="P713" s="2">
        <f t="shared" si="231"/>
        <v>6</v>
      </c>
      <c r="Q713" s="2">
        <f t="shared" si="232"/>
        <v>57</v>
      </c>
      <c r="R713" s="1">
        <f t="shared" si="226"/>
        <v>136385501.44894284</v>
      </c>
      <c r="S713" s="4">
        <f>IF($G$4="mensual",S712,0)</f>
        <v>10000</v>
      </c>
      <c r="U713" s="1">
        <f t="shared" si="233"/>
        <v>1087636.882424617</v>
      </c>
      <c r="V713" s="35">
        <f t="shared" si="215"/>
        <v>-826.6340694098202</v>
      </c>
      <c r="X713" s="35">
        <f t="shared" si="234"/>
        <v>-159479.48156886574</v>
      </c>
      <c r="Y713" s="1">
        <f t="shared" si="218"/>
        <v>137322832.21572918</v>
      </c>
      <c r="AA713" s="2">
        <f>+Bono!J713</f>
        <v>1043723.9622177484</v>
      </c>
      <c r="AC713" s="10">
        <f t="shared" si="219"/>
        <v>57.5</v>
      </c>
      <c r="AD713" s="1">
        <f t="shared" si="220"/>
        <v>140043128.07724538</v>
      </c>
    </row>
    <row r="714" spans="1:30">
      <c r="A714" s="1">
        <f t="shared" si="221"/>
        <v>57.583333333333336</v>
      </c>
      <c r="B714" s="1">
        <f t="shared" si="222"/>
        <v>691</v>
      </c>
      <c r="C714" s="2">
        <f t="shared" si="227"/>
        <v>57</v>
      </c>
      <c r="D714" s="2">
        <f t="shared" si="228"/>
        <v>7</v>
      </c>
      <c r="E714" s="2">
        <f t="shared" si="229"/>
        <v>86</v>
      </c>
      <c r="F714" s="1">
        <f t="shared" si="223"/>
        <v>1676571.8992984723</v>
      </c>
      <c r="H714" s="1">
        <f t="shared" si="216"/>
        <v>13369.21976415992</v>
      </c>
      <c r="I714" s="1">
        <v>0</v>
      </c>
      <c r="J714" s="1">
        <v>0</v>
      </c>
      <c r="K714" s="1">
        <f t="shared" si="224"/>
        <v>-1960.3316981126534</v>
      </c>
      <c r="L714" s="1">
        <f t="shared" si="217"/>
        <v>1687980.7873645197</v>
      </c>
      <c r="N714" s="1">
        <f t="shared" si="225"/>
        <v>691</v>
      </c>
      <c r="O714" s="2">
        <f t="shared" si="230"/>
        <v>57</v>
      </c>
      <c r="P714" s="2">
        <f t="shared" si="231"/>
        <v>7</v>
      </c>
      <c r="Q714" s="2">
        <f t="shared" si="232"/>
        <v>57</v>
      </c>
      <c r="R714" s="1">
        <f t="shared" si="226"/>
        <v>137322832.21572918</v>
      </c>
      <c r="S714" s="1">
        <f>+IF($G$4="mensual",S708,IF($G$4="trimestral",S708,IF($G$4="semestral",S708,0)))</f>
        <v>10000</v>
      </c>
      <c r="U714" s="1">
        <f t="shared" si="233"/>
        <v>1095111.2895873033</v>
      </c>
      <c r="V714" s="35">
        <f t="shared" si="215"/>
        <v>-826.6340694098202</v>
      </c>
      <c r="X714" s="35">
        <f t="shared" si="234"/>
        <v>-160575.45557064659</v>
      </c>
      <c r="Y714" s="1">
        <f t="shared" si="218"/>
        <v>138266541.41567641</v>
      </c>
      <c r="AA714" s="2">
        <f>+Bono!J714</f>
        <v>1050195.1718479847</v>
      </c>
      <c r="AC714" s="10">
        <f t="shared" si="219"/>
        <v>57.583333333333336</v>
      </c>
      <c r="AD714" s="1">
        <f t="shared" si="220"/>
        <v>141004717.37488893</v>
      </c>
    </row>
    <row r="715" spans="1:30">
      <c r="A715" s="1">
        <f t="shared" si="221"/>
        <v>57.666666666666664</v>
      </c>
      <c r="B715" s="1">
        <f t="shared" si="222"/>
        <v>692</v>
      </c>
      <c r="C715" s="2">
        <f t="shared" si="227"/>
        <v>57</v>
      </c>
      <c r="D715" s="2">
        <f t="shared" si="228"/>
        <v>8</v>
      </c>
      <c r="E715" s="2">
        <f t="shared" si="229"/>
        <v>86</v>
      </c>
      <c r="F715" s="1">
        <f t="shared" si="223"/>
        <v>1687980.7873645197</v>
      </c>
      <c r="H715" s="1">
        <f t="shared" si="216"/>
        <v>13460.195839736225</v>
      </c>
      <c r="I715" s="1">
        <v>0</v>
      </c>
      <c r="J715" s="1">
        <v>0</v>
      </c>
      <c r="K715" s="1">
        <f t="shared" si="224"/>
        <v>-1973.6715405169366</v>
      </c>
      <c r="L715" s="1">
        <f t="shared" si="217"/>
        <v>1699467.3116637389</v>
      </c>
      <c r="N715" s="1">
        <f t="shared" si="225"/>
        <v>692</v>
      </c>
      <c r="O715" s="2">
        <f t="shared" si="230"/>
        <v>57</v>
      </c>
      <c r="P715" s="2">
        <f t="shared" si="231"/>
        <v>8</v>
      </c>
      <c r="Q715" s="2">
        <f t="shared" si="232"/>
        <v>57</v>
      </c>
      <c r="R715" s="1">
        <f t="shared" si="226"/>
        <v>138266541.41567641</v>
      </c>
      <c r="S715" s="4">
        <f>IF($G$4="mensual",S714,0)</f>
        <v>10000</v>
      </c>
      <c r="U715" s="1">
        <f t="shared" si="233"/>
        <v>1102636.5592717309</v>
      </c>
      <c r="V715" s="35">
        <f t="shared" si="215"/>
        <v>-826.6340694098202</v>
      </c>
      <c r="X715" s="35">
        <f t="shared" si="234"/>
        <v>-161678.88755541932</v>
      </c>
      <c r="Y715" s="1">
        <f t="shared" si="218"/>
        <v>139216672.4533233</v>
      </c>
      <c r="AA715" s="2">
        <f>+Bono!J715</f>
        <v>1056706.5037285422</v>
      </c>
      <c r="AC715" s="10">
        <f t="shared" si="219"/>
        <v>57.666666666666664</v>
      </c>
      <c r="AD715" s="1">
        <f t="shared" si="220"/>
        <v>141972846.26871559</v>
      </c>
    </row>
    <row r="716" spans="1:30">
      <c r="A716" s="1">
        <f t="shared" si="221"/>
        <v>57.75</v>
      </c>
      <c r="B716" s="1">
        <f t="shared" si="222"/>
        <v>693</v>
      </c>
      <c r="C716" s="2">
        <f t="shared" si="227"/>
        <v>57</v>
      </c>
      <c r="D716" s="2">
        <f t="shared" si="228"/>
        <v>9</v>
      </c>
      <c r="E716" s="2">
        <f t="shared" si="229"/>
        <v>86</v>
      </c>
      <c r="F716" s="1">
        <f t="shared" si="223"/>
        <v>1699467.3116637389</v>
      </c>
      <c r="H716" s="1">
        <f t="shared" si="216"/>
        <v>13551.790997538214</v>
      </c>
      <c r="I716" s="1">
        <v>0</v>
      </c>
      <c r="J716" s="69">
        <f>-SUM(F716:H716)*$J$21*1.16</f>
        <v>-17883.919431783735</v>
      </c>
      <c r="K716" s="1">
        <f t="shared" si="224"/>
        <v>-1966.3568125462125</v>
      </c>
      <c r="L716" s="1">
        <f t="shared" si="217"/>
        <v>1693168.8264169472</v>
      </c>
      <c r="N716" s="1">
        <f t="shared" si="225"/>
        <v>693</v>
      </c>
      <c r="O716" s="2">
        <f t="shared" si="230"/>
        <v>57</v>
      </c>
      <c r="P716" s="2">
        <f t="shared" si="231"/>
        <v>9</v>
      </c>
      <c r="Q716" s="2">
        <f t="shared" si="232"/>
        <v>57</v>
      </c>
      <c r="R716" s="1">
        <f t="shared" si="226"/>
        <v>139216672.4533233</v>
      </c>
      <c r="S716" s="4">
        <f>IF($G$4="mensual",S715,0)</f>
        <v>10000</v>
      </c>
      <c r="U716" s="1">
        <f t="shared" si="233"/>
        <v>1110213.0375917873</v>
      </c>
      <c r="V716" s="35">
        <f t="shared" si="215"/>
        <v>-826.6340694098202</v>
      </c>
      <c r="X716" s="35">
        <f t="shared" si="234"/>
        <v>-162789.82827394098</v>
      </c>
      <c r="Y716" s="1">
        <f t="shared" si="218"/>
        <v>140173269.02857172</v>
      </c>
      <c r="AA716" s="2">
        <f>+Bono!J716</f>
        <v>1053679.3038596665</v>
      </c>
      <c r="AC716" s="10">
        <f t="shared" si="219"/>
        <v>57.75</v>
      </c>
      <c r="AD716" s="1">
        <f t="shared" si="220"/>
        <v>142920117.15884835</v>
      </c>
    </row>
    <row r="717" spans="1:30">
      <c r="A717" s="1">
        <f t="shared" si="221"/>
        <v>57.833333333333336</v>
      </c>
      <c r="B717" s="1">
        <f t="shared" si="222"/>
        <v>694</v>
      </c>
      <c r="C717" s="2">
        <f t="shared" si="227"/>
        <v>57</v>
      </c>
      <c r="D717" s="2">
        <f t="shared" si="228"/>
        <v>10</v>
      </c>
      <c r="E717" s="2">
        <f t="shared" si="229"/>
        <v>86</v>
      </c>
      <c r="F717" s="1">
        <f t="shared" si="223"/>
        <v>1693168.8264169472</v>
      </c>
      <c r="H717" s="1">
        <f t="shared" si="216"/>
        <v>13501.565991690919</v>
      </c>
      <c r="I717" s="1">
        <v>0</v>
      </c>
      <c r="J717" s="1">
        <v>0</v>
      </c>
      <c r="K717" s="1">
        <f t="shared" si="224"/>
        <v>-1979.7376551940199</v>
      </c>
      <c r="L717" s="1">
        <f t="shared" si="217"/>
        <v>1704690.654753444</v>
      </c>
      <c r="N717" s="1">
        <f t="shared" si="225"/>
        <v>694</v>
      </c>
      <c r="O717" s="2">
        <f t="shared" si="230"/>
        <v>57</v>
      </c>
      <c r="P717" s="2">
        <f t="shared" si="231"/>
        <v>10</v>
      </c>
      <c r="Q717" s="2">
        <f t="shared" si="232"/>
        <v>57</v>
      </c>
      <c r="R717" s="1">
        <f t="shared" si="226"/>
        <v>140173269.02857172</v>
      </c>
      <c r="S717" s="4">
        <f>IF($G$4="mensual",S708,IF($G$4="trimestral",S708,0))</f>
        <v>10000</v>
      </c>
      <c r="U717" s="1">
        <f t="shared" si="233"/>
        <v>1117841.0730166268</v>
      </c>
      <c r="V717" s="35">
        <f>V716</f>
        <v>-826.6340694098202</v>
      </c>
      <c r="X717" s="35">
        <f t="shared" si="234"/>
        <v>-163908.32882232193</v>
      </c>
      <c r="Y717" s="1">
        <f t="shared" si="218"/>
        <v>141136375.13869661</v>
      </c>
      <c r="AA717" s="2">
        <f>+Bono!J717</f>
        <v>1060212.2377628309</v>
      </c>
      <c r="AC717" s="10">
        <f t="shared" si="219"/>
        <v>57.833333333333336</v>
      </c>
      <c r="AD717" s="1">
        <f t="shared" si="220"/>
        <v>143901278.0312129</v>
      </c>
    </row>
    <row r="718" spans="1:30">
      <c r="A718" s="1">
        <f t="shared" si="221"/>
        <v>57.916666666666664</v>
      </c>
      <c r="B718" s="1">
        <f t="shared" si="222"/>
        <v>695</v>
      </c>
      <c r="C718" s="2">
        <f t="shared" si="227"/>
        <v>57</v>
      </c>
      <c r="D718" s="2">
        <f t="shared" si="228"/>
        <v>11</v>
      </c>
      <c r="E718" s="2">
        <f t="shared" si="229"/>
        <v>86</v>
      </c>
      <c r="F718" s="1">
        <f t="shared" si="223"/>
        <v>1704690.654753444</v>
      </c>
      <c r="H718" s="1">
        <f t="shared" si="216"/>
        <v>13593.442668843867</v>
      </c>
      <c r="I718" s="1">
        <v>0</v>
      </c>
      <c r="J718" s="1">
        <v>0</v>
      </c>
      <c r="K718" s="1">
        <f t="shared" si="224"/>
        <v>-1993.2095530098538</v>
      </c>
      <c r="L718" s="1">
        <f t="shared" si="217"/>
        <v>1716290.887869278</v>
      </c>
      <c r="N718" s="1">
        <f t="shared" si="225"/>
        <v>695</v>
      </c>
      <c r="O718" s="2">
        <f t="shared" si="230"/>
        <v>57</v>
      </c>
      <c r="P718" s="2">
        <f t="shared" si="231"/>
        <v>11</v>
      </c>
      <c r="Q718" s="2">
        <f t="shared" si="232"/>
        <v>57</v>
      </c>
      <c r="R718" s="1">
        <f t="shared" si="226"/>
        <v>141136375.13869661</v>
      </c>
      <c r="S718" s="1">
        <f>IF($G$17="si",S706*(1+$G$20),S706)</f>
        <v>10000</v>
      </c>
      <c r="U718" s="1">
        <f t="shared" si="233"/>
        <v>1125521.0163866978</v>
      </c>
      <c r="V718" s="35">
        <f>V717</f>
        <v>-826.6340694098202</v>
      </c>
      <c r="X718" s="35">
        <f t="shared" si="234"/>
        <v>-165034.4406443761</v>
      </c>
      <c r="Y718" s="1">
        <f t="shared" si="218"/>
        <v>142106035.0803695</v>
      </c>
      <c r="AA718" s="2">
        <f>+Bono!J718</f>
        <v>1066785.6766139683</v>
      </c>
      <c r="AC718" s="10">
        <f t="shared" si="219"/>
        <v>57.916666666666664</v>
      </c>
      <c r="AD718" s="1">
        <f t="shared" si="220"/>
        <v>144889111.64485273</v>
      </c>
    </row>
    <row r="719" spans="1:30">
      <c r="A719" s="1">
        <f t="shared" si="221"/>
        <v>58</v>
      </c>
      <c r="B719" s="1">
        <f t="shared" si="222"/>
        <v>696</v>
      </c>
      <c r="C719" s="2">
        <f t="shared" si="227"/>
        <v>57</v>
      </c>
      <c r="D719" s="2">
        <f t="shared" si="228"/>
        <v>12</v>
      </c>
      <c r="E719" s="2">
        <f t="shared" si="229"/>
        <v>86</v>
      </c>
      <c r="F719" s="1">
        <f t="shared" si="223"/>
        <v>1716290.887869278</v>
      </c>
      <c r="H719" s="1">
        <f t="shared" si="216"/>
        <v>13685.944556717546</v>
      </c>
      <c r="I719" s="1">
        <v>0</v>
      </c>
      <c r="J719" s="69">
        <f>-SUM(F719:H719)*$J$21*1.16</f>
        <v>-18060.958130527393</v>
      </c>
      <c r="K719" s="1">
        <f t="shared" si="224"/>
        <v>-1985.8224141827429</v>
      </c>
      <c r="L719" s="1">
        <f t="shared" si="217"/>
        <v>1709930.0518812854</v>
      </c>
      <c r="N719" s="1">
        <f t="shared" si="225"/>
        <v>696</v>
      </c>
      <c r="O719" s="2">
        <f t="shared" si="230"/>
        <v>57</v>
      </c>
      <c r="P719" s="2">
        <f t="shared" si="231"/>
        <v>12</v>
      </c>
      <c r="Q719" s="2">
        <f t="shared" si="232"/>
        <v>57</v>
      </c>
      <c r="R719" s="1">
        <f t="shared" si="226"/>
        <v>142106035.0803695</v>
      </c>
      <c r="S719" s="4">
        <f>IF($G$4="mensual",S718,0)</f>
        <v>10000</v>
      </c>
      <c r="U719" s="1">
        <f t="shared" si="233"/>
        <v>1133253.2209298802</v>
      </c>
      <c r="V719" s="35">
        <f>V718</f>
        <v>-826.6340694098202</v>
      </c>
      <c r="X719" s="35">
        <f t="shared" si="234"/>
        <v>-166168.21553398675</v>
      </c>
      <c r="Y719" s="1">
        <f t="shared" si="218"/>
        <v>143082293.45169598</v>
      </c>
      <c r="AA719" s="2">
        <f>+Bono!J719</f>
        <v>1063729.6024354054</v>
      </c>
      <c r="AC719" s="10">
        <f t="shared" si="219"/>
        <v>58</v>
      </c>
      <c r="AD719" s="1">
        <f t="shared" si="220"/>
        <v>145855953.10601267</v>
      </c>
    </row>
    <row r="720" spans="1:30">
      <c r="A720" s="1">
        <f t="shared" si="221"/>
        <v>58.083333333333336</v>
      </c>
      <c r="B720" s="1">
        <f t="shared" si="222"/>
        <v>697</v>
      </c>
      <c r="C720" s="2">
        <f t="shared" si="227"/>
        <v>58</v>
      </c>
      <c r="D720" s="2">
        <f t="shared" si="228"/>
        <v>1</v>
      </c>
      <c r="E720" s="2">
        <f t="shared" si="229"/>
        <v>87</v>
      </c>
      <c r="F720" s="1">
        <f t="shared" si="223"/>
        <v>1709930.0518812854</v>
      </c>
      <c r="H720" s="1">
        <f t="shared" si="216"/>
        <v>13635.222357304068</v>
      </c>
      <c r="I720" s="1">
        <v>0</v>
      </c>
      <c r="J720" s="1">
        <v>0</v>
      </c>
      <c r="K720" s="1">
        <f t="shared" si="224"/>
        <v>-1999.3357181167635</v>
      </c>
      <c r="L720" s="1">
        <f t="shared" si="217"/>
        <v>1721565.9385204727</v>
      </c>
      <c r="N720" s="1">
        <f t="shared" si="225"/>
        <v>697</v>
      </c>
      <c r="O720" s="2">
        <f t="shared" si="230"/>
        <v>58</v>
      </c>
      <c r="P720" s="2">
        <f t="shared" si="231"/>
        <v>1</v>
      </c>
      <c r="Q720" s="2">
        <f t="shared" si="232"/>
        <v>58</v>
      </c>
      <c r="R720" s="1">
        <f t="shared" si="226"/>
        <v>143082293.45169598</v>
      </c>
      <c r="S720" s="1">
        <f>IF($G$17="si",S708*(1+$G$20),S708)</f>
        <v>10000</v>
      </c>
      <c r="U720" s="1">
        <f t="shared" si="233"/>
        <v>1141038.0422777303</v>
      </c>
      <c r="V720" s="35">
        <f>V719*(1+$G$18)</f>
        <v>-859.69943218621302</v>
      </c>
      <c r="X720" s="35">
        <f t="shared" si="234"/>
        <v>-167309.66728166814</v>
      </c>
      <c r="Y720" s="1">
        <f t="shared" si="218"/>
        <v>144065162.12725985</v>
      </c>
      <c r="AA720" s="2">
        <f>+Bono!J720</f>
        <v>1070324.8493555018</v>
      </c>
      <c r="AC720" s="10">
        <f t="shared" si="219"/>
        <v>58.083333333333336</v>
      </c>
      <c r="AD720" s="1">
        <f t="shared" si="220"/>
        <v>146857052.9151358</v>
      </c>
    </row>
    <row r="721" spans="1:30">
      <c r="A721" s="1">
        <f t="shared" si="221"/>
        <v>58.166666666666664</v>
      </c>
      <c r="B721" s="1">
        <f t="shared" si="222"/>
        <v>698</v>
      </c>
      <c r="C721" s="2">
        <f t="shared" si="227"/>
        <v>58</v>
      </c>
      <c r="D721" s="2">
        <f t="shared" si="228"/>
        <v>2</v>
      </c>
      <c r="E721" s="2">
        <f t="shared" si="229"/>
        <v>87</v>
      </c>
      <c r="F721" s="1">
        <f t="shared" si="223"/>
        <v>1721565.9385204727</v>
      </c>
      <c r="H721" s="1">
        <f t="shared" si="216"/>
        <v>13728.008551379753</v>
      </c>
      <c r="I721" s="1">
        <v>0</v>
      </c>
      <c r="J721" s="1">
        <v>0</v>
      </c>
      <c r="K721" s="1">
        <f t="shared" si="224"/>
        <v>-2012.9409786033486</v>
      </c>
      <c r="L721" s="1">
        <f t="shared" si="217"/>
        <v>1733281.006093249</v>
      </c>
      <c r="N721" s="1">
        <f t="shared" si="225"/>
        <v>698</v>
      </c>
      <c r="O721" s="2">
        <f t="shared" si="230"/>
        <v>58</v>
      </c>
      <c r="P721" s="2">
        <f t="shared" si="231"/>
        <v>2</v>
      </c>
      <c r="Q721" s="2">
        <f t="shared" si="232"/>
        <v>58</v>
      </c>
      <c r="R721" s="1">
        <f t="shared" si="226"/>
        <v>144065162.12725985</v>
      </c>
      <c r="S721" s="4">
        <f>IF($G$4="mensual",S720,0)</f>
        <v>10000</v>
      </c>
      <c r="U721" s="1">
        <f t="shared" si="233"/>
        <v>1148875.5751198472</v>
      </c>
      <c r="V721" s="35">
        <f t="shared" ref="V721:V755" si="235">V720</f>
        <v>-859.69943218621302</v>
      </c>
      <c r="X721" s="35">
        <f t="shared" si="234"/>
        <v>-168458.8864834191</v>
      </c>
      <c r="Y721" s="1">
        <f t="shared" si="218"/>
        <v>145054719.11646408</v>
      </c>
      <c r="AA721" s="2">
        <f>+Bono!J721</f>
        <v>1076960.987571504</v>
      </c>
      <c r="AC721" s="10">
        <f t="shared" si="219"/>
        <v>58.166666666666664</v>
      </c>
      <c r="AD721" s="1">
        <f t="shared" si="220"/>
        <v>147864961.11012885</v>
      </c>
    </row>
    <row r="722" spans="1:30">
      <c r="A722" s="1">
        <f t="shared" si="221"/>
        <v>58.25</v>
      </c>
      <c r="B722" s="1">
        <f t="shared" si="222"/>
        <v>699</v>
      </c>
      <c r="C722" s="2">
        <f t="shared" si="227"/>
        <v>58</v>
      </c>
      <c r="D722" s="2">
        <f t="shared" si="228"/>
        <v>3</v>
      </c>
      <c r="E722" s="2">
        <f t="shared" si="229"/>
        <v>87</v>
      </c>
      <c r="F722" s="1">
        <f t="shared" si="223"/>
        <v>1733281.006093249</v>
      </c>
      <c r="H722" s="1">
        <f t="shared" si="216"/>
        <v>13821.426145339168</v>
      </c>
      <c r="I722" s="1">
        <v>0</v>
      </c>
      <c r="J722" s="69">
        <f>-SUM(F722:H722)*$J$21*1.16</f>
        <v>-18239.749392570859</v>
      </c>
      <c r="K722" s="1">
        <f t="shared" si="224"/>
        <v>-2005.4807121013798</v>
      </c>
      <c r="L722" s="1">
        <f t="shared" si="217"/>
        <v>1726857.2021339159</v>
      </c>
      <c r="N722" s="1">
        <f t="shared" si="225"/>
        <v>699</v>
      </c>
      <c r="O722" s="2">
        <f t="shared" si="230"/>
        <v>58</v>
      </c>
      <c r="P722" s="2">
        <f t="shared" si="231"/>
        <v>3</v>
      </c>
      <c r="Q722" s="2">
        <f t="shared" si="232"/>
        <v>58</v>
      </c>
      <c r="R722" s="1">
        <f t="shared" si="226"/>
        <v>145054719.11646408</v>
      </c>
      <c r="S722" s="4">
        <f>IF($G$4="mensual",S721,0)</f>
        <v>10000</v>
      </c>
      <c r="U722" s="1">
        <f t="shared" si="233"/>
        <v>1156766.4415141649</v>
      </c>
      <c r="V722" s="35">
        <f t="shared" si="235"/>
        <v>-859.69943218621302</v>
      </c>
      <c r="X722" s="35">
        <f t="shared" si="234"/>
        <v>-169615.92599591342</v>
      </c>
      <c r="Y722" s="1">
        <f t="shared" si="218"/>
        <v>146051009.93255013</v>
      </c>
      <c r="AA722" s="2">
        <f>+Bono!J722</f>
        <v>1073875.7636717197</v>
      </c>
      <c r="AC722" s="10">
        <f t="shared" si="219"/>
        <v>58.25</v>
      </c>
      <c r="AD722" s="1">
        <f t="shared" si="220"/>
        <v>148851742.89835578</v>
      </c>
    </row>
    <row r="723" spans="1:30">
      <c r="A723" s="1">
        <f t="shared" si="221"/>
        <v>58.333333333333336</v>
      </c>
      <c r="B723" s="1">
        <f t="shared" si="222"/>
        <v>700</v>
      </c>
      <c r="C723" s="2">
        <f t="shared" si="227"/>
        <v>58</v>
      </c>
      <c r="D723" s="2">
        <f t="shared" si="228"/>
        <v>4</v>
      </c>
      <c r="E723" s="2">
        <f t="shared" si="229"/>
        <v>87</v>
      </c>
      <c r="F723" s="1">
        <f t="shared" si="223"/>
        <v>1726857.2021339159</v>
      </c>
      <c r="H723" s="1">
        <f t="shared" si="216"/>
        <v>13770.201830479698</v>
      </c>
      <c r="I723" s="1">
        <v>0</v>
      </c>
      <c r="J723" s="1">
        <v>0</v>
      </c>
      <c r="K723" s="1">
        <f t="shared" si="224"/>
        <v>-2019.1277885986988</v>
      </c>
      <c r="L723" s="1">
        <f t="shared" si="217"/>
        <v>1738608.276175797</v>
      </c>
      <c r="N723" s="1">
        <f t="shared" si="225"/>
        <v>700</v>
      </c>
      <c r="O723" s="2">
        <f t="shared" si="230"/>
        <v>58</v>
      </c>
      <c r="P723" s="2">
        <f t="shared" si="231"/>
        <v>4</v>
      </c>
      <c r="Q723" s="2">
        <f t="shared" si="232"/>
        <v>58</v>
      </c>
      <c r="R723" s="1">
        <f t="shared" si="226"/>
        <v>146051009.93255013</v>
      </c>
      <c r="S723" s="4">
        <f>IF($G$4="mensual",S720,IF($G$4="trimestral",S720,0))</f>
        <v>10000</v>
      </c>
      <c r="U723" s="1">
        <f t="shared" si="233"/>
        <v>1164711.0043896623</v>
      </c>
      <c r="V723" s="35">
        <f t="shared" si="235"/>
        <v>-859.69943218621302</v>
      </c>
      <c r="X723" s="35">
        <f t="shared" si="234"/>
        <v>-170780.8390355088</v>
      </c>
      <c r="Y723" s="1">
        <f t="shared" si="218"/>
        <v>147054080.3984721</v>
      </c>
      <c r="AA723" s="2">
        <f>+Bono!J723</f>
        <v>1080533.9179683633</v>
      </c>
      <c r="AC723" s="10">
        <f t="shared" si="219"/>
        <v>58.333333333333336</v>
      </c>
      <c r="AD723" s="1">
        <f t="shared" si="220"/>
        <v>149873222.59261626</v>
      </c>
    </row>
    <row r="724" spans="1:30">
      <c r="A724" s="1">
        <f t="shared" si="221"/>
        <v>58.416666666666664</v>
      </c>
      <c r="B724" s="1">
        <f t="shared" si="222"/>
        <v>701</v>
      </c>
      <c r="C724" s="2">
        <f t="shared" si="227"/>
        <v>58</v>
      </c>
      <c r="D724" s="2">
        <f t="shared" si="228"/>
        <v>5</v>
      </c>
      <c r="E724" s="2">
        <f t="shared" si="229"/>
        <v>87</v>
      </c>
      <c r="F724" s="1">
        <f t="shared" si="223"/>
        <v>1738608.276175797</v>
      </c>
      <c r="H724" s="1">
        <f t="shared" si="216"/>
        <v>13863.906545080104</v>
      </c>
      <c r="I724" s="1">
        <v>0</v>
      </c>
      <c r="J724" s="1">
        <v>0</v>
      </c>
      <c r="K724" s="1">
        <f t="shared" si="224"/>
        <v>-2032.8677319562173</v>
      </c>
      <c r="L724" s="1">
        <f t="shared" si="217"/>
        <v>1750439.3149889207</v>
      </c>
      <c r="N724" s="1">
        <f t="shared" si="225"/>
        <v>701</v>
      </c>
      <c r="O724" s="2">
        <f t="shared" si="230"/>
        <v>58</v>
      </c>
      <c r="P724" s="2">
        <f t="shared" si="231"/>
        <v>5</v>
      </c>
      <c r="Q724" s="2">
        <f t="shared" si="232"/>
        <v>58</v>
      </c>
      <c r="R724" s="1">
        <f t="shared" si="226"/>
        <v>147054080.3984721</v>
      </c>
      <c r="S724" s="4">
        <f>IF($G$4="mensual",S723,0)</f>
        <v>10000</v>
      </c>
      <c r="U724" s="1">
        <f t="shared" si="233"/>
        <v>1172709.6291450099</v>
      </c>
      <c r="V724" s="35">
        <f t="shared" si="235"/>
        <v>-859.69943218621302</v>
      </c>
      <c r="X724" s="35">
        <f t="shared" si="234"/>
        <v>-171953.67918069448</v>
      </c>
      <c r="Y724" s="1">
        <f t="shared" si="218"/>
        <v>148063976.64900422</v>
      </c>
      <c r="AA724" s="2">
        <f>+Bono!J724</f>
        <v>1087233.3535939441</v>
      </c>
      <c r="AC724" s="10">
        <f t="shared" si="219"/>
        <v>58.416666666666664</v>
      </c>
      <c r="AD724" s="1">
        <f t="shared" si="220"/>
        <v>150901649.31758708</v>
      </c>
    </row>
    <row r="725" spans="1:30">
      <c r="A725" s="1">
        <f t="shared" si="221"/>
        <v>58.5</v>
      </c>
      <c r="B725" s="1">
        <f t="shared" si="222"/>
        <v>702</v>
      </c>
      <c r="C725" s="2">
        <f t="shared" si="227"/>
        <v>58</v>
      </c>
      <c r="D725" s="2">
        <f t="shared" si="228"/>
        <v>6</v>
      </c>
      <c r="E725" s="2">
        <f t="shared" si="229"/>
        <v>87</v>
      </c>
      <c r="F725" s="1">
        <f t="shared" si="223"/>
        <v>1750439.3149889207</v>
      </c>
      <c r="H725" s="1">
        <f t="shared" si="216"/>
        <v>13958.248909995764</v>
      </c>
      <c r="I725" s="1">
        <v>0</v>
      </c>
      <c r="J725" s="69">
        <f>-SUM(F725:H725)*$J$21*1.16</f>
        <v>-18420.310567104687</v>
      </c>
      <c r="K725" s="1">
        <f t="shared" si="224"/>
        <v>-2025.3336138649013</v>
      </c>
      <c r="L725" s="1">
        <f t="shared" si="217"/>
        <v>1743951.9197179468</v>
      </c>
      <c r="N725" s="1">
        <f t="shared" si="225"/>
        <v>702</v>
      </c>
      <c r="O725" s="2">
        <f t="shared" si="230"/>
        <v>58</v>
      </c>
      <c r="P725" s="2">
        <f t="shared" si="231"/>
        <v>6</v>
      </c>
      <c r="Q725" s="2">
        <f t="shared" si="232"/>
        <v>58</v>
      </c>
      <c r="R725" s="1">
        <f t="shared" si="226"/>
        <v>148063976.64900422</v>
      </c>
      <c r="S725" s="4">
        <f>IF($G$4="mensual",S724,0)</f>
        <v>10000</v>
      </c>
      <c r="U725" s="1">
        <f t="shared" si="233"/>
        <v>1180762.6836653764</v>
      </c>
      <c r="V725" s="35">
        <f t="shared" si="235"/>
        <v>-859.69943218621302</v>
      </c>
      <c r="X725" s="35">
        <f t="shared" si="234"/>
        <v>-173134.50037455538</v>
      </c>
      <c r="Y725" s="1">
        <f t="shared" si="218"/>
        <v>149080745.13286284</v>
      </c>
      <c r="AA725" s="2">
        <f>+Bono!J725</f>
        <v>1084118.7019344494</v>
      </c>
      <c r="AC725" s="10">
        <f t="shared" si="219"/>
        <v>58.5</v>
      </c>
      <c r="AD725" s="1">
        <f t="shared" si="220"/>
        <v>151908815.75451523</v>
      </c>
    </row>
    <row r="726" spans="1:30">
      <c r="A726" s="1">
        <f t="shared" si="221"/>
        <v>58.583333333333336</v>
      </c>
      <c r="B726" s="1">
        <f t="shared" si="222"/>
        <v>703</v>
      </c>
      <c r="C726" s="2">
        <f t="shared" si="227"/>
        <v>58</v>
      </c>
      <c r="D726" s="2">
        <f t="shared" si="228"/>
        <v>7</v>
      </c>
      <c r="E726" s="2">
        <f t="shared" si="229"/>
        <v>87</v>
      </c>
      <c r="F726" s="1">
        <f t="shared" si="223"/>
        <v>1743951.9197179468</v>
      </c>
      <c r="H726" s="1">
        <f t="shared" si="216"/>
        <v>13906.517509087211</v>
      </c>
      <c r="I726" s="1">
        <v>0</v>
      </c>
      <c r="J726" s="1">
        <v>0</v>
      </c>
      <c r="K726" s="1">
        <f t="shared" si="224"/>
        <v>-2039.1157871833593</v>
      </c>
      <c r="L726" s="1">
        <f t="shared" si="217"/>
        <v>1755819.3214398506</v>
      </c>
      <c r="N726" s="1">
        <f t="shared" si="225"/>
        <v>703</v>
      </c>
      <c r="O726" s="2">
        <f t="shared" si="230"/>
        <v>58</v>
      </c>
      <c r="P726" s="2">
        <f t="shared" si="231"/>
        <v>7</v>
      </c>
      <c r="Q726" s="2">
        <f t="shared" si="232"/>
        <v>58</v>
      </c>
      <c r="R726" s="1">
        <f t="shared" si="226"/>
        <v>149080745.13286284</v>
      </c>
      <c r="S726" s="1">
        <f>+IF($G$4="mensual",S720,IF($G$4="trimestral",S720,IF($G$4="semestral",S720,0)))</f>
        <v>10000</v>
      </c>
      <c r="U726" s="1">
        <f t="shared" si="233"/>
        <v>1188870.5383393487</v>
      </c>
      <c r="V726" s="35">
        <f t="shared" si="235"/>
        <v>-859.69943218621302</v>
      </c>
      <c r="X726" s="35">
        <f t="shared" si="234"/>
        <v>-174323.35692725319</v>
      </c>
      <c r="Y726" s="1">
        <f t="shared" si="218"/>
        <v>150104432.61484274</v>
      </c>
      <c r="AA726" s="2">
        <f>+Bono!J726</f>
        <v>1090840.363636429</v>
      </c>
      <c r="AC726" s="10">
        <f t="shared" si="219"/>
        <v>58.583333333333336</v>
      </c>
      <c r="AD726" s="1">
        <f t="shared" si="220"/>
        <v>152951092.29991904</v>
      </c>
    </row>
    <row r="727" spans="1:30">
      <c r="A727" s="1">
        <f t="shared" si="221"/>
        <v>58.666666666666664</v>
      </c>
      <c r="B727" s="1">
        <f t="shared" si="222"/>
        <v>704</v>
      </c>
      <c r="C727" s="2">
        <f t="shared" si="227"/>
        <v>58</v>
      </c>
      <c r="D727" s="2">
        <f t="shared" si="228"/>
        <v>8</v>
      </c>
      <c r="E727" s="2">
        <f t="shared" si="229"/>
        <v>87</v>
      </c>
      <c r="F727" s="1">
        <f t="shared" si="223"/>
        <v>1755819.3214398506</v>
      </c>
      <c r="H727" s="1">
        <f t="shared" si="216"/>
        <v>14001.149836943887</v>
      </c>
      <c r="I727" s="1">
        <v>0</v>
      </c>
      <c r="J727" s="1">
        <v>0</v>
      </c>
      <c r="K727" s="1">
        <f t="shared" si="224"/>
        <v>-2052.9917466810816</v>
      </c>
      <c r="L727" s="1">
        <f t="shared" si="217"/>
        <v>1767767.4795301135</v>
      </c>
      <c r="N727" s="1">
        <f t="shared" si="225"/>
        <v>704</v>
      </c>
      <c r="O727" s="2">
        <f t="shared" si="230"/>
        <v>58</v>
      </c>
      <c r="P727" s="2">
        <f t="shared" si="231"/>
        <v>8</v>
      </c>
      <c r="Q727" s="2">
        <f t="shared" si="232"/>
        <v>58</v>
      </c>
      <c r="R727" s="1">
        <f t="shared" si="226"/>
        <v>150104432.61484274</v>
      </c>
      <c r="S727" s="4">
        <f>IF($G$4="mensual",S726,0)</f>
        <v>10000</v>
      </c>
      <c r="U727" s="1">
        <f t="shared" si="233"/>
        <v>1197033.5660759674</v>
      </c>
      <c r="V727" s="35">
        <f t="shared" si="235"/>
        <v>-859.69943218621302</v>
      </c>
      <c r="X727" s="35">
        <f t="shared" si="234"/>
        <v>-175520.30351852436</v>
      </c>
      <c r="Y727" s="1">
        <f t="shared" si="218"/>
        <v>151135086.177968</v>
      </c>
      <c r="AA727" s="2">
        <f>+Bono!J727</f>
        <v>1097603.7004206255</v>
      </c>
      <c r="AC727" s="10">
        <f t="shared" si="219"/>
        <v>58.666666666666664</v>
      </c>
      <c r="AD727" s="1">
        <f t="shared" si="220"/>
        <v>154000457.35791874</v>
      </c>
    </row>
    <row r="728" spans="1:30">
      <c r="A728" s="1">
        <f t="shared" si="221"/>
        <v>58.75</v>
      </c>
      <c r="B728" s="1">
        <f t="shared" si="222"/>
        <v>705</v>
      </c>
      <c r="C728" s="2">
        <f t="shared" si="227"/>
        <v>58</v>
      </c>
      <c r="D728" s="2">
        <f t="shared" si="228"/>
        <v>9</v>
      </c>
      <c r="E728" s="2">
        <f t="shared" si="229"/>
        <v>87</v>
      </c>
      <c r="F728" s="1">
        <f t="shared" si="223"/>
        <v>1767767.4795301135</v>
      </c>
      <c r="H728" s="1">
        <f t="shared" ref="H728:H755" si="236">SUM(F728:G728)*$G$8</f>
        <v>14096.426127422386</v>
      </c>
      <c r="I728" s="1">
        <v>0</v>
      </c>
      <c r="J728" s="69">
        <f>-SUM(F728:H728)*$J$21*1.16</f>
        <v>-18602.659175064677</v>
      </c>
      <c r="K728" s="1">
        <f t="shared" si="224"/>
        <v>-2045.3830459196665</v>
      </c>
      <c r="L728" s="1">
        <f t="shared" ref="L728:L755" si="237">SUM(F728:K728)</f>
        <v>1761215.8634365515</v>
      </c>
      <c r="N728" s="1">
        <f t="shared" si="225"/>
        <v>705</v>
      </c>
      <c r="O728" s="2">
        <f t="shared" si="230"/>
        <v>58</v>
      </c>
      <c r="P728" s="2">
        <f t="shared" si="231"/>
        <v>9</v>
      </c>
      <c r="Q728" s="2">
        <f t="shared" si="232"/>
        <v>58</v>
      </c>
      <c r="R728" s="1">
        <f t="shared" si="226"/>
        <v>151135086.177968</v>
      </c>
      <c r="S728" s="4">
        <f>IF($G$4="mensual",S727,0)</f>
        <v>10000</v>
      </c>
      <c r="U728" s="1">
        <f t="shared" si="233"/>
        <v>1205252.1423218781</v>
      </c>
      <c r="V728" s="35">
        <f t="shared" si="235"/>
        <v>-859.69943218621302</v>
      </c>
      <c r="X728" s="35">
        <f t="shared" si="234"/>
        <v>-176725.39520019491</v>
      </c>
      <c r="Y728" s="1">
        <f t="shared" ref="Y728:Y755" si="238">SUM(R728:X728)</f>
        <v>152172753.22565749</v>
      </c>
      <c r="AA728" s="2">
        <f>+Bono!J728</f>
        <v>1094459.3403109196</v>
      </c>
      <c r="AC728" s="10">
        <f t="shared" ref="AC728:AC755" si="239">+B728/12</f>
        <v>58.75</v>
      </c>
      <c r="AD728" s="1">
        <f t="shared" ref="AD728:AD755" si="240">+AA728+Y728+L728</f>
        <v>155028428.42940497</v>
      </c>
    </row>
    <row r="729" spans="1:30">
      <c r="A729" s="1">
        <f t="shared" ref="A729:A755" si="241">+B729/12</f>
        <v>58.833333333333336</v>
      </c>
      <c r="B729" s="1">
        <f t="shared" ref="B729:B755" si="242">+B728+1</f>
        <v>706</v>
      </c>
      <c r="C729" s="2">
        <f t="shared" si="227"/>
        <v>58</v>
      </c>
      <c r="D729" s="2">
        <f t="shared" si="228"/>
        <v>10</v>
      </c>
      <c r="E729" s="2">
        <f t="shared" si="229"/>
        <v>87</v>
      </c>
      <c r="F729" s="1">
        <f t="shared" ref="F729:F755" si="243">L728</f>
        <v>1761215.8634365515</v>
      </c>
      <c r="H729" s="1">
        <f t="shared" si="236"/>
        <v>14044.182620656056</v>
      </c>
      <c r="I729" s="1">
        <v>0</v>
      </c>
      <c r="J729" s="1">
        <v>0</v>
      </c>
      <c r="K729" s="1">
        <f t="shared" ref="K729:K755" si="244">-SUM(F729:J729)*0.1%*1.16</f>
        <v>-2059.3016534263606</v>
      </c>
      <c r="L729" s="1">
        <f t="shared" si="237"/>
        <v>1773200.7444037811</v>
      </c>
      <c r="N729" s="1">
        <f t="shared" ref="N729:N755" si="245">+N728+1</f>
        <v>706</v>
      </c>
      <c r="O729" s="2">
        <f t="shared" si="230"/>
        <v>58</v>
      </c>
      <c r="P729" s="2">
        <f t="shared" si="231"/>
        <v>10</v>
      </c>
      <c r="Q729" s="2">
        <f t="shared" si="232"/>
        <v>58</v>
      </c>
      <c r="R729" s="1">
        <f t="shared" ref="R729:R755" si="246">Y728</f>
        <v>152172753.22565749</v>
      </c>
      <c r="S729" s="4">
        <f>IF($G$4="mensual",S720,IF($G$4="trimestral",S720,0))</f>
        <v>10000</v>
      </c>
      <c r="U729" s="1">
        <f t="shared" si="233"/>
        <v>1213526.6450786002</v>
      </c>
      <c r="V729" s="35">
        <f t="shared" si="235"/>
        <v>-859.69943218621302</v>
      </c>
      <c r="X729" s="35">
        <f t="shared" si="234"/>
        <v>-177938.68739871253</v>
      </c>
      <c r="Y729" s="1">
        <f t="shared" si="238"/>
        <v>153217481.4839052</v>
      </c>
      <c r="AA729" s="2">
        <f>+Bono!J729</f>
        <v>1101245.1151702732</v>
      </c>
      <c r="AC729" s="10">
        <f t="shared" si="239"/>
        <v>58.833333333333336</v>
      </c>
      <c r="AD729" s="1">
        <f t="shared" si="240"/>
        <v>156091927.34347925</v>
      </c>
    </row>
    <row r="730" spans="1:30">
      <c r="A730" s="1">
        <f t="shared" si="241"/>
        <v>58.916666666666664</v>
      </c>
      <c r="B730" s="1">
        <f t="shared" si="242"/>
        <v>707</v>
      </c>
      <c r="C730" s="2">
        <f t="shared" si="227"/>
        <v>58</v>
      </c>
      <c r="D730" s="2">
        <f t="shared" si="228"/>
        <v>11</v>
      </c>
      <c r="E730" s="2">
        <f t="shared" si="229"/>
        <v>87</v>
      </c>
      <c r="F730" s="1">
        <f t="shared" si="243"/>
        <v>1773200.7444037811</v>
      </c>
      <c r="H730" s="1">
        <f t="shared" si="236"/>
        <v>14139.751744512441</v>
      </c>
      <c r="I730" s="1">
        <v>0</v>
      </c>
      <c r="J730" s="1">
        <v>0</v>
      </c>
      <c r="K730" s="1">
        <f t="shared" si="244"/>
        <v>-2073.3149755320205</v>
      </c>
      <c r="L730" s="1">
        <f t="shared" si="237"/>
        <v>1785267.1811727616</v>
      </c>
      <c r="N730" s="1">
        <f t="shared" si="245"/>
        <v>707</v>
      </c>
      <c r="O730" s="2">
        <f t="shared" si="230"/>
        <v>58</v>
      </c>
      <c r="P730" s="2">
        <f t="shared" si="231"/>
        <v>11</v>
      </c>
      <c r="Q730" s="2">
        <f t="shared" si="232"/>
        <v>58</v>
      </c>
      <c r="R730" s="1">
        <f t="shared" si="246"/>
        <v>153217481.4839052</v>
      </c>
      <c r="S730" s="1">
        <f>IF($G$17="si",S718*(1+$G$20),S718)</f>
        <v>10000</v>
      </c>
      <c r="U730" s="1">
        <f t="shared" si="233"/>
        <v>1221857.4549199115</v>
      </c>
      <c r="V730" s="35">
        <f t="shared" si="235"/>
        <v>-859.69943218621302</v>
      </c>
      <c r="X730" s="35">
        <f t="shared" si="234"/>
        <v>-179160.23591769577</v>
      </c>
      <c r="Y730" s="1">
        <f t="shared" si="238"/>
        <v>154269319.00347522</v>
      </c>
      <c r="AA730" s="2">
        <f>+Bono!J730</f>
        <v>1108072.962620856</v>
      </c>
      <c r="AC730" s="10">
        <f t="shared" si="239"/>
        <v>58.916666666666664</v>
      </c>
      <c r="AD730" s="1">
        <f t="shared" si="240"/>
        <v>157162659.14726883</v>
      </c>
    </row>
    <row r="731" spans="1:30">
      <c r="A731" s="1">
        <f t="shared" si="241"/>
        <v>59</v>
      </c>
      <c r="B731" s="1">
        <f t="shared" si="242"/>
        <v>708</v>
      </c>
      <c r="C731" s="2">
        <f t="shared" si="227"/>
        <v>58</v>
      </c>
      <c r="D731" s="2">
        <f t="shared" si="228"/>
        <v>12</v>
      </c>
      <c r="E731" s="2">
        <f t="shared" si="229"/>
        <v>87</v>
      </c>
      <c r="F731" s="1">
        <f t="shared" si="243"/>
        <v>1785267.1811727616</v>
      </c>
      <c r="H731" s="1">
        <f t="shared" si="236"/>
        <v>14235.971205784779</v>
      </c>
      <c r="I731" s="1">
        <v>0</v>
      </c>
      <c r="J731" s="69">
        <f>-SUM(F731:H731)*$J$21*1.16</f>
        <v>-18786.812910832024</v>
      </c>
      <c r="K731" s="1">
        <f t="shared" si="244"/>
        <v>-2065.6309537825487</v>
      </c>
      <c r="L731" s="1">
        <f t="shared" si="237"/>
        <v>1778650.7085139318</v>
      </c>
      <c r="N731" s="1">
        <f t="shared" si="245"/>
        <v>708</v>
      </c>
      <c r="O731" s="2">
        <f t="shared" si="230"/>
        <v>58</v>
      </c>
      <c r="P731" s="2">
        <f t="shared" si="231"/>
        <v>12</v>
      </c>
      <c r="Q731" s="2">
        <f t="shared" si="232"/>
        <v>58</v>
      </c>
      <c r="R731" s="1">
        <f t="shared" si="246"/>
        <v>154269319.00347522</v>
      </c>
      <c r="S731" s="4">
        <f>IF($G$4="mensual",S730,0)</f>
        <v>10000</v>
      </c>
      <c r="U731" s="1">
        <f t="shared" si="233"/>
        <v>1230244.9550093526</v>
      </c>
      <c r="V731" s="35">
        <f t="shared" si="235"/>
        <v>-859.69943218621302</v>
      </c>
      <c r="X731" s="35">
        <f t="shared" si="234"/>
        <v>-180390.09694050075</v>
      </c>
      <c r="Y731" s="1">
        <f t="shared" si="238"/>
        <v>155328314.16211188</v>
      </c>
      <c r="AA731" s="2">
        <f>+Bono!J731</f>
        <v>1104898.6106931306</v>
      </c>
      <c r="AC731" s="10">
        <f t="shared" si="239"/>
        <v>59</v>
      </c>
      <c r="AD731" s="1">
        <f t="shared" si="240"/>
        <v>158211863.48131895</v>
      </c>
    </row>
    <row r="732" spans="1:30">
      <c r="A732" s="1">
        <f t="shared" si="241"/>
        <v>59.083333333333336</v>
      </c>
      <c r="B732" s="1">
        <f t="shared" si="242"/>
        <v>709</v>
      </c>
      <c r="C732" s="2">
        <f t="shared" si="227"/>
        <v>59</v>
      </c>
      <c r="D732" s="2">
        <f t="shared" si="228"/>
        <v>1</v>
      </c>
      <c r="E732" s="2">
        <f t="shared" si="229"/>
        <v>88</v>
      </c>
      <c r="F732" s="1">
        <f t="shared" si="243"/>
        <v>1778650.7085139318</v>
      </c>
      <c r="H732" s="1">
        <f t="shared" si="236"/>
        <v>14183.210523659269</v>
      </c>
      <c r="I732" s="1">
        <v>0</v>
      </c>
      <c r="J732" s="1">
        <v>0</v>
      </c>
      <c r="K732" s="1">
        <f t="shared" si="244"/>
        <v>-2079.6873460836055</v>
      </c>
      <c r="L732" s="1">
        <f t="shared" si="237"/>
        <v>1790754.2316915076</v>
      </c>
      <c r="N732" s="1">
        <f t="shared" si="245"/>
        <v>709</v>
      </c>
      <c r="O732" s="2">
        <f t="shared" si="230"/>
        <v>59</v>
      </c>
      <c r="P732" s="2">
        <f t="shared" si="231"/>
        <v>1</v>
      </c>
      <c r="Q732" s="2">
        <f t="shared" si="232"/>
        <v>59</v>
      </c>
      <c r="R732" s="1">
        <f t="shared" si="246"/>
        <v>155328314.16211188</v>
      </c>
      <c r="S732" s="1">
        <f>IF($G$17="si",S720*(1+$G$20),S720)</f>
        <v>10000</v>
      </c>
      <c r="U732" s="1">
        <f t="shared" si="233"/>
        <v>1238689.5311178504</v>
      </c>
      <c r="V732" s="35">
        <f>V731*(1+$G$18)</f>
        <v>-894.08740947366152</v>
      </c>
      <c r="X732" s="35">
        <f t="shared" si="234"/>
        <v>-181628.28714275151</v>
      </c>
      <c r="Y732" s="1">
        <f t="shared" si="238"/>
        <v>156394481.31867751</v>
      </c>
      <c r="AA732" s="2">
        <f>+Bono!J732</f>
        <v>1111749.1102397344</v>
      </c>
      <c r="AC732" s="10">
        <f t="shared" si="239"/>
        <v>59.083333333333336</v>
      </c>
      <c r="AD732" s="1">
        <f t="shared" si="240"/>
        <v>159296984.66060877</v>
      </c>
    </row>
    <row r="733" spans="1:30">
      <c r="A733" s="1">
        <f t="shared" si="241"/>
        <v>59.166666666666664</v>
      </c>
      <c r="B733" s="1">
        <f t="shared" si="242"/>
        <v>710</v>
      </c>
      <c r="C733" s="2">
        <f t="shared" si="227"/>
        <v>59</v>
      </c>
      <c r="D733" s="2">
        <f t="shared" si="228"/>
        <v>2</v>
      </c>
      <c r="E733" s="2">
        <f t="shared" si="229"/>
        <v>88</v>
      </c>
      <c r="F733" s="1">
        <f t="shared" si="243"/>
        <v>1790754.2316915076</v>
      </c>
      <c r="H733" s="1">
        <f t="shared" si="236"/>
        <v>14279.725717161749</v>
      </c>
      <c r="I733" s="1">
        <v>0</v>
      </c>
      <c r="J733" s="1">
        <v>0</v>
      </c>
      <c r="K733" s="1">
        <f t="shared" si="244"/>
        <v>-2093.8393905940566</v>
      </c>
      <c r="L733" s="1">
        <f t="shared" si="237"/>
        <v>1802940.1180180754</v>
      </c>
      <c r="N733" s="1">
        <f t="shared" si="245"/>
        <v>710</v>
      </c>
      <c r="O733" s="2">
        <f t="shared" si="230"/>
        <v>59</v>
      </c>
      <c r="P733" s="2">
        <f t="shared" si="231"/>
        <v>2</v>
      </c>
      <c r="Q733" s="2">
        <f t="shared" si="232"/>
        <v>59</v>
      </c>
      <c r="R733" s="1">
        <f t="shared" si="246"/>
        <v>156394481.31867751</v>
      </c>
      <c r="S733" s="4">
        <f>IF($G$4="mensual",S732,0)</f>
        <v>10000</v>
      </c>
      <c r="U733" s="1">
        <f t="shared" si="233"/>
        <v>1247191.2977449899</v>
      </c>
      <c r="V733" s="35">
        <f t="shared" si="235"/>
        <v>-894.08740947366152</v>
      </c>
      <c r="X733" s="35">
        <f t="shared" si="234"/>
        <v>-182874.90309365513</v>
      </c>
      <c r="Y733" s="1">
        <f t="shared" si="238"/>
        <v>157467903.62591937</v>
      </c>
      <c r="AA733" s="2">
        <f>+Bono!J733</f>
        <v>1118642.0836781359</v>
      </c>
      <c r="AC733" s="10">
        <f t="shared" si="239"/>
        <v>59.166666666666664</v>
      </c>
      <c r="AD733" s="1">
        <f t="shared" si="240"/>
        <v>160389485.82761556</v>
      </c>
    </row>
    <row r="734" spans="1:30">
      <c r="A734" s="1">
        <f t="shared" si="241"/>
        <v>59.25</v>
      </c>
      <c r="B734" s="1">
        <f t="shared" si="242"/>
        <v>711</v>
      </c>
      <c r="C734" s="2">
        <f t="shared" si="227"/>
        <v>59</v>
      </c>
      <c r="D734" s="2">
        <f t="shared" si="228"/>
        <v>3</v>
      </c>
      <c r="E734" s="2">
        <f t="shared" si="229"/>
        <v>88</v>
      </c>
      <c r="F734" s="1">
        <f t="shared" si="243"/>
        <v>1802940.1180180754</v>
      </c>
      <c r="H734" s="1">
        <f t="shared" si="236"/>
        <v>14376.897685980459</v>
      </c>
      <c r="I734" s="1">
        <v>0</v>
      </c>
      <c r="J734" s="69">
        <f>-SUM(F734:H734)*$J$21*1.16</f>
        <v>-18972.789643950342</v>
      </c>
      <c r="K734" s="1">
        <f t="shared" si="244"/>
        <v>-2086.0793022297221</v>
      </c>
      <c r="L734" s="1">
        <f t="shared" si="237"/>
        <v>1796258.1467578758</v>
      </c>
      <c r="N734" s="1">
        <f t="shared" si="245"/>
        <v>711</v>
      </c>
      <c r="O734" s="2">
        <f t="shared" si="230"/>
        <v>59</v>
      </c>
      <c r="P734" s="2">
        <f t="shared" si="231"/>
        <v>3</v>
      </c>
      <c r="Q734" s="2">
        <f t="shared" si="232"/>
        <v>59</v>
      </c>
      <c r="R734" s="1">
        <f t="shared" si="246"/>
        <v>157467903.62591937</v>
      </c>
      <c r="S734" s="4">
        <f>IF($G$4="mensual",S733,0)</f>
        <v>10000</v>
      </c>
      <c r="U734" s="1">
        <f t="shared" si="233"/>
        <v>1255750.9179624543</v>
      </c>
      <c r="V734" s="35">
        <f t="shared" si="235"/>
        <v>-894.08740947366152</v>
      </c>
      <c r="X734" s="35">
        <f t="shared" si="234"/>
        <v>-184130.00212950795</v>
      </c>
      <c r="Y734" s="1">
        <f t="shared" si="238"/>
        <v>158548630.45434287</v>
      </c>
      <c r="AA734" s="2">
        <f>+Bono!J734</f>
        <v>1115437.4538617386</v>
      </c>
      <c r="AC734" s="10">
        <f t="shared" si="239"/>
        <v>59.25</v>
      </c>
      <c r="AD734" s="1">
        <f t="shared" si="240"/>
        <v>161460326.05496249</v>
      </c>
    </row>
    <row r="735" spans="1:30">
      <c r="A735" s="1">
        <f t="shared" si="241"/>
        <v>59.333333333333336</v>
      </c>
      <c r="B735" s="1">
        <f t="shared" si="242"/>
        <v>712</v>
      </c>
      <c r="C735" s="2">
        <f t="shared" si="227"/>
        <v>59</v>
      </c>
      <c r="D735" s="2">
        <f t="shared" si="228"/>
        <v>4</v>
      </c>
      <c r="E735" s="2">
        <f t="shared" si="229"/>
        <v>88</v>
      </c>
      <c r="F735" s="1">
        <f t="shared" si="243"/>
        <v>1796258.1467578758</v>
      </c>
      <c r="H735" s="1">
        <f t="shared" si="236"/>
        <v>14323.614708809728</v>
      </c>
      <c r="I735" s="1">
        <v>0</v>
      </c>
      <c r="J735" s="1">
        <v>0</v>
      </c>
      <c r="K735" s="1">
        <f t="shared" si="244"/>
        <v>-2100.2748433013548</v>
      </c>
      <c r="L735" s="1">
        <f t="shared" si="237"/>
        <v>1808481.4866233841</v>
      </c>
      <c r="N735" s="1">
        <f t="shared" si="245"/>
        <v>712</v>
      </c>
      <c r="O735" s="2">
        <f t="shared" si="230"/>
        <v>59</v>
      </c>
      <c r="P735" s="2">
        <f t="shared" si="231"/>
        <v>4</v>
      </c>
      <c r="Q735" s="2">
        <f t="shared" si="232"/>
        <v>59</v>
      </c>
      <c r="R735" s="1">
        <f t="shared" si="246"/>
        <v>158548630.45434287</v>
      </c>
      <c r="S735" s="4">
        <f>IF($G$4="mensual",S732,IF($G$4="trimestral",S732,0))</f>
        <v>10000</v>
      </c>
      <c r="U735" s="1">
        <f t="shared" si="233"/>
        <v>1264368.7854575871</v>
      </c>
      <c r="V735" s="35">
        <f t="shared" si="235"/>
        <v>-894.08740947366152</v>
      </c>
      <c r="X735" s="35">
        <f t="shared" si="234"/>
        <v>-185393.64197677354</v>
      </c>
      <c r="Y735" s="1">
        <f t="shared" si="238"/>
        <v>159636711.51041421</v>
      </c>
      <c r="AA735" s="2">
        <f>+Bono!J735</f>
        <v>1122353.2954584179</v>
      </c>
      <c r="AC735" s="10">
        <f t="shared" si="239"/>
        <v>59.333333333333336</v>
      </c>
      <c r="AD735" s="1">
        <f t="shared" si="240"/>
        <v>162567546.292496</v>
      </c>
    </row>
    <row r="736" spans="1:30">
      <c r="A736" s="1">
        <f t="shared" si="241"/>
        <v>59.416666666666664</v>
      </c>
      <c r="B736" s="1">
        <f t="shared" si="242"/>
        <v>713</v>
      </c>
      <c r="C736" s="2">
        <f t="shared" si="227"/>
        <v>59</v>
      </c>
      <c r="D736" s="2">
        <f t="shared" si="228"/>
        <v>5</v>
      </c>
      <c r="E736" s="2">
        <f t="shared" si="229"/>
        <v>88</v>
      </c>
      <c r="F736" s="1">
        <f t="shared" si="243"/>
        <v>1808481.4866233841</v>
      </c>
      <c r="H736" s="1">
        <f t="shared" si="236"/>
        <v>14421.085337407509</v>
      </c>
      <c r="I736" s="1">
        <v>0</v>
      </c>
      <c r="J736" s="1">
        <v>0</v>
      </c>
      <c r="K736" s="1">
        <f t="shared" si="244"/>
        <v>-2114.5669834745181</v>
      </c>
      <c r="L736" s="1">
        <f t="shared" si="237"/>
        <v>1820788.0049773171</v>
      </c>
      <c r="N736" s="1">
        <f t="shared" si="245"/>
        <v>713</v>
      </c>
      <c r="O736" s="2">
        <f t="shared" si="230"/>
        <v>59</v>
      </c>
      <c r="P736" s="2">
        <f t="shared" si="231"/>
        <v>5</v>
      </c>
      <c r="Q736" s="2">
        <f t="shared" si="232"/>
        <v>59</v>
      </c>
      <c r="R736" s="1">
        <f t="shared" si="246"/>
        <v>159636711.51041421</v>
      </c>
      <c r="S736" s="4">
        <f>IF($G$4="mensual",S735,0)</f>
        <v>10000</v>
      </c>
      <c r="U736" s="1">
        <f t="shared" si="233"/>
        <v>1273045.2965967299</v>
      </c>
      <c r="V736" s="35">
        <f t="shared" si="235"/>
        <v>-894.08740947366152</v>
      </c>
      <c r="X736" s="35">
        <f t="shared" si="234"/>
        <v>-186665.88075473771</v>
      </c>
      <c r="Y736" s="1">
        <f t="shared" si="238"/>
        <v>160732196.83884674</v>
      </c>
      <c r="AA736" s="2">
        <f>+Bono!J736</f>
        <v>1129312.0160751846</v>
      </c>
      <c r="AC736" s="10">
        <f t="shared" si="239"/>
        <v>59.416666666666664</v>
      </c>
      <c r="AD736" s="1">
        <f t="shared" si="240"/>
        <v>163682296.85989925</v>
      </c>
    </row>
    <row r="737" spans="1:30">
      <c r="A737" s="1">
        <f t="shared" si="241"/>
        <v>59.5</v>
      </c>
      <c r="B737" s="1">
        <f t="shared" si="242"/>
        <v>714</v>
      </c>
      <c r="C737" s="2">
        <f t="shared" si="227"/>
        <v>59</v>
      </c>
      <c r="D737" s="2">
        <f t="shared" si="228"/>
        <v>6</v>
      </c>
      <c r="E737" s="2">
        <f t="shared" si="229"/>
        <v>88</v>
      </c>
      <c r="F737" s="1">
        <f t="shared" si="243"/>
        <v>1820788.0049773171</v>
      </c>
      <c r="H737" s="1">
        <f t="shared" si="236"/>
        <v>14519.219242952653</v>
      </c>
      <c r="I737" s="1">
        <v>0</v>
      </c>
      <c r="J737" s="69">
        <f>-SUM(F737:H737)*$J$21*1.16</f>
        <v>-19160.607420859618</v>
      </c>
      <c r="K737" s="1">
        <f t="shared" si="244"/>
        <v>-2106.7300754873158</v>
      </c>
      <c r="L737" s="1">
        <f t="shared" si="237"/>
        <v>1814039.8867239228</v>
      </c>
      <c r="N737" s="1">
        <f t="shared" si="245"/>
        <v>714</v>
      </c>
      <c r="O737" s="2">
        <f t="shared" si="230"/>
        <v>59</v>
      </c>
      <c r="P737" s="2">
        <f t="shared" si="231"/>
        <v>6</v>
      </c>
      <c r="Q737" s="2">
        <f t="shared" si="232"/>
        <v>59</v>
      </c>
      <c r="R737" s="1">
        <f t="shared" si="246"/>
        <v>160732196.83884674</v>
      </c>
      <c r="S737" s="4">
        <f>IF($G$4="mensual",S736,0)</f>
        <v>10000</v>
      </c>
      <c r="U737" s="1">
        <f t="shared" si="233"/>
        <v>1281780.8504434547</v>
      </c>
      <c r="V737" s="35">
        <f t="shared" si="235"/>
        <v>-894.08740947366152</v>
      </c>
      <c r="X737" s="35">
        <f t="shared" si="234"/>
        <v>-187946.77697818165</v>
      </c>
      <c r="Y737" s="1">
        <f t="shared" si="238"/>
        <v>161835136.82490253</v>
      </c>
      <c r="AA737" s="2">
        <f>+Bono!J737</f>
        <v>1126076.8195708382</v>
      </c>
      <c r="AC737" s="10">
        <f t="shared" si="239"/>
        <v>59.5</v>
      </c>
      <c r="AD737" s="1">
        <f t="shared" si="240"/>
        <v>164775253.53119731</v>
      </c>
    </row>
    <row r="738" spans="1:30">
      <c r="A738" s="1">
        <f t="shared" si="241"/>
        <v>59.583333333333336</v>
      </c>
      <c r="B738" s="1">
        <f t="shared" si="242"/>
        <v>715</v>
      </c>
      <c r="C738" s="2">
        <f t="shared" si="227"/>
        <v>59</v>
      </c>
      <c r="D738" s="2">
        <f t="shared" si="228"/>
        <v>7</v>
      </c>
      <c r="E738" s="2">
        <f t="shared" si="229"/>
        <v>88</v>
      </c>
      <c r="F738" s="1">
        <f t="shared" si="243"/>
        <v>1814039.8867239228</v>
      </c>
      <c r="H738" s="1">
        <f t="shared" si="236"/>
        <v>14465.408800369238</v>
      </c>
      <c r="I738" s="1">
        <v>0</v>
      </c>
      <c r="J738" s="1">
        <v>0</v>
      </c>
      <c r="K738" s="1">
        <f t="shared" si="244"/>
        <v>-2121.0661428081785</v>
      </c>
      <c r="L738" s="1">
        <f t="shared" si="237"/>
        <v>1826384.2293814837</v>
      </c>
      <c r="N738" s="1">
        <f t="shared" si="245"/>
        <v>715</v>
      </c>
      <c r="O738" s="2">
        <f t="shared" si="230"/>
        <v>59</v>
      </c>
      <c r="P738" s="2">
        <f t="shared" si="231"/>
        <v>7</v>
      </c>
      <c r="Q738" s="2">
        <f t="shared" si="232"/>
        <v>59</v>
      </c>
      <c r="R738" s="1">
        <f t="shared" si="246"/>
        <v>161835136.82490253</v>
      </c>
      <c r="S738" s="1">
        <f>+IF($G$4="mensual",S732,IF($G$4="trimestral",S732,IF($G$4="semestral",S732,0)))</f>
        <v>10000</v>
      </c>
      <c r="U738" s="1">
        <f t="shared" si="233"/>
        <v>1290575.8487769167</v>
      </c>
      <c r="V738" s="35">
        <f t="shared" si="235"/>
        <v>-894.08740947366152</v>
      </c>
      <c r="X738" s="35">
        <f t="shared" si="234"/>
        <v>-189236.38956007315</v>
      </c>
      <c r="Y738" s="1">
        <f t="shared" si="238"/>
        <v>162945582.1967099</v>
      </c>
      <c r="AA738" s="2">
        <f>+Bono!J738</f>
        <v>1133058.626469004</v>
      </c>
      <c r="AC738" s="10">
        <f t="shared" si="239"/>
        <v>59.583333333333336</v>
      </c>
      <c r="AD738" s="1">
        <f t="shared" si="240"/>
        <v>165905025.05256039</v>
      </c>
    </row>
    <row r="739" spans="1:30">
      <c r="A739" s="1">
        <f t="shared" si="241"/>
        <v>59.666666666666664</v>
      </c>
      <c r="B739" s="1">
        <f t="shared" si="242"/>
        <v>716</v>
      </c>
      <c r="C739" s="2">
        <f t="shared" si="227"/>
        <v>59</v>
      </c>
      <c r="D739" s="2">
        <f t="shared" si="228"/>
        <v>8</v>
      </c>
      <c r="E739" s="2">
        <f t="shared" si="229"/>
        <v>88</v>
      </c>
      <c r="F739" s="1">
        <f t="shared" si="243"/>
        <v>1826384.2293814837</v>
      </c>
      <c r="H739" s="1">
        <f t="shared" si="236"/>
        <v>14563.844322223136</v>
      </c>
      <c r="I739" s="1">
        <v>0</v>
      </c>
      <c r="J739" s="1">
        <v>0</v>
      </c>
      <c r="K739" s="1">
        <f t="shared" si="244"/>
        <v>-2135.4997654962999</v>
      </c>
      <c r="L739" s="1">
        <f t="shared" si="237"/>
        <v>1838812.5739382107</v>
      </c>
      <c r="N739" s="1">
        <f t="shared" si="245"/>
        <v>716</v>
      </c>
      <c r="O739" s="2">
        <f t="shared" si="230"/>
        <v>59</v>
      </c>
      <c r="P739" s="2">
        <f t="shared" si="231"/>
        <v>8</v>
      </c>
      <c r="Q739" s="2">
        <f t="shared" si="232"/>
        <v>59</v>
      </c>
      <c r="R739" s="1">
        <f t="shared" si="246"/>
        <v>162945582.1967099</v>
      </c>
      <c r="S739" s="4">
        <f>IF($G$4="mensual",S738,0)</f>
        <v>10000</v>
      </c>
      <c r="U739" s="1">
        <f t="shared" si="233"/>
        <v>1299430.6961103349</v>
      </c>
      <c r="V739" s="35">
        <f t="shared" si="235"/>
        <v>-894.08740947366152</v>
      </c>
      <c r="X739" s="35">
        <f t="shared" si="234"/>
        <v>-190534.77781427649</v>
      </c>
      <c r="Y739" s="1">
        <f t="shared" si="238"/>
        <v>164063584.0275965</v>
      </c>
      <c r="AA739" s="2">
        <f>+Bono!J739</f>
        <v>1140083.7213797776</v>
      </c>
      <c r="AC739" s="10">
        <f t="shared" si="239"/>
        <v>59.666666666666664</v>
      </c>
      <c r="AD739" s="1">
        <f t="shared" si="240"/>
        <v>167042480.32291451</v>
      </c>
    </row>
    <row r="740" spans="1:30">
      <c r="A740" s="1">
        <f t="shared" si="241"/>
        <v>59.75</v>
      </c>
      <c r="B740" s="1">
        <f t="shared" si="242"/>
        <v>717</v>
      </c>
      <c r="C740" s="2">
        <f t="shared" ref="C740:C755" si="247">C728+1</f>
        <v>59</v>
      </c>
      <c r="D740" s="2">
        <f t="shared" ref="D740:D755" si="248">D728</f>
        <v>9</v>
      </c>
      <c r="E740" s="2">
        <f t="shared" ref="E740:E755" si="249">E728+1</f>
        <v>88</v>
      </c>
      <c r="F740" s="1">
        <f t="shared" si="243"/>
        <v>1838812.5739382107</v>
      </c>
      <c r="H740" s="1">
        <f t="shared" si="236"/>
        <v>14662.949687017279</v>
      </c>
      <c r="I740" s="1">
        <v>0</v>
      </c>
      <c r="J740" s="69">
        <f>-SUM(F740:H740)*$J$21*1.16</f>
        <v>-19350.284466647383</v>
      </c>
      <c r="K740" s="1">
        <f t="shared" si="244"/>
        <v>-2127.5852774239538</v>
      </c>
      <c r="L740" s="1">
        <f t="shared" si="237"/>
        <v>1831997.6538811568</v>
      </c>
      <c r="N740" s="1">
        <f t="shared" si="245"/>
        <v>717</v>
      </c>
      <c r="O740" s="2">
        <f t="shared" ref="O740:O755" si="250">O728+1</f>
        <v>59</v>
      </c>
      <c r="P740" s="2">
        <f t="shared" ref="P740:P755" si="251">P728</f>
        <v>9</v>
      </c>
      <c r="Q740" s="2">
        <f t="shared" ref="Q740:Q755" si="252">Q728+1</f>
        <v>59</v>
      </c>
      <c r="R740" s="1">
        <f t="shared" si="246"/>
        <v>164063584.0275965</v>
      </c>
      <c r="S740" s="4">
        <f>IF($G$4="mensual",S739,0)</f>
        <v>10000</v>
      </c>
      <c r="U740" s="1">
        <f t="shared" ref="U740:U755" si="253">SUM(R740:T740)*$G$8</f>
        <v>1308345.7997095962</v>
      </c>
      <c r="V740" s="35">
        <f t="shared" si="235"/>
        <v>-894.08740947366152</v>
      </c>
      <c r="X740" s="35">
        <f t="shared" si="234"/>
        <v>-191842.00145828005</v>
      </c>
      <c r="Y740" s="1">
        <f t="shared" si="238"/>
        <v>165189193.73843834</v>
      </c>
      <c r="AA740" s="2">
        <f>+Bono!J740</f>
        <v>1136817.6666335538</v>
      </c>
      <c r="AC740" s="10">
        <f t="shared" si="239"/>
        <v>59.75</v>
      </c>
      <c r="AD740" s="1">
        <f t="shared" si="240"/>
        <v>168158009.05895305</v>
      </c>
    </row>
    <row r="741" spans="1:30">
      <c r="A741" s="1">
        <f t="shared" si="241"/>
        <v>59.833333333333336</v>
      </c>
      <c r="B741" s="1">
        <f t="shared" si="242"/>
        <v>718</v>
      </c>
      <c r="C741" s="2">
        <f t="shared" si="247"/>
        <v>59</v>
      </c>
      <c r="D741" s="2">
        <f t="shared" si="248"/>
        <v>10</v>
      </c>
      <c r="E741" s="2">
        <f t="shared" si="249"/>
        <v>88</v>
      </c>
      <c r="F741" s="1">
        <f t="shared" si="243"/>
        <v>1831997.6538811568</v>
      </c>
      <c r="H741" s="1">
        <f t="shared" si="236"/>
        <v>14608.606557470577</v>
      </c>
      <c r="I741" s="1">
        <v>0</v>
      </c>
      <c r="J741" s="1">
        <v>0</v>
      </c>
      <c r="K741" s="1">
        <f t="shared" si="244"/>
        <v>-2142.0632621088075</v>
      </c>
      <c r="L741" s="1">
        <f t="shared" si="237"/>
        <v>1844464.1971765186</v>
      </c>
      <c r="N741" s="1">
        <f t="shared" si="245"/>
        <v>718</v>
      </c>
      <c r="O741" s="2">
        <f t="shared" si="250"/>
        <v>59</v>
      </c>
      <c r="P741" s="2">
        <f t="shared" si="251"/>
        <v>10</v>
      </c>
      <c r="Q741" s="2">
        <f t="shared" si="252"/>
        <v>59</v>
      </c>
      <c r="R741" s="1">
        <f t="shared" si="246"/>
        <v>165189193.73843834</v>
      </c>
      <c r="S741" s="4">
        <f>IF($G$4="mensual",S732,IF($G$4="trimestral",S732,0))</f>
        <v>10000</v>
      </c>
      <c r="U741" s="1">
        <f t="shared" si="253"/>
        <v>1317321.5696119866</v>
      </c>
      <c r="V741" s="35">
        <f t="shared" si="235"/>
        <v>-894.08740947366152</v>
      </c>
      <c r="X741" s="35">
        <f t="shared" si="234"/>
        <v>-193158.12061594339</v>
      </c>
      <c r="Y741" s="1">
        <f t="shared" si="238"/>
        <v>166322463.10002494</v>
      </c>
      <c r="AA741" s="2">
        <f>+Bono!J741</f>
        <v>1143866.0680293695</v>
      </c>
      <c r="AC741" s="10">
        <f t="shared" si="239"/>
        <v>59.833333333333336</v>
      </c>
      <c r="AD741" s="1">
        <f t="shared" si="240"/>
        <v>169310793.36523083</v>
      </c>
    </row>
    <row r="742" spans="1:30">
      <c r="A742" s="1">
        <f t="shared" si="241"/>
        <v>59.916666666666664</v>
      </c>
      <c r="B742" s="1">
        <f t="shared" si="242"/>
        <v>719</v>
      </c>
      <c r="C742" s="2">
        <f t="shared" si="247"/>
        <v>59</v>
      </c>
      <c r="D742" s="2">
        <f t="shared" si="248"/>
        <v>11</v>
      </c>
      <c r="E742" s="2">
        <f t="shared" si="249"/>
        <v>88</v>
      </c>
      <c r="F742" s="1">
        <f t="shared" si="243"/>
        <v>1844464.1971765186</v>
      </c>
      <c r="H742" s="1">
        <f t="shared" si="236"/>
        <v>14708.016524370802</v>
      </c>
      <c r="I742" s="1">
        <v>0</v>
      </c>
      <c r="J742" s="1">
        <v>0</v>
      </c>
      <c r="K742" s="1">
        <f t="shared" si="244"/>
        <v>-2156.6397678930316</v>
      </c>
      <c r="L742" s="1">
        <f t="shared" si="237"/>
        <v>1857015.5739329963</v>
      </c>
      <c r="N742" s="1">
        <f t="shared" si="245"/>
        <v>719</v>
      </c>
      <c r="O742" s="2">
        <f t="shared" si="250"/>
        <v>59</v>
      </c>
      <c r="P742" s="2">
        <f t="shared" si="251"/>
        <v>11</v>
      </c>
      <c r="Q742" s="2">
        <f t="shared" si="252"/>
        <v>59</v>
      </c>
      <c r="R742" s="1">
        <f t="shared" si="246"/>
        <v>166322463.10002494</v>
      </c>
      <c r="S742" s="1">
        <f>IF($G$17="si",S730*(1+$G$20),S730)</f>
        <v>10000</v>
      </c>
      <c r="U742" s="1">
        <f t="shared" si="253"/>
        <v>1326358.4186450525</v>
      </c>
      <c r="V742" s="35">
        <f t="shared" si="235"/>
        <v>-894.08740947366152</v>
      </c>
      <c r="X742" s="35">
        <f t="shared" si="234"/>
        <v>-194483.19582026219</v>
      </c>
      <c r="Y742" s="1">
        <f t="shared" si="238"/>
        <v>167463444.23544025</v>
      </c>
      <c r="AA742" s="2">
        <f>+Bono!J742</f>
        <v>1150958.1703314031</v>
      </c>
      <c r="AC742" s="10">
        <f t="shared" si="239"/>
        <v>59.916666666666664</v>
      </c>
      <c r="AD742" s="1">
        <f t="shared" si="240"/>
        <v>170471417.97970465</v>
      </c>
    </row>
    <row r="743" spans="1:30">
      <c r="A743" s="1">
        <f t="shared" si="241"/>
        <v>60</v>
      </c>
      <c r="B743" s="1">
        <f t="shared" si="242"/>
        <v>720</v>
      </c>
      <c r="C743" s="2">
        <f t="shared" si="247"/>
        <v>59</v>
      </c>
      <c r="D743" s="2">
        <f t="shared" si="248"/>
        <v>12</v>
      </c>
      <c r="E743" s="2">
        <f t="shared" si="249"/>
        <v>88</v>
      </c>
      <c r="F743" s="1">
        <f t="shared" si="243"/>
        <v>1857015.5739329963</v>
      </c>
      <c r="H743" s="1">
        <f t="shared" si="236"/>
        <v>14808.102965203032</v>
      </c>
      <c r="I743" s="1">
        <v>0</v>
      </c>
      <c r="J743" s="69">
        <f>-SUM(F743:H743)*$J$21*1.16</f>
        <v>-19541.839186817204</v>
      </c>
      <c r="K743" s="1">
        <f t="shared" si="244"/>
        <v>-2148.6469317452033</v>
      </c>
      <c r="L743" s="1">
        <f t="shared" si="237"/>
        <v>1850133.1907796371</v>
      </c>
      <c r="N743" s="1">
        <f t="shared" si="245"/>
        <v>720</v>
      </c>
      <c r="O743" s="2">
        <f t="shared" si="250"/>
        <v>59</v>
      </c>
      <c r="P743" s="2">
        <f t="shared" si="251"/>
        <v>12</v>
      </c>
      <c r="Q743" s="2">
        <f t="shared" si="252"/>
        <v>59</v>
      </c>
      <c r="R743" s="1">
        <f t="shared" si="246"/>
        <v>167463444.23544025</v>
      </c>
      <c r="S743" s="4">
        <f>IF($G$4="mensual",S742,0)</f>
        <v>10000</v>
      </c>
      <c r="U743" s="1">
        <f t="shared" si="253"/>
        <v>1335456.7624455842</v>
      </c>
      <c r="V743" s="35">
        <f t="shared" si="235"/>
        <v>-894.08740947366152</v>
      </c>
      <c r="X743" s="35">
        <f t="shared" si="234"/>
        <v>-195817.2880161526</v>
      </c>
      <c r="Y743" s="1">
        <f t="shared" si="238"/>
        <v>168612189.62246025</v>
      </c>
      <c r="AA743" s="2">
        <f>+Bono!J743</f>
        <v>1147660.9630084476</v>
      </c>
      <c r="AC743" s="10">
        <f t="shared" si="239"/>
        <v>60</v>
      </c>
      <c r="AD743" s="1">
        <f t="shared" si="240"/>
        <v>171609983.77624831</v>
      </c>
    </row>
    <row r="744" spans="1:30">
      <c r="A744" s="1">
        <f t="shared" si="241"/>
        <v>60.083333333333336</v>
      </c>
      <c r="B744" s="1">
        <f t="shared" si="242"/>
        <v>721</v>
      </c>
      <c r="C744" s="2">
        <f t="shared" si="247"/>
        <v>60</v>
      </c>
      <c r="D744" s="2">
        <f t="shared" si="248"/>
        <v>1</v>
      </c>
      <c r="E744" s="2">
        <f t="shared" si="249"/>
        <v>89</v>
      </c>
      <c r="F744" s="1">
        <f t="shared" si="243"/>
        <v>1850133.1907796371</v>
      </c>
      <c r="H744" s="1">
        <f t="shared" si="236"/>
        <v>14753.221875452626</v>
      </c>
      <c r="I744" s="1">
        <v>0</v>
      </c>
      <c r="J744" s="1">
        <v>0</v>
      </c>
      <c r="K744" s="1">
        <f t="shared" si="244"/>
        <v>-2163.2682386799038</v>
      </c>
      <c r="L744" s="1">
        <f t="shared" si="237"/>
        <v>1862723.1444164098</v>
      </c>
      <c r="N744" s="1">
        <f t="shared" si="245"/>
        <v>721</v>
      </c>
      <c r="O744" s="2">
        <f t="shared" si="250"/>
        <v>60</v>
      </c>
      <c r="P744" s="2">
        <f t="shared" si="251"/>
        <v>1</v>
      </c>
      <c r="Q744" s="2">
        <f t="shared" si="252"/>
        <v>60</v>
      </c>
      <c r="R744" s="1">
        <f t="shared" si="246"/>
        <v>168612189.62246025</v>
      </c>
      <c r="S744" s="1">
        <f>IF($G$17="si",S732*(1+$G$20),S732)</f>
        <v>10000</v>
      </c>
      <c r="U744" s="1">
        <f t="shared" si="253"/>
        <v>1344617.0194787369</v>
      </c>
      <c r="V744" s="35">
        <f>V743*(1+$G$18)</f>
        <v>-929.85090585260798</v>
      </c>
      <c r="X744" s="35">
        <f t="shared" si="234"/>
        <v>-197160.41707759839</v>
      </c>
      <c r="Y744" s="1">
        <f t="shared" si="238"/>
        <v>169768716.37395552</v>
      </c>
      <c r="AA744" s="2">
        <f>+Bono!J744</f>
        <v>1154776.5940995321</v>
      </c>
      <c r="AC744" s="10">
        <f t="shared" si="239"/>
        <v>60.083333333333336</v>
      </c>
      <c r="AD744" s="1">
        <f t="shared" si="240"/>
        <v>172786216.11247146</v>
      </c>
    </row>
    <row r="745" spans="1:30">
      <c r="A745" s="1">
        <f t="shared" si="241"/>
        <v>60.166666666666664</v>
      </c>
      <c r="B745" s="1">
        <f t="shared" si="242"/>
        <v>722</v>
      </c>
      <c r="C745" s="2">
        <f t="shared" si="247"/>
        <v>60</v>
      </c>
      <c r="D745" s="2">
        <f t="shared" si="248"/>
        <v>2</v>
      </c>
      <c r="E745" s="2">
        <f t="shared" si="249"/>
        <v>89</v>
      </c>
      <c r="F745" s="1">
        <f t="shared" si="243"/>
        <v>1862723.1444164098</v>
      </c>
      <c r="H745" s="1">
        <f t="shared" si="236"/>
        <v>14853.615933745637</v>
      </c>
      <c r="I745" s="1">
        <v>0</v>
      </c>
      <c r="J745" s="1">
        <v>0</v>
      </c>
      <c r="K745" s="1">
        <f t="shared" si="244"/>
        <v>-2177.9890420061802</v>
      </c>
      <c r="L745" s="1">
        <f t="shared" si="237"/>
        <v>1875398.7713081492</v>
      </c>
      <c r="N745" s="1">
        <f t="shared" si="245"/>
        <v>722</v>
      </c>
      <c r="O745" s="2">
        <f t="shared" si="250"/>
        <v>60</v>
      </c>
      <c r="P745" s="2">
        <f t="shared" si="251"/>
        <v>2</v>
      </c>
      <c r="Q745" s="2">
        <f t="shared" si="252"/>
        <v>60</v>
      </c>
      <c r="R745" s="1">
        <f t="shared" si="246"/>
        <v>169768716.37395552</v>
      </c>
      <c r="S745" s="4">
        <f>IF($G$4="mensual",S744,0)</f>
        <v>10000</v>
      </c>
      <c r="U745" s="1">
        <f t="shared" si="253"/>
        <v>1353839.3262049442</v>
      </c>
      <c r="V745" s="35">
        <f t="shared" si="235"/>
        <v>-929.85090585260798</v>
      </c>
      <c r="X745" s="35">
        <f t="shared" si="234"/>
        <v>-198512.68598513532</v>
      </c>
      <c r="Y745" s="1">
        <f t="shared" si="238"/>
        <v>170933113.16326946</v>
      </c>
      <c r="AA745" s="2">
        <f>+Bono!J745</f>
        <v>1161936.3429287435</v>
      </c>
      <c r="AC745" s="10">
        <f t="shared" si="239"/>
        <v>60.166666666666664</v>
      </c>
      <c r="AD745" s="1">
        <f t="shared" si="240"/>
        <v>173970448.27750635</v>
      </c>
    </row>
    <row r="746" spans="1:30">
      <c r="A746" s="1">
        <f t="shared" si="241"/>
        <v>60.25</v>
      </c>
      <c r="B746" s="1">
        <f t="shared" si="242"/>
        <v>723</v>
      </c>
      <c r="C746" s="2">
        <f t="shared" si="247"/>
        <v>60</v>
      </c>
      <c r="D746" s="2">
        <f t="shared" si="248"/>
        <v>3</v>
      </c>
      <c r="E746" s="2">
        <f t="shared" si="249"/>
        <v>89</v>
      </c>
      <c r="F746" s="1">
        <f t="shared" si="243"/>
        <v>1875398.7713081492</v>
      </c>
      <c r="H746" s="1">
        <f t="shared" si="236"/>
        <v>14954.693162604757</v>
      </c>
      <c r="I746" s="1">
        <v>0</v>
      </c>
      <c r="J746" s="69">
        <f>-SUM(F746:H746)*$J$21*1.16</f>
        <v>-19735.290169074673</v>
      </c>
      <c r="K746" s="1">
        <f t="shared" si="244"/>
        <v>-2169.9170821899479</v>
      </c>
      <c r="L746" s="1">
        <f t="shared" si="237"/>
        <v>1868448.2572194892</v>
      </c>
      <c r="N746" s="1">
        <f t="shared" si="245"/>
        <v>723</v>
      </c>
      <c r="O746" s="2">
        <f t="shared" si="250"/>
        <v>60</v>
      </c>
      <c r="P746" s="2">
        <f t="shared" si="251"/>
        <v>3</v>
      </c>
      <c r="Q746" s="2">
        <f t="shared" si="252"/>
        <v>60</v>
      </c>
      <c r="R746" s="1">
        <f t="shared" si="246"/>
        <v>170933113.16326946</v>
      </c>
      <c r="S746" s="4">
        <f>IF($G$4="mensual",S745,0)</f>
        <v>10000</v>
      </c>
      <c r="U746" s="1">
        <f t="shared" si="253"/>
        <v>1363124.3897178983</v>
      </c>
      <c r="V746" s="35">
        <f t="shared" si="235"/>
        <v>-929.85090585260798</v>
      </c>
      <c r="X746" s="35">
        <f t="shared" si="234"/>
        <v>-199874.15693441452</v>
      </c>
      <c r="Y746" s="1">
        <f t="shared" si="238"/>
        <v>172105433.54514709</v>
      </c>
      <c r="AA746" s="2">
        <f>+Bono!J746</f>
        <v>1158607.6858867505</v>
      </c>
      <c r="AC746" s="10">
        <f t="shared" si="239"/>
        <v>60.25</v>
      </c>
      <c r="AD746" s="1">
        <f t="shared" si="240"/>
        <v>175132489.48825333</v>
      </c>
    </row>
    <row r="747" spans="1:30">
      <c r="A747" s="1">
        <f t="shared" si="241"/>
        <v>60.333333333333336</v>
      </c>
      <c r="B747" s="1">
        <f t="shared" si="242"/>
        <v>724</v>
      </c>
      <c r="C747" s="2">
        <f t="shared" si="247"/>
        <v>60</v>
      </c>
      <c r="D747" s="2">
        <f t="shared" si="248"/>
        <v>4</v>
      </c>
      <c r="E747" s="2">
        <f t="shared" si="249"/>
        <v>89</v>
      </c>
      <c r="F747" s="1">
        <f t="shared" si="243"/>
        <v>1868448.2572194892</v>
      </c>
      <c r="H747" s="1">
        <f t="shared" si="236"/>
        <v>14899.268787208708</v>
      </c>
      <c r="I747" s="1">
        <v>0</v>
      </c>
      <c r="J747" s="1">
        <v>0</v>
      </c>
      <c r="K747" s="1">
        <f t="shared" si="244"/>
        <v>-2184.6831301677694</v>
      </c>
      <c r="L747" s="1">
        <f t="shared" si="237"/>
        <v>1881162.8428765303</v>
      </c>
      <c r="N747" s="1">
        <f t="shared" si="245"/>
        <v>724</v>
      </c>
      <c r="O747" s="2">
        <f t="shared" si="250"/>
        <v>60</v>
      </c>
      <c r="P747" s="2">
        <f t="shared" si="251"/>
        <v>4</v>
      </c>
      <c r="Q747" s="2">
        <f t="shared" si="252"/>
        <v>60</v>
      </c>
      <c r="R747" s="1">
        <f t="shared" si="246"/>
        <v>172105433.54514709</v>
      </c>
      <c r="S747" s="4">
        <f>IF($G$4="mensual",S744,IF($G$4="trimestral",S744,0))</f>
        <v>10000</v>
      </c>
      <c r="U747" s="1">
        <f t="shared" si="253"/>
        <v>1372472.6370706565</v>
      </c>
      <c r="V747" s="35">
        <f t="shared" si="235"/>
        <v>-929.85090585260798</v>
      </c>
      <c r="X747" s="35">
        <f t="shared" ref="X747:X755" si="254">-SUM(R747:V747)*0.1%*1.16</f>
        <v>-201244.89254432177</v>
      </c>
      <c r="Y747" s="1">
        <f t="shared" si="238"/>
        <v>173285731.43876755</v>
      </c>
      <c r="AA747" s="2">
        <f>+Bono!J747</f>
        <v>1165791.1879294217</v>
      </c>
      <c r="AC747" s="10">
        <f t="shared" si="239"/>
        <v>60.333333333333336</v>
      </c>
      <c r="AD747" s="1">
        <f t="shared" si="240"/>
        <v>176332685.4695735</v>
      </c>
    </row>
    <row r="748" spans="1:30">
      <c r="A748" s="1">
        <f t="shared" si="241"/>
        <v>60.416666666666664</v>
      </c>
      <c r="B748" s="1">
        <f t="shared" si="242"/>
        <v>725</v>
      </c>
      <c r="C748" s="2">
        <f t="shared" si="247"/>
        <v>60</v>
      </c>
      <c r="D748" s="2">
        <f t="shared" si="248"/>
        <v>5</v>
      </c>
      <c r="E748" s="2">
        <f t="shared" si="249"/>
        <v>89</v>
      </c>
      <c r="F748" s="1">
        <f t="shared" si="243"/>
        <v>1881162.8428765303</v>
      </c>
      <c r="H748" s="1">
        <f t="shared" si="236"/>
        <v>15000.656678733279</v>
      </c>
      <c r="I748" s="1">
        <v>0</v>
      </c>
      <c r="J748" s="1">
        <v>0</v>
      </c>
      <c r="K748" s="1">
        <f t="shared" si="244"/>
        <v>-2199.5496594841056</v>
      </c>
      <c r="L748" s="1">
        <f t="shared" si="237"/>
        <v>1893963.9498957794</v>
      </c>
      <c r="N748" s="1">
        <f t="shared" si="245"/>
        <v>725</v>
      </c>
      <c r="O748" s="2">
        <f t="shared" si="250"/>
        <v>60</v>
      </c>
      <c r="P748" s="2">
        <f t="shared" si="251"/>
        <v>5</v>
      </c>
      <c r="Q748" s="2">
        <f t="shared" si="252"/>
        <v>60</v>
      </c>
      <c r="R748" s="1">
        <f t="shared" si="246"/>
        <v>173285731.43876755</v>
      </c>
      <c r="S748" s="4">
        <f>IF($G$4="mensual",S747,0)</f>
        <v>10000</v>
      </c>
      <c r="U748" s="1">
        <f t="shared" si="253"/>
        <v>1381884.4982223255</v>
      </c>
      <c r="V748" s="35">
        <f t="shared" si="235"/>
        <v>-929.85090585260798</v>
      </c>
      <c r="X748" s="35">
        <f t="shared" si="254"/>
        <v>-202624.95585985747</v>
      </c>
      <c r="Y748" s="1">
        <f t="shared" si="238"/>
        <v>174474061.13022414</v>
      </c>
      <c r="AA748" s="2">
        <f>+Bono!J748</f>
        <v>1173019.2285179922</v>
      </c>
      <c r="AC748" s="10">
        <f t="shared" si="239"/>
        <v>60.416666666666664</v>
      </c>
      <c r="AD748" s="1">
        <f t="shared" si="240"/>
        <v>177541044.30863789</v>
      </c>
    </row>
    <row r="749" spans="1:30">
      <c r="A749" s="1">
        <f t="shared" si="241"/>
        <v>60.5</v>
      </c>
      <c r="B749" s="1">
        <f t="shared" si="242"/>
        <v>726</v>
      </c>
      <c r="C749" s="2">
        <f t="shared" si="247"/>
        <v>60</v>
      </c>
      <c r="D749" s="2">
        <f t="shared" si="248"/>
        <v>6</v>
      </c>
      <c r="E749" s="2">
        <f t="shared" si="249"/>
        <v>89</v>
      </c>
      <c r="F749" s="1">
        <f t="shared" si="243"/>
        <v>1893963.9498957794</v>
      </c>
      <c r="H749" s="1">
        <f t="shared" si="236"/>
        <v>15102.734503750198</v>
      </c>
      <c r="I749" s="1">
        <v>0</v>
      </c>
      <c r="J749" s="69">
        <f>-SUM(F749:H749)*$J$21*1.16</f>
        <v>-19930.656185131091</v>
      </c>
      <c r="K749" s="1">
        <f t="shared" si="244"/>
        <v>-2191.3977927287019</v>
      </c>
      <c r="L749" s="1">
        <f t="shared" si="237"/>
        <v>1886944.6304216699</v>
      </c>
      <c r="N749" s="1">
        <f t="shared" si="245"/>
        <v>726</v>
      </c>
      <c r="O749" s="2">
        <f t="shared" si="250"/>
        <v>60</v>
      </c>
      <c r="P749" s="2">
        <f t="shared" si="251"/>
        <v>6</v>
      </c>
      <c r="Q749" s="2">
        <f t="shared" si="252"/>
        <v>60</v>
      </c>
      <c r="R749" s="1">
        <f t="shared" si="246"/>
        <v>174474061.13022414</v>
      </c>
      <c r="S749" s="4">
        <f>IF($G$4="mensual",S748,0)</f>
        <v>10000</v>
      </c>
      <c r="U749" s="1">
        <f t="shared" si="253"/>
        <v>1391360.4060578363</v>
      </c>
      <c r="V749" s="35">
        <f t="shared" si="235"/>
        <v>-929.85090585260798</v>
      </c>
      <c r="X749" s="35">
        <f t="shared" si="254"/>
        <v>-204014.41035503629</v>
      </c>
      <c r="Y749" s="1">
        <f t="shared" si="238"/>
        <v>175670477.27502108</v>
      </c>
      <c r="AA749" s="2">
        <f>+Bono!J749</f>
        <v>1169658.8217804269</v>
      </c>
      <c r="AC749" s="10">
        <f t="shared" si="239"/>
        <v>60.5</v>
      </c>
      <c r="AD749" s="1">
        <f t="shared" si="240"/>
        <v>178727080.72722316</v>
      </c>
    </row>
    <row r="750" spans="1:30">
      <c r="A750" s="1">
        <f t="shared" si="241"/>
        <v>60.583333333333336</v>
      </c>
      <c r="B750" s="1">
        <f t="shared" si="242"/>
        <v>727</v>
      </c>
      <c r="C750" s="2">
        <f t="shared" si="247"/>
        <v>60</v>
      </c>
      <c r="D750" s="2">
        <f t="shared" si="248"/>
        <v>7</v>
      </c>
      <c r="E750" s="2">
        <f t="shared" si="249"/>
        <v>89</v>
      </c>
      <c r="F750" s="1">
        <f t="shared" si="243"/>
        <v>1886944.6304216699</v>
      </c>
      <c r="H750" s="1">
        <f t="shared" si="236"/>
        <v>15046.76146454831</v>
      </c>
      <c r="I750" s="1">
        <v>0</v>
      </c>
      <c r="J750" s="1">
        <v>0</v>
      </c>
      <c r="K750" s="1">
        <f t="shared" si="244"/>
        <v>-2206.310014588013</v>
      </c>
      <c r="L750" s="1">
        <f t="shared" si="237"/>
        <v>1899785.0818716302</v>
      </c>
      <c r="N750" s="1">
        <f t="shared" si="245"/>
        <v>727</v>
      </c>
      <c r="O750" s="2">
        <f t="shared" si="250"/>
        <v>60</v>
      </c>
      <c r="P750" s="2">
        <f t="shared" si="251"/>
        <v>7</v>
      </c>
      <c r="Q750" s="2">
        <f t="shared" si="252"/>
        <v>60</v>
      </c>
      <c r="R750" s="1">
        <f t="shared" si="246"/>
        <v>175670477.27502108</v>
      </c>
      <c r="S750" s="1">
        <f>+IF($G$4="mensual",S744,IF($G$4="trimestral",S744,IF($G$4="semestral",S744,0)))</f>
        <v>10000</v>
      </c>
      <c r="U750" s="1">
        <f t="shared" si="253"/>
        <v>1400900.7964078547</v>
      </c>
      <c r="V750" s="35">
        <f t="shared" si="235"/>
        <v>-929.85090585260798</v>
      </c>
      <c r="X750" s="35">
        <f t="shared" si="254"/>
        <v>-205413.31993580676</v>
      </c>
      <c r="Y750" s="1">
        <f t="shared" si="238"/>
        <v>176875034.90058726</v>
      </c>
      <c r="AA750" s="2">
        <f>+Bono!J750</f>
        <v>1176910.8421474914</v>
      </c>
      <c r="AC750" s="10">
        <f t="shared" si="239"/>
        <v>60.583333333333336</v>
      </c>
      <c r="AD750" s="1">
        <f t="shared" si="240"/>
        <v>179951730.82460639</v>
      </c>
    </row>
    <row r="751" spans="1:30">
      <c r="A751" s="1">
        <f t="shared" si="241"/>
        <v>60.666666666666664</v>
      </c>
      <c r="B751" s="1">
        <f t="shared" si="242"/>
        <v>728</v>
      </c>
      <c r="C751" s="2">
        <f t="shared" si="247"/>
        <v>60</v>
      </c>
      <c r="D751" s="2">
        <f t="shared" si="248"/>
        <v>8</v>
      </c>
      <c r="E751" s="2">
        <f t="shared" si="249"/>
        <v>89</v>
      </c>
      <c r="F751" s="1">
        <f t="shared" si="243"/>
        <v>1899785.0818716302</v>
      </c>
      <c r="H751" s="1">
        <f t="shared" si="236"/>
        <v>15149.153027580815</v>
      </c>
      <c r="I751" s="1">
        <v>0</v>
      </c>
      <c r="J751" s="1">
        <v>0</v>
      </c>
      <c r="K751" s="1">
        <f t="shared" si="244"/>
        <v>-2221.3237124830848</v>
      </c>
      <c r="L751" s="1">
        <f t="shared" si="237"/>
        <v>1912712.9111867279</v>
      </c>
      <c r="N751" s="1">
        <f t="shared" si="245"/>
        <v>728</v>
      </c>
      <c r="O751" s="2">
        <f t="shared" si="250"/>
        <v>60</v>
      </c>
      <c r="P751" s="2">
        <f t="shared" si="251"/>
        <v>8</v>
      </c>
      <c r="Q751" s="2">
        <f t="shared" si="252"/>
        <v>60</v>
      </c>
      <c r="R751" s="1">
        <f t="shared" si="246"/>
        <v>176875034.90058726</v>
      </c>
      <c r="S751" s="4">
        <f>IF($G$4="mensual",S750,0)</f>
        <v>10000</v>
      </c>
      <c r="U751" s="1">
        <f t="shared" si="253"/>
        <v>1410506.1080688261</v>
      </c>
      <c r="V751" s="35">
        <f t="shared" si="235"/>
        <v>-929.85090585260798</v>
      </c>
      <c r="X751" s="35">
        <f t="shared" si="254"/>
        <v>-206821.74894299023</v>
      </c>
      <c r="Y751" s="1">
        <f t="shared" si="238"/>
        <v>178087789.40880722</v>
      </c>
      <c r="AA751" s="2">
        <f>+Bono!J751</f>
        <v>1184207.8258820141</v>
      </c>
      <c r="AC751" s="10">
        <f t="shared" si="239"/>
        <v>60.666666666666664</v>
      </c>
      <c r="AD751" s="1">
        <f t="shared" si="240"/>
        <v>181184710.14587596</v>
      </c>
    </row>
    <row r="752" spans="1:30">
      <c r="A752" s="1">
        <f t="shared" si="241"/>
        <v>60.75</v>
      </c>
      <c r="B752" s="1">
        <f t="shared" si="242"/>
        <v>729</v>
      </c>
      <c r="C752" s="2">
        <f t="shared" si="247"/>
        <v>60</v>
      </c>
      <c r="D752" s="2">
        <f t="shared" si="248"/>
        <v>9</v>
      </c>
      <c r="E752" s="2">
        <f t="shared" si="249"/>
        <v>89</v>
      </c>
      <c r="F752" s="1">
        <f t="shared" si="243"/>
        <v>1912712.9111867279</v>
      </c>
      <c r="H752" s="1">
        <f t="shared" si="236"/>
        <v>15252.241353980302</v>
      </c>
      <c r="I752" s="1">
        <v>0</v>
      </c>
      <c r="J752" s="69">
        <f>-SUM(F752:H752)*$J$21*1.16</f>
        <v>-20127.956192524998</v>
      </c>
      <c r="K752" s="1">
        <f t="shared" si="244"/>
        <v>-2213.0911477638924</v>
      </c>
      <c r="L752" s="1">
        <f t="shared" si="237"/>
        <v>1905624.1052004192</v>
      </c>
      <c r="N752" s="1">
        <f t="shared" si="245"/>
        <v>729</v>
      </c>
      <c r="O752" s="2">
        <f t="shared" si="250"/>
        <v>60</v>
      </c>
      <c r="P752" s="2">
        <f t="shared" si="251"/>
        <v>9</v>
      </c>
      <c r="Q752" s="2">
        <f t="shared" si="252"/>
        <v>60</v>
      </c>
      <c r="R752" s="1">
        <f t="shared" si="246"/>
        <v>178087789.40880722</v>
      </c>
      <c r="S752" s="4">
        <f>IF($G$4="mensual",S751,0)</f>
        <v>10000</v>
      </c>
      <c r="U752" s="1">
        <f t="shared" si="253"/>
        <v>1420176.7828231582</v>
      </c>
      <c r="V752" s="35">
        <f t="shared" si="235"/>
        <v>-929.85090585260798</v>
      </c>
      <c r="X752" s="35">
        <f t="shared" si="254"/>
        <v>-208239.7621552404</v>
      </c>
      <c r="Y752" s="1">
        <f t="shared" si="238"/>
        <v>179308796.57856926</v>
      </c>
      <c r="AA752" s="2">
        <f>+Bono!J752</f>
        <v>1180815.3666110788</v>
      </c>
      <c r="AC752" s="10">
        <f t="shared" si="239"/>
        <v>60.75</v>
      </c>
      <c r="AD752" s="1">
        <f t="shared" si="240"/>
        <v>182395236.05038077</v>
      </c>
    </row>
    <row r="753" spans="1:30">
      <c r="A753" s="1">
        <f t="shared" si="241"/>
        <v>60.833333333333336</v>
      </c>
      <c r="B753" s="1">
        <f t="shared" si="242"/>
        <v>730</v>
      </c>
      <c r="C753" s="2">
        <f t="shared" si="247"/>
        <v>60</v>
      </c>
      <c r="D753" s="2">
        <f t="shared" si="248"/>
        <v>10</v>
      </c>
      <c r="E753" s="2">
        <f t="shared" si="249"/>
        <v>89</v>
      </c>
      <c r="F753" s="1">
        <f t="shared" si="243"/>
        <v>1905624.1052004192</v>
      </c>
      <c r="H753" s="1">
        <f t="shared" si="236"/>
        <v>15195.714219572223</v>
      </c>
      <c r="I753" s="1">
        <v>0</v>
      </c>
      <c r="J753" s="1">
        <v>0</v>
      </c>
      <c r="K753" s="1">
        <f t="shared" si="244"/>
        <v>-2228.1509905271901</v>
      </c>
      <c r="L753" s="1">
        <f t="shared" si="237"/>
        <v>1918591.6684294643</v>
      </c>
      <c r="N753" s="1">
        <f t="shared" si="245"/>
        <v>730</v>
      </c>
      <c r="O753" s="2">
        <f t="shared" si="250"/>
        <v>60</v>
      </c>
      <c r="P753" s="2">
        <f t="shared" si="251"/>
        <v>10</v>
      </c>
      <c r="Q753" s="2">
        <f t="shared" si="252"/>
        <v>60</v>
      </c>
      <c r="R753" s="1">
        <f t="shared" si="246"/>
        <v>179308796.57856926</v>
      </c>
      <c r="S753" s="4">
        <f>IF($G$4="mensual",S744,IF($G$4="trimestral",S744,0))</f>
        <v>10000</v>
      </c>
      <c r="U753" s="1">
        <f t="shared" si="253"/>
        <v>1429913.2654595391</v>
      </c>
      <c r="V753" s="35">
        <f t="shared" si="235"/>
        <v>-929.85090585260798</v>
      </c>
      <c r="X753" s="35">
        <f t="shared" si="254"/>
        <v>-209667.42479202259</v>
      </c>
      <c r="Y753" s="1">
        <f t="shared" si="238"/>
        <v>180538112.56833091</v>
      </c>
      <c r="AA753" s="2">
        <f>+Bono!J753</f>
        <v>1188136.5588501724</v>
      </c>
      <c r="AC753" s="10">
        <f t="shared" si="239"/>
        <v>60.833333333333336</v>
      </c>
      <c r="AD753" s="1">
        <f t="shared" si="240"/>
        <v>183644840.79561055</v>
      </c>
    </row>
    <row r="754" spans="1:30">
      <c r="A754" s="1">
        <f t="shared" si="241"/>
        <v>60.916666666666664</v>
      </c>
      <c r="B754" s="1">
        <f t="shared" si="242"/>
        <v>731</v>
      </c>
      <c r="C754" s="2">
        <f t="shared" si="247"/>
        <v>60</v>
      </c>
      <c r="D754" s="2">
        <f t="shared" si="248"/>
        <v>11</v>
      </c>
      <c r="E754" s="2">
        <f t="shared" si="249"/>
        <v>89</v>
      </c>
      <c r="F754" s="1">
        <f t="shared" si="243"/>
        <v>1918591.6684294643</v>
      </c>
      <c r="H754" s="1">
        <f t="shared" si="236"/>
        <v>15299.119389781317</v>
      </c>
      <c r="I754" s="1">
        <v>0</v>
      </c>
      <c r="J754" s="1">
        <v>0</v>
      </c>
      <c r="K754" s="1">
        <f t="shared" si="244"/>
        <v>-2243.3133138703247</v>
      </c>
      <c r="L754" s="1">
        <f t="shared" si="237"/>
        <v>1931647.4745053754</v>
      </c>
      <c r="N754" s="1">
        <f t="shared" si="245"/>
        <v>731</v>
      </c>
      <c r="O754" s="2">
        <f t="shared" si="250"/>
        <v>60</v>
      </c>
      <c r="P754" s="2">
        <f t="shared" si="251"/>
        <v>11</v>
      </c>
      <c r="Q754" s="2">
        <f t="shared" si="252"/>
        <v>60</v>
      </c>
      <c r="R754" s="1">
        <f t="shared" si="246"/>
        <v>180538112.56833091</v>
      </c>
      <c r="S754" s="1">
        <f>IF($G$17="si",S742*(1+$G$20),S742)</f>
        <v>10000</v>
      </c>
      <c r="U754" s="1">
        <f t="shared" si="253"/>
        <v>1439716.0037933954</v>
      </c>
      <c r="V754" s="35">
        <f t="shared" si="235"/>
        <v>-929.85090585260798</v>
      </c>
      <c r="X754" s="35">
        <f t="shared" si="254"/>
        <v>-211104.80251661336</v>
      </c>
      <c r="Y754" s="1">
        <f t="shared" si="238"/>
        <v>181775793.91870183</v>
      </c>
      <c r="AA754" s="2">
        <f>+Bono!J754</f>
        <v>1195503.143330354</v>
      </c>
      <c r="AC754" s="10">
        <f t="shared" si="239"/>
        <v>60.916666666666664</v>
      </c>
      <c r="AD754" s="1">
        <f t="shared" si="240"/>
        <v>184902944.53653756</v>
      </c>
    </row>
    <row r="755" spans="1:30">
      <c r="A755" s="1">
        <f t="shared" si="241"/>
        <v>61</v>
      </c>
      <c r="B755" s="1">
        <f t="shared" si="242"/>
        <v>732</v>
      </c>
      <c r="C755" s="2">
        <f t="shared" si="247"/>
        <v>60</v>
      </c>
      <c r="D755" s="2">
        <f t="shared" si="248"/>
        <v>12</v>
      </c>
      <c r="E755" s="2">
        <f t="shared" si="249"/>
        <v>89</v>
      </c>
      <c r="F755" s="1">
        <f t="shared" si="243"/>
        <v>1931647.4745053754</v>
      </c>
      <c r="H755" s="1">
        <f t="shared" si="236"/>
        <v>15403.228220843168</v>
      </c>
      <c r="I755" s="1">
        <v>0</v>
      </c>
      <c r="J755" s="69">
        <f>-SUM(F755:H755)*$J$21*1.16</f>
        <v>-20327.209336461725</v>
      </c>
      <c r="K755" s="1">
        <f t="shared" si="244"/>
        <v>-2234.999252332118</v>
      </c>
      <c r="L755" s="1">
        <f t="shared" si="237"/>
        <v>1924488.4941374247</v>
      </c>
      <c r="N755" s="1">
        <f t="shared" si="245"/>
        <v>732</v>
      </c>
      <c r="O755" s="2">
        <f t="shared" si="250"/>
        <v>60</v>
      </c>
      <c r="P755" s="2">
        <f t="shared" si="251"/>
        <v>12</v>
      </c>
      <c r="Q755" s="2">
        <f t="shared" si="252"/>
        <v>60</v>
      </c>
      <c r="R755" s="1">
        <f t="shared" si="246"/>
        <v>181775793.91870183</v>
      </c>
      <c r="S755" s="4">
        <f>IF($G$4="mensual",S754,0)</f>
        <v>10000</v>
      </c>
      <c r="U755" s="1">
        <f t="shared" si="253"/>
        <v>1449585.4486874882</v>
      </c>
      <c r="V755" s="35">
        <f t="shared" si="235"/>
        <v>-929.85090585260798</v>
      </c>
      <c r="X755" s="35">
        <f t="shared" si="254"/>
        <v>-212551.96143912082</v>
      </c>
      <c r="Y755" s="1">
        <f t="shared" si="238"/>
        <v>183021897.55504432</v>
      </c>
      <c r="AA755" s="2">
        <f>+Bono!J755</f>
        <v>1192078.3257996957</v>
      </c>
      <c r="AC755" s="10">
        <f t="shared" si="239"/>
        <v>61</v>
      </c>
      <c r="AD755" s="1">
        <f t="shared" si="240"/>
        <v>186138464.37498146</v>
      </c>
    </row>
  </sheetData>
  <sheetProtection password="FDA0" sheet="1" objects="1" scenarios="1" selectLockedCells="1"/>
  <mergeCells count="5">
    <mergeCell ref="AK42:BA46"/>
    <mergeCell ref="C22:L22"/>
    <mergeCell ref="O22:Y22"/>
    <mergeCell ref="AK32:BA36"/>
    <mergeCell ref="AK37:BA41"/>
  </mergeCells>
  <phoneticPr fontId="0" type="noConversion"/>
  <pageMargins left="0.75" right="0.75" top="1" bottom="1" header="0" footer="0"/>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BA755"/>
  <sheetViews>
    <sheetView topLeftCell="A14" workbookViewId="0">
      <selection activeCell="J21" sqref="J21"/>
    </sheetView>
  </sheetViews>
  <sheetFormatPr baseColWidth="10" defaultRowHeight="11.25"/>
  <cols>
    <col min="1" max="1" width="11.42578125" style="1"/>
    <col min="2" max="2" width="4" style="1" bestFit="1" customWidth="1"/>
    <col min="3" max="5" width="7" style="2" customWidth="1"/>
    <col min="6" max="8" width="11.42578125" style="1"/>
    <col min="9" max="9" width="21.28515625" style="1" bestFit="1" customWidth="1"/>
    <col min="10" max="10" width="15" style="1" bestFit="1" customWidth="1"/>
    <col min="11" max="13" width="11.42578125" style="1"/>
    <col min="14" max="14" width="4" style="1" bestFit="1" customWidth="1"/>
    <col min="15" max="15" width="11.42578125" style="7"/>
    <col min="16" max="26" width="11.42578125" style="1"/>
    <col min="27" max="28" width="11.42578125" style="2"/>
    <col min="29" max="39" width="11.42578125" style="1"/>
    <col min="40" max="40" width="20.140625" style="1" bestFit="1" customWidth="1"/>
    <col min="41" max="16384" width="11.42578125" style="1"/>
  </cols>
  <sheetData>
    <row r="1" spans="1:28" s="4" customFormat="1">
      <c r="A1" s="69"/>
      <c r="B1" s="69"/>
      <c r="C1" s="70"/>
      <c r="D1" s="70"/>
      <c r="E1" s="70"/>
      <c r="F1" s="69"/>
      <c r="G1" s="69"/>
      <c r="H1" s="69"/>
      <c r="I1" s="69"/>
      <c r="J1" s="69"/>
      <c r="K1" s="69"/>
      <c r="L1" s="69"/>
      <c r="AA1" s="64"/>
      <c r="AB1" s="64"/>
    </row>
    <row r="2" spans="1:28" s="4" customFormat="1">
      <c r="A2" s="69"/>
      <c r="B2" s="69"/>
      <c r="C2" s="70"/>
      <c r="D2" s="70"/>
      <c r="E2" s="70"/>
      <c r="F2" s="69" t="s">
        <v>3</v>
      </c>
      <c r="G2" s="71">
        <f>+'OptiMaxx plus'!T7</f>
        <v>29</v>
      </c>
      <c r="H2" s="69"/>
      <c r="I2" s="78" t="s">
        <v>12</v>
      </c>
      <c r="J2" s="79" t="s">
        <v>76</v>
      </c>
      <c r="K2" s="69"/>
      <c r="L2" s="69"/>
      <c r="AA2" s="64"/>
      <c r="AB2" s="64"/>
    </row>
    <row r="3" spans="1:28" s="4" customFormat="1">
      <c r="A3" s="69"/>
      <c r="B3" s="69"/>
      <c r="C3" s="70"/>
      <c r="D3" s="70"/>
      <c r="E3" s="70"/>
      <c r="F3" s="69" t="s">
        <v>5</v>
      </c>
      <c r="G3" s="71">
        <f>+'OptiMaxx plus'!D12</f>
        <v>10000</v>
      </c>
      <c r="H3" s="69"/>
      <c r="I3" s="69" t="s">
        <v>26</v>
      </c>
      <c r="J3" s="72">
        <v>0.06</v>
      </c>
      <c r="K3" s="73">
        <f>+J3</f>
        <v>0.06</v>
      </c>
      <c r="L3" s="74">
        <f>+'OptiMaxx plus'!F21</f>
        <v>0</v>
      </c>
      <c r="AA3" s="64"/>
      <c r="AB3" s="64"/>
    </row>
    <row r="4" spans="1:28" s="4" customFormat="1">
      <c r="A4" s="69"/>
      <c r="B4" s="69"/>
      <c r="C4" s="70"/>
      <c r="D4" s="70"/>
      <c r="E4" s="70"/>
      <c r="F4" s="69" t="s">
        <v>11</v>
      </c>
      <c r="G4" s="71" t="str">
        <f>+'OptiMaxx plus'!K12</f>
        <v>Mensual</v>
      </c>
      <c r="H4" s="69"/>
      <c r="I4" s="69" t="s">
        <v>77</v>
      </c>
      <c r="J4" s="72">
        <v>0.09</v>
      </c>
      <c r="K4" s="73">
        <f t="shared" ref="K4:K17" si="0">+J4</f>
        <v>0.09</v>
      </c>
      <c r="L4" s="74">
        <f>+'OptiMaxx plus'!J21</f>
        <v>0</v>
      </c>
      <c r="AA4" s="64"/>
      <c r="AB4" s="64"/>
    </row>
    <row r="5" spans="1:28" s="4" customFormat="1">
      <c r="A5" s="69"/>
      <c r="B5" s="69"/>
      <c r="C5" s="70"/>
      <c r="D5" s="70"/>
      <c r="E5" s="70"/>
      <c r="F5" s="69" t="s">
        <v>1</v>
      </c>
      <c r="G5" s="71">
        <f>+'OptiMaxx plus'!D15</f>
        <v>25</v>
      </c>
      <c r="H5" s="69"/>
      <c r="I5" s="69" t="s">
        <v>29</v>
      </c>
      <c r="J5" s="72">
        <v>0.12</v>
      </c>
      <c r="K5" s="73">
        <f t="shared" si="0"/>
        <v>0.12</v>
      </c>
      <c r="L5" s="74">
        <f>+'OptiMaxx plus'!N21</f>
        <v>0</v>
      </c>
      <c r="AA5" s="64"/>
      <c r="AB5" s="64"/>
    </row>
    <row r="6" spans="1:28" s="4" customFormat="1">
      <c r="A6" s="69"/>
      <c r="B6" s="69"/>
      <c r="C6" s="70"/>
      <c r="D6" s="70"/>
      <c r="E6" s="70"/>
      <c r="F6" s="69" t="s">
        <v>12</v>
      </c>
      <c r="G6" s="85">
        <f>L20</f>
        <v>0.1</v>
      </c>
      <c r="H6" s="69"/>
      <c r="I6" s="69" t="s">
        <v>27</v>
      </c>
      <c r="J6" s="72">
        <v>0.03</v>
      </c>
      <c r="K6" s="73">
        <f t="shared" si="0"/>
        <v>0.03</v>
      </c>
      <c r="L6" s="74">
        <f>+'OptiMaxx plus'!F22</f>
        <v>0</v>
      </c>
      <c r="AA6" s="64"/>
      <c r="AB6" s="64"/>
    </row>
    <row r="7" spans="1:28" s="4" customFormat="1">
      <c r="A7" s="69"/>
      <c r="B7" s="69"/>
      <c r="C7" s="70"/>
      <c r="D7" s="70"/>
      <c r="E7" s="70"/>
      <c r="F7" s="69" t="s">
        <v>13</v>
      </c>
      <c r="G7" s="75">
        <f>+L20</f>
        <v>0.1</v>
      </c>
      <c r="H7" s="69"/>
      <c r="I7" s="69" t="s">
        <v>78</v>
      </c>
      <c r="J7" s="72">
        <v>0.06</v>
      </c>
      <c r="K7" s="73">
        <f t="shared" si="0"/>
        <v>0.06</v>
      </c>
      <c r="L7" s="74">
        <f>+'OptiMaxx plus'!J22</f>
        <v>0</v>
      </c>
      <c r="AA7" s="64"/>
      <c r="AB7" s="64"/>
    </row>
    <row r="8" spans="1:28" s="4" customFormat="1">
      <c r="A8" s="69"/>
      <c r="B8" s="69"/>
      <c r="C8" s="70"/>
      <c r="D8" s="70"/>
      <c r="E8" s="70"/>
      <c r="F8" s="69" t="s">
        <v>14</v>
      </c>
      <c r="G8" s="75">
        <f>(1+G7)^(1/12)-1</f>
        <v>7.9741404289037643E-3</v>
      </c>
      <c r="H8" s="69"/>
      <c r="I8" s="69" t="s">
        <v>30</v>
      </c>
      <c r="J8" s="72">
        <v>0.1</v>
      </c>
      <c r="K8" s="73">
        <f t="shared" si="0"/>
        <v>0.1</v>
      </c>
      <c r="L8" s="74">
        <f>+'OptiMaxx plus'!N22</f>
        <v>1</v>
      </c>
      <c r="AA8" s="64"/>
      <c r="AB8" s="64"/>
    </row>
    <row r="9" spans="1:28" s="4" customFormat="1">
      <c r="A9" s="69"/>
      <c r="B9" s="69"/>
      <c r="C9" s="70"/>
      <c r="D9" s="70"/>
      <c r="E9" s="70"/>
      <c r="F9" s="69" t="s">
        <v>15</v>
      </c>
      <c r="G9" s="76">
        <f>+Bono!F9</f>
        <v>1</v>
      </c>
      <c r="H9" s="69"/>
      <c r="I9" s="69" t="s">
        <v>28</v>
      </c>
      <c r="J9" s="72">
        <v>0.03</v>
      </c>
      <c r="K9" s="73">
        <f t="shared" si="0"/>
        <v>0.03</v>
      </c>
      <c r="L9" s="74">
        <f>+'OptiMaxx plus'!F23</f>
        <v>0</v>
      </c>
      <c r="AA9" s="64"/>
      <c r="AB9" s="64"/>
    </row>
    <row r="10" spans="1:28" s="4" customFormat="1">
      <c r="A10" s="69"/>
      <c r="B10" s="69"/>
      <c r="C10" s="70"/>
      <c r="D10" s="70"/>
      <c r="E10" s="70"/>
      <c r="F10" s="69"/>
      <c r="G10" s="76"/>
      <c r="H10" s="69"/>
      <c r="I10" s="69" t="s">
        <v>79</v>
      </c>
      <c r="J10" s="72">
        <v>0.06</v>
      </c>
      <c r="K10" s="73">
        <f t="shared" si="0"/>
        <v>0.06</v>
      </c>
      <c r="L10" s="74">
        <f>+'OptiMaxx plus'!J23</f>
        <v>0</v>
      </c>
      <c r="AA10" s="64"/>
      <c r="AB10" s="64"/>
    </row>
    <row r="11" spans="1:28" s="4" customFormat="1">
      <c r="A11" s="69"/>
      <c r="B11" s="69"/>
      <c r="C11" s="70"/>
      <c r="D11" s="70"/>
      <c r="E11" s="70"/>
      <c r="F11" s="69"/>
      <c r="G11" s="82"/>
      <c r="H11" s="69"/>
      <c r="I11" s="69" t="s">
        <v>31</v>
      </c>
      <c r="J11" s="72">
        <v>0.09</v>
      </c>
      <c r="K11" s="73">
        <f t="shared" si="0"/>
        <v>0.09</v>
      </c>
      <c r="L11" s="74">
        <f>+'OptiMaxx plus'!N23</f>
        <v>0</v>
      </c>
      <c r="AA11" s="64"/>
      <c r="AB11" s="64"/>
    </row>
    <row r="12" spans="1:28" s="4" customFormat="1">
      <c r="A12" s="69"/>
      <c r="B12" s="69"/>
      <c r="C12" s="70"/>
      <c r="D12" s="70"/>
      <c r="E12" s="70"/>
      <c r="F12" s="69"/>
      <c r="G12" s="76"/>
      <c r="H12" s="69"/>
      <c r="I12" s="69" t="s">
        <v>32</v>
      </c>
      <c r="J12" s="72">
        <v>0.08</v>
      </c>
      <c r="K12" s="73">
        <f t="shared" si="0"/>
        <v>0.08</v>
      </c>
      <c r="L12" s="74">
        <f>+'OptiMaxx plus'!F25</f>
        <v>0</v>
      </c>
      <c r="AA12" s="64"/>
      <c r="AB12" s="64"/>
    </row>
    <row r="13" spans="1:28" s="4" customFormat="1">
      <c r="A13" s="69"/>
      <c r="B13" s="69"/>
      <c r="C13" s="70"/>
      <c r="D13" s="70"/>
      <c r="E13" s="70"/>
      <c r="F13" s="69"/>
      <c r="G13" s="76"/>
      <c r="H13" s="69"/>
      <c r="I13" s="69" t="s">
        <v>36</v>
      </c>
      <c r="J13" s="72">
        <v>0.12</v>
      </c>
      <c r="K13" s="73">
        <f t="shared" si="0"/>
        <v>0.12</v>
      </c>
      <c r="L13" s="74">
        <f>+'OptiMaxx plus'!F27</f>
        <v>0</v>
      </c>
      <c r="AA13" s="64"/>
      <c r="AB13" s="64"/>
    </row>
    <row r="14" spans="1:28" s="4" customFormat="1">
      <c r="A14" s="69"/>
      <c r="B14" s="69"/>
      <c r="C14" s="70"/>
      <c r="D14" s="70"/>
      <c r="E14" s="70"/>
      <c r="F14" s="69"/>
      <c r="G14" s="76"/>
      <c r="H14" s="69"/>
      <c r="I14" s="69" t="s">
        <v>33</v>
      </c>
      <c r="J14" s="72">
        <v>0.12</v>
      </c>
      <c r="K14" s="73">
        <f t="shared" si="0"/>
        <v>0.12</v>
      </c>
      <c r="L14" s="74">
        <f>+'OptiMaxx plus'!N25</f>
        <v>0</v>
      </c>
      <c r="AA14" s="64"/>
      <c r="AB14" s="64"/>
    </row>
    <row r="15" spans="1:28" s="4" customFormat="1">
      <c r="A15" s="69"/>
      <c r="B15" s="69"/>
      <c r="C15" s="70"/>
      <c r="D15" s="70"/>
      <c r="E15" s="70"/>
      <c r="F15" s="69"/>
      <c r="G15" s="76"/>
      <c r="H15" s="69"/>
      <c r="I15" s="69" t="s">
        <v>34</v>
      </c>
      <c r="J15" s="72">
        <v>0.12</v>
      </c>
      <c r="K15" s="73">
        <f t="shared" si="0"/>
        <v>0.12</v>
      </c>
      <c r="L15" s="74">
        <f>+'OptiMaxx plus'!F26</f>
        <v>0</v>
      </c>
      <c r="AA15" s="64"/>
      <c r="AB15" s="64"/>
    </row>
    <row r="16" spans="1:28" s="4" customFormat="1">
      <c r="A16" s="69"/>
      <c r="B16" s="69"/>
      <c r="C16" s="70"/>
      <c r="D16" s="70"/>
      <c r="E16" s="70"/>
      <c r="F16" s="69"/>
      <c r="G16" s="76"/>
      <c r="H16" s="69"/>
      <c r="I16" s="69" t="s">
        <v>35</v>
      </c>
      <c r="J16" s="72">
        <v>0.05</v>
      </c>
      <c r="K16" s="73">
        <f t="shared" si="0"/>
        <v>0.05</v>
      </c>
      <c r="L16" s="74">
        <f>+'OptiMaxx plus'!N27</f>
        <v>0</v>
      </c>
      <c r="AA16" s="64"/>
      <c r="AB16" s="64"/>
    </row>
    <row r="17" spans="1:53" s="4" customFormat="1">
      <c r="A17" s="69"/>
      <c r="B17" s="69"/>
      <c r="C17" s="70"/>
      <c r="D17" s="70"/>
      <c r="E17" s="70"/>
      <c r="F17" s="69" t="s">
        <v>20</v>
      </c>
      <c r="G17" s="71" t="str">
        <f>+'OptiMaxx plus'!K15</f>
        <v>No</v>
      </c>
      <c r="H17" s="69"/>
      <c r="I17" s="69" t="s">
        <v>83</v>
      </c>
      <c r="J17" s="72">
        <v>0.12</v>
      </c>
      <c r="K17" s="73">
        <f t="shared" si="0"/>
        <v>0.12</v>
      </c>
      <c r="L17" s="74">
        <f>+'OptiMaxx plus'!N26</f>
        <v>0</v>
      </c>
      <c r="AA17" s="64"/>
      <c r="AB17" s="64"/>
    </row>
    <row r="18" spans="1:53" s="4" customFormat="1">
      <c r="A18" s="69"/>
      <c r="B18" s="69"/>
      <c r="C18" s="70"/>
      <c r="D18" s="70"/>
      <c r="E18" s="70"/>
      <c r="F18" s="69" t="s">
        <v>21</v>
      </c>
      <c r="G18" s="76">
        <v>0.04</v>
      </c>
      <c r="H18" s="69"/>
      <c r="I18" s="69"/>
      <c r="J18" s="72"/>
      <c r="K18" s="69"/>
      <c r="L18" s="69"/>
      <c r="AA18" s="64"/>
      <c r="AB18" s="64"/>
    </row>
    <row r="19" spans="1:53" s="4" customFormat="1">
      <c r="A19" s="69"/>
      <c r="B19" s="69"/>
      <c r="C19" s="70"/>
      <c r="D19" s="70"/>
      <c r="E19" s="70"/>
      <c r="F19" s="69" t="s">
        <v>23</v>
      </c>
      <c r="G19" s="77">
        <v>5.08</v>
      </c>
      <c r="H19" s="69"/>
      <c r="I19" s="69"/>
      <c r="J19" s="72"/>
      <c r="K19" s="69"/>
      <c r="L19" s="69"/>
      <c r="AA19" s="64"/>
      <c r="AB19" s="64"/>
    </row>
    <row r="20" spans="1:53" s="4" customFormat="1">
      <c r="A20" s="69"/>
      <c r="B20" s="69"/>
      <c r="C20" s="70"/>
      <c r="D20" s="70"/>
      <c r="E20" s="70"/>
      <c r="F20" s="69"/>
      <c r="G20" s="76">
        <f>+G18</f>
        <v>0.04</v>
      </c>
      <c r="H20" s="69"/>
      <c r="I20" s="78" t="s">
        <v>80</v>
      </c>
      <c r="J20" s="80"/>
      <c r="K20" s="78"/>
      <c r="L20" s="81">
        <f>SUMPRODUCT(L3:L17,J3:J17)</f>
        <v>0.1</v>
      </c>
      <c r="AA20" s="64"/>
      <c r="AB20" s="64"/>
    </row>
    <row r="21" spans="1:53">
      <c r="J21" s="313">
        <f>3.6%/4</f>
        <v>9.0000000000000011E-3</v>
      </c>
      <c r="O21" s="1"/>
    </row>
    <row r="22" spans="1:53">
      <c r="C22" s="524" t="s">
        <v>84</v>
      </c>
      <c r="D22" s="524"/>
      <c r="E22" s="524"/>
      <c r="F22" s="524"/>
      <c r="G22" s="524"/>
      <c r="H22" s="524"/>
      <c r="I22" s="524"/>
      <c r="J22" s="524"/>
      <c r="K22" s="524"/>
      <c r="L22" s="524"/>
      <c r="O22" s="524" t="s">
        <v>85</v>
      </c>
      <c r="P22" s="524"/>
      <c r="Q22" s="524"/>
      <c r="R22" s="524"/>
      <c r="S22" s="524"/>
      <c r="T22" s="524"/>
      <c r="U22" s="524"/>
      <c r="V22" s="524"/>
      <c r="W22" s="524"/>
      <c r="X22" s="524"/>
      <c r="Y22" s="524"/>
      <c r="AA22" s="38" t="s">
        <v>6</v>
      </c>
      <c r="AB22" s="9"/>
    </row>
    <row r="23" spans="1:53" ht="36.75" customHeight="1">
      <c r="C23" s="3" t="s">
        <v>0</v>
      </c>
      <c r="D23" s="3" t="s">
        <v>2</v>
      </c>
      <c r="E23" s="3" t="s">
        <v>3</v>
      </c>
      <c r="F23" s="3" t="s">
        <v>4</v>
      </c>
      <c r="G23" s="3" t="s">
        <v>5</v>
      </c>
      <c r="H23" s="3" t="s">
        <v>7</v>
      </c>
      <c r="I23" s="3" t="s">
        <v>8</v>
      </c>
      <c r="J23" s="3" t="s">
        <v>9</v>
      </c>
      <c r="K23" s="3" t="s">
        <v>10</v>
      </c>
      <c r="L23" s="3" t="s">
        <v>22</v>
      </c>
      <c r="O23" s="3" t="s">
        <v>0</v>
      </c>
      <c r="P23" s="3" t="s">
        <v>2</v>
      </c>
      <c r="Q23" s="3" t="s">
        <v>3</v>
      </c>
      <c r="R23" s="3" t="s">
        <v>4</v>
      </c>
      <c r="S23" s="3" t="s">
        <v>5</v>
      </c>
      <c r="T23" s="3" t="s">
        <v>6</v>
      </c>
      <c r="U23" s="3" t="s">
        <v>7</v>
      </c>
      <c r="V23" s="3" t="s">
        <v>8</v>
      </c>
      <c r="W23" s="3" t="s">
        <v>9</v>
      </c>
      <c r="X23" s="3" t="s">
        <v>10</v>
      </c>
      <c r="Y23" s="3" t="s">
        <v>22</v>
      </c>
      <c r="AA23" s="3" t="s">
        <v>22</v>
      </c>
      <c r="AB23" s="3"/>
      <c r="AD23" s="3" t="s">
        <v>95</v>
      </c>
    </row>
    <row r="24" spans="1:53">
      <c r="A24" s="1">
        <f>+B24/12</f>
        <v>8.3333333333333329E-2</v>
      </c>
      <c r="B24" s="1">
        <v>1</v>
      </c>
      <c r="C24" s="2">
        <v>0</v>
      </c>
      <c r="D24" s="2">
        <v>1</v>
      </c>
      <c r="E24" s="2">
        <f>G2</f>
        <v>29</v>
      </c>
      <c r="F24" s="1">
        <v>0</v>
      </c>
      <c r="G24" s="4">
        <f>G3</f>
        <v>10000</v>
      </c>
      <c r="H24" s="1">
        <f t="shared" ref="H24:H87" si="1">SUM(F24:G24)*$G$8</f>
        <v>79.741404289037646</v>
      </c>
      <c r="I24" s="1">
        <v>-500</v>
      </c>
      <c r="J24" s="1">
        <v>0</v>
      </c>
      <c r="K24" s="1">
        <f>-SUM(F24:J24)*0.1%</f>
        <v>-9.5797414042890381</v>
      </c>
      <c r="L24" s="1">
        <f t="shared" ref="L24:L87" si="2">SUM(F24:K24)</f>
        <v>9570.1616628847496</v>
      </c>
      <c r="N24" s="1">
        <v>1</v>
      </c>
      <c r="O24" s="2">
        <v>0</v>
      </c>
      <c r="P24" s="2">
        <v>1</v>
      </c>
      <c r="Q24" s="2">
        <f>S9</f>
        <v>0</v>
      </c>
      <c r="R24" s="1">
        <v>0</v>
      </c>
      <c r="S24" s="4"/>
      <c r="T24" s="1">
        <f t="shared" ref="T24:T35" si="3">S24*$G$9</f>
        <v>0</v>
      </c>
      <c r="U24" s="1">
        <f>SUM(R24:T24)*$G$8</f>
        <v>0</v>
      </c>
      <c r="V24" s="1">
        <v>0</v>
      </c>
      <c r="X24" s="1">
        <f t="shared" ref="X24:X87" si="4">-SUM(R24:U24)*0.1%</f>
        <v>0</v>
      </c>
      <c r="Y24" s="1">
        <f t="shared" ref="Y24:Y87" si="5">SUM(R24:X24)</f>
        <v>0</v>
      </c>
      <c r="AA24" s="2">
        <f>+Bono!J24</f>
        <v>10062.001159928206</v>
      </c>
      <c r="AC24" s="10">
        <f t="shared" ref="AC24:AC87" si="6">+B24/12</f>
        <v>8.3333333333333329E-2</v>
      </c>
      <c r="AD24" s="1">
        <f t="shared" ref="AD24:AD87" si="7">+AA24+Y24+L24</f>
        <v>19632.162822812956</v>
      </c>
      <c r="AH24" s="1" t="s">
        <v>24</v>
      </c>
    </row>
    <row r="25" spans="1:53">
      <c r="B25" s="1">
        <f t="shared" ref="B25:B88" si="8">+B24+1</f>
        <v>2</v>
      </c>
      <c r="C25" s="2">
        <v>0</v>
      </c>
      <c r="D25" s="2">
        <v>2</v>
      </c>
      <c r="E25" s="2">
        <f t="shared" ref="E25:E35" si="9">E24</f>
        <v>29</v>
      </c>
      <c r="F25" s="1">
        <f t="shared" ref="F25:F88" si="10">L24</f>
        <v>9570.1616628847496</v>
      </c>
      <c r="G25" s="4">
        <f>IF($G$4="mensual",$G$3,0)</f>
        <v>10000</v>
      </c>
      <c r="H25" s="1">
        <f t="shared" si="1"/>
        <v>156.0552173161918</v>
      </c>
      <c r="I25" s="1">
        <v>0</v>
      </c>
      <c r="J25" s="1">
        <v>0</v>
      </c>
      <c r="K25" s="1">
        <f t="shared" ref="K25:K88" si="11">-SUM(F25:J25)*0.1%</f>
        <v>-19.726216880200941</v>
      </c>
      <c r="L25" s="1">
        <f t="shared" si="2"/>
        <v>19706.490663320739</v>
      </c>
      <c r="N25" s="1">
        <f t="shared" ref="N25:N88" si="12">+N24+1</f>
        <v>2</v>
      </c>
      <c r="O25" s="2">
        <v>0</v>
      </c>
      <c r="P25" s="2">
        <v>2</v>
      </c>
      <c r="Q25" s="2">
        <f t="shared" ref="Q25:Q35" si="13">Q24</f>
        <v>0</v>
      </c>
      <c r="R25" s="1">
        <f t="shared" ref="R25:R88" si="14">Y24</f>
        <v>0</v>
      </c>
      <c r="S25" s="4"/>
      <c r="T25" s="1">
        <f t="shared" si="3"/>
        <v>0</v>
      </c>
      <c r="U25" s="1">
        <v>0</v>
      </c>
      <c r="V25" s="1">
        <v>0</v>
      </c>
      <c r="X25" s="1">
        <f t="shared" si="4"/>
        <v>0</v>
      </c>
      <c r="Y25" s="1">
        <f t="shared" si="5"/>
        <v>0</v>
      </c>
      <c r="AA25" s="2">
        <f>+Bono!J25</f>
        <v>20186.387894167863</v>
      </c>
      <c r="AC25" s="10">
        <f t="shared" si="6"/>
        <v>0.16666666666666666</v>
      </c>
      <c r="AD25" s="1">
        <f t="shared" si="7"/>
        <v>39892.878557488599</v>
      </c>
      <c r="AG25" s="1">
        <v>1</v>
      </c>
      <c r="AH25" s="1">
        <f>VLOOKUP(G4,$AK$25:$AL$28,2,0)*G3</f>
        <v>120000</v>
      </c>
      <c r="AK25" s="84" t="s">
        <v>41</v>
      </c>
      <c r="AL25" s="84">
        <v>12</v>
      </c>
    </row>
    <row r="26" spans="1:53">
      <c r="B26" s="1">
        <f t="shared" si="8"/>
        <v>3</v>
      </c>
      <c r="C26" s="2">
        <v>0</v>
      </c>
      <c r="D26" s="2">
        <v>3</v>
      </c>
      <c r="E26" s="2">
        <f t="shared" si="9"/>
        <v>29</v>
      </c>
      <c r="F26" s="1">
        <f t="shared" si="10"/>
        <v>19706.490663320739</v>
      </c>
      <c r="G26" s="4">
        <f>IF($G$4="mensual",$G$3,0)</f>
        <v>10000</v>
      </c>
      <c r="H26" s="1">
        <f t="shared" si="1"/>
        <v>236.88372819923811</v>
      </c>
      <c r="I26" s="1">
        <v>0</v>
      </c>
      <c r="J26" s="69">
        <f>-SUM(F26:H26)*$J$21</f>
        <v>-269.49036952367982</v>
      </c>
      <c r="K26" s="1">
        <f t="shared" si="11"/>
        <v>-29.673884021996301</v>
      </c>
      <c r="L26" s="1">
        <f t="shared" si="2"/>
        <v>29644.210137974304</v>
      </c>
      <c r="N26" s="1">
        <f t="shared" si="12"/>
        <v>3</v>
      </c>
      <c r="O26" s="2">
        <v>0</v>
      </c>
      <c r="P26" s="2">
        <v>3</v>
      </c>
      <c r="Q26" s="2">
        <f t="shared" si="13"/>
        <v>0</v>
      </c>
      <c r="R26" s="1">
        <f t="shared" si="14"/>
        <v>0</v>
      </c>
      <c r="S26" s="4"/>
      <c r="T26" s="1">
        <f t="shared" si="3"/>
        <v>0</v>
      </c>
      <c r="U26" s="1">
        <v>0</v>
      </c>
      <c r="V26" s="1">
        <v>0</v>
      </c>
      <c r="X26" s="1">
        <f t="shared" si="4"/>
        <v>0</v>
      </c>
      <c r="Y26" s="1">
        <f t="shared" si="5"/>
        <v>0</v>
      </c>
      <c r="AA26" s="2">
        <f>+Bono!J26</f>
        <v>30099.911441952772</v>
      </c>
      <c r="AC26" s="10">
        <f t="shared" si="6"/>
        <v>0.25</v>
      </c>
      <c r="AD26" s="1">
        <f t="shared" si="7"/>
        <v>59744.121579927072</v>
      </c>
      <c r="AG26" s="1">
        <f t="shared" ref="AG26:AG49" si="15">+AG25+1</f>
        <v>2</v>
      </c>
      <c r="AH26" s="1">
        <f t="shared" ref="AH26:AH49" si="16">IF($G$17="Si",(1+$G$20)*AH25,AH25)</f>
        <v>120000</v>
      </c>
      <c r="AK26" s="84" t="s">
        <v>44</v>
      </c>
      <c r="AL26" s="84">
        <v>4</v>
      </c>
    </row>
    <row r="27" spans="1:53">
      <c r="B27" s="1">
        <f t="shared" si="8"/>
        <v>4</v>
      </c>
      <c r="C27" s="2">
        <v>0</v>
      </c>
      <c r="D27" s="2">
        <v>4</v>
      </c>
      <c r="E27" s="2">
        <f t="shared" si="9"/>
        <v>29</v>
      </c>
      <c r="F27" s="1">
        <f t="shared" si="10"/>
        <v>29644.210137974304</v>
      </c>
      <c r="G27" s="4">
        <f>IF($G$4="mensual",$G$3,IF($G$4="trimestral",G3,0))</f>
        <v>10000</v>
      </c>
      <c r="H27" s="1">
        <f t="shared" si="1"/>
        <v>316.12849883317739</v>
      </c>
      <c r="I27" s="1">
        <v>0</v>
      </c>
      <c r="J27" s="1">
        <v>0</v>
      </c>
      <c r="K27" s="1">
        <f t="shared" si="11"/>
        <v>-39.960338636807478</v>
      </c>
      <c r="L27" s="1">
        <f t="shared" si="2"/>
        <v>39920.378298170668</v>
      </c>
      <c r="N27" s="1">
        <f t="shared" si="12"/>
        <v>4</v>
      </c>
      <c r="O27" s="2">
        <v>0</v>
      </c>
      <c r="P27" s="2">
        <v>4</v>
      </c>
      <c r="Q27" s="2">
        <f t="shared" si="13"/>
        <v>0</v>
      </c>
      <c r="R27" s="1">
        <f t="shared" si="14"/>
        <v>0</v>
      </c>
      <c r="S27" s="4"/>
      <c r="T27" s="1">
        <f t="shared" si="3"/>
        <v>0</v>
      </c>
      <c r="U27" s="1">
        <f>SUM(R27:T27)*$G$8</f>
        <v>0</v>
      </c>
      <c r="V27" s="1">
        <v>0</v>
      </c>
      <c r="X27" s="1">
        <f t="shared" si="4"/>
        <v>0</v>
      </c>
      <c r="Y27" s="1">
        <f t="shared" si="5"/>
        <v>0</v>
      </c>
      <c r="AA27" s="2">
        <f>+Bono!J27</f>
        <v>40348.535544194718</v>
      </c>
      <c r="AC27" s="10">
        <f t="shared" si="6"/>
        <v>0.33333333333333331</v>
      </c>
      <c r="AD27" s="1">
        <f t="shared" si="7"/>
        <v>80268.913842365379</v>
      </c>
      <c r="AG27" s="1">
        <f t="shared" si="15"/>
        <v>3</v>
      </c>
      <c r="AH27" s="1">
        <f t="shared" si="16"/>
        <v>120000</v>
      </c>
      <c r="AK27" s="84" t="s">
        <v>47</v>
      </c>
      <c r="AL27" s="84">
        <v>2</v>
      </c>
    </row>
    <row r="28" spans="1:53">
      <c r="B28" s="1">
        <f t="shared" si="8"/>
        <v>5</v>
      </c>
      <c r="C28" s="2">
        <v>0</v>
      </c>
      <c r="D28" s="2">
        <v>5</v>
      </c>
      <c r="E28" s="2">
        <f t="shared" si="9"/>
        <v>29</v>
      </c>
      <c r="F28" s="1">
        <f t="shared" si="10"/>
        <v>39920.378298170668</v>
      </c>
      <c r="G28" s="4">
        <f>IF($G$4="mensual",$G$3,0)</f>
        <v>10000</v>
      </c>
      <c r="H28" s="1">
        <f t="shared" si="1"/>
        <v>398.07210681361283</v>
      </c>
      <c r="I28" s="1">
        <v>0</v>
      </c>
      <c r="J28" s="1">
        <v>0</v>
      </c>
      <c r="K28" s="1">
        <f t="shared" si="11"/>
        <v>-50.318450404984283</v>
      </c>
      <c r="L28" s="1">
        <f t="shared" si="2"/>
        <v>50268.131954579294</v>
      </c>
      <c r="N28" s="1">
        <f t="shared" si="12"/>
        <v>5</v>
      </c>
      <c r="O28" s="2">
        <v>0</v>
      </c>
      <c r="P28" s="2">
        <v>5</v>
      </c>
      <c r="Q28" s="2">
        <f t="shared" si="13"/>
        <v>0</v>
      </c>
      <c r="R28" s="1">
        <f t="shared" si="14"/>
        <v>0</v>
      </c>
      <c r="S28" s="4"/>
      <c r="T28" s="1">
        <f t="shared" si="3"/>
        <v>0</v>
      </c>
      <c r="U28" s="1">
        <v>0</v>
      </c>
      <c r="V28" s="1">
        <v>0</v>
      </c>
      <c r="X28" s="1">
        <f t="shared" si="4"/>
        <v>0</v>
      </c>
      <c r="Y28" s="1">
        <f t="shared" si="5"/>
        <v>0</v>
      </c>
      <c r="AA28" s="2">
        <f>+Bono!J28</f>
        <v>50660.70230463738</v>
      </c>
      <c r="AC28" s="10">
        <f t="shared" si="6"/>
        <v>0.41666666666666669</v>
      </c>
      <c r="AD28" s="1">
        <f t="shared" si="7"/>
        <v>100928.83425921667</v>
      </c>
      <c r="AG28" s="1">
        <f t="shared" si="15"/>
        <v>4</v>
      </c>
      <c r="AH28" s="1">
        <f t="shared" si="16"/>
        <v>120000</v>
      </c>
      <c r="AK28" s="84" t="s">
        <v>49</v>
      </c>
      <c r="AL28" s="84">
        <v>1</v>
      </c>
    </row>
    <row r="29" spans="1:53">
      <c r="B29" s="1">
        <f t="shared" si="8"/>
        <v>6</v>
      </c>
      <c r="C29" s="2">
        <v>0</v>
      </c>
      <c r="D29" s="2">
        <v>6</v>
      </c>
      <c r="E29" s="2">
        <f t="shared" si="9"/>
        <v>29</v>
      </c>
      <c r="F29" s="1">
        <f t="shared" si="10"/>
        <v>50268.131954579294</v>
      </c>
      <c r="G29" s="4">
        <f>IF($G$4="mensual",$G$3,0)</f>
        <v>10000</v>
      </c>
      <c r="H29" s="1">
        <f t="shared" si="1"/>
        <v>480.58654759351759</v>
      </c>
      <c r="I29" s="1">
        <v>0</v>
      </c>
      <c r="J29" s="69">
        <f>-SUM(F29:H29)*$J$21</f>
        <v>-546.73846651955535</v>
      </c>
      <c r="K29" s="1">
        <f t="shared" si="11"/>
        <v>-60.201980035653257</v>
      </c>
      <c r="L29" s="1">
        <f t="shared" si="2"/>
        <v>60141.778055617608</v>
      </c>
      <c r="N29" s="1">
        <f t="shared" si="12"/>
        <v>6</v>
      </c>
      <c r="O29" s="2">
        <v>0</v>
      </c>
      <c r="P29" s="2">
        <v>6</v>
      </c>
      <c r="Q29" s="2">
        <f t="shared" si="13"/>
        <v>0</v>
      </c>
      <c r="R29" s="1">
        <f t="shared" si="14"/>
        <v>0</v>
      </c>
      <c r="S29" s="4"/>
      <c r="T29" s="1">
        <f t="shared" si="3"/>
        <v>0</v>
      </c>
      <c r="U29" s="1">
        <v>0</v>
      </c>
      <c r="V29" s="1">
        <v>0</v>
      </c>
      <c r="X29" s="1">
        <f t="shared" si="4"/>
        <v>0</v>
      </c>
      <c r="Y29" s="1">
        <f t="shared" si="5"/>
        <v>0</v>
      </c>
      <c r="AA29" s="2">
        <f>+Bono!J29</f>
        <v>60486.924562743516</v>
      </c>
      <c r="AC29" s="10">
        <f t="shared" si="6"/>
        <v>0.5</v>
      </c>
      <c r="AD29" s="1">
        <f t="shared" si="7"/>
        <v>120628.70261836113</v>
      </c>
      <c r="AG29" s="1">
        <f t="shared" si="15"/>
        <v>5</v>
      </c>
      <c r="AH29" s="1">
        <f t="shared" si="16"/>
        <v>120000</v>
      </c>
    </row>
    <row r="30" spans="1:53">
      <c r="B30" s="1">
        <f t="shared" si="8"/>
        <v>7</v>
      </c>
      <c r="C30" s="2">
        <v>0</v>
      </c>
      <c r="D30" s="2">
        <v>7</v>
      </c>
      <c r="E30" s="2">
        <f t="shared" si="9"/>
        <v>29</v>
      </c>
      <c r="F30" s="1">
        <f t="shared" si="10"/>
        <v>60141.778055617608</v>
      </c>
      <c r="G30" s="4">
        <f>IF($G$4="mensual",$G$3,IF($G$4="trimestral",$G$3,IF(G4="semestral",$G$3,0)))</f>
        <v>10000</v>
      </c>
      <c r="H30" s="1">
        <f t="shared" si="1"/>
        <v>559.32038814849534</v>
      </c>
      <c r="I30" s="1">
        <v>0</v>
      </c>
      <c r="J30" s="1">
        <v>0</v>
      </c>
      <c r="K30" s="1">
        <f t="shared" si="11"/>
        <v>-70.701098443766114</v>
      </c>
      <c r="L30" s="1">
        <f t="shared" si="2"/>
        <v>70630.397345322344</v>
      </c>
      <c r="N30" s="1">
        <f t="shared" si="12"/>
        <v>7</v>
      </c>
      <c r="O30" s="2">
        <v>0</v>
      </c>
      <c r="P30" s="2">
        <v>7</v>
      </c>
      <c r="Q30" s="2">
        <f t="shared" si="13"/>
        <v>0</v>
      </c>
      <c r="R30" s="1">
        <f t="shared" si="14"/>
        <v>0</v>
      </c>
      <c r="S30" s="4"/>
      <c r="T30" s="1">
        <f t="shared" si="3"/>
        <v>0</v>
      </c>
      <c r="U30" s="1">
        <f>SUM(R30:T30)*$G$8</f>
        <v>0</v>
      </c>
      <c r="V30" s="1">
        <v>0</v>
      </c>
      <c r="X30" s="1">
        <f t="shared" si="4"/>
        <v>0</v>
      </c>
      <c r="Y30" s="1">
        <f t="shared" si="5"/>
        <v>0</v>
      </c>
      <c r="AA30" s="2">
        <f>+Bono!J30</f>
        <v>70923.951671009709</v>
      </c>
      <c r="AC30" s="10">
        <f t="shared" si="6"/>
        <v>0.58333333333333337</v>
      </c>
      <c r="AD30" s="1">
        <f t="shared" si="7"/>
        <v>141554.34901633207</v>
      </c>
      <c r="AG30" s="1">
        <f t="shared" si="15"/>
        <v>6</v>
      </c>
      <c r="AH30" s="1">
        <f t="shared" si="16"/>
        <v>120000</v>
      </c>
    </row>
    <row r="31" spans="1:53">
      <c r="B31" s="1">
        <f t="shared" si="8"/>
        <v>8</v>
      </c>
      <c r="C31" s="2">
        <v>0</v>
      </c>
      <c r="D31" s="2">
        <v>8</v>
      </c>
      <c r="E31" s="2">
        <f t="shared" si="9"/>
        <v>29</v>
      </c>
      <c r="F31" s="1">
        <f t="shared" si="10"/>
        <v>70630.397345322344</v>
      </c>
      <c r="G31" s="4">
        <f>IF($G$4="mensual",$G$3,0)</f>
        <v>10000</v>
      </c>
      <c r="H31" s="1">
        <f t="shared" si="1"/>
        <v>642.95811126990964</v>
      </c>
      <c r="I31" s="1">
        <v>0</v>
      </c>
      <c r="J31" s="1">
        <v>0</v>
      </c>
      <c r="K31" s="1">
        <f t="shared" si="11"/>
        <v>-81.273355456592256</v>
      </c>
      <c r="L31" s="1">
        <f t="shared" si="2"/>
        <v>81192.08210113566</v>
      </c>
      <c r="N31" s="1">
        <f t="shared" si="12"/>
        <v>8</v>
      </c>
      <c r="O31" s="2">
        <v>0</v>
      </c>
      <c r="P31" s="2">
        <v>8</v>
      </c>
      <c r="Q31" s="2">
        <f t="shared" si="13"/>
        <v>0</v>
      </c>
      <c r="R31" s="1">
        <f t="shared" si="14"/>
        <v>0</v>
      </c>
      <c r="S31" s="4"/>
      <c r="T31" s="1">
        <f t="shared" si="3"/>
        <v>0</v>
      </c>
      <c r="U31" s="1">
        <v>0</v>
      </c>
      <c r="V31" s="1">
        <v>0</v>
      </c>
      <c r="X31" s="1">
        <f t="shared" si="4"/>
        <v>0</v>
      </c>
      <c r="Y31" s="1">
        <f t="shared" si="5"/>
        <v>0</v>
      </c>
      <c r="AA31" s="2">
        <f>+Bono!J31</f>
        <v>81425.689557967373</v>
      </c>
      <c r="AC31" s="10">
        <f t="shared" si="6"/>
        <v>0.66666666666666663</v>
      </c>
      <c r="AD31" s="1">
        <f t="shared" si="7"/>
        <v>162617.77165910305</v>
      </c>
      <c r="AG31" s="1">
        <f t="shared" si="15"/>
        <v>7</v>
      </c>
      <c r="AH31" s="1">
        <f t="shared" si="16"/>
        <v>120000</v>
      </c>
      <c r="AK31" s="528" t="s">
        <v>151</v>
      </c>
      <c r="AL31" s="528"/>
      <c r="AM31" s="528"/>
      <c r="AN31" s="528"/>
      <c r="AO31" s="528"/>
      <c r="AP31" s="528"/>
      <c r="AQ31" s="528"/>
      <c r="AR31" s="528"/>
      <c r="AS31" s="528"/>
      <c r="AT31" s="528"/>
      <c r="AU31" s="528"/>
      <c r="AV31" s="528"/>
      <c r="AW31" s="528"/>
      <c r="AX31" s="528"/>
      <c r="AY31" s="528"/>
      <c r="AZ31" s="528"/>
      <c r="BA31" s="528"/>
    </row>
    <row r="32" spans="1:53">
      <c r="B32" s="1">
        <f t="shared" si="8"/>
        <v>9</v>
      </c>
      <c r="C32" s="2">
        <v>0</v>
      </c>
      <c r="D32" s="2">
        <v>9</v>
      </c>
      <c r="E32" s="2">
        <f t="shared" si="9"/>
        <v>29</v>
      </c>
      <c r="F32" s="1">
        <f t="shared" si="10"/>
        <v>81192.08210113566</v>
      </c>
      <c r="G32" s="4">
        <f>IF($G$4="mensual",$G$3,0)</f>
        <v>10000</v>
      </c>
      <c r="H32" s="1">
        <f t="shared" si="1"/>
        <v>727.17846867857725</v>
      </c>
      <c r="I32" s="1">
        <v>0</v>
      </c>
      <c r="J32" s="69">
        <f>-SUM(F32:H32)*$J$21</f>
        <v>-827.27334512832829</v>
      </c>
      <c r="K32" s="1">
        <f t="shared" si="11"/>
        <v>-91.091987224685923</v>
      </c>
      <c r="L32" s="1">
        <f t="shared" si="2"/>
        <v>91000.895237461227</v>
      </c>
      <c r="N32" s="1">
        <f t="shared" si="12"/>
        <v>9</v>
      </c>
      <c r="O32" s="2">
        <v>0</v>
      </c>
      <c r="P32" s="2">
        <v>9</v>
      </c>
      <c r="Q32" s="2">
        <f t="shared" si="13"/>
        <v>0</v>
      </c>
      <c r="R32" s="1">
        <f t="shared" si="14"/>
        <v>0</v>
      </c>
      <c r="S32" s="4"/>
      <c r="T32" s="1">
        <f t="shared" si="3"/>
        <v>0</v>
      </c>
      <c r="U32" s="1">
        <v>0</v>
      </c>
      <c r="V32" s="1">
        <v>0</v>
      </c>
      <c r="X32" s="1">
        <f t="shared" si="4"/>
        <v>0</v>
      </c>
      <c r="Y32" s="1">
        <f t="shared" si="5"/>
        <v>0</v>
      </c>
      <c r="AA32" s="2">
        <f>+Bono!J32</f>
        <v>91163.777821392257</v>
      </c>
      <c r="AC32" s="10">
        <f t="shared" si="6"/>
        <v>0.75</v>
      </c>
      <c r="AD32" s="1">
        <f t="shared" si="7"/>
        <v>182164.67305885348</v>
      </c>
      <c r="AG32" s="1">
        <f t="shared" si="15"/>
        <v>8</v>
      </c>
      <c r="AH32" s="1">
        <f t="shared" si="16"/>
        <v>120000</v>
      </c>
      <c r="AK32" s="528"/>
      <c r="AL32" s="528"/>
      <c r="AM32" s="528"/>
      <c r="AN32" s="528"/>
      <c r="AO32" s="528"/>
      <c r="AP32" s="528"/>
      <c r="AQ32" s="528"/>
      <c r="AR32" s="528"/>
      <c r="AS32" s="528"/>
      <c r="AT32" s="528"/>
      <c r="AU32" s="528"/>
      <c r="AV32" s="528"/>
      <c r="AW32" s="528"/>
      <c r="AX32" s="528"/>
      <c r="AY32" s="528"/>
      <c r="AZ32" s="528"/>
      <c r="BA32" s="528"/>
    </row>
    <row r="33" spans="2:53">
      <c r="B33" s="1">
        <f t="shared" si="8"/>
        <v>10</v>
      </c>
      <c r="C33" s="2">
        <v>0</v>
      </c>
      <c r="D33" s="2">
        <v>10</v>
      </c>
      <c r="E33" s="2">
        <f t="shared" si="9"/>
        <v>29</v>
      </c>
      <c r="F33" s="1">
        <f t="shared" si="10"/>
        <v>91000.895237461227</v>
      </c>
      <c r="G33" s="4">
        <f>IF($G$4="mensual",$G$3,IF($G$4="trimestral",$G$3,0))</f>
        <v>10000</v>
      </c>
      <c r="H33" s="1">
        <f t="shared" si="1"/>
        <v>805.39532206851322</v>
      </c>
      <c r="I33" s="1">
        <v>0</v>
      </c>
      <c r="J33" s="1">
        <v>0</v>
      </c>
      <c r="K33" s="1">
        <f t="shared" si="11"/>
        <v>-101.80629055952974</v>
      </c>
      <c r="L33" s="1">
        <f t="shared" si="2"/>
        <v>101704.48426897021</v>
      </c>
      <c r="N33" s="1">
        <f t="shared" si="12"/>
        <v>10</v>
      </c>
      <c r="O33" s="2">
        <v>0</v>
      </c>
      <c r="P33" s="2">
        <v>10</v>
      </c>
      <c r="Q33" s="2">
        <f t="shared" si="13"/>
        <v>0</v>
      </c>
      <c r="R33" s="1">
        <f t="shared" si="14"/>
        <v>0</v>
      </c>
      <c r="S33" s="4"/>
      <c r="T33" s="1">
        <f t="shared" si="3"/>
        <v>0</v>
      </c>
      <c r="U33" s="1">
        <f>SUM(R33:T33)*$G$8</f>
        <v>0</v>
      </c>
      <c r="V33" s="1">
        <v>0</v>
      </c>
      <c r="X33" s="1">
        <f t="shared" si="4"/>
        <v>0</v>
      </c>
      <c r="Y33" s="1">
        <f t="shared" si="5"/>
        <v>0</v>
      </c>
      <c r="AA33" s="2">
        <f>+Bono!J33</f>
        <v>101791.00497815681</v>
      </c>
      <c r="AC33" s="10">
        <f t="shared" si="6"/>
        <v>0.83333333333333337</v>
      </c>
      <c r="AD33" s="1">
        <f t="shared" si="7"/>
        <v>203495.48924712703</v>
      </c>
      <c r="AG33" s="1">
        <f t="shared" si="15"/>
        <v>9</v>
      </c>
      <c r="AH33" s="1">
        <f t="shared" si="16"/>
        <v>120000</v>
      </c>
      <c r="AK33" s="528"/>
      <c r="AL33" s="528"/>
      <c r="AM33" s="528"/>
      <c r="AN33" s="528"/>
      <c r="AO33" s="528"/>
      <c r="AP33" s="528"/>
      <c r="AQ33" s="528"/>
      <c r="AR33" s="528"/>
      <c r="AS33" s="528"/>
      <c r="AT33" s="528"/>
      <c r="AU33" s="528"/>
      <c r="AV33" s="528"/>
      <c r="AW33" s="528"/>
      <c r="AX33" s="528"/>
      <c r="AY33" s="528"/>
      <c r="AZ33" s="528"/>
      <c r="BA33" s="528"/>
    </row>
    <row r="34" spans="2:53">
      <c r="B34" s="1">
        <f t="shared" si="8"/>
        <v>11</v>
      </c>
      <c r="C34" s="2">
        <v>0</v>
      </c>
      <c r="D34" s="2">
        <v>11</v>
      </c>
      <c r="E34" s="2">
        <f t="shared" si="9"/>
        <v>29</v>
      </c>
      <c r="F34" s="1">
        <f t="shared" si="10"/>
        <v>101704.48426897021</v>
      </c>
      <c r="G34" s="4">
        <f>IF($G$4="mensual",$G$3,0)</f>
        <v>10000</v>
      </c>
      <c r="H34" s="1">
        <f t="shared" si="1"/>
        <v>890.7472440990399</v>
      </c>
      <c r="I34" s="1">
        <v>0</v>
      </c>
      <c r="J34" s="1">
        <v>0</v>
      </c>
      <c r="K34" s="1">
        <f t="shared" si="11"/>
        <v>-112.59523151306925</v>
      </c>
      <c r="L34" s="1">
        <f t="shared" si="2"/>
        <v>112482.63628155617</v>
      </c>
      <c r="N34" s="1">
        <f t="shared" si="12"/>
        <v>11</v>
      </c>
      <c r="O34" s="2">
        <v>0</v>
      </c>
      <c r="P34" s="2">
        <v>11</v>
      </c>
      <c r="Q34" s="2">
        <f t="shared" si="13"/>
        <v>0</v>
      </c>
      <c r="R34" s="1">
        <f t="shared" si="14"/>
        <v>0</v>
      </c>
      <c r="S34" s="4"/>
      <c r="T34" s="1">
        <f t="shared" si="3"/>
        <v>0</v>
      </c>
      <c r="U34" s="1">
        <v>0</v>
      </c>
      <c r="V34" s="1">
        <v>0</v>
      </c>
      <c r="X34" s="1">
        <f t="shared" si="4"/>
        <v>0</v>
      </c>
      <c r="Y34" s="1">
        <f t="shared" si="5"/>
        <v>0</v>
      </c>
      <c r="AA34" s="2">
        <f>+Bono!J34</f>
        <v>112484.12217597537</v>
      </c>
      <c r="AC34" s="10">
        <f t="shared" si="6"/>
        <v>0.91666666666666663</v>
      </c>
      <c r="AD34" s="1">
        <f t="shared" si="7"/>
        <v>224966.75845753154</v>
      </c>
      <c r="AG34" s="1">
        <f t="shared" si="15"/>
        <v>10</v>
      </c>
      <c r="AH34" s="1">
        <f t="shared" si="16"/>
        <v>120000</v>
      </c>
      <c r="AK34" s="528"/>
      <c r="AL34" s="528"/>
      <c r="AM34" s="528"/>
      <c r="AN34" s="528"/>
      <c r="AO34" s="528"/>
      <c r="AP34" s="528"/>
      <c r="AQ34" s="528"/>
      <c r="AR34" s="528"/>
      <c r="AS34" s="528"/>
      <c r="AT34" s="528"/>
      <c r="AU34" s="528"/>
      <c r="AV34" s="528"/>
      <c r="AW34" s="528"/>
      <c r="AX34" s="528"/>
      <c r="AY34" s="528"/>
      <c r="AZ34" s="528"/>
      <c r="BA34" s="528"/>
    </row>
    <row r="35" spans="2:53">
      <c r="B35" s="1">
        <f t="shared" si="8"/>
        <v>12</v>
      </c>
      <c r="C35" s="2">
        <v>0</v>
      </c>
      <c r="D35" s="2">
        <v>12</v>
      </c>
      <c r="E35" s="2">
        <f t="shared" si="9"/>
        <v>29</v>
      </c>
      <c r="F35" s="1">
        <f t="shared" si="10"/>
        <v>112482.63628155617</v>
      </c>
      <c r="G35" s="4">
        <f>IF($G$4="mensual",$G$3,0)</f>
        <v>10000</v>
      </c>
      <c r="H35" s="1">
        <f t="shared" si="1"/>
        <v>976.69374181147214</v>
      </c>
      <c r="I35" s="1">
        <v>0</v>
      </c>
      <c r="J35" s="69">
        <f>-SUM(F35:H35)*$J$21</f>
        <v>-1111.1339702103089</v>
      </c>
      <c r="K35" s="1">
        <f t="shared" si="11"/>
        <v>-122.34819605315732</v>
      </c>
      <c r="L35" s="1">
        <f t="shared" si="2"/>
        <v>122225.84785710416</v>
      </c>
      <c r="N35" s="1">
        <f t="shared" si="12"/>
        <v>12</v>
      </c>
      <c r="O35" s="2">
        <v>0</v>
      </c>
      <c r="P35" s="2">
        <v>12</v>
      </c>
      <c r="Q35" s="2">
        <f t="shared" si="13"/>
        <v>0</v>
      </c>
      <c r="R35" s="1">
        <f t="shared" si="14"/>
        <v>0</v>
      </c>
      <c r="T35" s="1">
        <f t="shared" si="3"/>
        <v>0</v>
      </c>
      <c r="U35" s="1">
        <v>0</v>
      </c>
      <c r="V35" s="1">
        <v>0</v>
      </c>
      <c r="X35" s="1">
        <f t="shared" si="4"/>
        <v>0</v>
      </c>
      <c r="Y35" s="1">
        <f t="shared" si="5"/>
        <v>0</v>
      </c>
      <c r="AA35" s="2">
        <f>+Bono!J35</f>
        <v>122133.23579713491</v>
      </c>
      <c r="AC35" s="10">
        <f t="shared" si="6"/>
        <v>1</v>
      </c>
      <c r="AD35" s="1">
        <f t="shared" si="7"/>
        <v>244359.08365423908</v>
      </c>
      <c r="AG35" s="1">
        <f t="shared" si="15"/>
        <v>11</v>
      </c>
      <c r="AH35" s="1">
        <f t="shared" si="16"/>
        <v>120000</v>
      </c>
      <c r="AK35" s="528"/>
      <c r="AL35" s="528"/>
      <c r="AM35" s="528"/>
      <c r="AN35" s="528"/>
      <c r="AO35" s="528"/>
      <c r="AP35" s="528"/>
      <c r="AQ35" s="528"/>
      <c r="AR35" s="528"/>
      <c r="AS35" s="528"/>
      <c r="AT35" s="528"/>
      <c r="AU35" s="528"/>
      <c r="AV35" s="528"/>
      <c r="AW35" s="528"/>
      <c r="AX35" s="528"/>
      <c r="AY35" s="528"/>
      <c r="AZ35" s="528"/>
      <c r="BA35" s="528"/>
    </row>
    <row r="36" spans="2:53">
      <c r="B36" s="1">
        <f t="shared" si="8"/>
        <v>13</v>
      </c>
      <c r="C36" s="2">
        <f t="shared" ref="C36:C99" si="17">C24+1</f>
        <v>1</v>
      </c>
      <c r="D36" s="2">
        <f t="shared" ref="D36:D99" si="18">D24</f>
        <v>1</v>
      </c>
      <c r="E36" s="2">
        <f t="shared" ref="E36:E99" si="19">E24+1</f>
        <v>30</v>
      </c>
      <c r="F36" s="1">
        <f t="shared" si="10"/>
        <v>122225.84785710416</v>
      </c>
      <c r="G36" s="1">
        <f>IF(AND(G4="Anual",$G$17="si"),G24*(1+$G$20)/2,IF(AND(G4="Anual",G17="No"),G24/2,IF(G17="Si",G24*(1+$G$20),G24)))</f>
        <v>10000</v>
      </c>
      <c r="H36" s="1">
        <f t="shared" si="1"/>
        <v>1054.3874791434123</v>
      </c>
      <c r="I36" s="1">
        <v>0</v>
      </c>
      <c r="J36" s="1">
        <v>0</v>
      </c>
      <c r="K36" s="1">
        <f t="shared" si="11"/>
        <v>-133.28023533624759</v>
      </c>
      <c r="L36" s="1">
        <f t="shared" si="2"/>
        <v>133146.95510091132</v>
      </c>
      <c r="N36" s="1">
        <f t="shared" si="12"/>
        <v>13</v>
      </c>
      <c r="O36" s="2">
        <f t="shared" ref="O36:O99" si="20">O24+1</f>
        <v>1</v>
      </c>
      <c r="P36" s="2">
        <f t="shared" ref="P36:P99" si="21">P24</f>
        <v>1</v>
      </c>
      <c r="Q36" s="2">
        <f t="shared" ref="Q36:Q99" si="22">Q24+1</f>
        <v>1</v>
      </c>
      <c r="R36" s="1">
        <f t="shared" si="14"/>
        <v>0</v>
      </c>
      <c r="S36" s="1">
        <f>IF(G4="Anual",G36,0)</f>
        <v>0</v>
      </c>
      <c r="U36" s="1">
        <f t="shared" ref="U36:U99" si="23">SUM(R36:T36)*$G$8</f>
        <v>0</v>
      </c>
      <c r="V36" s="1">
        <v>0</v>
      </c>
      <c r="X36" s="1">
        <f t="shared" si="4"/>
        <v>0</v>
      </c>
      <c r="Y36" s="1">
        <f t="shared" si="5"/>
        <v>0</v>
      </c>
      <c r="AA36" s="2">
        <f>+Bono!J36</f>
        <v>122890.47602565565</v>
      </c>
      <c r="AC36" s="10">
        <f t="shared" si="6"/>
        <v>1.0833333333333333</v>
      </c>
      <c r="AD36" s="1">
        <f t="shared" si="7"/>
        <v>256037.43112656695</v>
      </c>
      <c r="AG36" s="1">
        <f t="shared" si="15"/>
        <v>12</v>
      </c>
      <c r="AH36" s="1">
        <f t="shared" si="16"/>
        <v>120000</v>
      </c>
      <c r="AK36" s="528" t="s">
        <v>109</v>
      </c>
      <c r="AL36" s="528"/>
      <c r="AM36" s="528"/>
      <c r="AN36" s="528"/>
      <c r="AO36" s="528"/>
      <c r="AP36" s="528"/>
      <c r="AQ36" s="528"/>
      <c r="AR36" s="528"/>
      <c r="AS36" s="528"/>
      <c r="AT36" s="528"/>
      <c r="AU36" s="528"/>
      <c r="AV36" s="528"/>
      <c r="AW36" s="528"/>
      <c r="AX36" s="528"/>
      <c r="AY36" s="528"/>
      <c r="AZ36" s="528"/>
      <c r="BA36" s="528"/>
    </row>
    <row r="37" spans="2:53">
      <c r="B37" s="1">
        <f t="shared" si="8"/>
        <v>14</v>
      </c>
      <c r="C37" s="2">
        <f t="shared" si="17"/>
        <v>1</v>
      </c>
      <c r="D37" s="2">
        <f t="shared" si="18"/>
        <v>2</v>
      </c>
      <c r="E37" s="2">
        <f t="shared" si="19"/>
        <v>30</v>
      </c>
      <c r="F37" s="1">
        <f t="shared" si="10"/>
        <v>133146.95510091132</v>
      </c>
      <c r="G37" s="1">
        <f>+IF($G$4="mensual",G36,0)</f>
        <v>10000</v>
      </c>
      <c r="H37" s="1">
        <f t="shared" si="1"/>
        <v>1141.473921944649</v>
      </c>
      <c r="I37" s="1">
        <v>0</v>
      </c>
      <c r="J37" s="1">
        <v>0</v>
      </c>
      <c r="K37" s="1">
        <f t="shared" si="11"/>
        <v>-144.28842902285598</v>
      </c>
      <c r="L37" s="1">
        <f t="shared" si="2"/>
        <v>144144.14059383312</v>
      </c>
      <c r="N37" s="1">
        <f t="shared" si="12"/>
        <v>14</v>
      </c>
      <c r="O37" s="2">
        <f t="shared" si="20"/>
        <v>1</v>
      </c>
      <c r="P37" s="2">
        <f t="shared" si="21"/>
        <v>2</v>
      </c>
      <c r="Q37" s="2">
        <f t="shared" si="22"/>
        <v>1</v>
      </c>
      <c r="R37" s="1">
        <f t="shared" si="14"/>
        <v>0</v>
      </c>
      <c r="U37" s="1">
        <f t="shared" si="23"/>
        <v>0</v>
      </c>
      <c r="V37" s="1">
        <v>0</v>
      </c>
      <c r="X37" s="1">
        <f t="shared" si="4"/>
        <v>0</v>
      </c>
      <c r="Y37" s="1">
        <f t="shared" si="5"/>
        <v>0</v>
      </c>
      <c r="AA37" s="2">
        <f>+Bono!J37</f>
        <v>123652.41123142766</v>
      </c>
      <c r="AC37" s="10">
        <f t="shared" si="6"/>
        <v>1.1666666666666667</v>
      </c>
      <c r="AD37" s="1">
        <f t="shared" si="7"/>
        <v>267796.55182526074</v>
      </c>
      <c r="AG37" s="1">
        <f t="shared" si="15"/>
        <v>13</v>
      </c>
      <c r="AH37" s="1">
        <f t="shared" si="16"/>
        <v>120000</v>
      </c>
      <c r="AK37" s="528"/>
      <c r="AL37" s="528"/>
      <c r="AM37" s="528"/>
      <c r="AN37" s="528"/>
      <c r="AO37" s="528"/>
      <c r="AP37" s="528"/>
      <c r="AQ37" s="528"/>
      <c r="AR37" s="528"/>
      <c r="AS37" s="528"/>
      <c r="AT37" s="528"/>
      <c r="AU37" s="528"/>
      <c r="AV37" s="528"/>
      <c r="AW37" s="528"/>
      <c r="AX37" s="528"/>
      <c r="AY37" s="528"/>
      <c r="AZ37" s="528"/>
      <c r="BA37" s="528"/>
    </row>
    <row r="38" spans="2:53">
      <c r="B38" s="1">
        <f t="shared" si="8"/>
        <v>15</v>
      </c>
      <c r="C38" s="2">
        <f t="shared" si="17"/>
        <v>1</v>
      </c>
      <c r="D38" s="2">
        <f t="shared" si="18"/>
        <v>3</v>
      </c>
      <c r="E38" s="2">
        <f t="shared" si="19"/>
        <v>30</v>
      </c>
      <c r="F38" s="1">
        <f t="shared" si="10"/>
        <v>144144.14059383312</v>
      </c>
      <c r="G38" s="1">
        <f>+G37</f>
        <v>10000</v>
      </c>
      <c r="H38" s="1">
        <f t="shared" si="1"/>
        <v>1229.1670233879106</v>
      </c>
      <c r="I38" s="1">
        <v>0</v>
      </c>
      <c r="J38" s="69">
        <f>-SUM(F38:H38)*$J$21</f>
        <v>-1398.3597685549894</v>
      </c>
      <c r="K38" s="1">
        <f t="shared" si="11"/>
        <v>-153.97494784866606</v>
      </c>
      <c r="L38" s="1">
        <f t="shared" si="2"/>
        <v>153820.97290081737</v>
      </c>
      <c r="N38" s="1">
        <f t="shared" si="12"/>
        <v>15</v>
      </c>
      <c r="O38" s="2">
        <f t="shared" si="20"/>
        <v>1</v>
      </c>
      <c r="P38" s="2">
        <f t="shared" si="21"/>
        <v>3</v>
      </c>
      <c r="Q38" s="2">
        <f t="shared" si="22"/>
        <v>1</v>
      </c>
      <c r="R38" s="1">
        <f t="shared" si="14"/>
        <v>0</v>
      </c>
      <c r="U38" s="1">
        <f t="shared" si="23"/>
        <v>0</v>
      </c>
      <c r="V38" s="1">
        <v>0</v>
      </c>
      <c r="X38" s="1">
        <f t="shared" si="4"/>
        <v>0</v>
      </c>
      <c r="Y38" s="1">
        <f t="shared" si="5"/>
        <v>0</v>
      </c>
      <c r="AA38" s="2">
        <f>+Bono!J38</f>
        <v>123298.17799661253</v>
      </c>
      <c r="AC38" s="10">
        <f t="shared" si="6"/>
        <v>1.25</v>
      </c>
      <c r="AD38" s="1">
        <f t="shared" si="7"/>
        <v>277119.15089742991</v>
      </c>
      <c r="AG38" s="1">
        <f t="shared" si="15"/>
        <v>14</v>
      </c>
      <c r="AH38" s="1">
        <f t="shared" si="16"/>
        <v>120000</v>
      </c>
      <c r="AK38" s="528"/>
      <c r="AL38" s="528"/>
      <c r="AM38" s="528"/>
      <c r="AN38" s="528"/>
      <c r="AO38" s="528"/>
      <c r="AP38" s="528"/>
      <c r="AQ38" s="528"/>
      <c r="AR38" s="528"/>
      <c r="AS38" s="528"/>
      <c r="AT38" s="528"/>
      <c r="AU38" s="528"/>
      <c r="AV38" s="528"/>
      <c r="AW38" s="528"/>
      <c r="AX38" s="528"/>
      <c r="AY38" s="528"/>
      <c r="AZ38" s="528"/>
      <c r="BA38" s="528"/>
    </row>
    <row r="39" spans="2:53">
      <c r="B39" s="1">
        <f t="shared" si="8"/>
        <v>16</v>
      </c>
      <c r="C39" s="2">
        <f t="shared" si="17"/>
        <v>1</v>
      </c>
      <c r="D39" s="2">
        <f t="shared" si="18"/>
        <v>4</v>
      </c>
      <c r="E39" s="2">
        <f t="shared" si="19"/>
        <v>30</v>
      </c>
      <c r="F39" s="1">
        <f t="shared" si="10"/>
        <v>153820.97290081737</v>
      </c>
      <c r="G39" s="1">
        <f>IF($G$4="mensual",G36,IF($G$4="trimestral",G36,0))</f>
        <v>10000</v>
      </c>
      <c r="H39" s="1">
        <f t="shared" si="1"/>
        <v>1306.3314431107558</v>
      </c>
      <c r="I39" s="1">
        <v>0</v>
      </c>
      <c r="J39" s="1">
        <v>0</v>
      </c>
      <c r="K39" s="1">
        <f t="shared" si="11"/>
        <v>-165.12730434392813</v>
      </c>
      <c r="L39" s="1">
        <f t="shared" si="2"/>
        <v>164962.1770395842</v>
      </c>
      <c r="N39" s="1">
        <f t="shared" si="12"/>
        <v>16</v>
      </c>
      <c r="O39" s="2">
        <f t="shared" si="20"/>
        <v>1</v>
      </c>
      <c r="P39" s="2">
        <f t="shared" si="21"/>
        <v>4</v>
      </c>
      <c r="Q39" s="2">
        <f t="shared" si="22"/>
        <v>1</v>
      </c>
      <c r="R39" s="1">
        <f t="shared" si="14"/>
        <v>0</v>
      </c>
      <c r="U39" s="1">
        <f t="shared" si="23"/>
        <v>0</v>
      </c>
      <c r="V39" s="1">
        <v>0</v>
      </c>
      <c r="X39" s="1">
        <f t="shared" si="4"/>
        <v>0</v>
      </c>
      <c r="Y39" s="1">
        <f t="shared" si="5"/>
        <v>0</v>
      </c>
      <c r="AA39" s="2">
        <f>+Bono!J39</f>
        <v>124062.64100189497</v>
      </c>
      <c r="AC39" s="10">
        <f t="shared" si="6"/>
        <v>1.3333333333333333</v>
      </c>
      <c r="AD39" s="1">
        <f t="shared" si="7"/>
        <v>289024.81804147916</v>
      </c>
      <c r="AG39" s="1">
        <f t="shared" si="15"/>
        <v>15</v>
      </c>
      <c r="AH39" s="1">
        <f t="shared" si="16"/>
        <v>120000</v>
      </c>
      <c r="AK39" s="528"/>
      <c r="AL39" s="528"/>
      <c r="AM39" s="528"/>
      <c r="AN39" s="528"/>
      <c r="AO39" s="528"/>
      <c r="AP39" s="528"/>
      <c r="AQ39" s="528"/>
      <c r="AR39" s="528"/>
      <c r="AS39" s="528"/>
      <c r="AT39" s="528"/>
      <c r="AU39" s="528"/>
      <c r="AV39" s="528"/>
      <c r="AW39" s="528"/>
      <c r="AX39" s="528"/>
      <c r="AY39" s="528"/>
      <c r="AZ39" s="528"/>
      <c r="BA39" s="528"/>
    </row>
    <row r="40" spans="2:53">
      <c r="B40" s="1">
        <f t="shared" si="8"/>
        <v>17</v>
      </c>
      <c r="C40" s="2">
        <f t="shared" si="17"/>
        <v>1</v>
      </c>
      <c r="D40" s="2">
        <f t="shared" si="18"/>
        <v>5</v>
      </c>
      <c r="E40" s="2">
        <f t="shared" si="19"/>
        <v>30</v>
      </c>
      <c r="F40" s="1">
        <f t="shared" si="10"/>
        <v>164962.1770395842</v>
      </c>
      <c r="G40" s="1">
        <f>+IF($G$4="mensual",G39,0)</f>
        <v>10000</v>
      </c>
      <c r="H40" s="1">
        <f t="shared" si="1"/>
        <v>1395.1729694603664</v>
      </c>
      <c r="I40" s="1">
        <v>0</v>
      </c>
      <c r="J40" s="1">
        <v>0</v>
      </c>
      <c r="K40" s="1">
        <f t="shared" si="11"/>
        <v>-176.35735000904458</v>
      </c>
      <c r="L40" s="1">
        <f t="shared" si="2"/>
        <v>176180.99265903552</v>
      </c>
      <c r="N40" s="1">
        <f t="shared" si="12"/>
        <v>17</v>
      </c>
      <c r="O40" s="2">
        <f t="shared" si="20"/>
        <v>1</v>
      </c>
      <c r="P40" s="2">
        <f t="shared" si="21"/>
        <v>5</v>
      </c>
      <c r="Q40" s="2">
        <f t="shared" si="22"/>
        <v>1</v>
      </c>
      <c r="R40" s="1">
        <f t="shared" si="14"/>
        <v>0</v>
      </c>
      <c r="U40" s="1">
        <f t="shared" si="23"/>
        <v>0</v>
      </c>
      <c r="V40" s="1">
        <v>0</v>
      </c>
      <c r="X40" s="1">
        <f t="shared" si="4"/>
        <v>0</v>
      </c>
      <c r="Y40" s="1">
        <f t="shared" si="5"/>
        <v>0</v>
      </c>
      <c r="AA40" s="2">
        <f>+Bono!J40</f>
        <v>124831.84376648239</v>
      </c>
      <c r="AC40" s="10">
        <f t="shared" si="6"/>
        <v>1.4166666666666667</v>
      </c>
      <c r="AD40" s="1">
        <f t="shared" si="7"/>
        <v>301012.83642551792</v>
      </c>
      <c r="AG40" s="1">
        <f t="shared" si="15"/>
        <v>16</v>
      </c>
      <c r="AH40" s="1">
        <f t="shared" si="16"/>
        <v>120000</v>
      </c>
    </row>
    <row r="41" spans="2:53">
      <c r="B41" s="1">
        <f t="shared" si="8"/>
        <v>18</v>
      </c>
      <c r="C41" s="2">
        <f t="shared" si="17"/>
        <v>1</v>
      </c>
      <c r="D41" s="2">
        <f t="shared" si="18"/>
        <v>6</v>
      </c>
      <c r="E41" s="2">
        <f t="shared" si="19"/>
        <v>30</v>
      </c>
      <c r="F41" s="1">
        <f t="shared" si="10"/>
        <v>176180.99265903552</v>
      </c>
      <c r="G41" s="1">
        <f>+G40</f>
        <v>10000</v>
      </c>
      <c r="H41" s="1">
        <f t="shared" si="1"/>
        <v>1484.63338065585</v>
      </c>
      <c r="I41" s="1">
        <v>0</v>
      </c>
      <c r="J41" s="69">
        <f>-SUM(F41:H41)*$J$21</f>
        <v>-1688.9906343572225</v>
      </c>
      <c r="K41" s="1">
        <f t="shared" si="11"/>
        <v>-185.97663540533412</v>
      </c>
      <c r="L41" s="1">
        <f t="shared" si="2"/>
        <v>185790.65876992879</v>
      </c>
      <c r="N41" s="1">
        <f t="shared" si="12"/>
        <v>18</v>
      </c>
      <c r="O41" s="2">
        <f t="shared" si="20"/>
        <v>1</v>
      </c>
      <c r="P41" s="2">
        <f t="shared" si="21"/>
        <v>6</v>
      </c>
      <c r="Q41" s="2">
        <f t="shared" si="22"/>
        <v>1</v>
      </c>
      <c r="R41" s="1">
        <f t="shared" si="14"/>
        <v>0</v>
      </c>
      <c r="S41" s="1">
        <v>0</v>
      </c>
      <c r="U41" s="1">
        <f t="shared" si="23"/>
        <v>0</v>
      </c>
      <c r="V41" s="1">
        <v>0</v>
      </c>
      <c r="X41" s="1">
        <f t="shared" si="4"/>
        <v>0</v>
      </c>
      <c r="Y41" s="1">
        <f t="shared" si="5"/>
        <v>0</v>
      </c>
      <c r="AA41" s="2">
        <f>+Bono!J41</f>
        <v>124474.23175241033</v>
      </c>
      <c r="AC41" s="10">
        <f t="shared" si="6"/>
        <v>1.5</v>
      </c>
      <c r="AD41" s="1">
        <f t="shared" si="7"/>
        <v>310264.89052233915</v>
      </c>
      <c r="AG41" s="1">
        <f t="shared" si="15"/>
        <v>17</v>
      </c>
      <c r="AH41" s="1">
        <f t="shared" si="16"/>
        <v>120000</v>
      </c>
    </row>
    <row r="42" spans="2:53">
      <c r="B42" s="1">
        <f t="shared" si="8"/>
        <v>19</v>
      </c>
      <c r="C42" s="2">
        <f t="shared" si="17"/>
        <v>1</v>
      </c>
      <c r="D42" s="2">
        <f t="shared" si="18"/>
        <v>7</v>
      </c>
      <c r="E42" s="2">
        <f t="shared" si="19"/>
        <v>30</v>
      </c>
      <c r="F42" s="1">
        <f t="shared" si="10"/>
        <v>185790.65876992879</v>
      </c>
      <c r="H42" s="1">
        <f t="shared" si="1"/>
        <v>1481.5208034099528</v>
      </c>
      <c r="I42" s="1">
        <v>0</v>
      </c>
      <c r="J42" s="1">
        <v>0</v>
      </c>
      <c r="K42" s="1">
        <f t="shared" si="11"/>
        <v>-187.27217957333875</v>
      </c>
      <c r="L42" s="1">
        <f t="shared" si="2"/>
        <v>187084.9073937654</v>
      </c>
      <c r="N42" s="1">
        <f t="shared" si="12"/>
        <v>19</v>
      </c>
      <c r="O42" s="2">
        <f t="shared" si="20"/>
        <v>1</v>
      </c>
      <c r="P42" s="2">
        <f t="shared" si="21"/>
        <v>7</v>
      </c>
      <c r="Q42" s="2">
        <f t="shared" si="22"/>
        <v>1</v>
      </c>
      <c r="R42" s="1">
        <f t="shared" si="14"/>
        <v>0</v>
      </c>
      <c r="S42" s="1">
        <f>+IF($G$4="mensual",G36,IF($G$4="trimestral",G36,IF(G4="semestral",G36,0)))</f>
        <v>10000</v>
      </c>
      <c r="U42" s="1">
        <f t="shared" si="23"/>
        <v>79.741404289037646</v>
      </c>
      <c r="V42" s="1">
        <f>-15*G19*(1+$G$18)</f>
        <v>-79.248000000000005</v>
      </c>
      <c r="X42" s="1">
        <f t="shared" si="4"/>
        <v>-10.079741404289038</v>
      </c>
      <c r="Y42" s="1">
        <f t="shared" si="5"/>
        <v>9990.41366288475</v>
      </c>
      <c r="AA42" s="2">
        <f>+Bono!J42</f>
        <v>125245.9864273925</v>
      </c>
      <c r="AC42" s="10">
        <f t="shared" si="6"/>
        <v>1.5833333333333333</v>
      </c>
      <c r="AD42" s="1">
        <f t="shared" si="7"/>
        <v>322321.30748404266</v>
      </c>
      <c r="AG42" s="1">
        <f t="shared" si="15"/>
        <v>18</v>
      </c>
      <c r="AH42" s="1">
        <f t="shared" si="16"/>
        <v>120000</v>
      </c>
    </row>
    <row r="43" spans="2:53">
      <c r="B43" s="1">
        <f t="shared" si="8"/>
        <v>20</v>
      </c>
      <c r="C43" s="2">
        <f t="shared" si="17"/>
        <v>1</v>
      </c>
      <c r="D43" s="2">
        <f t="shared" si="18"/>
        <v>8</v>
      </c>
      <c r="E43" s="2">
        <f t="shared" si="19"/>
        <v>30</v>
      </c>
      <c r="F43" s="1">
        <f t="shared" si="10"/>
        <v>187084.9073937654</v>
      </c>
      <c r="H43" s="1">
        <f t="shared" si="1"/>
        <v>1491.8413236863414</v>
      </c>
      <c r="I43" s="1">
        <v>0</v>
      </c>
      <c r="J43" s="1">
        <v>0</v>
      </c>
      <c r="K43" s="1">
        <f t="shared" si="11"/>
        <v>-188.57674871745172</v>
      </c>
      <c r="L43" s="1">
        <f t="shared" si="2"/>
        <v>188388.17196873427</v>
      </c>
      <c r="N43" s="1">
        <f t="shared" si="12"/>
        <v>20</v>
      </c>
      <c r="O43" s="2">
        <f t="shared" si="20"/>
        <v>1</v>
      </c>
      <c r="P43" s="2">
        <f t="shared" si="21"/>
        <v>8</v>
      </c>
      <c r="Q43" s="2">
        <f t="shared" si="22"/>
        <v>1</v>
      </c>
      <c r="R43" s="1">
        <f t="shared" si="14"/>
        <v>9990.41366288475</v>
      </c>
      <c r="S43" s="4">
        <f>IF($G$4="mensual",G36,0)</f>
        <v>10000</v>
      </c>
      <c r="U43" s="1">
        <f t="shared" si="23"/>
        <v>159.40636577971947</v>
      </c>
      <c r="V43" s="1">
        <f>V42</f>
        <v>-79.248000000000005</v>
      </c>
      <c r="X43" s="1">
        <f t="shared" si="4"/>
        <v>-20.149820028664468</v>
      </c>
      <c r="Y43" s="1">
        <f t="shared" si="5"/>
        <v>20050.422208635802</v>
      </c>
      <c r="AA43" s="2">
        <f>+Bono!J43</f>
        <v>126022.52607087757</v>
      </c>
      <c r="AC43" s="10">
        <f t="shared" si="6"/>
        <v>1.6666666666666667</v>
      </c>
      <c r="AD43" s="1">
        <f t="shared" si="7"/>
        <v>334461.12024824764</v>
      </c>
      <c r="AG43" s="1">
        <f t="shared" si="15"/>
        <v>19</v>
      </c>
      <c r="AH43" s="1">
        <f t="shared" si="16"/>
        <v>120000</v>
      </c>
    </row>
    <row r="44" spans="2:53">
      <c r="B44" s="1">
        <f t="shared" si="8"/>
        <v>21</v>
      </c>
      <c r="C44" s="2">
        <f t="shared" si="17"/>
        <v>1</v>
      </c>
      <c r="D44" s="2">
        <f t="shared" si="18"/>
        <v>9</v>
      </c>
      <c r="E44" s="2">
        <f t="shared" si="19"/>
        <v>30</v>
      </c>
      <c r="F44" s="1">
        <f t="shared" si="10"/>
        <v>188388.17196873427</v>
      </c>
      <c r="H44" s="1">
        <f t="shared" si="1"/>
        <v>1502.2337384231589</v>
      </c>
      <c r="I44" s="1">
        <v>0</v>
      </c>
      <c r="J44" s="69">
        <f>-SUM(F44:H44)*$J$21</f>
        <v>-1709.013651364417</v>
      </c>
      <c r="K44" s="1">
        <f t="shared" si="11"/>
        <v>-188.181392055793</v>
      </c>
      <c r="L44" s="1">
        <f t="shared" si="2"/>
        <v>187993.21066373721</v>
      </c>
      <c r="N44" s="1">
        <f t="shared" si="12"/>
        <v>21</v>
      </c>
      <c r="O44" s="2">
        <f t="shared" si="20"/>
        <v>1</v>
      </c>
      <c r="P44" s="2">
        <f t="shared" si="21"/>
        <v>9</v>
      </c>
      <c r="Q44" s="2">
        <f t="shared" si="22"/>
        <v>1</v>
      </c>
      <c r="R44" s="1">
        <f t="shared" si="14"/>
        <v>20050.422208635802</v>
      </c>
      <c r="S44" s="4">
        <f>IF($G$4="mensual",G36,0)</f>
        <v>10000</v>
      </c>
      <c r="U44" s="1">
        <f t="shared" si="23"/>
        <v>239.62628663951031</v>
      </c>
      <c r="V44" s="1">
        <f>V43</f>
        <v>-79.248000000000005</v>
      </c>
      <c r="X44" s="1">
        <f t="shared" si="4"/>
        <v>-30.290048495275315</v>
      </c>
      <c r="Y44" s="1">
        <f t="shared" si="5"/>
        <v>30180.510446780037</v>
      </c>
      <c r="AA44" s="2">
        <f>+Bono!J44</f>
        <v>125661.50304977279</v>
      </c>
      <c r="AC44" s="10">
        <f t="shared" si="6"/>
        <v>1.75</v>
      </c>
      <c r="AD44" s="1">
        <f t="shared" si="7"/>
        <v>343835.22416029003</v>
      </c>
      <c r="AG44" s="1">
        <f t="shared" si="15"/>
        <v>20</v>
      </c>
      <c r="AH44" s="1">
        <f t="shared" si="16"/>
        <v>120000</v>
      </c>
    </row>
    <row r="45" spans="2:53">
      <c r="B45" s="1">
        <f t="shared" si="8"/>
        <v>22</v>
      </c>
      <c r="C45" s="2">
        <f t="shared" si="17"/>
        <v>1</v>
      </c>
      <c r="D45" s="2">
        <f t="shared" si="18"/>
        <v>10</v>
      </c>
      <c r="E45" s="2">
        <f t="shared" si="19"/>
        <v>30</v>
      </c>
      <c r="F45" s="1">
        <f t="shared" si="10"/>
        <v>187993.21066373721</v>
      </c>
      <c r="H45" s="1">
        <f t="shared" si="1"/>
        <v>1499.0842615131291</v>
      </c>
      <c r="I45" s="1">
        <v>0</v>
      </c>
      <c r="J45" s="1">
        <v>0</v>
      </c>
      <c r="K45" s="1">
        <f t="shared" si="11"/>
        <v>-189.49229492525035</v>
      </c>
      <c r="L45" s="1">
        <f t="shared" si="2"/>
        <v>189302.80263032511</v>
      </c>
      <c r="N45" s="1">
        <f t="shared" si="12"/>
        <v>22</v>
      </c>
      <c r="O45" s="2">
        <f t="shared" si="20"/>
        <v>1</v>
      </c>
      <c r="P45" s="2">
        <f t="shared" si="21"/>
        <v>10</v>
      </c>
      <c r="Q45" s="2">
        <f t="shared" si="22"/>
        <v>1</v>
      </c>
      <c r="R45" s="1">
        <f t="shared" si="14"/>
        <v>30180.510446780037</v>
      </c>
      <c r="S45" s="4">
        <f>IF($G$4="mensual",G36,IF($G$4="trimestral",G36,0))</f>
        <v>10000</v>
      </c>
      <c r="U45" s="1">
        <f t="shared" si="23"/>
        <v>320.40503280765876</v>
      </c>
      <c r="V45" s="1">
        <f>V44</f>
        <v>-79.248000000000005</v>
      </c>
      <c r="X45" s="1">
        <f t="shared" si="4"/>
        <v>-40.500915479587697</v>
      </c>
      <c r="Y45" s="1">
        <f t="shared" si="5"/>
        <v>40381.166564108113</v>
      </c>
      <c r="AA45" s="2">
        <f>+Bono!J45</f>
        <v>126440.61894451355</v>
      </c>
      <c r="AC45" s="10">
        <f t="shared" si="6"/>
        <v>1.8333333333333333</v>
      </c>
      <c r="AD45" s="1">
        <f t="shared" si="7"/>
        <v>356124.5881389468</v>
      </c>
      <c r="AG45" s="1">
        <f t="shared" si="15"/>
        <v>21</v>
      </c>
      <c r="AH45" s="1">
        <f t="shared" si="16"/>
        <v>120000</v>
      </c>
    </row>
    <row r="46" spans="2:53">
      <c r="B46" s="1">
        <f t="shared" si="8"/>
        <v>23</v>
      </c>
      <c r="C46" s="2">
        <f t="shared" si="17"/>
        <v>1</v>
      </c>
      <c r="D46" s="2">
        <f t="shared" si="18"/>
        <v>11</v>
      </c>
      <c r="E46" s="2">
        <f t="shared" si="19"/>
        <v>30</v>
      </c>
      <c r="F46" s="1">
        <f t="shared" si="10"/>
        <v>189302.80263032511</v>
      </c>
      <c r="H46" s="1">
        <f t="shared" si="1"/>
        <v>1509.5271317592653</v>
      </c>
      <c r="I46" s="1">
        <v>0</v>
      </c>
      <c r="J46" s="1">
        <v>0</v>
      </c>
      <c r="K46" s="1">
        <f t="shared" si="11"/>
        <v>-190.81232976208437</v>
      </c>
      <c r="L46" s="1">
        <f t="shared" si="2"/>
        <v>190621.51743232229</v>
      </c>
      <c r="N46" s="1">
        <f t="shared" si="12"/>
        <v>23</v>
      </c>
      <c r="O46" s="2">
        <f t="shared" si="20"/>
        <v>1</v>
      </c>
      <c r="P46" s="2">
        <f t="shared" si="21"/>
        <v>11</v>
      </c>
      <c r="Q46" s="2">
        <f t="shared" si="22"/>
        <v>1</v>
      </c>
      <c r="R46" s="1">
        <f t="shared" si="14"/>
        <v>40381.166564108113</v>
      </c>
      <c r="S46" s="4">
        <f>IF($G$4="mensual",G36,0)</f>
        <v>10000</v>
      </c>
      <c r="U46" s="1">
        <f t="shared" si="23"/>
        <v>401.74649715418906</v>
      </c>
      <c r="V46" s="1">
        <f>V45</f>
        <v>-79.248000000000005</v>
      </c>
      <c r="X46" s="1">
        <f t="shared" si="4"/>
        <v>-50.782913061262306</v>
      </c>
      <c r="Y46" s="1">
        <f t="shared" si="5"/>
        <v>50652.882148201046</v>
      </c>
      <c r="AA46" s="2">
        <f>+Bono!J46</f>
        <v>127224.56544817357</v>
      </c>
      <c r="AC46" s="10">
        <f t="shared" si="6"/>
        <v>1.9166666666666667</v>
      </c>
      <c r="AD46" s="1">
        <f t="shared" si="7"/>
        <v>368498.96502869693</v>
      </c>
      <c r="AG46" s="1">
        <f t="shared" si="15"/>
        <v>22</v>
      </c>
      <c r="AH46" s="1">
        <f t="shared" si="16"/>
        <v>120000</v>
      </c>
    </row>
    <row r="47" spans="2:53">
      <c r="B47" s="1">
        <f t="shared" si="8"/>
        <v>24</v>
      </c>
      <c r="C47" s="2">
        <f t="shared" si="17"/>
        <v>1</v>
      </c>
      <c r="D47" s="2">
        <f t="shared" si="18"/>
        <v>12</v>
      </c>
      <c r="E47" s="2">
        <f t="shared" si="19"/>
        <v>30</v>
      </c>
      <c r="F47" s="1">
        <f t="shared" si="10"/>
        <v>190621.51743232229</v>
      </c>
      <c r="H47" s="1">
        <f t="shared" si="1"/>
        <v>1520.0427487760649</v>
      </c>
      <c r="I47" s="1">
        <v>0</v>
      </c>
      <c r="J47" s="69">
        <f>-SUM(F47:H47)*$J$21</f>
        <v>-1729.2740416298855</v>
      </c>
      <c r="K47" s="1">
        <f t="shared" si="11"/>
        <v>-190.41228613946845</v>
      </c>
      <c r="L47" s="1">
        <f t="shared" si="2"/>
        <v>190221.87385332899</v>
      </c>
      <c r="N47" s="1">
        <f t="shared" si="12"/>
        <v>24</v>
      </c>
      <c r="O47" s="2">
        <f t="shared" si="20"/>
        <v>1</v>
      </c>
      <c r="P47" s="2">
        <f t="shared" si="21"/>
        <v>12</v>
      </c>
      <c r="Q47" s="2">
        <f t="shared" si="22"/>
        <v>1</v>
      </c>
      <c r="R47" s="1">
        <f t="shared" si="14"/>
        <v>50652.882148201046</v>
      </c>
      <c r="S47" s="4">
        <f>IF($G$4="mensual",G36,0)</f>
        <v>10000</v>
      </c>
      <c r="U47" s="1">
        <f t="shared" si="23"/>
        <v>483.65459966750535</v>
      </c>
      <c r="V47" s="1">
        <f>V46</f>
        <v>-79.248000000000005</v>
      </c>
      <c r="X47" s="1">
        <f t="shared" si="4"/>
        <v>-61.136536747868554</v>
      </c>
      <c r="Y47" s="1">
        <f t="shared" si="5"/>
        <v>60996.15221112068</v>
      </c>
      <c r="AA47" s="2">
        <f>+Bono!J47</f>
        <v>126860.09888486241</v>
      </c>
      <c r="AC47" s="10">
        <f t="shared" si="6"/>
        <v>2</v>
      </c>
      <c r="AD47" s="1">
        <f t="shared" si="7"/>
        <v>378078.12494931207</v>
      </c>
      <c r="AG47" s="1">
        <f t="shared" si="15"/>
        <v>23</v>
      </c>
      <c r="AH47" s="1">
        <f t="shared" si="16"/>
        <v>120000</v>
      </c>
    </row>
    <row r="48" spans="2:53">
      <c r="B48" s="1">
        <f t="shared" si="8"/>
        <v>25</v>
      </c>
      <c r="C48" s="2">
        <f t="shared" si="17"/>
        <v>2</v>
      </c>
      <c r="D48" s="2">
        <f t="shared" si="18"/>
        <v>1</v>
      </c>
      <c r="E48" s="2">
        <f t="shared" si="19"/>
        <v>31</v>
      </c>
      <c r="F48" s="1">
        <f t="shared" si="10"/>
        <v>190221.87385332899</v>
      </c>
      <c r="H48" s="1">
        <f t="shared" si="1"/>
        <v>1516.8559347556625</v>
      </c>
      <c r="I48" s="1">
        <v>0</v>
      </c>
      <c r="J48" s="1">
        <v>0</v>
      </c>
      <c r="K48" s="1">
        <f t="shared" si="11"/>
        <v>-191.73872978808467</v>
      </c>
      <c r="L48" s="1">
        <f t="shared" si="2"/>
        <v>191546.99105829658</v>
      </c>
      <c r="N48" s="1">
        <f t="shared" si="12"/>
        <v>25</v>
      </c>
      <c r="O48" s="2">
        <f t="shared" si="20"/>
        <v>2</v>
      </c>
      <c r="P48" s="2">
        <f t="shared" si="21"/>
        <v>1</v>
      </c>
      <c r="Q48" s="2">
        <f t="shared" si="22"/>
        <v>2</v>
      </c>
      <c r="R48" s="1">
        <f t="shared" si="14"/>
        <v>60996.15221112068</v>
      </c>
      <c r="S48" s="1">
        <f>IF(AND($G$17="si",$G$4="Anual"),G36*(1+$G$20)*2,IF(AND($G$17="no",$G$4="Anual"),G36*2,IF($G$17="si",G36*(1+$G$20),G36)))</f>
        <v>10000</v>
      </c>
      <c r="U48" s="1">
        <f t="shared" si="23"/>
        <v>566.13328764330276</v>
      </c>
      <c r="V48" s="1">
        <f>V47*(1+$G$18)</f>
        <v>-82.417920000000009</v>
      </c>
      <c r="X48" s="1">
        <f t="shared" si="4"/>
        <v>-71.56228549876397</v>
      </c>
      <c r="Y48" s="1">
        <f t="shared" si="5"/>
        <v>71408.305293265206</v>
      </c>
      <c r="AA48" s="2">
        <f>+Bono!J48</f>
        <v>127646.64621280924</v>
      </c>
      <c r="AC48" s="10">
        <f t="shared" si="6"/>
        <v>2.0833333333333335</v>
      </c>
      <c r="AD48" s="1">
        <f t="shared" si="7"/>
        <v>390601.94256437104</v>
      </c>
      <c r="AG48" s="1">
        <f t="shared" si="15"/>
        <v>24</v>
      </c>
      <c r="AH48" s="1">
        <f t="shared" si="16"/>
        <v>120000</v>
      </c>
    </row>
    <row r="49" spans="2:41">
      <c r="B49" s="1">
        <f t="shared" si="8"/>
        <v>26</v>
      </c>
      <c r="C49" s="2">
        <f t="shared" si="17"/>
        <v>2</v>
      </c>
      <c r="D49" s="2">
        <f t="shared" si="18"/>
        <v>2</v>
      </c>
      <c r="E49" s="2">
        <f t="shared" si="19"/>
        <v>31</v>
      </c>
      <c r="F49" s="1">
        <f t="shared" si="10"/>
        <v>191546.99105829658</v>
      </c>
      <c r="H49" s="1">
        <f t="shared" si="1"/>
        <v>1527.4226054328306</v>
      </c>
      <c r="I49" s="1">
        <v>0</v>
      </c>
      <c r="J49" s="1">
        <v>0</v>
      </c>
      <c r="K49" s="1">
        <f t="shared" si="11"/>
        <v>-193.07441366372942</v>
      </c>
      <c r="L49" s="1">
        <f t="shared" si="2"/>
        <v>192881.33925006568</v>
      </c>
      <c r="N49" s="1">
        <f t="shared" si="12"/>
        <v>26</v>
      </c>
      <c r="O49" s="2">
        <f t="shared" si="20"/>
        <v>2</v>
      </c>
      <c r="P49" s="2">
        <f t="shared" si="21"/>
        <v>2</v>
      </c>
      <c r="Q49" s="2">
        <f t="shared" si="22"/>
        <v>2</v>
      </c>
      <c r="R49" s="1">
        <f t="shared" si="14"/>
        <v>71408.305293265206</v>
      </c>
      <c r="S49" s="4">
        <f>IF($G$4="mensual",S48,0)</f>
        <v>10000</v>
      </c>
      <c r="U49" s="1">
        <f t="shared" si="23"/>
        <v>649.16125848756644</v>
      </c>
      <c r="V49" s="1">
        <f>V48</f>
        <v>-82.417920000000009</v>
      </c>
      <c r="X49" s="1">
        <f t="shared" si="4"/>
        <v>-82.057466551752782</v>
      </c>
      <c r="Y49" s="1">
        <f t="shared" si="5"/>
        <v>81892.99116520102</v>
      </c>
      <c r="AA49" s="2">
        <f>+Bono!J49</f>
        <v>128438.07022542319</v>
      </c>
      <c r="AC49" s="10">
        <f t="shared" si="6"/>
        <v>2.1666666666666665</v>
      </c>
      <c r="AD49" s="1">
        <f t="shared" si="7"/>
        <v>403212.40064068988</v>
      </c>
      <c r="AG49" s="1">
        <f t="shared" si="15"/>
        <v>25</v>
      </c>
      <c r="AH49" s="1">
        <f t="shared" si="16"/>
        <v>120000</v>
      </c>
    </row>
    <row r="50" spans="2:41">
      <c r="B50" s="1">
        <f t="shared" si="8"/>
        <v>27</v>
      </c>
      <c r="C50" s="2">
        <f t="shared" si="17"/>
        <v>2</v>
      </c>
      <c r="D50" s="2">
        <f t="shared" si="18"/>
        <v>3</v>
      </c>
      <c r="E50" s="2">
        <f t="shared" si="19"/>
        <v>31</v>
      </c>
      <c r="F50" s="1">
        <f t="shared" si="10"/>
        <v>192881.33925006568</v>
      </c>
      <c r="H50" s="1">
        <f t="shared" si="1"/>
        <v>1538.0628852950513</v>
      </c>
      <c r="I50" s="1">
        <v>0</v>
      </c>
      <c r="J50" s="69">
        <f>-SUM(F50:H50)*$J$21</f>
        <v>-1749.7746192182467</v>
      </c>
      <c r="K50" s="1">
        <f t="shared" si="11"/>
        <v>-192.66962751614247</v>
      </c>
      <c r="L50" s="1">
        <f t="shared" si="2"/>
        <v>192476.95788862632</v>
      </c>
      <c r="N50" s="1">
        <f t="shared" si="12"/>
        <v>27</v>
      </c>
      <c r="O50" s="2">
        <f t="shared" si="20"/>
        <v>2</v>
      </c>
      <c r="P50" s="2">
        <f t="shared" si="21"/>
        <v>3</v>
      </c>
      <c r="Q50" s="2">
        <f t="shared" si="22"/>
        <v>2</v>
      </c>
      <c r="R50" s="1">
        <f t="shared" si="14"/>
        <v>81892.99116520102</v>
      </c>
      <c r="S50" s="4">
        <f>IF($G$4="mensual",S49,0)</f>
        <v>10000</v>
      </c>
      <c r="U50" s="1">
        <f t="shared" si="23"/>
        <v>732.76761598332587</v>
      </c>
      <c r="V50" s="1">
        <f t="shared" ref="V50:V59" si="24">V49</f>
        <v>-82.417920000000009</v>
      </c>
      <c r="X50" s="1">
        <f t="shared" si="4"/>
        <v>-92.625758781184345</v>
      </c>
      <c r="Y50" s="1">
        <f t="shared" si="5"/>
        <v>92450.715102403148</v>
      </c>
      <c r="AA50" s="2">
        <f>+Bono!J50</f>
        <v>128070.12727440211</v>
      </c>
      <c r="AC50" s="10">
        <f t="shared" si="6"/>
        <v>2.25</v>
      </c>
      <c r="AD50" s="1">
        <f t="shared" si="7"/>
        <v>412997.80026543158</v>
      </c>
      <c r="AN50" s="8" t="s">
        <v>12</v>
      </c>
      <c r="AO50" s="8" t="s">
        <v>76</v>
      </c>
    </row>
    <row r="51" spans="2:41">
      <c r="B51" s="1">
        <f t="shared" si="8"/>
        <v>28</v>
      </c>
      <c r="C51" s="2">
        <f t="shared" si="17"/>
        <v>2</v>
      </c>
      <c r="D51" s="2">
        <f t="shared" si="18"/>
        <v>4</v>
      </c>
      <c r="E51" s="2">
        <f t="shared" si="19"/>
        <v>31</v>
      </c>
      <c r="F51" s="1">
        <f t="shared" si="10"/>
        <v>192476.95788862632</v>
      </c>
      <c r="H51" s="1">
        <f t="shared" si="1"/>
        <v>1534.8382915321024</v>
      </c>
      <c r="I51" s="1">
        <v>0</v>
      </c>
      <c r="J51" s="1">
        <v>0</v>
      </c>
      <c r="K51" s="1">
        <f t="shared" si="11"/>
        <v>-194.01179618015843</v>
      </c>
      <c r="L51" s="1">
        <f t="shared" si="2"/>
        <v>193817.78438397826</v>
      </c>
      <c r="N51" s="1">
        <f t="shared" si="12"/>
        <v>28</v>
      </c>
      <c r="O51" s="2">
        <f t="shared" si="20"/>
        <v>2</v>
      </c>
      <c r="P51" s="2">
        <f t="shared" si="21"/>
        <v>4</v>
      </c>
      <c r="Q51" s="2">
        <f t="shared" si="22"/>
        <v>2</v>
      </c>
      <c r="R51" s="1">
        <f t="shared" si="14"/>
        <v>92450.715102403148</v>
      </c>
      <c r="S51" s="4">
        <f>IF($G$4="mensual",S48,IF($G$4="trimestral",S48,0))</f>
        <v>10000</v>
      </c>
      <c r="U51" s="1">
        <f t="shared" si="23"/>
        <v>816.95638926817435</v>
      </c>
      <c r="V51" s="1">
        <f t="shared" si="24"/>
        <v>-82.417920000000009</v>
      </c>
      <c r="X51" s="1">
        <f t="shared" si="4"/>
        <v>-103.26767149167132</v>
      </c>
      <c r="Y51" s="1">
        <f t="shared" si="5"/>
        <v>103081.98590017964</v>
      </c>
      <c r="AA51" s="2">
        <f>+Bono!J51</f>
        <v>128864.1769187187</v>
      </c>
      <c r="AC51" s="10">
        <f t="shared" si="6"/>
        <v>2.3333333333333335</v>
      </c>
      <c r="AD51" s="1">
        <f t="shared" si="7"/>
        <v>425763.94720287656</v>
      </c>
      <c r="AN51" s="34" t="s">
        <v>26</v>
      </c>
      <c r="AO51" s="33">
        <v>0.06</v>
      </c>
    </row>
    <row r="52" spans="2:41">
      <c r="B52" s="1">
        <f t="shared" si="8"/>
        <v>29</v>
      </c>
      <c r="C52" s="2">
        <f t="shared" si="17"/>
        <v>2</v>
      </c>
      <c r="D52" s="2">
        <f t="shared" si="18"/>
        <v>5</v>
      </c>
      <c r="E52" s="2">
        <f t="shared" si="19"/>
        <v>31</v>
      </c>
      <c r="F52" s="1">
        <f t="shared" si="10"/>
        <v>193817.78438397826</v>
      </c>
      <c r="H52" s="1">
        <f t="shared" si="1"/>
        <v>1545.5302302968337</v>
      </c>
      <c r="I52" s="1">
        <v>0</v>
      </c>
      <c r="J52" s="1">
        <v>0</v>
      </c>
      <c r="K52" s="1">
        <f t="shared" si="11"/>
        <v>-195.36331461427508</v>
      </c>
      <c r="L52" s="1">
        <f t="shared" si="2"/>
        <v>195167.95129966081</v>
      </c>
      <c r="N52" s="1">
        <f t="shared" si="12"/>
        <v>29</v>
      </c>
      <c r="O52" s="2">
        <f t="shared" si="20"/>
        <v>2</v>
      </c>
      <c r="P52" s="2">
        <f t="shared" si="21"/>
        <v>5</v>
      </c>
      <c r="Q52" s="2">
        <f t="shared" si="22"/>
        <v>2</v>
      </c>
      <c r="R52" s="1">
        <f t="shared" si="14"/>
        <v>103081.98590017964</v>
      </c>
      <c r="S52" s="4">
        <f>IF($G$4="mensual",S51,0)</f>
        <v>10000</v>
      </c>
      <c r="U52" s="1">
        <f t="shared" si="23"/>
        <v>901.73163554734788</v>
      </c>
      <c r="V52" s="1">
        <f t="shared" si="24"/>
        <v>-82.417920000000009</v>
      </c>
      <c r="X52" s="1">
        <f t="shared" si="4"/>
        <v>-113.983717535727</v>
      </c>
      <c r="Y52" s="1">
        <f t="shared" si="5"/>
        <v>113787.31589819126</v>
      </c>
      <c r="AA52" s="2">
        <f>+Bono!J52</f>
        <v>129663.14976293412</v>
      </c>
      <c r="AC52" s="10">
        <f t="shared" si="6"/>
        <v>2.4166666666666665</v>
      </c>
      <c r="AD52" s="1">
        <f t="shared" si="7"/>
        <v>438618.41696078621</v>
      </c>
      <c r="AN52" s="34" t="s">
        <v>77</v>
      </c>
      <c r="AO52" s="33">
        <v>0.09</v>
      </c>
    </row>
    <row r="53" spans="2:41">
      <c r="B53" s="1">
        <f t="shared" si="8"/>
        <v>30</v>
      </c>
      <c r="C53" s="2">
        <f t="shared" si="17"/>
        <v>2</v>
      </c>
      <c r="D53" s="2">
        <f t="shared" si="18"/>
        <v>6</v>
      </c>
      <c r="E53" s="2">
        <f t="shared" si="19"/>
        <v>31</v>
      </c>
      <c r="F53" s="1">
        <f t="shared" si="10"/>
        <v>195167.95129966081</v>
      </c>
      <c r="H53" s="1">
        <f t="shared" si="1"/>
        <v>1556.2966508849463</v>
      </c>
      <c r="I53" s="1">
        <v>0</v>
      </c>
      <c r="J53" s="69">
        <f>-SUM(F53:H53)*$J$21</f>
        <v>-1770.5182315549118</v>
      </c>
      <c r="K53" s="1">
        <f t="shared" si="11"/>
        <v>-194.95372971899084</v>
      </c>
      <c r="L53" s="1">
        <f t="shared" si="2"/>
        <v>194758.77598927185</v>
      </c>
      <c r="N53" s="1">
        <f t="shared" si="12"/>
        <v>30</v>
      </c>
      <c r="O53" s="2">
        <f t="shared" si="20"/>
        <v>2</v>
      </c>
      <c r="P53" s="2">
        <f t="shared" si="21"/>
        <v>6</v>
      </c>
      <c r="Q53" s="2">
        <f t="shared" si="22"/>
        <v>2</v>
      </c>
      <c r="R53" s="1">
        <f t="shared" si="14"/>
        <v>113787.31589819126</v>
      </c>
      <c r="S53" s="4">
        <f>IF($G$4="mensual",S52,0)</f>
        <v>10000</v>
      </c>
      <c r="U53" s="1">
        <f t="shared" si="23"/>
        <v>987.09744028924854</v>
      </c>
      <c r="V53" s="1">
        <f t="shared" si="24"/>
        <v>-82.417920000000009</v>
      </c>
      <c r="X53" s="1">
        <f t="shared" si="4"/>
        <v>-124.7744133384805</v>
      </c>
      <c r="Y53" s="1">
        <f t="shared" si="5"/>
        <v>124567.22100514201</v>
      </c>
      <c r="AA53" s="2">
        <f>+Bono!J53</f>
        <v>129291.6972654096</v>
      </c>
      <c r="AC53" s="10">
        <f t="shared" si="6"/>
        <v>2.5</v>
      </c>
      <c r="AD53" s="1">
        <f t="shared" si="7"/>
        <v>448617.69425982342</v>
      </c>
      <c r="AN53" s="34" t="s">
        <v>29</v>
      </c>
      <c r="AO53" s="33">
        <v>0.12</v>
      </c>
    </row>
    <row r="54" spans="2:41">
      <c r="B54" s="1">
        <f t="shared" si="8"/>
        <v>31</v>
      </c>
      <c r="C54" s="2">
        <f t="shared" si="17"/>
        <v>2</v>
      </c>
      <c r="D54" s="2">
        <f t="shared" si="18"/>
        <v>7</v>
      </c>
      <c r="E54" s="2">
        <f t="shared" si="19"/>
        <v>31</v>
      </c>
      <c r="F54" s="1">
        <f t="shared" si="10"/>
        <v>194758.77598927185</v>
      </c>
      <c r="H54" s="1">
        <f t="shared" si="1"/>
        <v>1553.0338294998644</v>
      </c>
      <c r="I54" s="1">
        <v>0</v>
      </c>
      <c r="J54" s="1">
        <v>0</v>
      </c>
      <c r="K54" s="1">
        <f t="shared" si="11"/>
        <v>-196.31180981877171</v>
      </c>
      <c r="L54" s="1">
        <f t="shared" si="2"/>
        <v>196115.49800895291</v>
      </c>
      <c r="N54" s="1">
        <f t="shared" si="12"/>
        <v>31</v>
      </c>
      <c r="O54" s="2">
        <f t="shared" si="20"/>
        <v>2</v>
      </c>
      <c r="P54" s="2">
        <f t="shared" si="21"/>
        <v>7</v>
      </c>
      <c r="Q54" s="2">
        <f t="shared" si="22"/>
        <v>2</v>
      </c>
      <c r="R54" s="1">
        <f t="shared" si="14"/>
        <v>124567.22100514201</v>
      </c>
      <c r="S54" s="1">
        <f>+IF($G$4="mensual",S48,IF($G$4="trimestral",S48,IF($G$4="semestral",S48,0)))</f>
        <v>10000</v>
      </c>
      <c r="U54" s="1">
        <f t="shared" si="23"/>
        <v>1073.0579174223308</v>
      </c>
      <c r="V54" s="1">
        <f t="shared" si="24"/>
        <v>-82.417920000000009</v>
      </c>
      <c r="X54" s="1">
        <f t="shared" si="4"/>
        <v>-135.64027892256436</v>
      </c>
      <c r="Y54" s="1">
        <f t="shared" si="5"/>
        <v>135422.22072364177</v>
      </c>
      <c r="AA54" s="2">
        <f>+Bono!J54</f>
        <v>130093.32078536379</v>
      </c>
      <c r="AC54" s="10">
        <f t="shared" si="6"/>
        <v>2.5833333333333335</v>
      </c>
      <c r="AD54" s="1">
        <f t="shared" si="7"/>
        <v>461631.03951795853</v>
      </c>
      <c r="AN54" s="34" t="s">
        <v>27</v>
      </c>
      <c r="AO54" s="33">
        <v>0.03</v>
      </c>
    </row>
    <row r="55" spans="2:41">
      <c r="B55" s="1">
        <f t="shared" si="8"/>
        <v>32</v>
      </c>
      <c r="C55" s="2">
        <f t="shared" si="17"/>
        <v>2</v>
      </c>
      <c r="D55" s="2">
        <f t="shared" si="18"/>
        <v>8</v>
      </c>
      <c r="E55" s="2">
        <f t="shared" si="19"/>
        <v>31</v>
      </c>
      <c r="F55" s="1">
        <f t="shared" si="10"/>
        <v>196115.49800895291</v>
      </c>
      <c r="H55" s="1">
        <f t="shared" si="1"/>
        <v>1563.8525214077872</v>
      </c>
      <c r="I55" s="1">
        <v>0</v>
      </c>
      <c r="J55" s="1">
        <v>0</v>
      </c>
      <c r="K55" s="1">
        <f t="shared" si="11"/>
        <v>-197.67935053036072</v>
      </c>
      <c r="L55" s="1">
        <f t="shared" si="2"/>
        <v>197481.67117983036</v>
      </c>
      <c r="N55" s="1">
        <f t="shared" si="12"/>
        <v>32</v>
      </c>
      <c r="O55" s="2">
        <f t="shared" si="20"/>
        <v>2</v>
      </c>
      <c r="P55" s="2">
        <f t="shared" si="21"/>
        <v>8</v>
      </c>
      <c r="Q55" s="2">
        <f t="shared" si="22"/>
        <v>2</v>
      </c>
      <c r="R55" s="1">
        <f t="shared" si="14"/>
        <v>135422.22072364177</v>
      </c>
      <c r="S55" s="4">
        <f>IF($G$4="mensual",S54,0)</f>
        <v>10000</v>
      </c>
      <c r="U55" s="1">
        <f t="shared" si="23"/>
        <v>1159.6172095333586</v>
      </c>
      <c r="V55" s="1">
        <f t="shared" si="24"/>
        <v>-82.417920000000009</v>
      </c>
      <c r="X55" s="1">
        <f t="shared" si="4"/>
        <v>-146.58183793317514</v>
      </c>
      <c r="Y55" s="1">
        <f t="shared" si="5"/>
        <v>146352.83817524195</v>
      </c>
      <c r="AA55" s="2">
        <f>+Bono!J55</f>
        <v>130899.91446412425</v>
      </c>
      <c r="AC55" s="10">
        <f t="shared" si="6"/>
        <v>2.6666666666666665</v>
      </c>
      <c r="AD55" s="1">
        <f t="shared" si="7"/>
        <v>474734.42381919653</v>
      </c>
      <c r="AN55" s="34" t="s">
        <v>78</v>
      </c>
      <c r="AO55" s="33">
        <v>0.06</v>
      </c>
    </row>
    <row r="56" spans="2:41">
      <c r="B56" s="1">
        <f t="shared" si="8"/>
        <v>33</v>
      </c>
      <c r="C56" s="2">
        <f t="shared" si="17"/>
        <v>2</v>
      </c>
      <c r="D56" s="2">
        <f t="shared" si="18"/>
        <v>9</v>
      </c>
      <c r="E56" s="2">
        <f t="shared" si="19"/>
        <v>31</v>
      </c>
      <c r="F56" s="1">
        <f t="shared" si="10"/>
        <v>197481.67117983036</v>
      </c>
      <c r="H56" s="1">
        <f t="shared" si="1"/>
        <v>1574.7465781225646</v>
      </c>
      <c r="I56" s="1">
        <v>0</v>
      </c>
      <c r="J56" s="69">
        <f>-SUM(F56:H56)*$J$21</f>
        <v>-1791.5077598215767</v>
      </c>
      <c r="K56" s="1">
        <f t="shared" si="11"/>
        <v>-197.26490999813137</v>
      </c>
      <c r="L56" s="1">
        <f t="shared" si="2"/>
        <v>197067.64508813323</v>
      </c>
      <c r="N56" s="1">
        <f t="shared" si="12"/>
        <v>33</v>
      </c>
      <c r="O56" s="2">
        <f t="shared" si="20"/>
        <v>2</v>
      </c>
      <c r="P56" s="2">
        <f t="shared" si="21"/>
        <v>9</v>
      </c>
      <c r="Q56" s="2">
        <f t="shared" si="22"/>
        <v>2</v>
      </c>
      <c r="R56" s="1">
        <f t="shared" si="14"/>
        <v>146352.83817524195</v>
      </c>
      <c r="S56" s="4">
        <f>IF($G$4="mensual",S55,0)</f>
        <v>10000</v>
      </c>
      <c r="U56" s="1">
        <f t="shared" si="23"/>
        <v>1246.7794880670447</v>
      </c>
      <c r="V56" s="1">
        <f t="shared" si="24"/>
        <v>-82.417920000000009</v>
      </c>
      <c r="X56" s="1">
        <f t="shared" si="4"/>
        <v>-157.599617663309</v>
      </c>
      <c r="Y56" s="1">
        <f t="shared" si="5"/>
        <v>157359.60012564569</v>
      </c>
      <c r="AA56" s="2">
        <f>+Bono!J56</f>
        <v>130524.91894502462</v>
      </c>
      <c r="AC56" s="10">
        <f t="shared" si="6"/>
        <v>2.75</v>
      </c>
      <c r="AD56" s="1">
        <f t="shared" si="7"/>
        <v>484952.16415880353</v>
      </c>
      <c r="AN56" s="34" t="s">
        <v>30</v>
      </c>
      <c r="AO56" s="33">
        <v>0.1</v>
      </c>
    </row>
    <row r="57" spans="2:41">
      <c r="B57" s="1">
        <f t="shared" si="8"/>
        <v>34</v>
      </c>
      <c r="C57" s="2">
        <f t="shared" si="17"/>
        <v>2</v>
      </c>
      <c r="D57" s="2">
        <f t="shared" si="18"/>
        <v>10</v>
      </c>
      <c r="E57" s="2">
        <f t="shared" si="19"/>
        <v>31</v>
      </c>
      <c r="F57" s="1">
        <f t="shared" si="10"/>
        <v>197067.64508813323</v>
      </c>
      <c r="H57" s="1">
        <f t="shared" si="1"/>
        <v>1571.4450759261415</v>
      </c>
      <c r="I57" s="1">
        <v>0</v>
      </c>
      <c r="J57" s="1">
        <v>0</v>
      </c>
      <c r="K57" s="1">
        <f t="shared" si="11"/>
        <v>-198.63909016405938</v>
      </c>
      <c r="L57" s="1">
        <f t="shared" si="2"/>
        <v>198440.4510738953</v>
      </c>
      <c r="N57" s="1">
        <f t="shared" si="12"/>
        <v>34</v>
      </c>
      <c r="O57" s="2">
        <f t="shared" si="20"/>
        <v>2</v>
      </c>
      <c r="P57" s="2">
        <f t="shared" si="21"/>
        <v>10</v>
      </c>
      <c r="Q57" s="2">
        <f t="shared" si="22"/>
        <v>2</v>
      </c>
      <c r="R57" s="1">
        <f t="shared" si="14"/>
        <v>157359.60012564569</v>
      </c>
      <c r="S57" s="4">
        <f>IF($G$4="mensual",S48,IF($G$4="trimestral",S48,0))</f>
        <v>10000</v>
      </c>
      <c r="U57" s="1">
        <f t="shared" si="23"/>
        <v>1334.5489535270788</v>
      </c>
      <c r="V57" s="1">
        <f t="shared" si="24"/>
        <v>-82.417920000000009</v>
      </c>
      <c r="X57" s="1">
        <f t="shared" si="4"/>
        <v>-168.69414907917277</v>
      </c>
      <c r="Y57" s="1">
        <f t="shared" si="5"/>
        <v>168443.0370100936</v>
      </c>
      <c r="AA57" s="2">
        <f>+Bono!J57</f>
        <v>131334.18858243729</v>
      </c>
      <c r="AC57" s="10">
        <f t="shared" si="6"/>
        <v>2.8333333333333335</v>
      </c>
      <c r="AD57" s="1">
        <f t="shared" si="7"/>
        <v>498217.67666642624</v>
      </c>
      <c r="AN57" s="34" t="s">
        <v>28</v>
      </c>
      <c r="AO57" s="33">
        <v>0.03</v>
      </c>
    </row>
    <row r="58" spans="2:41">
      <c r="B58" s="1">
        <f t="shared" si="8"/>
        <v>35</v>
      </c>
      <c r="C58" s="2">
        <f t="shared" si="17"/>
        <v>2</v>
      </c>
      <c r="D58" s="2">
        <f t="shared" si="18"/>
        <v>11</v>
      </c>
      <c r="E58" s="2">
        <f t="shared" si="19"/>
        <v>31</v>
      </c>
      <c r="F58" s="1">
        <f t="shared" si="10"/>
        <v>198440.4510738953</v>
      </c>
      <c r="H58" s="1">
        <f t="shared" si="1"/>
        <v>1582.3920236382478</v>
      </c>
      <c r="I58" s="1">
        <v>0</v>
      </c>
      <c r="J58" s="1">
        <v>0</v>
      </c>
      <c r="K58" s="1">
        <f t="shared" si="11"/>
        <v>-200.02284309753355</v>
      </c>
      <c r="L58" s="1">
        <f t="shared" si="2"/>
        <v>199822.820254436</v>
      </c>
      <c r="N58" s="1">
        <f t="shared" si="12"/>
        <v>35</v>
      </c>
      <c r="O58" s="2">
        <f t="shared" si="20"/>
        <v>2</v>
      </c>
      <c r="P58" s="2">
        <f t="shared" si="21"/>
        <v>11</v>
      </c>
      <c r="Q58" s="2">
        <f t="shared" si="22"/>
        <v>2</v>
      </c>
      <c r="R58" s="1">
        <f t="shared" si="14"/>
        <v>168443.0370100936</v>
      </c>
      <c r="S58" s="4">
        <f>IF($G$4="mensual",S57,0)</f>
        <v>10000</v>
      </c>
      <c r="U58" s="1">
        <f t="shared" si="23"/>
        <v>1422.929835678558</v>
      </c>
      <c r="V58" s="1">
        <f t="shared" si="24"/>
        <v>-82.417920000000009</v>
      </c>
      <c r="X58" s="1">
        <f t="shared" si="4"/>
        <v>-179.86596684577214</v>
      </c>
      <c r="Y58" s="1">
        <f t="shared" si="5"/>
        <v>179603.68295892637</v>
      </c>
      <c r="AA58" s="2">
        <f>+Bono!J58</f>
        <v>132148.47578547135</v>
      </c>
      <c r="AC58" s="10">
        <f t="shared" si="6"/>
        <v>2.9166666666666665</v>
      </c>
      <c r="AD58" s="1">
        <f t="shared" si="7"/>
        <v>511574.97899883369</v>
      </c>
      <c r="AN58" s="34" t="s">
        <v>79</v>
      </c>
      <c r="AO58" s="33">
        <v>0.06</v>
      </c>
    </row>
    <row r="59" spans="2:41">
      <c r="B59" s="1">
        <f t="shared" si="8"/>
        <v>36</v>
      </c>
      <c r="C59" s="2">
        <f t="shared" si="17"/>
        <v>2</v>
      </c>
      <c r="D59" s="2">
        <f t="shared" si="18"/>
        <v>12</v>
      </c>
      <c r="E59" s="2">
        <f t="shared" si="19"/>
        <v>31</v>
      </c>
      <c r="F59" s="1">
        <f t="shared" si="10"/>
        <v>199822.820254436</v>
      </c>
      <c r="H59" s="1">
        <f t="shared" si="1"/>
        <v>1593.4152296084681</v>
      </c>
      <c r="I59" s="1">
        <v>0</v>
      </c>
      <c r="J59" s="69">
        <f>-SUM(F59:H59)*$J$21</f>
        <v>-1812.7461193564004</v>
      </c>
      <c r="K59" s="1">
        <f t="shared" si="11"/>
        <v>-199.60348936468807</v>
      </c>
      <c r="L59" s="1">
        <f t="shared" si="2"/>
        <v>199403.88587532338</v>
      </c>
      <c r="N59" s="1">
        <f t="shared" si="12"/>
        <v>36</v>
      </c>
      <c r="O59" s="2">
        <f t="shared" si="20"/>
        <v>2</v>
      </c>
      <c r="P59" s="2">
        <f t="shared" si="21"/>
        <v>12</v>
      </c>
      <c r="Q59" s="2">
        <f t="shared" si="22"/>
        <v>2</v>
      </c>
      <c r="R59" s="1">
        <f t="shared" si="14"/>
        <v>179603.68295892637</v>
      </c>
      <c r="S59" s="4">
        <f>IF($G$4="mensual",S58,0)</f>
        <v>10000</v>
      </c>
      <c r="U59" s="1">
        <f t="shared" si="23"/>
        <v>1511.9263937518265</v>
      </c>
      <c r="V59" s="1">
        <f t="shared" si="24"/>
        <v>-82.417920000000009</v>
      </c>
      <c r="X59" s="1">
        <f t="shared" si="4"/>
        <v>-191.11560935267821</v>
      </c>
      <c r="Y59" s="1">
        <f t="shared" si="5"/>
        <v>190842.07582332552</v>
      </c>
      <c r="AA59" s="2">
        <f>+Bono!J59</f>
        <v>131769.90345042999</v>
      </c>
      <c r="AC59" s="10">
        <f t="shared" si="6"/>
        <v>3</v>
      </c>
      <c r="AD59" s="1">
        <f t="shared" si="7"/>
        <v>522015.86514907889</v>
      </c>
      <c r="AN59" s="34" t="s">
        <v>31</v>
      </c>
      <c r="AO59" s="33">
        <v>0.09</v>
      </c>
    </row>
    <row r="60" spans="2:41">
      <c r="B60" s="1">
        <f t="shared" si="8"/>
        <v>37</v>
      </c>
      <c r="C60" s="2">
        <f t="shared" si="17"/>
        <v>3</v>
      </c>
      <c r="D60" s="2">
        <f t="shared" si="18"/>
        <v>1</v>
      </c>
      <c r="E60" s="2">
        <f t="shared" si="19"/>
        <v>32</v>
      </c>
      <c r="F60" s="1">
        <f t="shared" si="10"/>
        <v>199403.88587532338</v>
      </c>
      <c r="H60" s="1">
        <f t="shared" si="1"/>
        <v>1590.0745880389284</v>
      </c>
      <c r="I60" s="1">
        <v>0</v>
      </c>
      <c r="J60" s="1">
        <v>0</v>
      </c>
      <c r="K60" s="1">
        <f t="shared" si="11"/>
        <v>-200.99396046336233</v>
      </c>
      <c r="L60" s="1">
        <f t="shared" si="2"/>
        <v>200792.96650289895</v>
      </c>
      <c r="N60" s="1">
        <f t="shared" si="12"/>
        <v>37</v>
      </c>
      <c r="O60" s="2">
        <f t="shared" si="20"/>
        <v>3</v>
      </c>
      <c r="P60" s="2">
        <f t="shared" si="21"/>
        <v>1</v>
      </c>
      <c r="Q60" s="2">
        <f t="shared" si="22"/>
        <v>3</v>
      </c>
      <c r="R60" s="1">
        <f t="shared" si="14"/>
        <v>190842.07582332552</v>
      </c>
      <c r="S60" s="1">
        <f>IF($G$17="si",S48*(1+$G$20),S48)</f>
        <v>10000</v>
      </c>
      <c r="U60" s="1">
        <f t="shared" si="23"/>
        <v>1601.5429166477352</v>
      </c>
      <c r="V60" s="1">
        <f>V59*(1+$G$18)</f>
        <v>-85.714636800000008</v>
      </c>
      <c r="X60" s="1">
        <f t="shared" si="4"/>
        <v>-202.44361873997326</v>
      </c>
      <c r="Y60" s="1">
        <f t="shared" si="5"/>
        <v>202155.46048443328</v>
      </c>
      <c r="AA60" s="2">
        <f>+Bono!J60</f>
        <v>132586.8921361854</v>
      </c>
      <c r="AC60" s="10">
        <f t="shared" si="6"/>
        <v>3.0833333333333335</v>
      </c>
      <c r="AD60" s="1">
        <f t="shared" si="7"/>
        <v>535535.31912351761</v>
      </c>
      <c r="AN60" s="34" t="s">
        <v>32</v>
      </c>
      <c r="AO60" s="33">
        <v>0.08</v>
      </c>
    </row>
    <row r="61" spans="2:41">
      <c r="B61" s="1">
        <f t="shared" si="8"/>
        <v>38</v>
      </c>
      <c r="C61" s="2">
        <f t="shared" si="17"/>
        <v>3</v>
      </c>
      <c r="D61" s="2">
        <f t="shared" si="18"/>
        <v>2</v>
      </c>
      <c r="E61" s="2">
        <f t="shared" si="19"/>
        <v>32</v>
      </c>
      <c r="F61" s="1">
        <f t="shared" si="10"/>
        <v>200792.96650289895</v>
      </c>
      <c r="H61" s="1">
        <f t="shared" si="1"/>
        <v>1601.1513120302859</v>
      </c>
      <c r="I61" s="1">
        <v>0</v>
      </c>
      <c r="J61" s="1">
        <v>0</v>
      </c>
      <c r="K61" s="1">
        <f t="shared" si="11"/>
        <v>-202.39411781492925</v>
      </c>
      <c r="L61" s="1">
        <f t="shared" si="2"/>
        <v>202191.72369711433</v>
      </c>
      <c r="N61" s="1">
        <f t="shared" si="12"/>
        <v>38</v>
      </c>
      <c r="O61" s="2">
        <f t="shared" si="20"/>
        <v>3</v>
      </c>
      <c r="P61" s="2">
        <f t="shared" si="21"/>
        <v>2</v>
      </c>
      <c r="Q61" s="2">
        <f t="shared" si="22"/>
        <v>3</v>
      </c>
      <c r="R61" s="1">
        <f t="shared" si="14"/>
        <v>202155.46048443328</v>
      </c>
      <c r="S61" s="4">
        <f>IF($G$4="mensual",S60,0)</f>
        <v>10000</v>
      </c>
      <c r="U61" s="1">
        <f t="shared" si="23"/>
        <v>1691.7574346616143</v>
      </c>
      <c r="V61" s="1">
        <f t="shared" ref="V61:V124" si="25">V60</f>
        <v>-85.714636800000008</v>
      </c>
      <c r="X61" s="1">
        <f t="shared" si="4"/>
        <v>-213.8472179190949</v>
      </c>
      <c r="Y61" s="1">
        <f t="shared" si="5"/>
        <v>213547.6560643758</v>
      </c>
      <c r="AA61" s="2">
        <f>+Bono!J61</f>
        <v>133408.94624655735</v>
      </c>
      <c r="AC61" s="10">
        <f t="shared" si="6"/>
        <v>3.1666666666666665</v>
      </c>
      <c r="AD61" s="1">
        <f t="shared" si="7"/>
        <v>549148.32600804744</v>
      </c>
      <c r="AN61" s="34" t="s">
        <v>36</v>
      </c>
      <c r="AO61" s="33">
        <v>0.12</v>
      </c>
    </row>
    <row r="62" spans="2:41">
      <c r="B62" s="1">
        <f t="shared" si="8"/>
        <v>39</v>
      </c>
      <c r="C62" s="2">
        <f t="shared" si="17"/>
        <v>3</v>
      </c>
      <c r="D62" s="2">
        <f t="shared" si="18"/>
        <v>3</v>
      </c>
      <c r="E62" s="2">
        <f t="shared" si="19"/>
        <v>32</v>
      </c>
      <c r="F62" s="1">
        <f t="shared" si="10"/>
        <v>202191.72369711433</v>
      </c>
      <c r="H62" s="1">
        <f t="shared" si="1"/>
        <v>1612.3051983228986</v>
      </c>
      <c r="I62" s="1">
        <v>0</v>
      </c>
      <c r="J62" s="69">
        <f>-SUM(F62:H62)*$J$21</f>
        <v>-1834.2362600589352</v>
      </c>
      <c r="K62" s="1">
        <f t="shared" si="11"/>
        <v>-201.9697926353783</v>
      </c>
      <c r="L62" s="1">
        <f t="shared" si="2"/>
        <v>201767.8228427429</v>
      </c>
      <c r="N62" s="1">
        <f t="shared" si="12"/>
        <v>39</v>
      </c>
      <c r="O62" s="2">
        <f t="shared" si="20"/>
        <v>3</v>
      </c>
      <c r="P62" s="2">
        <f t="shared" si="21"/>
        <v>3</v>
      </c>
      <c r="Q62" s="2">
        <f t="shared" si="22"/>
        <v>3</v>
      </c>
      <c r="R62" s="1">
        <f t="shared" si="14"/>
        <v>213547.6560643758</v>
      </c>
      <c r="S62" s="4">
        <f>IF($G$4="mensual",S61,0)</f>
        <v>10000</v>
      </c>
      <c r="U62" s="1">
        <f t="shared" si="23"/>
        <v>1782.6004020096127</v>
      </c>
      <c r="V62" s="1">
        <f t="shared" si="25"/>
        <v>-85.714636800000008</v>
      </c>
      <c r="X62" s="1">
        <f t="shared" si="4"/>
        <v>-225.33025646638541</v>
      </c>
      <c r="Y62" s="1">
        <f t="shared" si="5"/>
        <v>225019.21157311904</v>
      </c>
      <c r="AA62" s="2">
        <f>+Bono!J62</f>
        <v>133026.76297886716</v>
      </c>
      <c r="AC62" s="10">
        <f t="shared" si="6"/>
        <v>3.25</v>
      </c>
      <c r="AD62" s="1">
        <f t="shared" si="7"/>
        <v>559813.7973947291</v>
      </c>
      <c r="AN62" s="34" t="s">
        <v>33</v>
      </c>
      <c r="AO62" s="33">
        <v>0.12</v>
      </c>
    </row>
    <row r="63" spans="2:41">
      <c r="B63" s="1">
        <f t="shared" si="8"/>
        <v>40</v>
      </c>
      <c r="C63" s="2">
        <f t="shared" si="17"/>
        <v>3</v>
      </c>
      <c r="D63" s="2">
        <f t="shared" si="18"/>
        <v>4</v>
      </c>
      <c r="E63" s="2">
        <f t="shared" si="19"/>
        <v>32</v>
      </c>
      <c r="F63" s="1">
        <f t="shared" si="10"/>
        <v>201767.8228427429</v>
      </c>
      <c r="H63" s="1">
        <f t="shared" si="1"/>
        <v>1608.9249533822085</v>
      </c>
      <c r="I63" s="1">
        <v>0</v>
      </c>
      <c r="J63" s="1">
        <v>0</v>
      </c>
      <c r="K63" s="1">
        <f t="shared" si="11"/>
        <v>-203.3767477961251</v>
      </c>
      <c r="L63" s="1">
        <f t="shared" si="2"/>
        <v>203173.37104832896</v>
      </c>
      <c r="N63" s="1">
        <f t="shared" si="12"/>
        <v>40</v>
      </c>
      <c r="O63" s="2">
        <f t="shared" si="20"/>
        <v>3</v>
      </c>
      <c r="P63" s="2">
        <f t="shared" si="21"/>
        <v>4</v>
      </c>
      <c r="Q63" s="2">
        <f t="shared" si="22"/>
        <v>3</v>
      </c>
      <c r="R63" s="1">
        <f t="shared" si="14"/>
        <v>225019.21157311904</v>
      </c>
      <c r="S63" s="4">
        <f>IF($G$4="mensual",S60,IF($G$4="trimestral",S60,0))</f>
        <v>10000</v>
      </c>
      <c r="U63" s="1">
        <f t="shared" si="23"/>
        <v>1874.0761965742961</v>
      </c>
      <c r="V63" s="1">
        <f t="shared" si="25"/>
        <v>-85.714636800000008</v>
      </c>
      <c r="X63" s="1">
        <f t="shared" si="4"/>
        <v>-236.89328776969333</v>
      </c>
      <c r="Y63" s="1">
        <f t="shared" si="5"/>
        <v>236570.67984512364</v>
      </c>
      <c r="AA63" s="2">
        <f>+Bono!J63</f>
        <v>133851.54433948558</v>
      </c>
      <c r="AC63" s="10">
        <f t="shared" si="6"/>
        <v>3.3333333333333335</v>
      </c>
      <c r="AD63" s="1">
        <f t="shared" si="7"/>
        <v>573595.59523293818</v>
      </c>
      <c r="AN63" s="34" t="s">
        <v>34</v>
      </c>
      <c r="AO63" s="33">
        <v>0.12</v>
      </c>
    </row>
    <row r="64" spans="2:41">
      <c r="B64" s="1">
        <f t="shared" si="8"/>
        <v>41</v>
      </c>
      <c r="C64" s="2">
        <f t="shared" si="17"/>
        <v>3</v>
      </c>
      <c r="D64" s="2">
        <f t="shared" si="18"/>
        <v>5</v>
      </c>
      <c r="E64" s="2">
        <f t="shared" si="19"/>
        <v>32</v>
      </c>
      <c r="F64" s="1">
        <f t="shared" si="10"/>
        <v>203173.37104832896</v>
      </c>
      <c r="H64" s="1">
        <f t="shared" si="1"/>
        <v>1620.1329921531456</v>
      </c>
      <c r="I64" s="1">
        <v>0</v>
      </c>
      <c r="J64" s="1">
        <v>0</v>
      </c>
      <c r="K64" s="1">
        <f t="shared" si="11"/>
        <v>-204.79350404048211</v>
      </c>
      <c r="L64" s="1">
        <f t="shared" si="2"/>
        <v>204588.71053644162</v>
      </c>
      <c r="N64" s="1">
        <f t="shared" si="12"/>
        <v>41</v>
      </c>
      <c r="O64" s="2">
        <f t="shared" si="20"/>
        <v>3</v>
      </c>
      <c r="P64" s="2">
        <f t="shared" si="21"/>
        <v>5</v>
      </c>
      <c r="Q64" s="2">
        <f t="shared" si="22"/>
        <v>3</v>
      </c>
      <c r="R64" s="1">
        <f t="shared" si="14"/>
        <v>236570.67984512364</v>
      </c>
      <c r="S64" s="4">
        <f>IF($G$4="mensual",S63,0)</f>
        <v>10000</v>
      </c>
      <c r="U64" s="1">
        <f t="shared" si="23"/>
        <v>1966.1892267352869</v>
      </c>
      <c r="V64" s="1">
        <f t="shared" si="25"/>
        <v>-85.714636800000008</v>
      </c>
      <c r="X64" s="1">
        <f t="shared" si="4"/>
        <v>-248.53686907185894</v>
      </c>
      <c r="Y64" s="1">
        <f t="shared" si="5"/>
        <v>248202.61756598708</v>
      </c>
      <c r="AA64" s="2">
        <f>+Bono!J64</f>
        <v>134681.43944020855</v>
      </c>
      <c r="AC64" s="10">
        <f t="shared" si="6"/>
        <v>3.4166666666666665</v>
      </c>
      <c r="AD64" s="1">
        <f t="shared" si="7"/>
        <v>587472.7675426373</v>
      </c>
      <c r="AN64" s="34" t="s">
        <v>35</v>
      </c>
      <c r="AO64" s="33">
        <v>0.05</v>
      </c>
    </row>
    <row r="65" spans="2:41">
      <c r="B65" s="1">
        <f t="shared" si="8"/>
        <v>42</v>
      </c>
      <c r="C65" s="2">
        <f t="shared" si="17"/>
        <v>3</v>
      </c>
      <c r="D65" s="2">
        <f t="shared" si="18"/>
        <v>6</v>
      </c>
      <c r="E65" s="2">
        <f t="shared" si="19"/>
        <v>32</v>
      </c>
      <c r="F65" s="1">
        <f t="shared" si="10"/>
        <v>204588.71053644162</v>
      </c>
      <c r="H65" s="1">
        <f t="shared" si="1"/>
        <v>1631.4191079859286</v>
      </c>
      <c r="I65" s="1">
        <v>0</v>
      </c>
      <c r="J65" s="69">
        <f>-SUM(F65:H65)*$J$21</f>
        <v>-1855.9811667998481</v>
      </c>
      <c r="K65" s="1">
        <f t="shared" si="11"/>
        <v>-204.36414847762771</v>
      </c>
      <c r="L65" s="1">
        <f t="shared" si="2"/>
        <v>204159.78432915008</v>
      </c>
      <c r="N65" s="1">
        <f t="shared" si="12"/>
        <v>42</v>
      </c>
      <c r="O65" s="2">
        <f t="shared" si="20"/>
        <v>3</v>
      </c>
      <c r="P65" s="2">
        <f t="shared" si="21"/>
        <v>6</v>
      </c>
      <c r="Q65" s="2">
        <f t="shared" si="22"/>
        <v>3</v>
      </c>
      <c r="R65" s="1">
        <f t="shared" si="14"/>
        <v>248202.61756598708</v>
      </c>
      <c r="S65" s="4">
        <f>IF($G$4="mensual",S64,0)</f>
        <v>10000</v>
      </c>
      <c r="U65" s="1">
        <f t="shared" si="23"/>
        <v>2058.9439315817149</v>
      </c>
      <c r="V65" s="1">
        <f t="shared" si="25"/>
        <v>-85.714636800000008</v>
      </c>
      <c r="X65" s="1">
        <f t="shared" si="4"/>
        <v>-260.26156149756878</v>
      </c>
      <c r="Y65" s="1">
        <f t="shared" si="5"/>
        <v>259915.58529927122</v>
      </c>
      <c r="AA65" s="2">
        <f>+Bono!J65</f>
        <v>134295.61079774745</v>
      </c>
      <c r="AC65" s="10">
        <f t="shared" si="6"/>
        <v>3.5</v>
      </c>
      <c r="AD65" s="1">
        <f t="shared" si="7"/>
        <v>598370.98042616877</v>
      </c>
      <c r="AN65" s="34" t="s">
        <v>83</v>
      </c>
      <c r="AO65" s="33">
        <v>0.12</v>
      </c>
    </row>
    <row r="66" spans="2:41">
      <c r="B66" s="1">
        <f t="shared" si="8"/>
        <v>43</v>
      </c>
      <c r="C66" s="2">
        <f t="shared" si="17"/>
        <v>3</v>
      </c>
      <c r="D66" s="2">
        <f t="shared" si="18"/>
        <v>7</v>
      </c>
      <c r="E66" s="2">
        <f t="shared" si="19"/>
        <v>32</v>
      </c>
      <c r="F66" s="1">
        <f t="shared" si="10"/>
        <v>204159.78432915008</v>
      </c>
      <c r="H66" s="1">
        <f t="shared" si="1"/>
        <v>1627.9987901753489</v>
      </c>
      <c r="I66" s="1">
        <v>0</v>
      </c>
      <c r="J66" s="1">
        <v>0</v>
      </c>
      <c r="K66" s="1">
        <f t="shared" si="11"/>
        <v>-205.78778311932544</v>
      </c>
      <c r="L66" s="1">
        <f t="shared" si="2"/>
        <v>205581.99533620611</v>
      </c>
      <c r="N66" s="1">
        <f t="shared" si="12"/>
        <v>43</v>
      </c>
      <c r="O66" s="2">
        <f t="shared" si="20"/>
        <v>3</v>
      </c>
      <c r="P66" s="2">
        <f t="shared" si="21"/>
        <v>7</v>
      </c>
      <c r="Q66" s="2">
        <f t="shared" si="22"/>
        <v>3</v>
      </c>
      <c r="R66" s="1">
        <f t="shared" si="14"/>
        <v>259915.58529927122</v>
      </c>
      <c r="S66" s="1">
        <f>+IF($G$4="mensual",S60,IF($G$4="trimestral",S60,IF($G$4="semestral",S60,0)))</f>
        <v>10000</v>
      </c>
      <c r="U66" s="1">
        <f t="shared" si="23"/>
        <v>2152.3447811261412</v>
      </c>
      <c r="V66" s="1">
        <f t="shared" si="25"/>
        <v>-85.714636800000008</v>
      </c>
      <c r="X66" s="1">
        <f t="shared" si="4"/>
        <v>-272.06793008039733</v>
      </c>
      <c r="Y66" s="1">
        <f t="shared" si="5"/>
        <v>271710.14751351695</v>
      </c>
      <c r="AA66" s="2">
        <f>+Bono!J66</f>
        <v>135128.25916202017</v>
      </c>
      <c r="AC66" s="10">
        <f t="shared" si="6"/>
        <v>3.5833333333333335</v>
      </c>
      <c r="AD66" s="1">
        <f t="shared" si="7"/>
        <v>612420.40201174328</v>
      </c>
    </row>
    <row r="67" spans="2:41">
      <c r="B67" s="1">
        <f t="shared" si="8"/>
        <v>44</v>
      </c>
      <c r="C67" s="2">
        <f t="shared" si="17"/>
        <v>3</v>
      </c>
      <c r="D67" s="2">
        <f t="shared" si="18"/>
        <v>8</v>
      </c>
      <c r="E67" s="2">
        <f t="shared" si="19"/>
        <v>32</v>
      </c>
      <c r="F67" s="1">
        <f t="shared" si="10"/>
        <v>205581.99533620611</v>
      </c>
      <c r="H67" s="1">
        <f t="shared" si="1"/>
        <v>1639.3397004651463</v>
      </c>
      <c r="I67" s="1">
        <v>0</v>
      </c>
      <c r="J67" s="1">
        <v>0</v>
      </c>
      <c r="K67" s="1">
        <f t="shared" si="11"/>
        <v>-207.22133503667126</v>
      </c>
      <c r="L67" s="1">
        <f t="shared" si="2"/>
        <v>207014.11370163457</v>
      </c>
      <c r="N67" s="1">
        <f t="shared" si="12"/>
        <v>44</v>
      </c>
      <c r="O67" s="2">
        <f t="shared" si="20"/>
        <v>3</v>
      </c>
      <c r="P67" s="2">
        <f t="shared" si="21"/>
        <v>8</v>
      </c>
      <c r="Q67" s="2">
        <f t="shared" si="22"/>
        <v>3</v>
      </c>
      <c r="R67" s="1">
        <f t="shared" si="14"/>
        <v>271710.14751351695</v>
      </c>
      <c r="S67" s="4">
        <f>IF($G$4="mensual",S66,0)</f>
        <v>10000</v>
      </c>
      <c r="U67" s="1">
        <f t="shared" si="23"/>
        <v>2246.3962765199785</v>
      </c>
      <c r="V67" s="1">
        <f t="shared" si="25"/>
        <v>-85.714636800000008</v>
      </c>
      <c r="X67" s="1">
        <f t="shared" si="4"/>
        <v>-283.95654379003696</v>
      </c>
      <c r="Y67" s="1">
        <f t="shared" si="5"/>
        <v>283586.87260944687</v>
      </c>
      <c r="AA67" s="2">
        <f>+Bono!J67</f>
        <v>135966.07004273261</v>
      </c>
      <c r="AC67" s="10">
        <f t="shared" si="6"/>
        <v>3.6666666666666665</v>
      </c>
      <c r="AD67" s="1">
        <f t="shared" si="7"/>
        <v>626567.05635381409</v>
      </c>
    </row>
    <row r="68" spans="2:41">
      <c r="B68" s="1">
        <f t="shared" si="8"/>
        <v>45</v>
      </c>
      <c r="C68" s="2">
        <f t="shared" si="17"/>
        <v>3</v>
      </c>
      <c r="D68" s="2">
        <f t="shared" si="18"/>
        <v>9</v>
      </c>
      <c r="E68" s="2">
        <f t="shared" si="19"/>
        <v>32</v>
      </c>
      <c r="F68" s="1">
        <f t="shared" si="10"/>
        <v>207014.11370163457</v>
      </c>
      <c r="H68" s="1">
        <f t="shared" si="1"/>
        <v>1650.759613421885</v>
      </c>
      <c r="I68" s="1">
        <v>0</v>
      </c>
      <c r="J68" s="69">
        <f>-SUM(F68:H68)*$J$21</f>
        <v>-1877.9838598355084</v>
      </c>
      <c r="K68" s="1">
        <f t="shared" si="11"/>
        <v>-206.78688945522094</v>
      </c>
      <c r="L68" s="1">
        <f t="shared" si="2"/>
        <v>206580.10256576573</v>
      </c>
      <c r="N68" s="1">
        <f t="shared" si="12"/>
        <v>45</v>
      </c>
      <c r="O68" s="2">
        <f t="shared" si="20"/>
        <v>3</v>
      </c>
      <c r="P68" s="2">
        <f t="shared" si="21"/>
        <v>9</v>
      </c>
      <c r="Q68" s="2">
        <f t="shared" si="22"/>
        <v>3</v>
      </c>
      <c r="R68" s="1">
        <f t="shared" si="14"/>
        <v>283586.87260944687</v>
      </c>
      <c r="S68" s="4">
        <f>IF($G$4="mensual",S67,0)</f>
        <v>10000</v>
      </c>
      <c r="U68" s="1">
        <f t="shared" si="23"/>
        <v>2341.1029502704096</v>
      </c>
      <c r="V68" s="1">
        <f t="shared" si="25"/>
        <v>-85.714636800000008</v>
      </c>
      <c r="X68" s="1">
        <f t="shared" si="4"/>
        <v>-295.92797555971731</v>
      </c>
      <c r="Y68" s="1">
        <f t="shared" si="5"/>
        <v>295546.33294735756</v>
      </c>
      <c r="AA68" s="2">
        <f>+Bono!J68</f>
        <v>135576.56125485952</v>
      </c>
      <c r="AC68" s="10">
        <f t="shared" si="6"/>
        <v>3.75</v>
      </c>
      <c r="AD68" s="1">
        <f t="shared" si="7"/>
        <v>637702.99676798284</v>
      </c>
    </row>
    <row r="69" spans="2:41">
      <c r="B69" s="1">
        <f t="shared" si="8"/>
        <v>46</v>
      </c>
      <c r="C69" s="2">
        <f t="shared" si="17"/>
        <v>3</v>
      </c>
      <c r="D69" s="2">
        <f t="shared" si="18"/>
        <v>10</v>
      </c>
      <c r="E69" s="2">
        <f t="shared" si="19"/>
        <v>32</v>
      </c>
      <c r="F69" s="1">
        <f t="shared" si="10"/>
        <v>206580.10256576573</v>
      </c>
      <c r="H69" s="1">
        <f t="shared" si="1"/>
        <v>1647.2987476767587</v>
      </c>
      <c r="I69" s="1">
        <v>0</v>
      </c>
      <c r="J69" s="1">
        <v>0</v>
      </c>
      <c r="K69" s="1">
        <f t="shared" si="11"/>
        <v>-208.22740131344247</v>
      </c>
      <c r="L69" s="1">
        <f t="shared" si="2"/>
        <v>208019.17391212904</v>
      </c>
      <c r="N69" s="1">
        <f t="shared" si="12"/>
        <v>46</v>
      </c>
      <c r="O69" s="2">
        <f t="shared" si="20"/>
        <v>3</v>
      </c>
      <c r="P69" s="2">
        <f t="shared" si="21"/>
        <v>10</v>
      </c>
      <c r="Q69" s="2">
        <f t="shared" si="22"/>
        <v>3</v>
      </c>
      <c r="R69" s="1">
        <f t="shared" si="14"/>
        <v>295546.33294735756</v>
      </c>
      <c r="S69" s="4">
        <f>IF($G$4="mensual",S60,IF($G$4="trimestral",S60,0))</f>
        <v>10000</v>
      </c>
      <c r="U69" s="1">
        <f t="shared" si="23"/>
        <v>2436.469366458814</v>
      </c>
      <c r="V69" s="1">
        <f t="shared" si="25"/>
        <v>-85.714636800000008</v>
      </c>
      <c r="X69" s="1">
        <f t="shared" si="4"/>
        <v>-307.98280231381636</v>
      </c>
      <c r="Y69" s="1">
        <f t="shared" si="5"/>
        <v>307589.10487470258</v>
      </c>
      <c r="AA69" s="2">
        <f>+Bono!J69</f>
        <v>136417.15166054739</v>
      </c>
      <c r="AC69" s="10">
        <f t="shared" si="6"/>
        <v>3.8333333333333335</v>
      </c>
      <c r="AD69" s="1">
        <f t="shared" si="7"/>
        <v>652025.43044737901</v>
      </c>
    </row>
    <row r="70" spans="2:41">
      <c r="B70" s="1">
        <f t="shared" si="8"/>
        <v>47</v>
      </c>
      <c r="C70" s="2">
        <f t="shared" si="17"/>
        <v>3</v>
      </c>
      <c r="D70" s="2">
        <f t="shared" si="18"/>
        <v>11</v>
      </c>
      <c r="E70" s="2">
        <f t="shared" si="19"/>
        <v>32</v>
      </c>
      <c r="F70" s="1">
        <f t="shared" si="10"/>
        <v>208019.17391212904</v>
      </c>
      <c r="H70" s="1">
        <f t="shared" si="1"/>
        <v>1658.7741046798715</v>
      </c>
      <c r="I70" s="1">
        <v>0</v>
      </c>
      <c r="J70" s="1">
        <v>0</v>
      </c>
      <c r="K70" s="1">
        <f t="shared" si="11"/>
        <v>-209.67794801680893</v>
      </c>
      <c r="L70" s="1">
        <f t="shared" si="2"/>
        <v>209468.2700687921</v>
      </c>
      <c r="N70" s="1">
        <f t="shared" si="12"/>
        <v>47</v>
      </c>
      <c r="O70" s="2">
        <f t="shared" si="20"/>
        <v>3</v>
      </c>
      <c r="P70" s="2">
        <f t="shared" si="21"/>
        <v>11</v>
      </c>
      <c r="Q70" s="2">
        <f t="shared" si="22"/>
        <v>3</v>
      </c>
      <c r="R70" s="1">
        <f t="shared" si="14"/>
        <v>307589.10487470258</v>
      </c>
      <c r="S70" s="1">
        <f>IF($G$17="si",S58*(1+$G$20),S58)</f>
        <v>10000</v>
      </c>
      <c r="U70" s="1">
        <f t="shared" si="23"/>
        <v>2532.5001209607235</v>
      </c>
      <c r="V70" s="1">
        <f t="shared" si="25"/>
        <v>-85.714636800000008</v>
      </c>
      <c r="X70" s="1">
        <f t="shared" si="4"/>
        <v>-320.12160499566329</v>
      </c>
      <c r="Y70" s="1">
        <f t="shared" si="5"/>
        <v>319715.7687538676</v>
      </c>
      <c r="AA70" s="2">
        <f>+Bono!J70</f>
        <v>137262.953824253</v>
      </c>
      <c r="AC70" s="10">
        <f t="shared" si="6"/>
        <v>3.9166666666666665</v>
      </c>
      <c r="AD70" s="1">
        <f t="shared" si="7"/>
        <v>666446.99264691269</v>
      </c>
    </row>
    <row r="71" spans="2:41">
      <c r="B71" s="1">
        <f t="shared" si="8"/>
        <v>48</v>
      </c>
      <c r="C71" s="2">
        <f t="shared" si="17"/>
        <v>3</v>
      </c>
      <c r="D71" s="2">
        <f t="shared" si="18"/>
        <v>12</v>
      </c>
      <c r="E71" s="2">
        <f t="shared" si="19"/>
        <v>32</v>
      </c>
      <c r="F71" s="1">
        <f t="shared" si="10"/>
        <v>209468.2700687921</v>
      </c>
      <c r="H71" s="1">
        <f t="shared" si="1"/>
        <v>1670.3294009280874</v>
      </c>
      <c r="I71" s="1">
        <v>0</v>
      </c>
      <c r="J71" s="69">
        <f>-SUM(F71:H71)*$J$21</f>
        <v>-1900.2473952274818</v>
      </c>
      <c r="K71" s="1">
        <f t="shared" si="11"/>
        <v>-209.2383520744927</v>
      </c>
      <c r="L71" s="1">
        <f t="shared" si="2"/>
        <v>209029.1137224182</v>
      </c>
      <c r="N71" s="1">
        <f t="shared" si="12"/>
        <v>48</v>
      </c>
      <c r="O71" s="2">
        <f t="shared" si="20"/>
        <v>3</v>
      </c>
      <c r="P71" s="2">
        <f t="shared" si="21"/>
        <v>12</v>
      </c>
      <c r="Q71" s="2">
        <f t="shared" si="22"/>
        <v>3</v>
      </c>
      <c r="R71" s="1">
        <f t="shared" si="14"/>
        <v>319715.7687538676</v>
      </c>
      <c r="S71" s="4">
        <f>IF($G$4="mensual",S70,0)</f>
        <v>10000</v>
      </c>
      <c r="U71" s="1">
        <f t="shared" si="23"/>
        <v>2629.1998416673</v>
      </c>
      <c r="V71" s="1">
        <f t="shared" si="25"/>
        <v>-85.714636800000008</v>
      </c>
      <c r="X71" s="1">
        <f t="shared" si="4"/>
        <v>-332.34496859553491</v>
      </c>
      <c r="Y71" s="1">
        <f t="shared" si="5"/>
        <v>331926.90899013937</v>
      </c>
      <c r="AA71" s="2">
        <f>+Bono!J71</f>
        <v>136869.72978867442</v>
      </c>
      <c r="AC71" s="10">
        <f t="shared" si="6"/>
        <v>4</v>
      </c>
      <c r="AD71" s="1">
        <f t="shared" si="7"/>
        <v>677825.75250123197</v>
      </c>
    </row>
    <row r="72" spans="2:41">
      <c r="B72" s="1">
        <f t="shared" si="8"/>
        <v>49</v>
      </c>
      <c r="C72" s="2">
        <f t="shared" si="17"/>
        <v>4</v>
      </c>
      <c r="D72" s="2">
        <f t="shared" si="18"/>
        <v>1</v>
      </c>
      <c r="E72" s="2">
        <f t="shared" si="19"/>
        <v>33</v>
      </c>
      <c r="F72" s="1">
        <f t="shared" si="10"/>
        <v>209029.1137224182</v>
      </c>
      <c r="H72" s="1">
        <f t="shared" si="1"/>
        <v>1666.8275065518576</v>
      </c>
      <c r="I72" s="1">
        <v>0</v>
      </c>
      <c r="J72" s="1">
        <v>0</v>
      </c>
      <c r="K72" s="1">
        <f t="shared" si="11"/>
        <v>-210.69594122897007</v>
      </c>
      <c r="L72" s="1">
        <f t="shared" si="2"/>
        <v>210485.2452877411</v>
      </c>
      <c r="N72" s="1">
        <f t="shared" si="12"/>
        <v>49</v>
      </c>
      <c r="O72" s="2">
        <f t="shared" si="20"/>
        <v>4</v>
      </c>
      <c r="P72" s="2">
        <f t="shared" si="21"/>
        <v>1</v>
      </c>
      <c r="Q72" s="2">
        <f t="shared" si="22"/>
        <v>4</v>
      </c>
      <c r="R72" s="1">
        <f t="shared" si="14"/>
        <v>331926.90899013937</v>
      </c>
      <c r="S72" s="1">
        <f>IF($G$17="si",S60*(1+$G$20),S60)</f>
        <v>10000</v>
      </c>
      <c r="U72" s="1">
        <f t="shared" si="23"/>
        <v>2726.5731887083684</v>
      </c>
      <c r="V72" s="1">
        <f>V71*(1+$G$18)</f>
        <v>-89.143222272000017</v>
      </c>
      <c r="X72" s="1">
        <f t="shared" si="4"/>
        <v>-344.65348217884775</v>
      </c>
      <c r="Y72" s="1">
        <f t="shared" si="5"/>
        <v>344219.68547439692</v>
      </c>
      <c r="AA72" s="2">
        <f>+Bono!J72</f>
        <v>137718.33798927019</v>
      </c>
      <c r="AC72" s="10">
        <f t="shared" si="6"/>
        <v>4.083333333333333</v>
      </c>
      <c r="AD72" s="1">
        <f t="shared" si="7"/>
        <v>692423.26875140821</v>
      </c>
    </row>
    <row r="73" spans="2:41">
      <c r="B73" s="1">
        <f t="shared" si="8"/>
        <v>50</v>
      </c>
      <c r="C73" s="2">
        <f t="shared" si="17"/>
        <v>4</v>
      </c>
      <c r="D73" s="2">
        <f t="shared" si="18"/>
        <v>2</v>
      </c>
      <c r="E73" s="2">
        <f t="shared" si="19"/>
        <v>33</v>
      </c>
      <c r="F73" s="1">
        <f t="shared" si="10"/>
        <v>210485.2452877411</v>
      </c>
      <c r="H73" s="1">
        <f t="shared" si="1"/>
        <v>1678.4389041367019</v>
      </c>
      <c r="I73" s="1">
        <v>0</v>
      </c>
      <c r="J73" s="1">
        <v>0</v>
      </c>
      <c r="K73" s="1">
        <f t="shared" si="11"/>
        <v>-212.16368419187782</v>
      </c>
      <c r="L73" s="1">
        <f t="shared" si="2"/>
        <v>211951.52050768593</v>
      </c>
      <c r="N73" s="1">
        <f t="shared" si="12"/>
        <v>50</v>
      </c>
      <c r="O73" s="2">
        <f t="shared" si="20"/>
        <v>4</v>
      </c>
      <c r="P73" s="2">
        <f t="shared" si="21"/>
        <v>2</v>
      </c>
      <c r="Q73" s="2">
        <f t="shared" si="22"/>
        <v>4</v>
      </c>
      <c r="R73" s="1">
        <f t="shared" si="14"/>
        <v>344219.68547439692</v>
      </c>
      <c r="S73" s="4">
        <f>IF($G$4="mensual",S72,0)</f>
        <v>10000</v>
      </c>
      <c r="U73" s="1">
        <f t="shared" si="23"/>
        <v>2824.597514654964</v>
      </c>
      <c r="V73" s="1">
        <f>V72</f>
        <v>-89.143222272000017</v>
      </c>
      <c r="X73" s="1">
        <f t="shared" si="4"/>
        <v>-357.04428298905191</v>
      </c>
      <c r="Y73" s="1">
        <f t="shared" si="5"/>
        <v>356598.09548379085</v>
      </c>
      <c r="AA73" s="2">
        <f>+Bono!J73</f>
        <v>138572.20765914215</v>
      </c>
      <c r="AC73" s="10">
        <f t="shared" si="6"/>
        <v>4.166666666666667</v>
      </c>
      <c r="AD73" s="1">
        <f t="shared" si="7"/>
        <v>707121.8236506189</v>
      </c>
    </row>
    <row r="74" spans="2:41">
      <c r="B74" s="1">
        <f t="shared" si="8"/>
        <v>51</v>
      </c>
      <c r="C74" s="2">
        <f t="shared" si="17"/>
        <v>4</v>
      </c>
      <c r="D74" s="2">
        <f t="shared" si="18"/>
        <v>3</v>
      </c>
      <c r="E74" s="2">
        <f t="shared" si="19"/>
        <v>33</v>
      </c>
      <c r="F74" s="1">
        <f t="shared" si="10"/>
        <v>211951.52050768593</v>
      </c>
      <c r="H74" s="1">
        <f t="shared" si="1"/>
        <v>1690.1311886479637</v>
      </c>
      <c r="I74" s="1">
        <v>0</v>
      </c>
      <c r="J74" s="69">
        <f>-SUM(F74:H74)*$J$21</f>
        <v>-1922.7748652670052</v>
      </c>
      <c r="K74" s="1">
        <f t="shared" si="11"/>
        <v>-211.71887683106689</v>
      </c>
      <c r="L74" s="1">
        <f t="shared" si="2"/>
        <v>211507.15795423582</v>
      </c>
      <c r="N74" s="1">
        <f t="shared" si="12"/>
        <v>51</v>
      </c>
      <c r="O74" s="2">
        <f t="shared" si="20"/>
        <v>4</v>
      </c>
      <c r="P74" s="2">
        <f t="shared" si="21"/>
        <v>3</v>
      </c>
      <c r="Q74" s="2">
        <f t="shared" si="22"/>
        <v>4</v>
      </c>
      <c r="R74" s="1">
        <f t="shared" si="14"/>
        <v>356598.09548379085</v>
      </c>
      <c r="S74" s="4">
        <f>IF($G$4="mensual",S73,0)</f>
        <v>10000</v>
      </c>
      <c r="U74" s="1">
        <f t="shared" si="23"/>
        <v>2923.3046943564191</v>
      </c>
      <c r="V74" s="1">
        <f t="shared" si="25"/>
        <v>-89.143222272000017</v>
      </c>
      <c r="X74" s="1">
        <f t="shared" si="4"/>
        <v>-369.52140017814725</v>
      </c>
      <c r="Y74" s="1">
        <f t="shared" si="5"/>
        <v>369062.73555569712</v>
      </c>
      <c r="AA74" s="2">
        <f>+Bono!J74</f>
        <v>138175.2329387487</v>
      </c>
      <c r="AC74" s="10">
        <f t="shared" si="6"/>
        <v>4.25</v>
      </c>
      <c r="AD74" s="1">
        <f t="shared" si="7"/>
        <v>718745.12644868158</v>
      </c>
    </row>
    <row r="75" spans="2:41">
      <c r="B75" s="1">
        <f t="shared" si="8"/>
        <v>52</v>
      </c>
      <c r="C75" s="2">
        <f t="shared" si="17"/>
        <v>4</v>
      </c>
      <c r="D75" s="2">
        <f t="shared" si="18"/>
        <v>4</v>
      </c>
      <c r="E75" s="2">
        <f t="shared" si="19"/>
        <v>33</v>
      </c>
      <c r="F75" s="1">
        <f t="shared" si="10"/>
        <v>211507.15795423582</v>
      </c>
      <c r="H75" s="1">
        <f t="shared" si="1"/>
        <v>1686.5877792454062</v>
      </c>
      <c r="I75" s="1">
        <v>0</v>
      </c>
      <c r="J75" s="1">
        <v>0</v>
      </c>
      <c r="K75" s="1">
        <f t="shared" si="11"/>
        <v>-213.19374573348122</v>
      </c>
      <c r="L75" s="1">
        <f t="shared" si="2"/>
        <v>212980.55198774775</v>
      </c>
      <c r="N75" s="1">
        <f t="shared" si="12"/>
        <v>52</v>
      </c>
      <c r="O75" s="2">
        <f t="shared" si="20"/>
        <v>4</v>
      </c>
      <c r="P75" s="2">
        <f t="shared" si="21"/>
        <v>4</v>
      </c>
      <c r="Q75" s="2">
        <f t="shared" si="22"/>
        <v>4</v>
      </c>
      <c r="R75" s="1">
        <f t="shared" si="14"/>
        <v>369062.73555569712</v>
      </c>
      <c r="S75" s="4">
        <f>IF($G$4="mensual",S72,IF($G$4="trimestral",S72,0))</f>
        <v>10000</v>
      </c>
      <c r="U75" s="1">
        <f t="shared" si="23"/>
        <v>3022.6994846855409</v>
      </c>
      <c r="V75" s="1">
        <f t="shared" si="25"/>
        <v>-89.143222272000017</v>
      </c>
      <c r="X75" s="1">
        <f t="shared" si="4"/>
        <v>-382.08543504038266</v>
      </c>
      <c r="Y75" s="1">
        <f t="shared" si="5"/>
        <v>381614.20638307027</v>
      </c>
      <c r="AA75" s="2">
        <f>+Bono!J75</f>
        <v>139031.93541030394</v>
      </c>
      <c r="AC75" s="10">
        <f t="shared" si="6"/>
        <v>4.333333333333333</v>
      </c>
      <c r="AD75" s="1">
        <f t="shared" si="7"/>
        <v>733626.69378112198</v>
      </c>
    </row>
    <row r="76" spans="2:41">
      <c r="B76" s="1">
        <f t="shared" si="8"/>
        <v>53</v>
      </c>
      <c r="C76" s="2">
        <f t="shared" si="17"/>
        <v>4</v>
      </c>
      <c r="D76" s="2">
        <f t="shared" si="18"/>
        <v>5</v>
      </c>
      <c r="E76" s="2">
        <f t="shared" si="19"/>
        <v>33</v>
      </c>
      <c r="F76" s="1">
        <f t="shared" si="10"/>
        <v>212980.55198774775</v>
      </c>
      <c r="H76" s="1">
        <f t="shared" si="1"/>
        <v>1698.3368301757394</v>
      </c>
      <c r="I76" s="1">
        <v>0</v>
      </c>
      <c r="J76" s="1">
        <v>0</v>
      </c>
      <c r="K76" s="1">
        <f t="shared" si="11"/>
        <v>-214.67888881792351</v>
      </c>
      <c r="L76" s="1">
        <f t="shared" si="2"/>
        <v>214464.20992910556</v>
      </c>
      <c r="N76" s="1">
        <f t="shared" si="12"/>
        <v>53</v>
      </c>
      <c r="O76" s="2">
        <f t="shared" si="20"/>
        <v>4</v>
      </c>
      <c r="P76" s="2">
        <f t="shared" si="21"/>
        <v>5</v>
      </c>
      <c r="Q76" s="2">
        <f t="shared" si="22"/>
        <v>4</v>
      </c>
      <c r="R76" s="1">
        <f t="shared" si="14"/>
        <v>381614.20638307027</v>
      </c>
      <c r="S76" s="4">
        <f>IF($G$4="mensual",S75,0)</f>
        <v>10000</v>
      </c>
      <c r="U76" s="1">
        <f t="shared" si="23"/>
        <v>3122.7866756523031</v>
      </c>
      <c r="V76" s="1">
        <f t="shared" si="25"/>
        <v>-89.143222272000017</v>
      </c>
      <c r="X76" s="1">
        <f t="shared" si="4"/>
        <v>-394.73699305872259</v>
      </c>
      <c r="Y76" s="1">
        <f t="shared" si="5"/>
        <v>394253.11284339189</v>
      </c>
      <c r="AA76" s="2">
        <f>+Bono!J76</f>
        <v>139893.94953655414</v>
      </c>
      <c r="AC76" s="10">
        <f t="shared" si="6"/>
        <v>4.416666666666667</v>
      </c>
      <c r="AD76" s="1">
        <f t="shared" si="7"/>
        <v>748611.27230905159</v>
      </c>
    </row>
    <row r="77" spans="2:41">
      <c r="B77" s="1">
        <f t="shared" si="8"/>
        <v>54</v>
      </c>
      <c r="C77" s="2">
        <f t="shared" si="17"/>
        <v>4</v>
      </c>
      <c r="D77" s="2">
        <f t="shared" si="18"/>
        <v>6</v>
      </c>
      <c r="E77" s="2">
        <f t="shared" si="19"/>
        <v>33</v>
      </c>
      <c r="F77" s="1">
        <f t="shared" si="10"/>
        <v>214464.20992910556</v>
      </c>
      <c r="H77" s="1">
        <f t="shared" si="1"/>
        <v>1710.1677269485847</v>
      </c>
      <c r="I77" s="1">
        <v>0</v>
      </c>
      <c r="J77" s="69">
        <f>-SUM(F77:H77)*$J$21</f>
        <v>-1945.5693989044876</v>
      </c>
      <c r="K77" s="1">
        <f t="shared" si="11"/>
        <v>-214.22880825714969</v>
      </c>
      <c r="L77" s="1">
        <f t="shared" si="2"/>
        <v>214014.57944889253</v>
      </c>
      <c r="N77" s="1">
        <f t="shared" si="12"/>
        <v>54</v>
      </c>
      <c r="O77" s="2">
        <f t="shared" si="20"/>
        <v>4</v>
      </c>
      <c r="P77" s="2">
        <f t="shared" si="21"/>
        <v>6</v>
      </c>
      <c r="Q77" s="2">
        <f t="shared" si="22"/>
        <v>4</v>
      </c>
      <c r="R77" s="1">
        <f t="shared" si="14"/>
        <v>394253.11284339189</v>
      </c>
      <c r="S77" s="4">
        <f>IF($G$4="mensual",S76,0)</f>
        <v>10000</v>
      </c>
      <c r="U77" s="1">
        <f t="shared" si="23"/>
        <v>3223.5710906346867</v>
      </c>
      <c r="V77" s="1">
        <f t="shared" si="25"/>
        <v>-89.143222272000017</v>
      </c>
      <c r="X77" s="1">
        <f t="shared" si="4"/>
        <v>-407.4766839340266</v>
      </c>
      <c r="Y77" s="1">
        <f t="shared" si="5"/>
        <v>406980.06402782054</v>
      </c>
      <c r="AA77" s="2">
        <f>+Bono!J77</f>
        <v>139493.18835622704</v>
      </c>
      <c r="AC77" s="10">
        <f t="shared" si="6"/>
        <v>4.5</v>
      </c>
      <c r="AD77" s="1">
        <f t="shared" si="7"/>
        <v>760487.83183294011</v>
      </c>
    </row>
    <row r="78" spans="2:41">
      <c r="B78" s="1">
        <f t="shared" si="8"/>
        <v>55</v>
      </c>
      <c r="C78" s="2">
        <f t="shared" si="17"/>
        <v>4</v>
      </c>
      <c r="D78" s="2">
        <f t="shared" si="18"/>
        <v>7</v>
      </c>
      <c r="E78" s="2">
        <f t="shared" si="19"/>
        <v>33</v>
      </c>
      <c r="F78" s="1">
        <f t="shared" si="10"/>
        <v>214014.57944889253</v>
      </c>
      <c r="H78" s="1">
        <f t="shared" si="1"/>
        <v>1706.5823103582507</v>
      </c>
      <c r="I78" s="1">
        <v>0</v>
      </c>
      <c r="J78" s="1">
        <v>0</v>
      </c>
      <c r="K78" s="1">
        <f t="shared" si="11"/>
        <v>-215.72116175925078</v>
      </c>
      <c r="L78" s="1">
        <f t="shared" si="2"/>
        <v>215505.44059749151</v>
      </c>
      <c r="N78" s="1">
        <f t="shared" si="12"/>
        <v>55</v>
      </c>
      <c r="O78" s="2">
        <f t="shared" si="20"/>
        <v>4</v>
      </c>
      <c r="P78" s="2">
        <f t="shared" si="21"/>
        <v>7</v>
      </c>
      <c r="Q78" s="2">
        <f t="shared" si="22"/>
        <v>4</v>
      </c>
      <c r="R78" s="1">
        <f t="shared" si="14"/>
        <v>406980.06402782054</v>
      </c>
      <c r="S78" s="1">
        <f>+IF($G$4="mensual",S72,IF($G$4="trimestral",S72,IF($G$4="semestral",S72,0)))</f>
        <v>10000</v>
      </c>
      <c r="U78" s="1">
        <f t="shared" si="23"/>
        <v>3325.057586611124</v>
      </c>
      <c r="V78" s="1">
        <f t="shared" si="25"/>
        <v>-89.143222272000017</v>
      </c>
      <c r="X78" s="1">
        <f t="shared" si="4"/>
        <v>-420.3051216144317</v>
      </c>
      <c r="Y78" s="1">
        <f t="shared" si="5"/>
        <v>419795.67327054526</v>
      </c>
      <c r="AA78" s="2">
        <f>+Bono!J78</f>
        <v>140358.062304244</v>
      </c>
      <c r="AC78" s="10">
        <f t="shared" si="6"/>
        <v>4.583333333333333</v>
      </c>
      <c r="AD78" s="1">
        <f t="shared" si="7"/>
        <v>775659.17617228068</v>
      </c>
    </row>
    <row r="79" spans="2:41">
      <c r="B79" s="1">
        <f t="shared" si="8"/>
        <v>56</v>
      </c>
      <c r="C79" s="2">
        <f t="shared" si="17"/>
        <v>4</v>
      </c>
      <c r="D79" s="2">
        <f t="shared" si="18"/>
        <v>8</v>
      </c>
      <c r="E79" s="2">
        <f t="shared" si="19"/>
        <v>33</v>
      </c>
      <c r="F79" s="1">
        <f t="shared" si="10"/>
        <v>215505.44059749151</v>
      </c>
      <c r="H79" s="1">
        <f t="shared" si="1"/>
        <v>1718.4706465171757</v>
      </c>
      <c r="I79" s="1">
        <v>0</v>
      </c>
      <c r="J79" s="1">
        <v>0</v>
      </c>
      <c r="K79" s="1">
        <f t="shared" si="11"/>
        <v>-217.22391124400869</v>
      </c>
      <c r="L79" s="1">
        <f t="shared" si="2"/>
        <v>217006.68733276468</v>
      </c>
      <c r="N79" s="1">
        <f t="shared" si="12"/>
        <v>56</v>
      </c>
      <c r="O79" s="2">
        <f t="shared" si="20"/>
        <v>4</v>
      </c>
      <c r="P79" s="2">
        <f t="shared" si="21"/>
        <v>8</v>
      </c>
      <c r="Q79" s="2">
        <f t="shared" si="22"/>
        <v>4</v>
      </c>
      <c r="R79" s="1">
        <f t="shared" si="14"/>
        <v>419795.67327054526</v>
      </c>
      <c r="S79" s="4">
        <f>IF($G$4="mensual",S78,0)</f>
        <v>10000</v>
      </c>
      <c r="U79" s="1">
        <f t="shared" si="23"/>
        <v>3427.2510543945677</v>
      </c>
      <c r="V79" s="1">
        <f t="shared" si="25"/>
        <v>-89.143222272000017</v>
      </c>
      <c r="X79" s="1">
        <f t="shared" si="4"/>
        <v>-433.22292432493987</v>
      </c>
      <c r="Y79" s="1">
        <f t="shared" si="5"/>
        <v>432700.55817834294</v>
      </c>
      <c r="AA79" s="2">
        <f>+Bono!J79</f>
        <v>141228.29857105785</v>
      </c>
      <c r="AC79" s="10">
        <f t="shared" si="6"/>
        <v>4.666666666666667</v>
      </c>
      <c r="AD79" s="1">
        <f t="shared" si="7"/>
        <v>790935.54408216546</v>
      </c>
    </row>
    <row r="80" spans="2:41">
      <c r="B80" s="1">
        <f t="shared" si="8"/>
        <v>57</v>
      </c>
      <c r="C80" s="2">
        <f t="shared" si="17"/>
        <v>4</v>
      </c>
      <c r="D80" s="2">
        <f t="shared" si="18"/>
        <v>9</v>
      </c>
      <c r="E80" s="2">
        <f t="shared" si="19"/>
        <v>33</v>
      </c>
      <c r="F80" s="1">
        <f t="shared" si="10"/>
        <v>217006.68733276468</v>
      </c>
      <c r="H80" s="1">
        <f t="shared" si="1"/>
        <v>1730.4417988026771</v>
      </c>
      <c r="I80" s="1">
        <v>0</v>
      </c>
      <c r="J80" s="69">
        <f>-SUM(F80:H80)*$J$21</f>
        <v>-1968.6341621841063</v>
      </c>
      <c r="K80" s="1">
        <f t="shared" si="11"/>
        <v>-216.76849496938323</v>
      </c>
      <c r="L80" s="1">
        <f t="shared" si="2"/>
        <v>216551.72647441385</v>
      </c>
      <c r="N80" s="1">
        <f t="shared" si="12"/>
        <v>57</v>
      </c>
      <c r="O80" s="2">
        <f t="shared" si="20"/>
        <v>4</v>
      </c>
      <c r="P80" s="2">
        <f t="shared" si="21"/>
        <v>9</v>
      </c>
      <c r="Q80" s="2">
        <f t="shared" si="22"/>
        <v>4</v>
      </c>
      <c r="R80" s="1">
        <f t="shared" si="14"/>
        <v>432700.55817834294</v>
      </c>
      <c r="S80" s="4">
        <f>IF($G$4="mensual",S79,0)</f>
        <v>10000</v>
      </c>
      <c r="U80" s="1">
        <f t="shared" si="23"/>
        <v>3530.1564188681873</v>
      </c>
      <c r="V80" s="1">
        <f t="shared" si="25"/>
        <v>-89.143222272000017</v>
      </c>
      <c r="X80" s="1">
        <f t="shared" si="4"/>
        <v>-446.23071459721109</v>
      </c>
      <c r="Y80" s="1">
        <f t="shared" si="5"/>
        <v>445695.3406603419</v>
      </c>
      <c r="AA80" s="2">
        <f>+Bono!J80</f>
        <v>140823.71481444486</v>
      </c>
      <c r="AC80" s="10">
        <f t="shared" si="6"/>
        <v>4.75</v>
      </c>
      <c r="AD80" s="1">
        <f t="shared" si="7"/>
        <v>803070.78194920067</v>
      </c>
    </row>
    <row r="81" spans="2:30">
      <c r="B81" s="1">
        <f t="shared" si="8"/>
        <v>58</v>
      </c>
      <c r="C81" s="2">
        <f t="shared" si="17"/>
        <v>4</v>
      </c>
      <c r="D81" s="2">
        <f t="shared" si="18"/>
        <v>10</v>
      </c>
      <c r="E81" s="2">
        <f t="shared" si="19"/>
        <v>33</v>
      </c>
      <c r="F81" s="1">
        <f t="shared" si="10"/>
        <v>216551.72647441385</v>
      </c>
      <c r="H81" s="1">
        <f t="shared" si="1"/>
        <v>1726.8138770285332</v>
      </c>
      <c r="I81" s="1">
        <v>0</v>
      </c>
      <c r="J81" s="1">
        <v>0</v>
      </c>
      <c r="K81" s="1">
        <f t="shared" si="11"/>
        <v>-218.27854035144239</v>
      </c>
      <c r="L81" s="1">
        <f t="shared" si="2"/>
        <v>218060.26181109095</v>
      </c>
      <c r="N81" s="1">
        <f t="shared" si="12"/>
        <v>58</v>
      </c>
      <c r="O81" s="2">
        <f t="shared" si="20"/>
        <v>4</v>
      </c>
      <c r="P81" s="2">
        <f t="shared" si="21"/>
        <v>10</v>
      </c>
      <c r="Q81" s="2">
        <f t="shared" si="22"/>
        <v>4</v>
      </c>
      <c r="R81" s="1">
        <f t="shared" si="14"/>
        <v>445695.3406603419</v>
      </c>
      <c r="S81" s="4">
        <f>IF($G$4="mensual",S72,IF($G$4="trimestral",S72,0))</f>
        <v>10000</v>
      </c>
      <c r="U81" s="1">
        <f t="shared" si="23"/>
        <v>3633.7786392227058</v>
      </c>
      <c r="V81" s="1">
        <f t="shared" si="25"/>
        <v>-89.143222272000017</v>
      </c>
      <c r="X81" s="1">
        <f t="shared" si="4"/>
        <v>-459.32911929956464</v>
      </c>
      <c r="Y81" s="1">
        <f t="shared" si="5"/>
        <v>458780.6469579931</v>
      </c>
      <c r="AA81" s="2">
        <f>+Bono!J81</f>
        <v>141696.83818083428</v>
      </c>
      <c r="AC81" s="10">
        <f t="shared" si="6"/>
        <v>4.833333333333333</v>
      </c>
      <c r="AD81" s="1">
        <f t="shared" si="7"/>
        <v>818537.74694991834</v>
      </c>
    </row>
    <row r="82" spans="2:30">
      <c r="B82" s="1">
        <f t="shared" si="8"/>
        <v>59</v>
      </c>
      <c r="C82" s="2">
        <f t="shared" si="17"/>
        <v>4</v>
      </c>
      <c r="D82" s="2">
        <f t="shared" si="18"/>
        <v>11</v>
      </c>
      <c r="E82" s="2">
        <f t="shared" si="19"/>
        <v>33</v>
      </c>
      <c r="F82" s="1">
        <f t="shared" si="10"/>
        <v>218060.26181109095</v>
      </c>
      <c r="H82" s="1">
        <f t="shared" si="1"/>
        <v>1738.8431496451599</v>
      </c>
      <c r="I82" s="1">
        <v>0</v>
      </c>
      <c r="J82" s="1">
        <v>0</v>
      </c>
      <c r="K82" s="1">
        <f t="shared" si="11"/>
        <v>-219.79910496073612</v>
      </c>
      <c r="L82" s="1">
        <f t="shared" si="2"/>
        <v>219579.3058557754</v>
      </c>
      <c r="N82" s="1">
        <f t="shared" si="12"/>
        <v>59</v>
      </c>
      <c r="O82" s="2">
        <f t="shared" si="20"/>
        <v>4</v>
      </c>
      <c r="P82" s="2">
        <f t="shared" si="21"/>
        <v>11</v>
      </c>
      <c r="Q82" s="2">
        <f t="shared" si="22"/>
        <v>4</v>
      </c>
      <c r="R82" s="1">
        <f t="shared" si="14"/>
        <v>458780.6469579931</v>
      </c>
      <c r="S82" s="1">
        <f>IF($G$17="si",S70*(1+$G$20),S70)</f>
        <v>10000</v>
      </c>
      <c r="U82" s="1">
        <f t="shared" si="23"/>
        <v>3738.1227091953951</v>
      </c>
      <c r="V82" s="1">
        <f t="shared" si="25"/>
        <v>-89.143222272000017</v>
      </c>
      <c r="X82" s="1">
        <f t="shared" si="4"/>
        <v>-472.51876966718851</v>
      </c>
      <c r="Y82" s="1">
        <f t="shared" si="5"/>
        <v>471957.10767524934</v>
      </c>
      <c r="AA82" s="2">
        <f>+Bono!J82</f>
        <v>142575.37501337141</v>
      </c>
      <c r="AC82" s="10">
        <f t="shared" si="6"/>
        <v>4.916666666666667</v>
      </c>
      <c r="AD82" s="1">
        <f t="shared" si="7"/>
        <v>834111.78854439605</v>
      </c>
    </row>
    <row r="83" spans="2:30">
      <c r="B83" s="1">
        <f t="shared" si="8"/>
        <v>60</v>
      </c>
      <c r="C83" s="2">
        <f t="shared" si="17"/>
        <v>4</v>
      </c>
      <c r="D83" s="2">
        <f t="shared" si="18"/>
        <v>12</v>
      </c>
      <c r="E83" s="2">
        <f t="shared" si="19"/>
        <v>33</v>
      </c>
      <c r="F83" s="1">
        <f t="shared" si="10"/>
        <v>219579.3058557754</v>
      </c>
      <c r="H83" s="1">
        <f t="shared" si="1"/>
        <v>1750.9562201751637</v>
      </c>
      <c r="I83" s="1">
        <v>0</v>
      </c>
      <c r="J83" s="69">
        <f>-SUM(F83:H83)*$J$21</f>
        <v>-1991.9723586835553</v>
      </c>
      <c r="K83" s="1">
        <f t="shared" si="11"/>
        <v>-219.338289717267</v>
      </c>
      <c r="L83" s="1">
        <f t="shared" si="2"/>
        <v>219118.95142754973</v>
      </c>
      <c r="N83" s="1">
        <f t="shared" si="12"/>
        <v>60</v>
      </c>
      <c r="O83" s="2">
        <f t="shared" si="20"/>
        <v>4</v>
      </c>
      <c r="P83" s="2">
        <f t="shared" si="21"/>
        <v>12</v>
      </c>
      <c r="Q83" s="2">
        <f t="shared" si="22"/>
        <v>4</v>
      </c>
      <c r="R83" s="1">
        <f t="shared" si="14"/>
        <v>471957.10767524934</v>
      </c>
      <c r="S83" s="4">
        <f>IF($G$4="mensual",S82,0)</f>
        <v>10000</v>
      </c>
      <c r="U83" s="1">
        <f t="shared" si="23"/>
        <v>3843.1936573107305</v>
      </c>
      <c r="V83" s="1">
        <f t="shared" si="25"/>
        <v>-89.143222272000017</v>
      </c>
      <c r="X83" s="1">
        <f t="shared" si="4"/>
        <v>-485.80030133256008</v>
      </c>
      <c r="Y83" s="1">
        <f t="shared" si="5"/>
        <v>485225.35780895554</v>
      </c>
      <c r="AA83" s="2">
        <f>+Bono!J83</f>
        <v>142166.93221963209</v>
      </c>
      <c r="AC83" s="10">
        <f t="shared" si="6"/>
        <v>5</v>
      </c>
      <c r="AD83" s="1">
        <f t="shared" si="7"/>
        <v>846511.24145613739</v>
      </c>
    </row>
    <row r="84" spans="2:30">
      <c r="B84" s="1">
        <f t="shared" si="8"/>
        <v>61</v>
      </c>
      <c r="C84" s="2">
        <f t="shared" si="17"/>
        <v>5</v>
      </c>
      <c r="D84" s="2">
        <f t="shared" si="18"/>
        <v>1</v>
      </c>
      <c r="E84" s="2">
        <f t="shared" si="19"/>
        <v>34</v>
      </c>
      <c r="F84" s="1">
        <f t="shared" si="10"/>
        <v>219118.95142754973</v>
      </c>
      <c r="H84" s="1">
        <f t="shared" si="1"/>
        <v>1747.2852893174245</v>
      </c>
      <c r="I84" s="1">
        <v>0</v>
      </c>
      <c r="J84" s="1">
        <v>0</v>
      </c>
      <c r="K84" s="1">
        <f t="shared" si="11"/>
        <v>-220.86623671686718</v>
      </c>
      <c r="L84" s="1">
        <f t="shared" si="2"/>
        <v>220645.3704801503</v>
      </c>
      <c r="N84" s="1">
        <f t="shared" si="12"/>
        <v>61</v>
      </c>
      <c r="O84" s="2">
        <f t="shared" si="20"/>
        <v>5</v>
      </c>
      <c r="P84" s="2">
        <f t="shared" si="21"/>
        <v>1</v>
      </c>
      <c r="Q84" s="2">
        <f t="shared" si="22"/>
        <v>5</v>
      </c>
      <c r="R84" s="1">
        <f t="shared" si="14"/>
        <v>485225.35780895554</v>
      </c>
      <c r="S84" s="1">
        <f>IF($G$17="si",S72*(1+$G$20),S72)</f>
        <v>10000</v>
      </c>
      <c r="U84" s="1">
        <f t="shared" si="23"/>
        <v>3948.9965471227247</v>
      </c>
      <c r="V84" s="1">
        <f>V83*(1+$G$18)</f>
        <v>-92.708951162880027</v>
      </c>
      <c r="X84" s="1">
        <f t="shared" si="4"/>
        <v>-499.17435435607825</v>
      </c>
      <c r="Y84" s="1">
        <f t="shared" si="5"/>
        <v>498582.47105055931</v>
      </c>
      <c r="AA84" s="2">
        <f>+Bono!J84</f>
        <v>143048.38368973727</v>
      </c>
      <c r="AC84" s="10">
        <f t="shared" si="6"/>
        <v>5.083333333333333</v>
      </c>
      <c r="AD84" s="1">
        <f t="shared" si="7"/>
        <v>862276.22522044694</v>
      </c>
    </row>
    <row r="85" spans="2:30">
      <c r="B85" s="1">
        <f t="shared" si="8"/>
        <v>62</v>
      </c>
      <c r="C85" s="2">
        <f t="shared" si="17"/>
        <v>5</v>
      </c>
      <c r="D85" s="2">
        <f t="shared" si="18"/>
        <v>2</v>
      </c>
      <c r="E85" s="2">
        <f t="shared" si="19"/>
        <v>34</v>
      </c>
      <c r="F85" s="1">
        <f t="shared" si="10"/>
        <v>220645.3704801503</v>
      </c>
      <c r="H85" s="1">
        <f t="shared" si="1"/>
        <v>1759.4571691962158</v>
      </c>
      <c r="I85" s="1">
        <v>0</v>
      </c>
      <c r="J85" s="1">
        <v>0</v>
      </c>
      <c r="K85" s="1">
        <f t="shared" si="11"/>
        <v>-222.40482764934652</v>
      </c>
      <c r="L85" s="1">
        <f t="shared" si="2"/>
        <v>222182.42282169717</v>
      </c>
      <c r="N85" s="1">
        <f t="shared" si="12"/>
        <v>62</v>
      </c>
      <c r="O85" s="2">
        <f t="shared" si="20"/>
        <v>5</v>
      </c>
      <c r="P85" s="2">
        <f t="shared" si="21"/>
        <v>2</v>
      </c>
      <c r="Q85" s="2">
        <f t="shared" si="22"/>
        <v>5</v>
      </c>
      <c r="R85" s="1">
        <f t="shared" si="14"/>
        <v>498582.47105055931</v>
      </c>
      <c r="S85" s="4">
        <f>IF($G$4="mensual",S84,0)</f>
        <v>10000</v>
      </c>
      <c r="U85" s="1">
        <f t="shared" si="23"/>
        <v>4055.5080438360433</v>
      </c>
      <c r="V85" s="1">
        <f>V84</f>
        <v>-92.708951162880027</v>
      </c>
      <c r="X85" s="1">
        <f t="shared" si="4"/>
        <v>-512.6379790943954</v>
      </c>
      <c r="Y85" s="1">
        <f t="shared" si="5"/>
        <v>512032.63216413808</v>
      </c>
      <c r="AA85" s="2">
        <f>+Bono!J85</f>
        <v>143935.30026119915</v>
      </c>
      <c r="AC85" s="10">
        <f t="shared" si="6"/>
        <v>5.166666666666667</v>
      </c>
      <c r="AD85" s="1">
        <f t="shared" si="7"/>
        <v>878150.35524703446</v>
      </c>
    </row>
    <row r="86" spans="2:30">
      <c r="B86" s="1">
        <f t="shared" si="8"/>
        <v>63</v>
      </c>
      <c r="C86" s="2">
        <f t="shared" si="17"/>
        <v>5</v>
      </c>
      <c r="D86" s="2">
        <f t="shared" si="18"/>
        <v>3</v>
      </c>
      <c r="E86" s="2">
        <f t="shared" si="19"/>
        <v>34</v>
      </c>
      <c r="F86" s="1">
        <f t="shared" si="10"/>
        <v>222182.42282169717</v>
      </c>
      <c r="H86" s="1">
        <f t="shared" si="1"/>
        <v>1771.7138404142859</v>
      </c>
      <c r="I86" s="1">
        <v>0</v>
      </c>
      <c r="J86" s="69">
        <f>-SUM(F86:H86)*$J$21</f>
        <v>-2015.5872299590033</v>
      </c>
      <c r="K86" s="1">
        <f t="shared" si="11"/>
        <v>-221.93854943215246</v>
      </c>
      <c r="L86" s="1">
        <f t="shared" si="2"/>
        <v>221716.6108827203</v>
      </c>
      <c r="N86" s="1">
        <f t="shared" si="12"/>
        <v>63</v>
      </c>
      <c r="O86" s="2">
        <f t="shared" si="20"/>
        <v>5</v>
      </c>
      <c r="P86" s="2">
        <f t="shared" si="21"/>
        <v>3</v>
      </c>
      <c r="Q86" s="2">
        <f t="shared" si="22"/>
        <v>5</v>
      </c>
      <c r="R86" s="1">
        <f t="shared" si="14"/>
        <v>512032.63216413808</v>
      </c>
      <c r="S86" s="4">
        <f>IF($G$4="mensual",S85,0)</f>
        <v>10000</v>
      </c>
      <c r="U86" s="1">
        <f t="shared" si="23"/>
        <v>4162.7615173471013</v>
      </c>
      <c r="V86" s="1">
        <f t="shared" si="25"/>
        <v>-92.708951162880027</v>
      </c>
      <c r="X86" s="1">
        <f t="shared" si="4"/>
        <v>-526.19539368148526</v>
      </c>
      <c r="Y86" s="1">
        <f t="shared" si="5"/>
        <v>525576.48933664081</v>
      </c>
      <c r="AA86" s="2">
        <f>+Bono!J86</f>
        <v>143522.96162171895</v>
      </c>
      <c r="AC86" s="10">
        <f t="shared" si="6"/>
        <v>5.25</v>
      </c>
      <c r="AD86" s="1">
        <f t="shared" si="7"/>
        <v>890816.06184108008</v>
      </c>
    </row>
    <row r="87" spans="2:30">
      <c r="B87" s="1">
        <f t="shared" si="8"/>
        <v>64</v>
      </c>
      <c r="C87" s="2">
        <f t="shared" si="17"/>
        <v>5</v>
      </c>
      <c r="D87" s="2">
        <f t="shared" si="18"/>
        <v>4</v>
      </c>
      <c r="E87" s="2">
        <f t="shared" si="19"/>
        <v>34</v>
      </c>
      <c r="F87" s="1">
        <f t="shared" si="10"/>
        <v>221716.6108827203</v>
      </c>
      <c r="H87" s="1">
        <f t="shared" si="1"/>
        <v>1767.9993905994243</v>
      </c>
      <c r="I87" s="1">
        <v>0</v>
      </c>
      <c r="J87" s="1">
        <v>0</v>
      </c>
      <c r="K87" s="1">
        <f t="shared" si="11"/>
        <v>-223.48461027331973</v>
      </c>
      <c r="L87" s="1">
        <f t="shared" si="2"/>
        <v>223261.1256630464</v>
      </c>
      <c r="N87" s="1">
        <f t="shared" si="12"/>
        <v>64</v>
      </c>
      <c r="O87" s="2">
        <f t="shared" si="20"/>
        <v>5</v>
      </c>
      <c r="P87" s="2">
        <f t="shared" si="21"/>
        <v>4</v>
      </c>
      <c r="Q87" s="2">
        <f t="shared" si="22"/>
        <v>5</v>
      </c>
      <c r="R87" s="1">
        <f t="shared" si="14"/>
        <v>525576.48933664081</v>
      </c>
      <c r="S87" s="4">
        <f>IF($G$4="mensual",S84,IF($G$4="trimestral",S84,0))</f>
        <v>10000</v>
      </c>
      <c r="U87" s="1">
        <f t="shared" si="23"/>
        <v>4270.7621363896533</v>
      </c>
      <c r="V87" s="1">
        <f t="shared" si="25"/>
        <v>-92.708951162880027</v>
      </c>
      <c r="X87" s="1">
        <f t="shared" si="4"/>
        <v>-539.84725147303038</v>
      </c>
      <c r="Y87" s="1">
        <f t="shared" si="5"/>
        <v>539214.69527039456</v>
      </c>
      <c r="AA87" s="2">
        <f>+Bono!J87</f>
        <v>144412.82063140674</v>
      </c>
      <c r="AC87" s="10">
        <f t="shared" si="6"/>
        <v>5.333333333333333</v>
      </c>
      <c r="AD87" s="1">
        <f t="shared" si="7"/>
        <v>906888.64156484767</v>
      </c>
    </row>
    <row r="88" spans="2:30">
      <c r="B88" s="1">
        <f t="shared" si="8"/>
        <v>65</v>
      </c>
      <c r="C88" s="2">
        <f t="shared" si="17"/>
        <v>5</v>
      </c>
      <c r="D88" s="2">
        <f t="shared" si="18"/>
        <v>5</v>
      </c>
      <c r="E88" s="2">
        <f t="shared" si="19"/>
        <v>34</v>
      </c>
      <c r="F88" s="1">
        <f t="shared" si="10"/>
        <v>223261.1256630464</v>
      </c>
      <c r="H88" s="1">
        <f t="shared" ref="H88:H151" si="26">SUM(F88:G88)*$G$8</f>
        <v>1780.3155683522621</v>
      </c>
      <c r="I88" s="1">
        <v>0</v>
      </c>
      <c r="J88" s="1">
        <v>0</v>
      </c>
      <c r="K88" s="1">
        <f t="shared" si="11"/>
        <v>-225.04144123139866</v>
      </c>
      <c r="L88" s="1">
        <f t="shared" ref="L88:L151" si="27">SUM(F88:K88)</f>
        <v>224816.39979016726</v>
      </c>
      <c r="N88" s="1">
        <f t="shared" si="12"/>
        <v>65</v>
      </c>
      <c r="O88" s="2">
        <f t="shared" si="20"/>
        <v>5</v>
      </c>
      <c r="P88" s="2">
        <f t="shared" si="21"/>
        <v>5</v>
      </c>
      <c r="Q88" s="2">
        <f t="shared" si="22"/>
        <v>5</v>
      </c>
      <c r="R88" s="1">
        <f t="shared" si="14"/>
        <v>539214.69527039456</v>
      </c>
      <c r="S88" s="4">
        <f>IF($G$4="mensual",S87,0)</f>
        <v>10000</v>
      </c>
      <c r="U88" s="1">
        <f t="shared" si="23"/>
        <v>4379.5151057037147</v>
      </c>
      <c r="V88" s="1">
        <f t="shared" si="25"/>
        <v>-92.708951162880027</v>
      </c>
      <c r="X88" s="1">
        <f t="shared" ref="X88:X151" si="28">-SUM(R88:U88)*0.1%</f>
        <v>-553.59421037609832</v>
      </c>
      <c r="Y88" s="1">
        <f t="shared" ref="Y88:Y151" si="29">SUM(R88:X88)</f>
        <v>552947.90721455927</v>
      </c>
      <c r="AA88" s="2">
        <f>+Bono!J88</f>
        <v>145308.19687017184</v>
      </c>
      <c r="AC88" s="10">
        <f t="shared" ref="AC88:AC151" si="30">+B88/12</f>
        <v>5.416666666666667</v>
      </c>
      <c r="AD88" s="1">
        <f t="shared" ref="AD88:AD151" si="31">+AA88+Y88+L88</f>
        <v>923072.50387489831</v>
      </c>
    </row>
    <row r="89" spans="2:30">
      <c r="B89" s="1">
        <f t="shared" ref="B89:B152" si="32">+B88+1</f>
        <v>66</v>
      </c>
      <c r="C89" s="2">
        <f t="shared" si="17"/>
        <v>5</v>
      </c>
      <c r="D89" s="2">
        <f t="shared" si="18"/>
        <v>6</v>
      </c>
      <c r="E89" s="2">
        <f t="shared" si="19"/>
        <v>34</v>
      </c>
      <c r="F89" s="1">
        <f t="shared" ref="F89:F152" si="33">L88</f>
        <v>224816.39979016726</v>
      </c>
      <c r="H89" s="1">
        <f t="shared" si="26"/>
        <v>1792.7175426473646</v>
      </c>
      <c r="I89" s="1">
        <v>0</v>
      </c>
      <c r="J89" s="69">
        <f>-SUM(F89:H89)*$J$21</f>
        <v>-2039.4820559953316</v>
      </c>
      <c r="K89" s="1">
        <f t="shared" ref="K89:K152" si="34">-SUM(F89:J89)*0.1%</f>
        <v>-224.5696352768193</v>
      </c>
      <c r="L89" s="1">
        <f t="shared" si="27"/>
        <v>224345.06564154246</v>
      </c>
      <c r="N89" s="1">
        <f t="shared" ref="N89:N152" si="35">+N88+1</f>
        <v>66</v>
      </c>
      <c r="O89" s="2">
        <f t="shared" si="20"/>
        <v>5</v>
      </c>
      <c r="P89" s="2">
        <f t="shared" si="21"/>
        <v>6</v>
      </c>
      <c r="Q89" s="2">
        <f t="shared" si="22"/>
        <v>5</v>
      </c>
      <c r="R89" s="1">
        <f t="shared" ref="R89:R152" si="36">Y88</f>
        <v>552947.90721455927</v>
      </c>
      <c r="S89" s="4">
        <f>IF($G$4="mensual",S88,0)</f>
        <v>10000</v>
      </c>
      <c r="U89" s="1">
        <f t="shared" si="23"/>
        <v>4489.0256662863821</v>
      </c>
      <c r="V89" s="1">
        <f t="shared" si="25"/>
        <v>-92.708951162880027</v>
      </c>
      <c r="X89" s="1">
        <f t="shared" si="28"/>
        <v>-567.43693288084557</v>
      </c>
      <c r="Y89" s="1">
        <f t="shared" si="29"/>
        <v>566776.78699680185</v>
      </c>
      <c r="AA89" s="2">
        <f>+Bono!J89</f>
        <v>144891.92522524504</v>
      </c>
      <c r="AC89" s="10">
        <f t="shared" si="30"/>
        <v>5.5</v>
      </c>
      <c r="AD89" s="1">
        <f t="shared" si="31"/>
        <v>936013.77786358935</v>
      </c>
    </row>
    <row r="90" spans="2:30">
      <c r="B90" s="1">
        <f t="shared" si="32"/>
        <v>67</v>
      </c>
      <c r="C90" s="2">
        <f t="shared" si="17"/>
        <v>5</v>
      </c>
      <c r="D90" s="2">
        <f t="shared" si="18"/>
        <v>7</v>
      </c>
      <c r="E90" s="2">
        <f t="shared" si="19"/>
        <v>34</v>
      </c>
      <c r="F90" s="1">
        <f t="shared" si="33"/>
        <v>224345.06564154246</v>
      </c>
      <c r="H90" s="1">
        <f t="shared" si="26"/>
        <v>1788.9590579572925</v>
      </c>
      <c r="I90" s="1">
        <v>0</v>
      </c>
      <c r="J90" s="1">
        <v>0</v>
      </c>
      <c r="K90" s="1">
        <f t="shared" si="34"/>
        <v>-226.13402469949975</v>
      </c>
      <c r="L90" s="1">
        <f t="shared" si="27"/>
        <v>225907.89067480023</v>
      </c>
      <c r="N90" s="1">
        <f t="shared" si="35"/>
        <v>67</v>
      </c>
      <c r="O90" s="2">
        <f t="shared" si="20"/>
        <v>5</v>
      </c>
      <c r="P90" s="2">
        <f t="shared" si="21"/>
        <v>7</v>
      </c>
      <c r="Q90" s="2">
        <f t="shared" si="22"/>
        <v>5</v>
      </c>
      <c r="R90" s="1">
        <f t="shared" si="36"/>
        <v>566776.78699680185</v>
      </c>
      <c r="S90" s="1">
        <f>+IF($G$4="mensual",S84,IF($G$4="trimestral",S84,IF($G$4="semestral",S84,0)))</f>
        <v>10000</v>
      </c>
      <c r="U90" s="1">
        <f t="shared" si="23"/>
        <v>4599.2990956444128</v>
      </c>
      <c r="V90" s="1">
        <f t="shared" si="25"/>
        <v>-92.708951162880027</v>
      </c>
      <c r="X90" s="1">
        <f t="shared" si="28"/>
        <v>-581.37608609244626</v>
      </c>
      <c r="Y90" s="1">
        <f t="shared" si="29"/>
        <v>580702.00105519092</v>
      </c>
      <c r="AA90" s="2">
        <f>+Bono!J90</f>
        <v>145790.27196806463</v>
      </c>
      <c r="AC90" s="10">
        <f t="shared" si="30"/>
        <v>5.583333333333333</v>
      </c>
      <c r="AD90" s="1">
        <f t="shared" si="31"/>
        <v>952400.16369805578</v>
      </c>
    </row>
    <row r="91" spans="2:30">
      <c r="B91" s="1">
        <f t="shared" si="32"/>
        <v>68</v>
      </c>
      <c r="C91" s="2">
        <f t="shared" si="17"/>
        <v>5</v>
      </c>
      <c r="D91" s="2">
        <f t="shared" si="18"/>
        <v>8</v>
      </c>
      <c r="E91" s="2">
        <f t="shared" si="19"/>
        <v>34</v>
      </c>
      <c r="F91" s="1">
        <f t="shared" si="33"/>
        <v>225907.89067480023</v>
      </c>
      <c r="H91" s="1">
        <f t="shared" si="26"/>
        <v>1801.4212442382961</v>
      </c>
      <c r="I91" s="1">
        <v>0</v>
      </c>
      <c r="J91" s="1">
        <v>0</v>
      </c>
      <c r="K91" s="1">
        <f t="shared" si="34"/>
        <v>-227.70931191903853</v>
      </c>
      <c r="L91" s="1">
        <f t="shared" si="27"/>
        <v>227481.60260711951</v>
      </c>
      <c r="N91" s="1">
        <f t="shared" si="35"/>
        <v>68</v>
      </c>
      <c r="O91" s="2">
        <f t="shared" si="20"/>
        <v>5</v>
      </c>
      <c r="P91" s="2">
        <f t="shared" si="21"/>
        <v>8</v>
      </c>
      <c r="Q91" s="2">
        <f t="shared" si="22"/>
        <v>5</v>
      </c>
      <c r="R91" s="1">
        <f t="shared" si="36"/>
        <v>580702.00105519092</v>
      </c>
      <c r="S91" s="4">
        <f>IF($G$4="mensual",S90,0)</f>
        <v>10000</v>
      </c>
      <c r="U91" s="1">
        <f t="shared" si="23"/>
        <v>4710.3407080485522</v>
      </c>
      <c r="V91" s="1">
        <f t="shared" si="25"/>
        <v>-92.708951162880027</v>
      </c>
      <c r="X91" s="1">
        <f t="shared" si="28"/>
        <v>-595.41234176323951</v>
      </c>
      <c r="Y91" s="1">
        <f t="shared" si="29"/>
        <v>594724.22047031333</v>
      </c>
      <c r="AA91" s="2">
        <f>+Bono!J91</f>
        <v>146694.18856489149</v>
      </c>
      <c r="AC91" s="10">
        <f t="shared" si="30"/>
        <v>5.666666666666667</v>
      </c>
      <c r="AD91" s="1">
        <f t="shared" si="31"/>
        <v>968900.01164232427</v>
      </c>
    </row>
    <row r="92" spans="2:30">
      <c r="B92" s="1">
        <f t="shared" si="32"/>
        <v>69</v>
      </c>
      <c r="C92" s="2">
        <f t="shared" si="17"/>
        <v>5</v>
      </c>
      <c r="D92" s="2">
        <f t="shared" si="18"/>
        <v>9</v>
      </c>
      <c r="E92" s="2">
        <f t="shared" si="19"/>
        <v>34</v>
      </c>
      <c r="F92" s="1">
        <f t="shared" si="33"/>
        <v>227481.60260711951</v>
      </c>
      <c r="H92" s="1">
        <f t="shared" si="26"/>
        <v>1813.9702441812517</v>
      </c>
      <c r="I92" s="1">
        <v>0</v>
      </c>
      <c r="J92" s="69">
        <f>-SUM(F92:H92)*$J$21</f>
        <v>-2063.660155661707</v>
      </c>
      <c r="K92" s="1">
        <f t="shared" si="34"/>
        <v>-227.23191269563907</v>
      </c>
      <c r="L92" s="1">
        <f t="shared" si="27"/>
        <v>227004.68078294344</v>
      </c>
      <c r="N92" s="1">
        <f t="shared" si="35"/>
        <v>69</v>
      </c>
      <c r="O92" s="2">
        <f t="shared" si="20"/>
        <v>5</v>
      </c>
      <c r="P92" s="2">
        <f t="shared" si="21"/>
        <v>9</v>
      </c>
      <c r="Q92" s="2">
        <f t="shared" si="22"/>
        <v>5</v>
      </c>
      <c r="R92" s="1">
        <f t="shared" si="36"/>
        <v>594724.22047031333</v>
      </c>
      <c r="S92" s="4">
        <f>IF($G$4="mensual",S91,0)</f>
        <v>10000</v>
      </c>
      <c r="U92" s="1">
        <f t="shared" si="23"/>
        <v>4822.1558547896393</v>
      </c>
      <c r="V92" s="1">
        <f t="shared" si="25"/>
        <v>-92.708951162880027</v>
      </c>
      <c r="X92" s="1">
        <f t="shared" si="28"/>
        <v>-609.54637632510298</v>
      </c>
      <c r="Y92" s="1">
        <f t="shared" si="29"/>
        <v>608844.12099761504</v>
      </c>
      <c r="AA92" s="2">
        <f>+Bono!J92</f>
        <v>146273.9464003722</v>
      </c>
      <c r="AC92" s="10">
        <f t="shared" si="30"/>
        <v>5.75</v>
      </c>
      <c r="AD92" s="1">
        <f t="shared" si="31"/>
        <v>982122.74818093074</v>
      </c>
    </row>
    <row r="93" spans="2:30">
      <c r="B93" s="1">
        <f t="shared" si="32"/>
        <v>70</v>
      </c>
      <c r="C93" s="2">
        <f t="shared" si="17"/>
        <v>5</v>
      </c>
      <c r="D93" s="2">
        <f t="shared" si="18"/>
        <v>10</v>
      </c>
      <c r="E93" s="2">
        <f t="shared" si="19"/>
        <v>34</v>
      </c>
      <c r="F93" s="1">
        <f t="shared" si="33"/>
        <v>227004.68078294344</v>
      </c>
      <c r="H93" s="1">
        <f t="shared" si="26"/>
        <v>1810.1672025816627</v>
      </c>
      <c r="I93" s="1">
        <v>0</v>
      </c>
      <c r="J93" s="1">
        <v>0</v>
      </c>
      <c r="K93" s="1">
        <f t="shared" si="34"/>
        <v>-228.81484798552509</v>
      </c>
      <c r="L93" s="1">
        <f t="shared" si="27"/>
        <v>228586.03313753958</v>
      </c>
      <c r="N93" s="1">
        <f t="shared" si="35"/>
        <v>70</v>
      </c>
      <c r="O93" s="2">
        <f t="shared" si="20"/>
        <v>5</v>
      </c>
      <c r="P93" s="2">
        <f t="shared" si="21"/>
        <v>10</v>
      </c>
      <c r="Q93" s="2">
        <f t="shared" si="22"/>
        <v>5</v>
      </c>
      <c r="R93" s="1">
        <f t="shared" si="36"/>
        <v>608844.12099761504</v>
      </c>
      <c r="S93" s="4">
        <f>IF($G$4="mensual",S84,IF($G$4="trimestral",S84,0))</f>
        <v>10000</v>
      </c>
      <c r="U93" s="1">
        <f t="shared" si="23"/>
        <v>4934.7499244364953</v>
      </c>
      <c r="V93" s="1">
        <f t="shared" si="25"/>
        <v>-92.708951162880027</v>
      </c>
      <c r="X93" s="1">
        <f t="shared" si="28"/>
        <v>-623.77887092205151</v>
      </c>
      <c r="Y93" s="1">
        <f t="shared" si="29"/>
        <v>623062.38309996657</v>
      </c>
      <c r="AA93" s="2">
        <f>+Bono!J93</f>
        <v>147180.86183478215</v>
      </c>
      <c r="AC93" s="10">
        <f t="shared" si="30"/>
        <v>5.833333333333333</v>
      </c>
      <c r="AD93" s="1">
        <f t="shared" si="31"/>
        <v>998829.27807228826</v>
      </c>
    </row>
    <row r="94" spans="2:30">
      <c r="B94" s="1">
        <f t="shared" si="32"/>
        <v>71</v>
      </c>
      <c r="C94" s="2">
        <f t="shared" si="17"/>
        <v>5</v>
      </c>
      <c r="D94" s="2">
        <f t="shared" si="18"/>
        <v>11</v>
      </c>
      <c r="E94" s="2">
        <f t="shared" si="19"/>
        <v>34</v>
      </c>
      <c r="F94" s="1">
        <f t="shared" si="33"/>
        <v>228586.03313753958</v>
      </c>
      <c r="H94" s="1">
        <f t="shared" si="26"/>
        <v>1822.7771283247898</v>
      </c>
      <c r="I94" s="1">
        <v>0</v>
      </c>
      <c r="J94" s="1">
        <v>0</v>
      </c>
      <c r="K94" s="1">
        <f t="shared" si="34"/>
        <v>-230.40881026586436</v>
      </c>
      <c r="L94" s="1">
        <f t="shared" si="27"/>
        <v>230178.4014555985</v>
      </c>
      <c r="N94" s="1">
        <f t="shared" si="35"/>
        <v>71</v>
      </c>
      <c r="O94" s="2">
        <f t="shared" si="20"/>
        <v>5</v>
      </c>
      <c r="P94" s="2">
        <f t="shared" si="21"/>
        <v>11</v>
      </c>
      <c r="Q94" s="2">
        <f t="shared" si="22"/>
        <v>5</v>
      </c>
      <c r="R94" s="1">
        <f t="shared" si="36"/>
        <v>623062.38309996657</v>
      </c>
      <c r="S94" s="1">
        <f>IF($G$17="si",S82*(1+$G$20),S82)</f>
        <v>10000</v>
      </c>
      <c r="U94" s="1">
        <f t="shared" si="23"/>
        <v>5048.1283430956064</v>
      </c>
      <c r="V94" s="1">
        <f t="shared" si="25"/>
        <v>-92.708951162880027</v>
      </c>
      <c r="X94" s="1">
        <f t="shared" si="28"/>
        <v>-638.11051144306225</v>
      </c>
      <c r="Y94" s="1">
        <f t="shared" si="29"/>
        <v>637379.69198045623</v>
      </c>
      <c r="AA94" s="2">
        <f>+Bono!J94</f>
        <v>148093.40025008109</v>
      </c>
      <c r="AC94" s="10">
        <f t="shared" si="30"/>
        <v>5.916666666666667</v>
      </c>
      <c r="AD94" s="1">
        <f t="shared" si="31"/>
        <v>1015651.4936861359</v>
      </c>
    </row>
    <row r="95" spans="2:30">
      <c r="B95" s="1">
        <f t="shared" si="32"/>
        <v>72</v>
      </c>
      <c r="C95" s="2">
        <f t="shared" si="17"/>
        <v>5</v>
      </c>
      <c r="D95" s="2">
        <f t="shared" si="18"/>
        <v>12</v>
      </c>
      <c r="E95" s="2">
        <f t="shared" si="19"/>
        <v>34</v>
      </c>
      <c r="F95" s="1">
        <f t="shared" si="33"/>
        <v>230178.4014555985</v>
      </c>
      <c r="H95" s="1">
        <f t="shared" si="26"/>
        <v>1835.474896907529</v>
      </c>
      <c r="I95" s="1">
        <v>0</v>
      </c>
      <c r="J95" s="69">
        <f>-SUM(F95:H95)*$J$21</f>
        <v>-2088.1248871725543</v>
      </c>
      <c r="K95" s="1">
        <f t="shared" si="34"/>
        <v>-229.92575146533349</v>
      </c>
      <c r="L95" s="1">
        <f t="shared" si="27"/>
        <v>229695.82571386814</v>
      </c>
      <c r="N95" s="1">
        <f t="shared" si="35"/>
        <v>72</v>
      </c>
      <c r="O95" s="2">
        <f t="shared" si="20"/>
        <v>5</v>
      </c>
      <c r="P95" s="2">
        <f t="shared" si="21"/>
        <v>12</v>
      </c>
      <c r="Q95" s="2">
        <f t="shared" si="22"/>
        <v>5</v>
      </c>
      <c r="R95" s="1">
        <f t="shared" si="36"/>
        <v>637379.69198045623</v>
      </c>
      <c r="S95" s="4">
        <f>IF($G$4="mensual",S94,0)</f>
        <v>10000</v>
      </c>
      <c r="U95" s="1">
        <f t="shared" si="23"/>
        <v>5162.2965746726222</v>
      </c>
      <c r="V95" s="1">
        <f t="shared" si="25"/>
        <v>-92.708951162880027</v>
      </c>
      <c r="X95" s="1">
        <f t="shared" si="28"/>
        <v>-652.5419885551288</v>
      </c>
      <c r="Y95" s="1">
        <f t="shared" si="29"/>
        <v>651796.73761541082</v>
      </c>
      <c r="AA95" s="2">
        <f>+Bono!J95</f>
        <v>147669.14969400276</v>
      </c>
      <c r="AC95" s="10">
        <f t="shared" si="30"/>
        <v>6</v>
      </c>
      <c r="AD95" s="1">
        <f t="shared" si="31"/>
        <v>1029161.7130232818</v>
      </c>
    </row>
    <row r="96" spans="2:30">
      <c r="B96" s="1">
        <f t="shared" si="32"/>
        <v>73</v>
      </c>
      <c r="C96" s="2">
        <f t="shared" si="17"/>
        <v>6</v>
      </c>
      <c r="D96" s="2">
        <f t="shared" si="18"/>
        <v>1</v>
      </c>
      <c r="E96" s="2">
        <f t="shared" si="19"/>
        <v>35</v>
      </c>
      <c r="F96" s="1">
        <f t="shared" si="33"/>
        <v>229695.82571386814</v>
      </c>
      <c r="H96" s="1">
        <f t="shared" si="26"/>
        <v>1831.6267701753889</v>
      </c>
      <c r="I96" s="1">
        <v>0</v>
      </c>
      <c r="J96" s="1">
        <v>0</v>
      </c>
      <c r="K96" s="1">
        <f t="shared" si="34"/>
        <v>-231.52745248404352</v>
      </c>
      <c r="L96" s="1">
        <f t="shared" si="27"/>
        <v>231295.92503155948</v>
      </c>
      <c r="N96" s="1">
        <f t="shared" si="35"/>
        <v>73</v>
      </c>
      <c r="O96" s="2">
        <f t="shared" si="20"/>
        <v>6</v>
      </c>
      <c r="P96" s="2">
        <f t="shared" si="21"/>
        <v>1</v>
      </c>
      <c r="Q96" s="2">
        <f t="shared" si="22"/>
        <v>6</v>
      </c>
      <c r="R96" s="1">
        <f t="shared" si="36"/>
        <v>651796.73761541082</v>
      </c>
      <c r="S96" s="1">
        <f>IF($G$17="si",S84*(1+$G$20),S84)</f>
        <v>10000</v>
      </c>
      <c r="U96" s="1">
        <f t="shared" si="23"/>
        <v>5277.2601211356641</v>
      </c>
      <c r="V96" s="1">
        <f>V95*(1+$G$18)</f>
        <v>-96.417309209395228</v>
      </c>
      <c r="X96" s="1">
        <f t="shared" si="28"/>
        <v>-667.0739977365464</v>
      </c>
      <c r="Y96" s="1">
        <f t="shared" si="29"/>
        <v>666310.50642960053</v>
      </c>
      <c r="AA96" s="2">
        <f>+Bono!J96</f>
        <v>148584.71555066676</v>
      </c>
      <c r="AC96" s="10">
        <f t="shared" si="30"/>
        <v>6.083333333333333</v>
      </c>
      <c r="AD96" s="1">
        <f t="shared" si="31"/>
        <v>1046191.1470118267</v>
      </c>
    </row>
    <row r="97" spans="2:30">
      <c r="B97" s="1">
        <f t="shared" si="32"/>
        <v>74</v>
      </c>
      <c r="C97" s="2">
        <f t="shared" si="17"/>
        <v>6</v>
      </c>
      <c r="D97" s="2">
        <f t="shared" si="18"/>
        <v>2</v>
      </c>
      <c r="E97" s="2">
        <f t="shared" si="19"/>
        <v>35</v>
      </c>
      <c r="F97" s="1">
        <f t="shared" si="33"/>
        <v>231295.92503155948</v>
      </c>
      <c r="H97" s="1">
        <f t="shared" si="26"/>
        <v>1844.3861868348527</v>
      </c>
      <c r="I97" s="1">
        <v>0</v>
      </c>
      <c r="J97" s="1">
        <v>0</v>
      </c>
      <c r="K97" s="1">
        <f t="shared" si="34"/>
        <v>-233.14031121839434</v>
      </c>
      <c r="L97" s="1">
        <f t="shared" si="27"/>
        <v>232907.17090717595</v>
      </c>
      <c r="N97" s="1">
        <f t="shared" si="35"/>
        <v>74</v>
      </c>
      <c r="O97" s="2">
        <f t="shared" si="20"/>
        <v>6</v>
      </c>
      <c r="P97" s="2">
        <f t="shared" si="21"/>
        <v>2</v>
      </c>
      <c r="Q97" s="2">
        <f t="shared" si="22"/>
        <v>6</v>
      </c>
      <c r="R97" s="1">
        <f t="shared" si="36"/>
        <v>666310.50642960053</v>
      </c>
      <c r="S97" s="4">
        <f>IF($G$4="mensual",S96,0)</f>
        <v>10000</v>
      </c>
      <c r="U97" s="1">
        <f t="shared" si="23"/>
        <v>5392.9949518126568</v>
      </c>
      <c r="V97" s="1">
        <f>V96</f>
        <v>-96.417309209395228</v>
      </c>
      <c r="X97" s="1">
        <f t="shared" si="28"/>
        <v>-681.70350138141316</v>
      </c>
      <c r="Y97" s="1">
        <f t="shared" si="29"/>
        <v>680925.3805708224</v>
      </c>
      <c r="AA97" s="2">
        <f>+Bono!J97</f>
        <v>149505.95802184116</v>
      </c>
      <c r="AC97" s="10">
        <f t="shared" si="30"/>
        <v>6.166666666666667</v>
      </c>
      <c r="AD97" s="1">
        <f t="shared" si="31"/>
        <v>1063338.5094998395</v>
      </c>
    </row>
    <row r="98" spans="2:30">
      <c r="B98" s="1">
        <f t="shared" si="32"/>
        <v>75</v>
      </c>
      <c r="C98" s="2">
        <f t="shared" si="17"/>
        <v>6</v>
      </c>
      <c r="D98" s="2">
        <f t="shared" si="18"/>
        <v>3</v>
      </c>
      <c r="E98" s="2">
        <f t="shared" si="19"/>
        <v>35</v>
      </c>
      <c r="F98" s="1">
        <f t="shared" si="33"/>
        <v>232907.17090717595</v>
      </c>
      <c r="H98" s="1">
        <f t="shared" si="26"/>
        <v>1857.2344877125104</v>
      </c>
      <c r="I98" s="1">
        <v>0</v>
      </c>
      <c r="J98" s="69">
        <f>-SUM(F98:H98)*$J$21</f>
        <v>-2112.8796485539965</v>
      </c>
      <c r="K98" s="1">
        <f t="shared" si="34"/>
        <v>-232.65152574633447</v>
      </c>
      <c r="L98" s="1">
        <f t="shared" si="27"/>
        <v>232418.87422058813</v>
      </c>
      <c r="N98" s="1">
        <f t="shared" si="35"/>
        <v>75</v>
      </c>
      <c r="O98" s="2">
        <f t="shared" si="20"/>
        <v>6</v>
      </c>
      <c r="P98" s="2">
        <f t="shared" si="21"/>
        <v>3</v>
      </c>
      <c r="Q98" s="2">
        <f t="shared" si="22"/>
        <v>6</v>
      </c>
      <c r="R98" s="1">
        <f t="shared" si="36"/>
        <v>680925.3805708224</v>
      </c>
      <c r="S98" s="4">
        <f>IF($G$4="mensual",S97,0)</f>
        <v>10000</v>
      </c>
      <c r="U98" s="1">
        <f t="shared" si="23"/>
        <v>5509.5360105655145</v>
      </c>
      <c r="V98" s="1">
        <f t="shared" si="25"/>
        <v>-96.417309209395228</v>
      </c>
      <c r="X98" s="1">
        <f t="shared" si="28"/>
        <v>-696.43491658138782</v>
      </c>
      <c r="Y98" s="1">
        <f t="shared" si="29"/>
        <v>695642.06435559713</v>
      </c>
      <c r="AA98" s="2">
        <f>+Bono!J98</f>
        <v>149077.66084100341</v>
      </c>
      <c r="AC98" s="10">
        <f t="shared" si="30"/>
        <v>6.25</v>
      </c>
      <c r="AD98" s="1">
        <f t="shared" si="31"/>
        <v>1077138.5994171887</v>
      </c>
    </row>
    <row r="99" spans="2:30">
      <c r="B99" s="1">
        <f t="shared" si="32"/>
        <v>76</v>
      </c>
      <c r="C99" s="2">
        <f t="shared" si="17"/>
        <v>6</v>
      </c>
      <c r="D99" s="2">
        <f t="shared" si="18"/>
        <v>4</v>
      </c>
      <c r="E99" s="2">
        <f t="shared" si="19"/>
        <v>35</v>
      </c>
      <c r="F99" s="1">
        <f t="shared" si="33"/>
        <v>232418.87422058813</v>
      </c>
      <c r="H99" s="1">
        <f t="shared" si="26"/>
        <v>1853.3407413626906</v>
      </c>
      <c r="I99" s="1">
        <v>0</v>
      </c>
      <c r="J99" s="1">
        <v>0</v>
      </c>
      <c r="K99" s="1">
        <f t="shared" si="34"/>
        <v>-234.27221496195082</v>
      </c>
      <c r="L99" s="1">
        <f t="shared" si="27"/>
        <v>234037.94274698888</v>
      </c>
      <c r="N99" s="1">
        <f t="shared" si="35"/>
        <v>76</v>
      </c>
      <c r="O99" s="2">
        <f t="shared" si="20"/>
        <v>6</v>
      </c>
      <c r="P99" s="2">
        <f t="shared" si="21"/>
        <v>4</v>
      </c>
      <c r="Q99" s="2">
        <f t="shared" si="22"/>
        <v>6</v>
      </c>
      <c r="R99" s="1">
        <f t="shared" si="36"/>
        <v>695642.06435559713</v>
      </c>
      <c r="S99" s="4">
        <f>IF($G$4="mensual",S96,IF($G$4="trimestral",S96,0))</f>
        <v>10000</v>
      </c>
      <c r="U99" s="1">
        <f t="shared" si="23"/>
        <v>5626.8889137130791</v>
      </c>
      <c r="V99" s="1">
        <f t="shared" si="25"/>
        <v>-96.417309209395228</v>
      </c>
      <c r="X99" s="1">
        <f t="shared" si="28"/>
        <v>-711.26895326931015</v>
      </c>
      <c r="Y99" s="1">
        <f t="shared" si="29"/>
        <v>710461.26700683148</v>
      </c>
      <c r="AA99" s="2">
        <f>+Bono!J99</f>
        <v>150001.95963015599</v>
      </c>
      <c r="AC99" s="10">
        <f t="shared" si="30"/>
        <v>6.333333333333333</v>
      </c>
      <c r="AD99" s="1">
        <f t="shared" si="31"/>
        <v>1094501.1693839764</v>
      </c>
    </row>
    <row r="100" spans="2:30">
      <c r="B100" s="1">
        <f t="shared" si="32"/>
        <v>77</v>
      </c>
      <c r="C100" s="2">
        <f t="shared" ref="C100:C163" si="37">C88+1</f>
        <v>6</v>
      </c>
      <c r="D100" s="2">
        <f t="shared" ref="D100:D163" si="38">D88</f>
        <v>5</v>
      </c>
      <c r="E100" s="2">
        <f t="shared" ref="E100:E163" si="39">E88+1</f>
        <v>35</v>
      </c>
      <c r="F100" s="1">
        <f t="shared" si="33"/>
        <v>234037.94274698888</v>
      </c>
      <c r="H100" s="1">
        <f t="shared" si="26"/>
        <v>1866.2514211562286</v>
      </c>
      <c r="I100" s="1">
        <v>0</v>
      </c>
      <c r="J100" s="1">
        <v>0</v>
      </c>
      <c r="K100" s="1">
        <f t="shared" si="34"/>
        <v>-235.9041941681451</v>
      </c>
      <c r="L100" s="1">
        <f t="shared" si="27"/>
        <v>235668.28997397696</v>
      </c>
      <c r="N100" s="1">
        <f t="shared" si="35"/>
        <v>77</v>
      </c>
      <c r="O100" s="2">
        <f t="shared" ref="O100:O163" si="40">O88+1</f>
        <v>6</v>
      </c>
      <c r="P100" s="2">
        <f t="shared" ref="P100:P163" si="41">P88</f>
        <v>5</v>
      </c>
      <c r="Q100" s="2">
        <f t="shared" ref="Q100:Q163" si="42">Q88+1</f>
        <v>6</v>
      </c>
      <c r="R100" s="1">
        <f t="shared" si="36"/>
        <v>710461.26700683148</v>
      </c>
      <c r="S100" s="4">
        <f>IF($G$4="mensual",S99,0)</f>
        <v>10000</v>
      </c>
      <c r="U100" s="1">
        <f t="shared" ref="U100:U163" si="43">SUM(R100:T100)*$G$8</f>
        <v>5745.0593166984045</v>
      </c>
      <c r="V100" s="1">
        <f t="shared" si="25"/>
        <v>-96.417309209395228</v>
      </c>
      <c r="X100" s="1">
        <f t="shared" si="28"/>
        <v>-726.20632632352999</v>
      </c>
      <c r="Y100" s="1">
        <f t="shared" si="29"/>
        <v>725383.70268799702</v>
      </c>
      <c r="AA100" s="2">
        <f>+Bono!J100</f>
        <v>150931.98917901336</v>
      </c>
      <c r="AC100" s="10">
        <f t="shared" si="30"/>
        <v>6.416666666666667</v>
      </c>
      <c r="AD100" s="1">
        <f t="shared" si="31"/>
        <v>1111983.9818409875</v>
      </c>
    </row>
    <row r="101" spans="2:30">
      <c r="B101" s="1">
        <f t="shared" si="32"/>
        <v>78</v>
      </c>
      <c r="C101" s="2">
        <f t="shared" si="37"/>
        <v>6</v>
      </c>
      <c r="D101" s="2">
        <f t="shared" si="38"/>
        <v>6</v>
      </c>
      <c r="E101" s="2">
        <f t="shared" si="39"/>
        <v>35</v>
      </c>
      <c r="F101" s="1">
        <f t="shared" si="33"/>
        <v>235668.28997397696</v>
      </c>
      <c r="H101" s="1">
        <f t="shared" si="26"/>
        <v>1879.2520388921052</v>
      </c>
      <c r="I101" s="1">
        <v>0</v>
      </c>
      <c r="J101" s="69">
        <f>-SUM(F101:H101)*$J$21</f>
        <v>-2137.9278781158218</v>
      </c>
      <c r="K101" s="1">
        <f t="shared" si="34"/>
        <v>-235.40961413475324</v>
      </c>
      <c r="L101" s="1">
        <f t="shared" si="27"/>
        <v>235174.20452061848</v>
      </c>
      <c r="N101" s="1">
        <f t="shared" si="35"/>
        <v>78</v>
      </c>
      <c r="O101" s="2">
        <f t="shared" si="40"/>
        <v>6</v>
      </c>
      <c r="P101" s="2">
        <f t="shared" si="41"/>
        <v>6</v>
      </c>
      <c r="Q101" s="2">
        <f t="shared" si="42"/>
        <v>6</v>
      </c>
      <c r="R101" s="1">
        <f t="shared" si="36"/>
        <v>725383.70268799702</v>
      </c>
      <c r="S101" s="4">
        <f>IF($G$4="mensual",S100,0)</f>
        <v>10000</v>
      </c>
      <c r="U101" s="1">
        <f t="shared" si="43"/>
        <v>5864.052914361303</v>
      </c>
      <c r="V101" s="1">
        <f t="shared" si="25"/>
        <v>-96.417309209395228</v>
      </c>
      <c r="X101" s="1">
        <f t="shared" si="28"/>
        <v>-741.24775560235844</v>
      </c>
      <c r="Y101" s="1">
        <f t="shared" si="29"/>
        <v>740410.09053754667</v>
      </c>
      <c r="AA101" s="2">
        <f>+Bono!J101</f>
        <v>150499.60677553641</v>
      </c>
      <c r="AC101" s="10">
        <f t="shared" si="30"/>
        <v>6.5</v>
      </c>
      <c r="AD101" s="1">
        <f t="shared" si="31"/>
        <v>1126083.9018337016</v>
      </c>
    </row>
    <row r="102" spans="2:30">
      <c r="B102" s="1">
        <f t="shared" si="32"/>
        <v>79</v>
      </c>
      <c r="C102" s="2">
        <f t="shared" si="37"/>
        <v>6</v>
      </c>
      <c r="D102" s="2">
        <f t="shared" si="38"/>
        <v>7</v>
      </c>
      <c r="E102" s="2">
        <f t="shared" si="39"/>
        <v>35</v>
      </c>
      <c r="F102" s="1">
        <f t="shared" si="33"/>
        <v>235174.20452061848</v>
      </c>
      <c r="H102" s="1">
        <f t="shared" si="26"/>
        <v>1875.3121321031463</v>
      </c>
      <c r="I102" s="1">
        <v>0</v>
      </c>
      <c r="J102" s="1">
        <v>0</v>
      </c>
      <c r="K102" s="1">
        <f t="shared" si="34"/>
        <v>-237.04951665272162</v>
      </c>
      <c r="L102" s="1">
        <f t="shared" si="27"/>
        <v>236812.46713606891</v>
      </c>
      <c r="N102" s="1">
        <f t="shared" si="35"/>
        <v>79</v>
      </c>
      <c r="O102" s="2">
        <f t="shared" si="40"/>
        <v>6</v>
      </c>
      <c r="P102" s="2">
        <f t="shared" si="41"/>
        <v>7</v>
      </c>
      <c r="Q102" s="2">
        <f t="shared" si="42"/>
        <v>6</v>
      </c>
      <c r="R102" s="1">
        <f t="shared" si="36"/>
        <v>740410.09053754667</v>
      </c>
      <c r="S102" s="1">
        <f>+IF($G$4="mensual",S96,IF($G$4="trimestral",S96,IF($G$4="semestral",S96,0)))</f>
        <v>10000</v>
      </c>
      <c r="U102" s="1">
        <f t="shared" si="43"/>
        <v>5983.8754412127846</v>
      </c>
      <c r="V102" s="1">
        <f t="shared" si="25"/>
        <v>-96.417309209395228</v>
      </c>
      <c r="X102" s="1">
        <f t="shared" si="28"/>
        <v>-756.39396597875952</v>
      </c>
      <c r="Y102" s="1">
        <f t="shared" si="29"/>
        <v>755541.15470357134</v>
      </c>
      <c r="AA102" s="2">
        <f>+Bono!J102</f>
        <v>151432.72179441861</v>
      </c>
      <c r="AC102" s="10">
        <f t="shared" si="30"/>
        <v>6.583333333333333</v>
      </c>
      <c r="AD102" s="1">
        <f t="shared" si="31"/>
        <v>1143786.343634059</v>
      </c>
    </row>
    <row r="103" spans="2:30">
      <c r="B103" s="1">
        <f t="shared" si="32"/>
        <v>80</v>
      </c>
      <c r="C103" s="2">
        <f t="shared" si="37"/>
        <v>6</v>
      </c>
      <c r="D103" s="2">
        <f t="shared" si="38"/>
        <v>8</v>
      </c>
      <c r="E103" s="2">
        <f t="shared" si="39"/>
        <v>35</v>
      </c>
      <c r="F103" s="1">
        <f t="shared" si="33"/>
        <v>236812.46713606891</v>
      </c>
      <c r="H103" s="1">
        <f t="shared" si="26"/>
        <v>1888.3758682581711</v>
      </c>
      <c r="I103" s="1">
        <v>0</v>
      </c>
      <c r="J103" s="1">
        <v>0</v>
      </c>
      <c r="K103" s="1">
        <f t="shared" si="34"/>
        <v>-238.70084300432711</v>
      </c>
      <c r="L103" s="1">
        <f t="shared" si="27"/>
        <v>238462.14216132276</v>
      </c>
      <c r="N103" s="1">
        <f t="shared" si="35"/>
        <v>80</v>
      </c>
      <c r="O103" s="2">
        <f t="shared" si="40"/>
        <v>6</v>
      </c>
      <c r="P103" s="2">
        <f t="shared" si="41"/>
        <v>8</v>
      </c>
      <c r="Q103" s="2">
        <f t="shared" si="42"/>
        <v>6</v>
      </c>
      <c r="R103" s="1">
        <f t="shared" si="36"/>
        <v>755541.15470357134</v>
      </c>
      <c r="S103" s="4">
        <f>IF($G$4="mensual",S102,0)</f>
        <v>10000</v>
      </c>
      <c r="U103" s="1">
        <f t="shared" si="43"/>
        <v>6104.5326717114194</v>
      </c>
      <c r="V103" s="1">
        <f t="shared" si="25"/>
        <v>-96.417309209395228</v>
      </c>
      <c r="X103" s="1">
        <f t="shared" si="28"/>
        <v>-771.64568737528282</v>
      </c>
      <c r="Y103" s="1">
        <f t="shared" si="29"/>
        <v>770777.62437869806</v>
      </c>
      <c r="AA103" s="2">
        <f>+Bono!J103</f>
        <v>152371.62223465255</v>
      </c>
      <c r="AC103" s="10">
        <f t="shared" si="30"/>
        <v>6.666666666666667</v>
      </c>
      <c r="AD103" s="1">
        <f t="shared" si="31"/>
        <v>1161611.3887746735</v>
      </c>
    </row>
    <row r="104" spans="2:30">
      <c r="B104" s="1">
        <f t="shared" si="32"/>
        <v>81</v>
      </c>
      <c r="C104" s="2">
        <f t="shared" si="37"/>
        <v>6</v>
      </c>
      <c r="D104" s="2">
        <f t="shared" si="38"/>
        <v>9</v>
      </c>
      <c r="E104" s="2">
        <f t="shared" si="39"/>
        <v>35</v>
      </c>
      <c r="F104" s="1">
        <f t="shared" si="33"/>
        <v>238462.14216132276</v>
      </c>
      <c r="H104" s="1">
        <f t="shared" si="26"/>
        <v>1901.5306085716006</v>
      </c>
      <c r="I104" s="1">
        <v>0</v>
      </c>
      <c r="J104" s="69">
        <f>-SUM(F104:H104)*$J$21</f>
        <v>-2163.2730549290495</v>
      </c>
      <c r="K104" s="1">
        <f t="shared" si="34"/>
        <v>-238.20039971496533</v>
      </c>
      <c r="L104" s="1">
        <f t="shared" si="27"/>
        <v>237962.19931525036</v>
      </c>
      <c r="N104" s="1">
        <f t="shared" si="35"/>
        <v>81</v>
      </c>
      <c r="O104" s="2">
        <f t="shared" si="40"/>
        <v>6</v>
      </c>
      <c r="P104" s="2">
        <f t="shared" si="41"/>
        <v>9</v>
      </c>
      <c r="Q104" s="2">
        <f t="shared" si="42"/>
        <v>6</v>
      </c>
      <c r="R104" s="1">
        <f t="shared" si="36"/>
        <v>770777.62437869806</v>
      </c>
      <c r="S104" s="4">
        <f>IF($G$4="mensual",S103,0)</f>
        <v>10000</v>
      </c>
      <c r="U104" s="1">
        <f t="shared" si="43"/>
        <v>6226.0304205416132</v>
      </c>
      <c r="V104" s="1">
        <f t="shared" si="25"/>
        <v>-96.417309209395228</v>
      </c>
      <c r="X104" s="1">
        <f t="shared" si="28"/>
        <v>-787.00365479923971</v>
      </c>
      <c r="Y104" s="1">
        <f t="shared" si="29"/>
        <v>786120.23383523116</v>
      </c>
      <c r="AA104" s="2">
        <f>+Bono!J104</f>
        <v>151935.11564249889</v>
      </c>
      <c r="AC104" s="10">
        <f t="shared" si="30"/>
        <v>6.75</v>
      </c>
      <c r="AD104" s="1">
        <f t="shared" si="31"/>
        <v>1176017.5487929804</v>
      </c>
    </row>
    <row r="105" spans="2:30">
      <c r="B105" s="1">
        <f t="shared" si="32"/>
        <v>82</v>
      </c>
      <c r="C105" s="2">
        <f t="shared" si="37"/>
        <v>6</v>
      </c>
      <c r="D105" s="2">
        <f t="shared" si="38"/>
        <v>10</v>
      </c>
      <c r="E105" s="2">
        <f t="shared" si="39"/>
        <v>35</v>
      </c>
      <c r="F105" s="1">
        <f t="shared" si="33"/>
        <v>237962.19931525036</v>
      </c>
      <c r="H105" s="1">
        <f t="shared" si="26"/>
        <v>1897.5439941105935</v>
      </c>
      <c r="I105" s="1">
        <v>0</v>
      </c>
      <c r="J105" s="1">
        <v>0</v>
      </c>
      <c r="K105" s="1">
        <f t="shared" si="34"/>
        <v>-239.85974330936097</v>
      </c>
      <c r="L105" s="1">
        <f t="shared" si="27"/>
        <v>239619.88356605161</v>
      </c>
      <c r="N105" s="1">
        <f t="shared" si="35"/>
        <v>82</v>
      </c>
      <c r="O105" s="2">
        <f t="shared" si="40"/>
        <v>6</v>
      </c>
      <c r="P105" s="2">
        <f t="shared" si="41"/>
        <v>10</v>
      </c>
      <c r="Q105" s="2">
        <f t="shared" si="42"/>
        <v>6</v>
      </c>
      <c r="R105" s="1">
        <f t="shared" si="36"/>
        <v>786120.23383523116</v>
      </c>
      <c r="S105" s="4">
        <f>IF($G$4="mensual",S96,IF($G$4="trimestral",S96,0))</f>
        <v>10000</v>
      </c>
      <c r="U105" s="1">
        <f t="shared" si="43"/>
        <v>6348.3745428938355</v>
      </c>
      <c r="V105" s="1">
        <f t="shared" si="25"/>
        <v>-96.417309209395228</v>
      </c>
      <c r="X105" s="1">
        <f t="shared" si="28"/>
        <v>-802.46860837812505</v>
      </c>
      <c r="Y105" s="1">
        <f t="shared" si="29"/>
        <v>801569.72246053757</v>
      </c>
      <c r="AA105" s="2">
        <f>+Bono!J105</f>
        <v>152877.130982865</v>
      </c>
      <c r="AC105" s="10">
        <f t="shared" si="30"/>
        <v>6.833333333333333</v>
      </c>
      <c r="AD105" s="1">
        <f t="shared" si="31"/>
        <v>1194066.7370094541</v>
      </c>
    </row>
    <row r="106" spans="2:30">
      <c r="B106" s="1">
        <f t="shared" si="32"/>
        <v>83</v>
      </c>
      <c r="C106" s="2">
        <f t="shared" si="37"/>
        <v>6</v>
      </c>
      <c r="D106" s="2">
        <f t="shared" si="38"/>
        <v>11</v>
      </c>
      <c r="E106" s="2">
        <f t="shared" si="39"/>
        <v>35</v>
      </c>
      <c r="F106" s="1">
        <f t="shared" si="33"/>
        <v>239619.88356605161</v>
      </c>
      <c r="H106" s="1">
        <f t="shared" si="26"/>
        <v>1910.7626011132647</v>
      </c>
      <c r="I106" s="1">
        <v>0</v>
      </c>
      <c r="J106" s="1">
        <v>0</v>
      </c>
      <c r="K106" s="1">
        <f t="shared" si="34"/>
        <v>-241.53064616716489</v>
      </c>
      <c r="L106" s="1">
        <f t="shared" si="27"/>
        <v>241289.1155209977</v>
      </c>
      <c r="N106" s="1">
        <f t="shared" si="35"/>
        <v>83</v>
      </c>
      <c r="O106" s="2">
        <f t="shared" si="40"/>
        <v>6</v>
      </c>
      <c r="P106" s="2">
        <f t="shared" si="41"/>
        <v>11</v>
      </c>
      <c r="Q106" s="2">
        <f t="shared" si="42"/>
        <v>6</v>
      </c>
      <c r="R106" s="1">
        <f t="shared" si="36"/>
        <v>801569.72246053757</v>
      </c>
      <c r="S106" s="1">
        <f>IF($G$17="si",S94*(1+$G$20),S94)</f>
        <v>10000</v>
      </c>
      <c r="U106" s="1">
        <f t="shared" si="43"/>
        <v>6471.57093474678</v>
      </c>
      <c r="V106" s="1">
        <f t="shared" si="25"/>
        <v>-96.417309209395228</v>
      </c>
      <c r="X106" s="1">
        <f t="shared" si="28"/>
        <v>-818.04129339528436</v>
      </c>
      <c r="Y106" s="1">
        <f t="shared" si="29"/>
        <v>817126.83479267964</v>
      </c>
      <c r="AA106" s="2">
        <f>+Bono!J106</f>
        <v>153824.98692760838</v>
      </c>
      <c r="AC106" s="10">
        <f t="shared" si="30"/>
        <v>6.916666666666667</v>
      </c>
      <c r="AD106" s="1">
        <f t="shared" si="31"/>
        <v>1212240.9372412858</v>
      </c>
    </row>
    <row r="107" spans="2:30">
      <c r="B107" s="1">
        <f t="shared" si="32"/>
        <v>84</v>
      </c>
      <c r="C107" s="2">
        <f t="shared" si="37"/>
        <v>6</v>
      </c>
      <c r="D107" s="2">
        <f t="shared" si="38"/>
        <v>12</v>
      </c>
      <c r="E107" s="2">
        <f t="shared" si="39"/>
        <v>35</v>
      </c>
      <c r="F107" s="1">
        <f t="shared" si="33"/>
        <v>241289.1155209977</v>
      </c>
      <c r="H107" s="1">
        <f t="shared" si="26"/>
        <v>1924.0732911304185</v>
      </c>
      <c r="I107" s="1">
        <v>0</v>
      </c>
      <c r="J107" s="69">
        <f>-SUM(F107:H107)*$J$21</f>
        <v>-2188.9186993091535</v>
      </c>
      <c r="K107" s="1">
        <f t="shared" si="34"/>
        <v>-241.02427011281898</v>
      </c>
      <c r="L107" s="1">
        <f t="shared" si="27"/>
        <v>240783.24584270615</v>
      </c>
      <c r="N107" s="1">
        <f t="shared" si="35"/>
        <v>84</v>
      </c>
      <c r="O107" s="2">
        <f t="shared" si="40"/>
        <v>6</v>
      </c>
      <c r="P107" s="2">
        <f t="shared" si="41"/>
        <v>12</v>
      </c>
      <c r="Q107" s="2">
        <f t="shared" si="42"/>
        <v>6</v>
      </c>
      <c r="R107" s="1">
        <f t="shared" si="36"/>
        <v>817126.83479267964</v>
      </c>
      <c r="S107" s="4">
        <f>IF($G$4="mensual",S106,0)</f>
        <v>10000</v>
      </c>
      <c r="U107" s="1">
        <f t="shared" si="43"/>
        <v>6595.6255331515113</v>
      </c>
      <c r="V107" s="1">
        <f t="shared" si="25"/>
        <v>-96.417309209395228</v>
      </c>
      <c r="X107" s="1">
        <f t="shared" si="28"/>
        <v>-833.72246032583121</v>
      </c>
      <c r="Y107" s="1">
        <f t="shared" si="29"/>
        <v>832792.32055629604</v>
      </c>
      <c r="AA107" s="2">
        <f>+Bono!J107</f>
        <v>153384.3168090712</v>
      </c>
      <c r="AC107" s="10">
        <f t="shared" si="30"/>
        <v>7</v>
      </c>
      <c r="AD107" s="1">
        <f t="shared" si="31"/>
        <v>1226959.8832080734</v>
      </c>
    </row>
    <row r="108" spans="2:30">
      <c r="B108" s="1">
        <f t="shared" si="32"/>
        <v>85</v>
      </c>
      <c r="C108" s="2">
        <f t="shared" si="37"/>
        <v>7</v>
      </c>
      <c r="D108" s="2">
        <f t="shared" si="38"/>
        <v>1</v>
      </c>
      <c r="E108" s="2">
        <f t="shared" si="39"/>
        <v>36</v>
      </c>
      <c r="F108" s="1">
        <f t="shared" si="33"/>
        <v>240783.24584270615</v>
      </c>
      <c r="H108" s="1">
        <f t="shared" si="26"/>
        <v>1920.0394152769973</v>
      </c>
      <c r="I108" s="1">
        <v>0</v>
      </c>
      <c r="J108" s="1">
        <v>0</v>
      </c>
      <c r="K108" s="1">
        <f t="shared" si="34"/>
        <v>-242.70328525798314</v>
      </c>
      <c r="L108" s="1">
        <f t="shared" si="27"/>
        <v>242460.58197272517</v>
      </c>
      <c r="N108" s="1">
        <f t="shared" si="35"/>
        <v>85</v>
      </c>
      <c r="O108" s="2">
        <f t="shared" si="40"/>
        <v>7</v>
      </c>
      <c r="P108" s="2">
        <f t="shared" si="41"/>
        <v>1</v>
      </c>
      <c r="Q108" s="2">
        <f t="shared" si="42"/>
        <v>7</v>
      </c>
      <c r="R108" s="1">
        <f t="shared" si="36"/>
        <v>832792.32055629604</v>
      </c>
      <c r="S108" s="1">
        <f>IF($G$17="si",S96*(1+$G$20),S96)</f>
        <v>10000</v>
      </c>
      <c r="U108" s="1">
        <f t="shared" si="43"/>
        <v>6720.5443165175811</v>
      </c>
      <c r="V108" s="1">
        <f>V107*(1+$G$18)</f>
        <v>-100.27400157777105</v>
      </c>
      <c r="X108" s="1">
        <f t="shared" si="28"/>
        <v>-849.51286487281357</v>
      </c>
      <c r="Y108" s="1">
        <f t="shared" si="29"/>
        <v>848563.07800636301</v>
      </c>
      <c r="AA108" s="2">
        <f>+Bono!J108</f>
        <v>154335.31736476696</v>
      </c>
      <c r="AC108" s="10">
        <f t="shared" si="30"/>
        <v>7.083333333333333</v>
      </c>
      <c r="AD108" s="1">
        <f t="shared" si="31"/>
        <v>1245358.9773438552</v>
      </c>
    </row>
    <row r="109" spans="2:30">
      <c r="B109" s="1">
        <f t="shared" si="32"/>
        <v>86</v>
      </c>
      <c r="C109" s="2">
        <f t="shared" si="37"/>
        <v>7</v>
      </c>
      <c r="D109" s="2">
        <f t="shared" si="38"/>
        <v>2</v>
      </c>
      <c r="E109" s="2">
        <f t="shared" si="39"/>
        <v>36</v>
      </c>
      <c r="F109" s="1">
        <f t="shared" si="33"/>
        <v>242460.58197272517</v>
      </c>
      <c r="H109" s="1">
        <f t="shared" si="26"/>
        <v>1933.414729124243</v>
      </c>
      <c r="I109" s="1">
        <v>0</v>
      </c>
      <c r="J109" s="1">
        <v>0</v>
      </c>
      <c r="K109" s="1">
        <f t="shared" si="34"/>
        <v>-244.39399670184943</v>
      </c>
      <c r="L109" s="1">
        <f t="shared" si="27"/>
        <v>244149.60270514758</v>
      </c>
      <c r="N109" s="1">
        <f t="shared" si="35"/>
        <v>86</v>
      </c>
      <c r="O109" s="2">
        <f t="shared" si="40"/>
        <v>7</v>
      </c>
      <c r="P109" s="2">
        <f t="shared" si="41"/>
        <v>2</v>
      </c>
      <c r="Q109" s="2">
        <f t="shared" si="42"/>
        <v>7</v>
      </c>
      <c r="R109" s="1">
        <f t="shared" si="36"/>
        <v>848563.07800636301</v>
      </c>
      <c r="S109" s="4">
        <f>IF($G$4="mensual",S108,0)</f>
        <v>10000</v>
      </c>
      <c r="U109" s="1">
        <f t="shared" si="43"/>
        <v>6846.3025510945954</v>
      </c>
      <c r="V109" s="1">
        <f>V108</f>
        <v>-100.27400157777105</v>
      </c>
      <c r="X109" s="1">
        <f t="shared" si="28"/>
        <v>-865.40938055745755</v>
      </c>
      <c r="Y109" s="1">
        <f t="shared" si="29"/>
        <v>864443.69717532233</v>
      </c>
      <c r="AA109" s="2">
        <f>+Bono!J109</f>
        <v>155292.21423421727</v>
      </c>
      <c r="AC109" s="10">
        <f t="shared" si="30"/>
        <v>7.166666666666667</v>
      </c>
      <c r="AD109" s="1">
        <f t="shared" si="31"/>
        <v>1263885.5141146872</v>
      </c>
    </row>
    <row r="110" spans="2:30">
      <c r="B110" s="1">
        <f t="shared" si="32"/>
        <v>87</v>
      </c>
      <c r="C110" s="2">
        <f t="shared" si="37"/>
        <v>7</v>
      </c>
      <c r="D110" s="2">
        <f t="shared" si="38"/>
        <v>3</v>
      </c>
      <c r="E110" s="2">
        <f t="shared" si="39"/>
        <v>36</v>
      </c>
      <c r="F110" s="1">
        <f t="shared" si="33"/>
        <v>244149.60270514758</v>
      </c>
      <c r="H110" s="1">
        <f t="shared" si="26"/>
        <v>1946.8832176319092</v>
      </c>
      <c r="I110" s="1">
        <v>0</v>
      </c>
      <c r="J110" s="69">
        <f>-SUM(F110:H110)*$J$21</f>
        <v>-2214.8683733050157</v>
      </c>
      <c r="K110" s="1">
        <f t="shared" si="34"/>
        <v>-243.88161754947447</v>
      </c>
      <c r="L110" s="1">
        <f t="shared" si="27"/>
        <v>243637.73593192498</v>
      </c>
      <c r="N110" s="1">
        <f t="shared" si="35"/>
        <v>87</v>
      </c>
      <c r="O110" s="2">
        <f t="shared" si="40"/>
        <v>7</v>
      </c>
      <c r="P110" s="2">
        <f t="shared" si="41"/>
        <v>3</v>
      </c>
      <c r="Q110" s="2">
        <f t="shared" si="42"/>
        <v>7</v>
      </c>
      <c r="R110" s="1">
        <f t="shared" si="36"/>
        <v>864443.69717532233</v>
      </c>
      <c r="S110" s="4">
        <f>IF($G$4="mensual",S109,0)</f>
        <v>10000</v>
      </c>
      <c r="U110" s="1">
        <f t="shared" si="43"/>
        <v>6972.9368384458185</v>
      </c>
      <c r="V110" s="1">
        <f t="shared" si="25"/>
        <v>-100.27400157777105</v>
      </c>
      <c r="X110" s="1">
        <f t="shared" si="28"/>
        <v>-881.4166340137682</v>
      </c>
      <c r="Y110" s="1">
        <f t="shared" si="29"/>
        <v>880434.94337817666</v>
      </c>
      <c r="AA110" s="2">
        <f>+Bono!J110</f>
        <v>154847.34087637524</v>
      </c>
      <c r="AC110" s="10">
        <f t="shared" si="30"/>
        <v>7.25</v>
      </c>
      <c r="AD110" s="1">
        <f t="shared" si="31"/>
        <v>1278920.0201864769</v>
      </c>
    </row>
    <row r="111" spans="2:30">
      <c r="B111" s="1">
        <f t="shared" si="32"/>
        <v>88</v>
      </c>
      <c r="C111" s="2">
        <f t="shared" si="37"/>
        <v>7</v>
      </c>
      <c r="D111" s="2">
        <f t="shared" si="38"/>
        <v>4</v>
      </c>
      <c r="E111" s="2">
        <f t="shared" si="39"/>
        <v>36</v>
      </c>
      <c r="F111" s="1">
        <f t="shared" si="33"/>
        <v>243637.73593192498</v>
      </c>
      <c r="H111" s="1">
        <f t="shared" si="26"/>
        <v>1942.8015201013422</v>
      </c>
      <c r="I111" s="1">
        <v>0</v>
      </c>
      <c r="J111" s="1">
        <v>0</v>
      </c>
      <c r="K111" s="1">
        <f t="shared" si="34"/>
        <v>-245.58053745202633</v>
      </c>
      <c r="L111" s="1">
        <f t="shared" si="27"/>
        <v>245334.95691457432</v>
      </c>
      <c r="N111" s="1">
        <f t="shared" si="35"/>
        <v>88</v>
      </c>
      <c r="O111" s="2">
        <f t="shared" si="40"/>
        <v>7</v>
      </c>
      <c r="P111" s="2">
        <f t="shared" si="41"/>
        <v>4</v>
      </c>
      <c r="Q111" s="2">
        <f t="shared" si="42"/>
        <v>7</v>
      </c>
      <c r="R111" s="1">
        <f t="shared" si="36"/>
        <v>880434.94337817666</v>
      </c>
      <c r="S111" s="4">
        <f>IF($G$4="mensual",S108,IF($G$4="trimestral",S108,0))</f>
        <v>10000</v>
      </c>
      <c r="U111" s="1">
        <f t="shared" si="43"/>
        <v>7100.4532813005526</v>
      </c>
      <c r="V111" s="1">
        <f t="shared" si="25"/>
        <v>-100.27400157777105</v>
      </c>
      <c r="X111" s="1">
        <f t="shared" si="28"/>
        <v>-897.53539665947733</v>
      </c>
      <c r="Y111" s="1">
        <f t="shared" si="29"/>
        <v>896537.58726124</v>
      </c>
      <c r="AA111" s="2">
        <f>+Bono!J111</f>
        <v>155807.4123509886</v>
      </c>
      <c r="AC111" s="10">
        <f t="shared" si="30"/>
        <v>7.333333333333333</v>
      </c>
      <c r="AD111" s="1">
        <f t="shared" si="31"/>
        <v>1297679.9565268029</v>
      </c>
    </row>
    <row r="112" spans="2:30">
      <c r="B112" s="1">
        <f t="shared" si="32"/>
        <v>89</v>
      </c>
      <c r="C112" s="2">
        <f t="shared" si="37"/>
        <v>7</v>
      </c>
      <c r="D112" s="2">
        <f t="shared" si="38"/>
        <v>5</v>
      </c>
      <c r="E112" s="2">
        <f t="shared" si="39"/>
        <v>36</v>
      </c>
      <c r="F112" s="1">
        <f t="shared" si="33"/>
        <v>245334.95691457432</v>
      </c>
      <c r="H112" s="1">
        <f t="shared" si="26"/>
        <v>1956.3353985558701</v>
      </c>
      <c r="I112" s="1">
        <v>0</v>
      </c>
      <c r="J112" s="1">
        <v>0</v>
      </c>
      <c r="K112" s="1">
        <f t="shared" si="34"/>
        <v>-247.29129231313019</v>
      </c>
      <c r="L112" s="1">
        <f t="shared" si="27"/>
        <v>247044.00102081706</v>
      </c>
      <c r="N112" s="1">
        <f t="shared" si="35"/>
        <v>89</v>
      </c>
      <c r="O112" s="2">
        <f t="shared" si="40"/>
        <v>7</v>
      </c>
      <c r="P112" s="2">
        <f t="shared" si="41"/>
        <v>5</v>
      </c>
      <c r="Q112" s="2">
        <f t="shared" si="42"/>
        <v>7</v>
      </c>
      <c r="R112" s="1">
        <f t="shared" si="36"/>
        <v>896537.58726124</v>
      </c>
      <c r="S112" s="4">
        <f>IF($G$4="mensual",S111,0)</f>
        <v>10000</v>
      </c>
      <c r="U112" s="1">
        <f t="shared" si="43"/>
        <v>7228.8580249007282</v>
      </c>
      <c r="V112" s="1">
        <f t="shared" si="25"/>
        <v>-100.27400157777105</v>
      </c>
      <c r="X112" s="1">
        <f t="shared" si="28"/>
        <v>-913.76644528614077</v>
      </c>
      <c r="Y112" s="1">
        <f t="shared" si="29"/>
        <v>912752.40483927692</v>
      </c>
      <c r="AA112" s="2">
        <f>+Bono!J112</f>
        <v>156773.43638010597</v>
      </c>
      <c r="AC112" s="10">
        <f t="shared" si="30"/>
        <v>7.416666666666667</v>
      </c>
      <c r="AD112" s="1">
        <f t="shared" si="31"/>
        <v>1316569.8422401999</v>
      </c>
    </row>
    <row r="113" spans="2:30">
      <c r="B113" s="1">
        <f t="shared" si="32"/>
        <v>90</v>
      </c>
      <c r="C113" s="2">
        <f t="shared" si="37"/>
        <v>7</v>
      </c>
      <c r="D113" s="2">
        <f t="shared" si="38"/>
        <v>6</v>
      </c>
      <c r="E113" s="2">
        <f t="shared" si="39"/>
        <v>36</v>
      </c>
      <c r="F113" s="1">
        <f t="shared" si="33"/>
        <v>247044.00102081706</v>
      </c>
      <c r="H113" s="1">
        <f t="shared" si="26"/>
        <v>1969.96355625824</v>
      </c>
      <c r="I113" s="1">
        <v>0</v>
      </c>
      <c r="J113" s="69">
        <f>-SUM(F113:H113)*$J$21</f>
        <v>-2241.1256811936778</v>
      </c>
      <c r="K113" s="1">
        <f t="shared" si="34"/>
        <v>-246.77283889588162</v>
      </c>
      <c r="L113" s="1">
        <f t="shared" si="27"/>
        <v>246526.06605698573</v>
      </c>
      <c r="N113" s="1">
        <f t="shared" si="35"/>
        <v>90</v>
      </c>
      <c r="O113" s="2">
        <f t="shared" si="40"/>
        <v>7</v>
      </c>
      <c r="P113" s="2">
        <f t="shared" si="41"/>
        <v>6</v>
      </c>
      <c r="Q113" s="2">
        <f t="shared" si="42"/>
        <v>7</v>
      </c>
      <c r="R113" s="1">
        <f t="shared" si="36"/>
        <v>912752.40483927692</v>
      </c>
      <c r="S113" s="4">
        <f>IF($G$4="mensual",S112,0)</f>
        <v>10000</v>
      </c>
      <c r="U113" s="1">
        <f t="shared" si="43"/>
        <v>7358.1572572970517</v>
      </c>
      <c r="V113" s="1">
        <f t="shared" si="25"/>
        <v>-100.27400157777105</v>
      </c>
      <c r="X113" s="1">
        <f t="shared" si="28"/>
        <v>-930.11056209657397</v>
      </c>
      <c r="Y113" s="1">
        <f t="shared" si="29"/>
        <v>929080.17753289966</v>
      </c>
      <c r="AA113" s="2">
        <f>+Bono!J113</f>
        <v>156324.31969124437</v>
      </c>
      <c r="AC113" s="10">
        <f t="shared" si="30"/>
        <v>7.5</v>
      </c>
      <c r="AD113" s="1">
        <f t="shared" si="31"/>
        <v>1331930.5632811296</v>
      </c>
    </row>
    <row r="114" spans="2:30">
      <c r="B114" s="1">
        <f t="shared" si="32"/>
        <v>91</v>
      </c>
      <c r="C114" s="2">
        <f t="shared" si="37"/>
        <v>7</v>
      </c>
      <c r="D114" s="2">
        <f t="shared" si="38"/>
        <v>7</v>
      </c>
      <c r="E114" s="2">
        <f t="shared" si="39"/>
        <v>36</v>
      </c>
      <c r="F114" s="1">
        <f t="shared" si="33"/>
        <v>246526.06605698573</v>
      </c>
      <c r="H114" s="1">
        <f t="shared" si="26"/>
        <v>1965.8334701236099</v>
      </c>
      <c r="I114" s="1">
        <v>0</v>
      </c>
      <c r="J114" s="1">
        <v>0</v>
      </c>
      <c r="K114" s="1">
        <f t="shared" si="34"/>
        <v>-248.49189952710935</v>
      </c>
      <c r="L114" s="1">
        <f t="shared" si="27"/>
        <v>248243.40762758223</v>
      </c>
      <c r="N114" s="1">
        <f t="shared" si="35"/>
        <v>91</v>
      </c>
      <c r="O114" s="2">
        <f t="shared" si="40"/>
        <v>7</v>
      </c>
      <c r="P114" s="2">
        <f t="shared" si="41"/>
        <v>7</v>
      </c>
      <c r="Q114" s="2">
        <f t="shared" si="42"/>
        <v>7</v>
      </c>
      <c r="R114" s="1">
        <f t="shared" si="36"/>
        <v>929080.17753289966</v>
      </c>
      <c r="S114" s="1">
        <f>+IF($G$4="mensual",S108,IF($G$4="trimestral",S108,IF($G$4="semestral",S108,0)))</f>
        <v>10000</v>
      </c>
      <c r="U114" s="1">
        <f t="shared" si="43"/>
        <v>7488.3572096472199</v>
      </c>
      <c r="V114" s="1">
        <f t="shared" si="25"/>
        <v>-100.27400157777105</v>
      </c>
      <c r="X114" s="1">
        <f t="shared" si="28"/>
        <v>-946.56853474254683</v>
      </c>
      <c r="Y114" s="1">
        <f t="shared" si="29"/>
        <v>945521.69220622652</v>
      </c>
      <c r="AA114" s="2">
        <f>+Bono!J114</f>
        <v>157293.54860582884</v>
      </c>
      <c r="AC114" s="10">
        <f t="shared" si="30"/>
        <v>7.583333333333333</v>
      </c>
      <c r="AD114" s="1">
        <f t="shared" si="31"/>
        <v>1351058.6484396376</v>
      </c>
    </row>
    <row r="115" spans="2:30">
      <c r="B115" s="1">
        <f t="shared" si="32"/>
        <v>92</v>
      </c>
      <c r="C115" s="2">
        <f t="shared" si="37"/>
        <v>7</v>
      </c>
      <c r="D115" s="2">
        <f t="shared" si="38"/>
        <v>8</v>
      </c>
      <c r="E115" s="2">
        <f t="shared" si="39"/>
        <v>36</v>
      </c>
      <c r="F115" s="1">
        <f t="shared" si="33"/>
        <v>248243.40762758223</v>
      </c>
      <c r="H115" s="1">
        <f t="shared" si="26"/>
        <v>1979.5277929719405</v>
      </c>
      <c r="I115" s="1">
        <v>0</v>
      </c>
      <c r="J115" s="1">
        <v>0</v>
      </c>
      <c r="K115" s="1">
        <f t="shared" si="34"/>
        <v>-250.22293542055417</v>
      </c>
      <c r="L115" s="1">
        <f t="shared" si="27"/>
        <v>249972.71248513361</v>
      </c>
      <c r="N115" s="1">
        <f t="shared" si="35"/>
        <v>92</v>
      </c>
      <c r="O115" s="2">
        <f t="shared" si="40"/>
        <v>7</v>
      </c>
      <c r="P115" s="2">
        <f t="shared" si="41"/>
        <v>8</v>
      </c>
      <c r="Q115" s="2">
        <f t="shared" si="42"/>
        <v>7</v>
      </c>
      <c r="R115" s="1">
        <f t="shared" si="36"/>
        <v>945521.69220622652</v>
      </c>
      <c r="S115" s="4">
        <f>IF($G$4="mensual",S114,0)</f>
        <v>10000</v>
      </c>
      <c r="U115" s="1">
        <f t="shared" si="43"/>
        <v>7619.4641565162101</v>
      </c>
      <c r="V115" s="1">
        <f t="shared" si="25"/>
        <v>-100.27400157777105</v>
      </c>
      <c r="X115" s="1">
        <f t="shared" si="28"/>
        <v>-963.14115636274278</v>
      </c>
      <c r="Y115" s="1">
        <f t="shared" si="29"/>
        <v>962077.7412048023</v>
      </c>
      <c r="AA115" s="2">
        <f>+Bono!J115</f>
        <v>158268.78685210733</v>
      </c>
      <c r="AC115" s="10">
        <f t="shared" si="30"/>
        <v>7.666666666666667</v>
      </c>
      <c r="AD115" s="1">
        <f t="shared" si="31"/>
        <v>1370319.2405420432</v>
      </c>
    </row>
    <row r="116" spans="2:30">
      <c r="B116" s="1">
        <f t="shared" si="32"/>
        <v>93</v>
      </c>
      <c r="C116" s="2">
        <f t="shared" si="37"/>
        <v>7</v>
      </c>
      <c r="D116" s="2">
        <f t="shared" si="38"/>
        <v>9</v>
      </c>
      <c r="E116" s="2">
        <f t="shared" si="39"/>
        <v>36</v>
      </c>
      <c r="F116" s="1">
        <f t="shared" si="33"/>
        <v>249972.71248513361</v>
      </c>
      <c r="H116" s="1">
        <f t="shared" si="26"/>
        <v>1993.3175127504408</v>
      </c>
      <c r="I116" s="1">
        <v>0</v>
      </c>
      <c r="J116" s="69">
        <f>-SUM(F116:H116)*$J$21</f>
        <v>-2267.694269980957</v>
      </c>
      <c r="K116" s="1">
        <f t="shared" si="34"/>
        <v>-249.69833572790313</v>
      </c>
      <c r="L116" s="1">
        <f t="shared" si="27"/>
        <v>249448.63739217521</v>
      </c>
      <c r="N116" s="1">
        <f t="shared" si="35"/>
        <v>93</v>
      </c>
      <c r="O116" s="2">
        <f t="shared" si="40"/>
        <v>7</v>
      </c>
      <c r="P116" s="2">
        <f t="shared" si="41"/>
        <v>9</v>
      </c>
      <c r="Q116" s="2">
        <f t="shared" si="42"/>
        <v>7</v>
      </c>
      <c r="R116" s="1">
        <f t="shared" si="36"/>
        <v>962077.7412048023</v>
      </c>
      <c r="S116" s="4">
        <f>IF($G$4="mensual",S115,0)</f>
        <v>10000</v>
      </c>
      <c r="U116" s="1">
        <f t="shared" si="43"/>
        <v>7751.484416178665</v>
      </c>
      <c r="V116" s="1">
        <f t="shared" si="25"/>
        <v>-100.27400157777105</v>
      </c>
      <c r="X116" s="1">
        <f t="shared" si="28"/>
        <v>-979.82922562098099</v>
      </c>
      <c r="Y116" s="1">
        <f t="shared" si="29"/>
        <v>978749.12239378225</v>
      </c>
      <c r="AA116" s="2">
        <f>+Bono!J116</f>
        <v>157815.38635810514</v>
      </c>
      <c r="AC116" s="10">
        <f t="shared" si="30"/>
        <v>7.75</v>
      </c>
      <c r="AD116" s="1">
        <f t="shared" si="31"/>
        <v>1386013.1461440625</v>
      </c>
    </row>
    <row r="117" spans="2:30">
      <c r="B117" s="1">
        <f t="shared" si="32"/>
        <v>94</v>
      </c>
      <c r="C117" s="2">
        <f t="shared" si="37"/>
        <v>7</v>
      </c>
      <c r="D117" s="2">
        <f t="shared" si="38"/>
        <v>10</v>
      </c>
      <c r="E117" s="2">
        <f t="shared" si="39"/>
        <v>36</v>
      </c>
      <c r="F117" s="1">
        <f t="shared" si="33"/>
        <v>249448.63739217521</v>
      </c>
      <c r="H117" s="1">
        <f t="shared" si="26"/>
        <v>1989.1384643638996</v>
      </c>
      <c r="I117" s="1">
        <v>0</v>
      </c>
      <c r="J117" s="1">
        <v>0</v>
      </c>
      <c r="K117" s="1">
        <f t="shared" si="34"/>
        <v>-251.4377758565391</v>
      </c>
      <c r="L117" s="1">
        <f t="shared" si="27"/>
        <v>251186.33808068256</v>
      </c>
      <c r="N117" s="1">
        <f t="shared" si="35"/>
        <v>94</v>
      </c>
      <c r="O117" s="2">
        <f t="shared" si="40"/>
        <v>7</v>
      </c>
      <c r="P117" s="2">
        <f t="shared" si="41"/>
        <v>10</v>
      </c>
      <c r="Q117" s="2">
        <f t="shared" si="42"/>
        <v>7</v>
      </c>
      <c r="R117" s="1">
        <f t="shared" si="36"/>
        <v>978749.12239378225</v>
      </c>
      <c r="S117" s="4">
        <f>IF($G$4="mensual",S108,IF($G$4="trimestral",S108,0))</f>
        <v>10000</v>
      </c>
      <c r="U117" s="1">
        <f t="shared" si="43"/>
        <v>7884.4243509233756</v>
      </c>
      <c r="V117" s="1">
        <f t="shared" si="25"/>
        <v>-100.27400157777105</v>
      </c>
      <c r="X117" s="1">
        <f t="shared" si="28"/>
        <v>-996.63354674470565</v>
      </c>
      <c r="Y117" s="1">
        <f t="shared" si="29"/>
        <v>995536.63919638318</v>
      </c>
      <c r="AA117" s="2">
        <f>+Bono!J117</f>
        <v>158793.86005897721</v>
      </c>
      <c r="AC117" s="10">
        <f t="shared" si="30"/>
        <v>7.833333333333333</v>
      </c>
      <c r="AD117" s="1">
        <f t="shared" si="31"/>
        <v>1405516.8373360429</v>
      </c>
    </row>
    <row r="118" spans="2:30">
      <c r="B118" s="1">
        <f t="shared" si="32"/>
        <v>95</v>
      </c>
      <c r="C118" s="2">
        <f t="shared" si="37"/>
        <v>7</v>
      </c>
      <c r="D118" s="2">
        <f t="shared" si="38"/>
        <v>11</v>
      </c>
      <c r="E118" s="2">
        <f t="shared" si="39"/>
        <v>36</v>
      </c>
      <c r="F118" s="1">
        <f t="shared" si="33"/>
        <v>251186.33808068256</v>
      </c>
      <c r="H118" s="1">
        <f t="shared" si="26"/>
        <v>2002.99513367746</v>
      </c>
      <c r="I118" s="1">
        <v>0</v>
      </c>
      <c r="J118" s="1">
        <v>0</v>
      </c>
      <c r="K118" s="1">
        <f t="shared" si="34"/>
        <v>-253.18933321436003</v>
      </c>
      <c r="L118" s="1">
        <f t="shared" si="27"/>
        <v>252936.14388114566</v>
      </c>
      <c r="N118" s="1">
        <f t="shared" si="35"/>
        <v>95</v>
      </c>
      <c r="O118" s="2">
        <f t="shared" si="40"/>
        <v>7</v>
      </c>
      <c r="P118" s="2">
        <f t="shared" si="41"/>
        <v>11</v>
      </c>
      <c r="Q118" s="2">
        <f t="shared" si="42"/>
        <v>7</v>
      </c>
      <c r="R118" s="1">
        <f t="shared" si="36"/>
        <v>995536.63919638318</v>
      </c>
      <c r="S118" s="1">
        <f>IF($G$17="si",S106*(1+$G$20),S106)</f>
        <v>10000</v>
      </c>
      <c r="U118" s="1">
        <f t="shared" si="43"/>
        <v>8018.2903673598967</v>
      </c>
      <c r="V118" s="1">
        <f t="shared" si="25"/>
        <v>-100.27400157777105</v>
      </c>
      <c r="X118" s="1">
        <f t="shared" si="28"/>
        <v>-1013.554929563743</v>
      </c>
      <c r="Y118" s="1">
        <f t="shared" si="29"/>
        <v>1012441.1006326015</v>
      </c>
      <c r="AA118" s="2">
        <f>+Bono!J118</f>
        <v>159778.40041029057</v>
      </c>
      <c r="AC118" s="10">
        <f t="shared" si="30"/>
        <v>7.916666666666667</v>
      </c>
      <c r="AD118" s="1">
        <f t="shared" si="31"/>
        <v>1425155.6449240379</v>
      </c>
    </row>
    <row r="119" spans="2:30">
      <c r="B119" s="1">
        <f t="shared" si="32"/>
        <v>96</v>
      </c>
      <c r="C119" s="2">
        <f t="shared" si="37"/>
        <v>7</v>
      </c>
      <c r="D119" s="2">
        <f t="shared" si="38"/>
        <v>12</v>
      </c>
      <c r="E119" s="2">
        <f t="shared" si="39"/>
        <v>36</v>
      </c>
      <c r="F119" s="1">
        <f t="shared" si="33"/>
        <v>252936.14388114566</v>
      </c>
      <c r="H119" s="1">
        <f t="shared" si="26"/>
        <v>2016.948330853663</v>
      </c>
      <c r="I119" s="1">
        <v>0</v>
      </c>
      <c r="J119" s="69">
        <f>-SUM(F119:H119)*$J$21</f>
        <v>-2294.5778299079943</v>
      </c>
      <c r="K119" s="1">
        <f t="shared" si="34"/>
        <v>-252.65851438209134</v>
      </c>
      <c r="L119" s="1">
        <f t="shared" si="27"/>
        <v>252405.85586770924</v>
      </c>
      <c r="N119" s="1">
        <f t="shared" si="35"/>
        <v>96</v>
      </c>
      <c r="O119" s="2">
        <f t="shared" si="40"/>
        <v>7</v>
      </c>
      <c r="P119" s="2">
        <f t="shared" si="41"/>
        <v>12</v>
      </c>
      <c r="Q119" s="2">
        <f t="shared" si="42"/>
        <v>7</v>
      </c>
      <c r="R119" s="1">
        <f t="shared" si="36"/>
        <v>1012441.1006326015</v>
      </c>
      <c r="S119" s="4">
        <f>IF($G$4="mensual",S118,0)</f>
        <v>10000</v>
      </c>
      <c r="U119" s="1">
        <f t="shared" si="43"/>
        <v>8153.0889167272899</v>
      </c>
      <c r="V119" s="1">
        <f t="shared" si="25"/>
        <v>-100.27400157777105</v>
      </c>
      <c r="X119" s="1">
        <f t="shared" si="28"/>
        <v>-1030.5941895493288</v>
      </c>
      <c r="Y119" s="1">
        <f t="shared" si="29"/>
        <v>1029463.3213582018</v>
      </c>
      <c r="AA119" s="2">
        <f>+Bono!J119</f>
        <v>159320.67525097285</v>
      </c>
      <c r="AC119" s="10">
        <f t="shared" si="30"/>
        <v>8</v>
      </c>
      <c r="AD119" s="1">
        <f t="shared" si="31"/>
        <v>1441189.8524768839</v>
      </c>
    </row>
    <row r="120" spans="2:30">
      <c r="B120" s="1">
        <f t="shared" si="32"/>
        <v>97</v>
      </c>
      <c r="C120" s="2">
        <f t="shared" si="37"/>
        <v>8</v>
      </c>
      <c r="D120" s="2">
        <f t="shared" si="38"/>
        <v>1</v>
      </c>
      <c r="E120" s="2">
        <f t="shared" si="39"/>
        <v>37</v>
      </c>
      <c r="F120" s="1">
        <f t="shared" si="33"/>
        <v>252405.85586770924</v>
      </c>
      <c r="H120" s="1">
        <f t="shared" si="26"/>
        <v>2012.7197397667567</v>
      </c>
      <c r="I120" s="1">
        <v>0</v>
      </c>
      <c r="J120" s="1">
        <v>0</v>
      </c>
      <c r="K120" s="1">
        <f t="shared" si="34"/>
        <v>-254.41857560747601</v>
      </c>
      <c r="L120" s="1">
        <f t="shared" si="27"/>
        <v>254164.15703186853</v>
      </c>
      <c r="N120" s="1">
        <f t="shared" si="35"/>
        <v>97</v>
      </c>
      <c r="O120" s="2">
        <f t="shared" si="40"/>
        <v>8</v>
      </c>
      <c r="P120" s="2">
        <f t="shared" si="41"/>
        <v>1</v>
      </c>
      <c r="Q120" s="2">
        <f t="shared" si="42"/>
        <v>8</v>
      </c>
      <c r="R120" s="1">
        <f t="shared" si="36"/>
        <v>1029463.3213582018</v>
      </c>
      <c r="S120" s="1">
        <f>IF($G$17="si",S108*(1+$G$20),S108)</f>
        <v>10000</v>
      </c>
      <c r="U120" s="1">
        <f t="shared" si="43"/>
        <v>8288.8264952050231</v>
      </c>
      <c r="V120" s="1">
        <f>V119*(1+$G$18)</f>
        <v>-104.28496164088189</v>
      </c>
      <c r="X120" s="1">
        <f t="shared" si="28"/>
        <v>-1047.7521478534068</v>
      </c>
      <c r="Y120" s="1">
        <f t="shared" si="29"/>
        <v>1046600.1107439126</v>
      </c>
      <c r="AA120" s="2">
        <f>+Bono!J120</f>
        <v>160308.48191758338</v>
      </c>
      <c r="AC120" s="10">
        <f t="shared" si="30"/>
        <v>8.0833333333333339</v>
      </c>
      <c r="AD120" s="1">
        <f t="shared" si="31"/>
        <v>1461072.7496933646</v>
      </c>
    </row>
    <row r="121" spans="2:30">
      <c r="B121" s="1">
        <f t="shared" si="32"/>
        <v>98</v>
      </c>
      <c r="C121" s="2">
        <f t="shared" si="37"/>
        <v>8</v>
      </c>
      <c r="D121" s="2">
        <f t="shared" si="38"/>
        <v>2</v>
      </c>
      <c r="E121" s="2">
        <f t="shared" si="39"/>
        <v>37</v>
      </c>
      <c r="F121" s="1">
        <f t="shared" si="33"/>
        <v>254164.15703186853</v>
      </c>
      <c r="H121" s="1">
        <f t="shared" si="26"/>
        <v>2026.7406801660677</v>
      </c>
      <c r="I121" s="1">
        <v>0</v>
      </c>
      <c r="J121" s="1">
        <v>0</v>
      </c>
      <c r="K121" s="1">
        <f t="shared" si="34"/>
        <v>-256.1908977120346</v>
      </c>
      <c r="L121" s="1">
        <f t="shared" si="27"/>
        <v>255934.70681432253</v>
      </c>
      <c r="N121" s="1">
        <f t="shared" si="35"/>
        <v>98</v>
      </c>
      <c r="O121" s="2">
        <f t="shared" si="40"/>
        <v>8</v>
      </c>
      <c r="P121" s="2">
        <f t="shared" si="41"/>
        <v>2</v>
      </c>
      <c r="Q121" s="2">
        <f t="shared" si="42"/>
        <v>8</v>
      </c>
      <c r="R121" s="1">
        <f t="shared" si="36"/>
        <v>1046600.1107439126</v>
      </c>
      <c r="S121" s="4">
        <f>IF($G$4="mensual",S120,0)</f>
        <v>10000</v>
      </c>
      <c r="U121" s="1">
        <f t="shared" si="43"/>
        <v>8425.4776602672282</v>
      </c>
      <c r="V121" s="1">
        <f>V120</f>
        <v>-104.28496164088189</v>
      </c>
      <c r="X121" s="1">
        <f t="shared" si="28"/>
        <v>-1065.0255884041799</v>
      </c>
      <c r="Y121" s="1">
        <f t="shared" si="29"/>
        <v>1063856.2778541348</v>
      </c>
      <c r="AA121" s="2">
        <f>+Bono!J121</f>
        <v>161302.41310010539</v>
      </c>
      <c r="AC121" s="10">
        <f t="shared" si="30"/>
        <v>8.1666666666666661</v>
      </c>
      <c r="AD121" s="1">
        <f t="shared" si="31"/>
        <v>1481093.3977685629</v>
      </c>
    </row>
    <row r="122" spans="2:30">
      <c r="B122" s="1">
        <f t="shared" si="32"/>
        <v>99</v>
      </c>
      <c r="C122" s="2">
        <f t="shared" si="37"/>
        <v>8</v>
      </c>
      <c r="D122" s="2">
        <f t="shared" si="38"/>
        <v>3</v>
      </c>
      <c r="E122" s="2">
        <f t="shared" si="39"/>
        <v>37</v>
      </c>
      <c r="F122" s="1">
        <f t="shared" si="33"/>
        <v>255934.70681432253</v>
      </c>
      <c r="H122" s="1">
        <f t="shared" si="26"/>
        <v>2040.8592927677209</v>
      </c>
      <c r="I122" s="1">
        <v>0</v>
      </c>
      <c r="J122" s="69">
        <f>-SUM(F122:H122)*$J$21</f>
        <v>-2321.7800949638126</v>
      </c>
      <c r="K122" s="1">
        <f t="shared" si="34"/>
        <v>-255.65378601212643</v>
      </c>
      <c r="L122" s="1">
        <f t="shared" si="27"/>
        <v>255398.13222611431</v>
      </c>
      <c r="N122" s="1">
        <f t="shared" si="35"/>
        <v>99</v>
      </c>
      <c r="O122" s="2">
        <f t="shared" si="40"/>
        <v>8</v>
      </c>
      <c r="P122" s="2">
        <f t="shared" si="41"/>
        <v>3</v>
      </c>
      <c r="Q122" s="2">
        <f t="shared" si="42"/>
        <v>8</v>
      </c>
      <c r="R122" s="1">
        <f t="shared" si="36"/>
        <v>1063856.2778541348</v>
      </c>
      <c r="S122" s="4">
        <f>IF($G$4="mensual",S121,0)</f>
        <v>10000</v>
      </c>
      <c r="U122" s="1">
        <f t="shared" si="43"/>
        <v>8563.0807600687695</v>
      </c>
      <c r="V122" s="1">
        <f t="shared" si="25"/>
        <v>-104.28496164088189</v>
      </c>
      <c r="X122" s="1">
        <f t="shared" si="28"/>
        <v>-1082.4193586142035</v>
      </c>
      <c r="Y122" s="1">
        <f t="shared" si="29"/>
        <v>1081232.6542939486</v>
      </c>
      <c r="AA122" s="2">
        <f>+Bono!J122</f>
        <v>160840.32202556098</v>
      </c>
      <c r="AC122" s="10">
        <f t="shared" si="30"/>
        <v>8.25</v>
      </c>
      <c r="AD122" s="1">
        <f t="shared" si="31"/>
        <v>1497471.108545624</v>
      </c>
    </row>
    <row r="123" spans="2:30">
      <c r="B123" s="1">
        <f t="shared" si="32"/>
        <v>100</v>
      </c>
      <c r="C123" s="2">
        <f t="shared" si="37"/>
        <v>8</v>
      </c>
      <c r="D123" s="2">
        <f t="shared" si="38"/>
        <v>4</v>
      </c>
      <c r="E123" s="2">
        <f t="shared" si="39"/>
        <v>37</v>
      </c>
      <c r="F123" s="1">
        <f t="shared" si="33"/>
        <v>255398.13222611431</v>
      </c>
      <c r="H123" s="1">
        <f t="shared" si="26"/>
        <v>2036.5805716507675</v>
      </c>
      <c r="I123" s="1">
        <v>0</v>
      </c>
      <c r="J123" s="1">
        <v>0</v>
      </c>
      <c r="K123" s="1">
        <f t="shared" si="34"/>
        <v>-257.43471279776509</v>
      </c>
      <c r="L123" s="1">
        <f t="shared" si="27"/>
        <v>257177.27808496731</v>
      </c>
      <c r="N123" s="1">
        <f t="shared" si="35"/>
        <v>100</v>
      </c>
      <c r="O123" s="2">
        <f t="shared" si="40"/>
        <v>8</v>
      </c>
      <c r="P123" s="2">
        <f t="shared" si="41"/>
        <v>4</v>
      </c>
      <c r="Q123" s="2">
        <f t="shared" si="42"/>
        <v>8</v>
      </c>
      <c r="R123" s="1">
        <f t="shared" si="36"/>
        <v>1081232.6542939486</v>
      </c>
      <c r="S123" s="4">
        <f>IF($G$4="mensual",S120,IF($G$4="trimestral",S120,0))</f>
        <v>10000</v>
      </c>
      <c r="U123" s="1">
        <f t="shared" si="43"/>
        <v>8701.6424259453397</v>
      </c>
      <c r="V123" s="1">
        <f t="shared" si="25"/>
        <v>-104.28496164088189</v>
      </c>
      <c r="X123" s="1">
        <f t="shared" si="28"/>
        <v>-1099.9342967198938</v>
      </c>
      <c r="Y123" s="1">
        <f t="shared" si="29"/>
        <v>1098730.077461533</v>
      </c>
      <c r="AA123" s="2">
        <f>+Bono!J123</f>
        <v>161837.55067844206</v>
      </c>
      <c r="AC123" s="10">
        <f t="shared" si="30"/>
        <v>8.3333333333333339</v>
      </c>
      <c r="AD123" s="1">
        <f t="shared" si="31"/>
        <v>1517744.9062249423</v>
      </c>
    </row>
    <row r="124" spans="2:30">
      <c r="B124" s="1">
        <f t="shared" si="32"/>
        <v>101</v>
      </c>
      <c r="C124" s="2">
        <f t="shared" si="37"/>
        <v>8</v>
      </c>
      <c r="D124" s="2">
        <f t="shared" si="38"/>
        <v>5</v>
      </c>
      <c r="E124" s="2">
        <f t="shared" si="39"/>
        <v>37</v>
      </c>
      <c r="F124" s="1">
        <f t="shared" si="33"/>
        <v>257177.27808496731</v>
      </c>
      <c r="H124" s="1">
        <f t="shared" si="26"/>
        <v>2050.7677305727639</v>
      </c>
      <c r="I124" s="1">
        <v>0</v>
      </c>
      <c r="J124" s="1">
        <v>0</v>
      </c>
      <c r="K124" s="1">
        <f t="shared" si="34"/>
        <v>-259.2280458155401</v>
      </c>
      <c r="L124" s="1">
        <f t="shared" si="27"/>
        <v>258968.81776972453</v>
      </c>
      <c r="N124" s="1">
        <f t="shared" si="35"/>
        <v>101</v>
      </c>
      <c r="O124" s="2">
        <f t="shared" si="40"/>
        <v>8</v>
      </c>
      <c r="P124" s="2">
        <f t="shared" si="41"/>
        <v>5</v>
      </c>
      <c r="Q124" s="2">
        <f t="shared" si="42"/>
        <v>8</v>
      </c>
      <c r="R124" s="1">
        <f t="shared" si="36"/>
        <v>1098730.077461533</v>
      </c>
      <c r="S124" s="4">
        <f>IF($G$4="mensual",S123,0)</f>
        <v>10000</v>
      </c>
      <c r="U124" s="1">
        <f t="shared" si="43"/>
        <v>8841.1693354276122</v>
      </c>
      <c r="V124" s="1">
        <f t="shared" si="25"/>
        <v>-104.28496164088189</v>
      </c>
      <c r="X124" s="1">
        <f t="shared" si="28"/>
        <v>-1117.5712467969606</v>
      </c>
      <c r="Y124" s="1">
        <f t="shared" si="29"/>
        <v>1116349.3905885229</v>
      </c>
      <c r="AA124" s="2">
        <f>+Bono!J124</f>
        <v>162840.96226464238</v>
      </c>
      <c r="AC124" s="10">
        <f t="shared" si="30"/>
        <v>8.4166666666666661</v>
      </c>
      <c r="AD124" s="1">
        <f t="shared" si="31"/>
        <v>1538159.1706228899</v>
      </c>
    </row>
    <row r="125" spans="2:30">
      <c r="B125" s="1">
        <f t="shared" si="32"/>
        <v>102</v>
      </c>
      <c r="C125" s="2">
        <f t="shared" si="37"/>
        <v>8</v>
      </c>
      <c r="D125" s="2">
        <f t="shared" si="38"/>
        <v>6</v>
      </c>
      <c r="E125" s="2">
        <f t="shared" si="39"/>
        <v>37</v>
      </c>
      <c r="F125" s="1">
        <f t="shared" si="33"/>
        <v>258968.81776972453</v>
      </c>
      <c r="H125" s="1">
        <f t="shared" si="26"/>
        <v>2065.0537196029718</v>
      </c>
      <c r="I125" s="1">
        <v>0</v>
      </c>
      <c r="J125" s="69">
        <f>-SUM(F125:H125)*$J$21</f>
        <v>-2349.3048434039479</v>
      </c>
      <c r="K125" s="1">
        <f t="shared" si="34"/>
        <v>-258.68456664592355</v>
      </c>
      <c r="L125" s="1">
        <f t="shared" si="27"/>
        <v>258425.88207927762</v>
      </c>
      <c r="N125" s="1">
        <f t="shared" si="35"/>
        <v>102</v>
      </c>
      <c r="O125" s="2">
        <f t="shared" si="40"/>
        <v>8</v>
      </c>
      <c r="P125" s="2">
        <f t="shared" si="41"/>
        <v>6</v>
      </c>
      <c r="Q125" s="2">
        <f t="shared" si="42"/>
        <v>8</v>
      </c>
      <c r="R125" s="1">
        <f t="shared" si="36"/>
        <v>1116349.3905885229</v>
      </c>
      <c r="S125" s="4">
        <f>IF($G$4="mensual",S124,0)</f>
        <v>10000</v>
      </c>
      <c r="U125" s="1">
        <f t="shared" si="43"/>
        <v>8981.6682125630578</v>
      </c>
      <c r="V125" s="1">
        <f t="shared" ref="V125:V188" si="44">V124</f>
        <v>-104.28496164088189</v>
      </c>
      <c r="X125" s="1">
        <f t="shared" si="28"/>
        <v>-1135.3310588010859</v>
      </c>
      <c r="Y125" s="1">
        <f t="shared" si="29"/>
        <v>1134091.4427806439</v>
      </c>
      <c r="AA125" s="2">
        <f>+Bono!J125</f>
        <v>162374.46363150654</v>
      </c>
      <c r="AC125" s="10">
        <f t="shared" si="30"/>
        <v>8.5</v>
      </c>
      <c r="AD125" s="1">
        <f t="shared" si="31"/>
        <v>1554891.7884914281</v>
      </c>
    </row>
    <row r="126" spans="2:30">
      <c r="B126" s="1">
        <f t="shared" si="32"/>
        <v>103</v>
      </c>
      <c r="C126" s="2">
        <f t="shared" si="37"/>
        <v>8</v>
      </c>
      <c r="D126" s="2">
        <f t="shared" si="38"/>
        <v>7</v>
      </c>
      <c r="E126" s="2">
        <f t="shared" si="39"/>
        <v>37</v>
      </c>
      <c r="F126" s="1">
        <f t="shared" si="33"/>
        <v>258425.88207927762</v>
      </c>
      <c r="H126" s="1">
        <f t="shared" si="26"/>
        <v>2060.7242741634846</v>
      </c>
      <c r="I126" s="1">
        <v>0</v>
      </c>
      <c r="J126" s="1">
        <v>0</v>
      </c>
      <c r="K126" s="1">
        <f t="shared" si="34"/>
        <v>-260.48660635344112</v>
      </c>
      <c r="L126" s="1">
        <f t="shared" si="27"/>
        <v>260226.11974708768</v>
      </c>
      <c r="N126" s="1">
        <f t="shared" si="35"/>
        <v>103</v>
      </c>
      <c r="O126" s="2">
        <f t="shared" si="40"/>
        <v>8</v>
      </c>
      <c r="P126" s="2">
        <f t="shared" si="41"/>
        <v>7</v>
      </c>
      <c r="Q126" s="2">
        <f t="shared" si="42"/>
        <v>8</v>
      </c>
      <c r="R126" s="1">
        <f t="shared" si="36"/>
        <v>1134091.4427806439</v>
      </c>
      <c r="S126" s="1">
        <f>+IF($G$4="mensual",S120,IF($G$4="trimestral",S120,IF($G$4="semestral",S120,0)))</f>
        <v>10000</v>
      </c>
      <c r="U126" s="1">
        <f t="shared" si="43"/>
        <v>9123.1458282399708</v>
      </c>
      <c r="V126" s="1">
        <f t="shared" si="44"/>
        <v>-104.28496164088189</v>
      </c>
      <c r="X126" s="1">
        <f t="shared" si="28"/>
        <v>-1153.214588608884</v>
      </c>
      <c r="Y126" s="1">
        <f t="shared" si="29"/>
        <v>1151957.0890586344</v>
      </c>
      <c r="AA126" s="2">
        <f>+Bono!J126</f>
        <v>163381.20414029391</v>
      </c>
      <c r="AC126" s="10">
        <f t="shared" si="30"/>
        <v>8.5833333333333339</v>
      </c>
      <c r="AD126" s="1">
        <f t="shared" si="31"/>
        <v>1575564.4129460158</v>
      </c>
    </row>
    <row r="127" spans="2:30">
      <c r="B127" s="1">
        <f t="shared" si="32"/>
        <v>104</v>
      </c>
      <c r="C127" s="2">
        <f t="shared" si="37"/>
        <v>8</v>
      </c>
      <c r="D127" s="2">
        <f t="shared" si="38"/>
        <v>8</v>
      </c>
      <c r="E127" s="2">
        <f t="shared" si="39"/>
        <v>37</v>
      </c>
      <c r="F127" s="1">
        <f t="shared" si="33"/>
        <v>260226.11974708768</v>
      </c>
      <c r="H127" s="1">
        <f t="shared" si="26"/>
        <v>2075.0796221320043</v>
      </c>
      <c r="I127" s="1">
        <v>0</v>
      </c>
      <c r="J127" s="1">
        <v>0</v>
      </c>
      <c r="K127" s="1">
        <f t="shared" si="34"/>
        <v>-262.30119936921966</v>
      </c>
      <c r="L127" s="1">
        <f t="shared" si="27"/>
        <v>262038.89816985044</v>
      </c>
      <c r="N127" s="1">
        <f t="shared" si="35"/>
        <v>104</v>
      </c>
      <c r="O127" s="2">
        <f t="shared" si="40"/>
        <v>8</v>
      </c>
      <c r="P127" s="2">
        <f t="shared" si="41"/>
        <v>8</v>
      </c>
      <c r="Q127" s="2">
        <f t="shared" si="42"/>
        <v>8</v>
      </c>
      <c r="R127" s="1">
        <f t="shared" si="36"/>
        <v>1151957.0890586344</v>
      </c>
      <c r="S127" s="4">
        <f>IF($G$4="mensual",S126,0)</f>
        <v>10000</v>
      </c>
      <c r="U127" s="1">
        <f t="shared" si="43"/>
        <v>9265.6090005137885</v>
      </c>
      <c r="V127" s="1">
        <f t="shared" si="44"/>
        <v>-104.28496164088189</v>
      </c>
      <c r="X127" s="1">
        <f t="shared" si="28"/>
        <v>-1171.2226980591481</v>
      </c>
      <c r="Y127" s="1">
        <f t="shared" si="29"/>
        <v>1169947.1903994482</v>
      </c>
      <c r="AA127" s="2">
        <f>+Bono!J127</f>
        <v>164394.18655701043</v>
      </c>
      <c r="AC127" s="10">
        <f t="shared" si="30"/>
        <v>8.6666666666666661</v>
      </c>
      <c r="AD127" s="1">
        <f t="shared" si="31"/>
        <v>1596380.2751263091</v>
      </c>
    </row>
    <row r="128" spans="2:30">
      <c r="B128" s="1">
        <f t="shared" si="32"/>
        <v>105</v>
      </c>
      <c r="C128" s="2">
        <f t="shared" si="37"/>
        <v>8</v>
      </c>
      <c r="D128" s="2">
        <f t="shared" si="38"/>
        <v>9</v>
      </c>
      <c r="E128" s="2">
        <f t="shared" si="39"/>
        <v>37</v>
      </c>
      <c r="F128" s="1">
        <f t="shared" si="33"/>
        <v>262038.89816985044</v>
      </c>
      <c r="H128" s="1">
        <f t="shared" si="26"/>
        <v>2089.534971841601</v>
      </c>
      <c r="I128" s="1">
        <v>0</v>
      </c>
      <c r="J128" s="69">
        <f>-SUM(F128:H128)*$J$21</f>
        <v>-2377.1558982752285</v>
      </c>
      <c r="K128" s="1">
        <f t="shared" si="34"/>
        <v>-261.75127724341678</v>
      </c>
      <c r="L128" s="1">
        <f t="shared" si="27"/>
        <v>261489.52596617336</v>
      </c>
      <c r="N128" s="1">
        <f t="shared" si="35"/>
        <v>105</v>
      </c>
      <c r="O128" s="2">
        <f t="shared" si="40"/>
        <v>8</v>
      </c>
      <c r="P128" s="2">
        <f t="shared" si="41"/>
        <v>9</v>
      </c>
      <c r="Q128" s="2">
        <f t="shared" si="42"/>
        <v>8</v>
      </c>
      <c r="R128" s="1">
        <f t="shared" si="36"/>
        <v>1169947.1903994482</v>
      </c>
      <c r="S128" s="4">
        <f>IF($G$4="mensual",S127,0)</f>
        <v>10000</v>
      </c>
      <c r="U128" s="1">
        <f t="shared" si="43"/>
        <v>9409.0645949356476</v>
      </c>
      <c r="V128" s="1">
        <f t="shared" si="44"/>
        <v>-104.28496164088189</v>
      </c>
      <c r="X128" s="1">
        <f t="shared" si="28"/>
        <v>-1189.3562549943838</v>
      </c>
      <c r="Y128" s="1">
        <f t="shared" si="29"/>
        <v>1188062.6137777485</v>
      </c>
      <c r="AA128" s="2">
        <f>+Bono!J128</f>
        <v>163923.23832471191</v>
      </c>
      <c r="AC128" s="10">
        <f t="shared" si="30"/>
        <v>8.75</v>
      </c>
      <c r="AD128" s="1">
        <f t="shared" si="31"/>
        <v>1613475.3780686336</v>
      </c>
    </row>
    <row r="129" spans="2:30">
      <c r="B129" s="1">
        <f t="shared" si="32"/>
        <v>106</v>
      </c>
      <c r="C129" s="2">
        <f t="shared" si="37"/>
        <v>8</v>
      </c>
      <c r="D129" s="2">
        <f t="shared" si="38"/>
        <v>10</v>
      </c>
      <c r="E129" s="2">
        <f t="shared" si="39"/>
        <v>37</v>
      </c>
      <c r="F129" s="1">
        <f t="shared" si="33"/>
        <v>261489.52596617336</v>
      </c>
      <c r="H129" s="1">
        <f t="shared" si="26"/>
        <v>2085.1542007417438</v>
      </c>
      <c r="I129" s="1">
        <v>0</v>
      </c>
      <c r="J129" s="1">
        <v>0</v>
      </c>
      <c r="K129" s="1">
        <f t="shared" si="34"/>
        <v>-263.57468016691513</v>
      </c>
      <c r="L129" s="1">
        <f t="shared" si="27"/>
        <v>263311.10548674822</v>
      </c>
      <c r="N129" s="1">
        <f t="shared" si="35"/>
        <v>106</v>
      </c>
      <c r="O129" s="2">
        <f t="shared" si="40"/>
        <v>8</v>
      </c>
      <c r="P129" s="2">
        <f t="shared" si="41"/>
        <v>10</v>
      </c>
      <c r="Q129" s="2">
        <f t="shared" si="42"/>
        <v>8</v>
      </c>
      <c r="R129" s="1">
        <f t="shared" si="36"/>
        <v>1188062.6137777485</v>
      </c>
      <c r="S129" s="4">
        <f>IF($G$4="mensual",S120,IF($G$4="trimestral",S120,0))</f>
        <v>10000</v>
      </c>
      <c r="U129" s="1">
        <f t="shared" si="43"/>
        <v>9553.5195248832606</v>
      </c>
      <c r="V129" s="1">
        <f t="shared" si="44"/>
        <v>-104.28496164088189</v>
      </c>
      <c r="X129" s="1">
        <f t="shared" si="28"/>
        <v>-1207.6161333026319</v>
      </c>
      <c r="Y129" s="1">
        <f t="shared" si="29"/>
        <v>1206304.2322076883</v>
      </c>
      <c r="AA129" s="2">
        <f>+Bono!J129</f>
        <v>164939.58141624392</v>
      </c>
      <c r="AC129" s="10">
        <f t="shared" si="30"/>
        <v>8.8333333333333339</v>
      </c>
      <c r="AD129" s="1">
        <f t="shared" si="31"/>
        <v>1634554.9191106805</v>
      </c>
    </row>
    <row r="130" spans="2:30">
      <c r="B130" s="1">
        <f t="shared" si="32"/>
        <v>107</v>
      </c>
      <c r="C130" s="2">
        <f t="shared" si="37"/>
        <v>8</v>
      </c>
      <c r="D130" s="2">
        <f t="shared" si="38"/>
        <v>11</v>
      </c>
      <c r="E130" s="2">
        <f t="shared" si="39"/>
        <v>37</v>
      </c>
      <c r="F130" s="1">
        <f t="shared" si="33"/>
        <v>263311.10548674822</v>
      </c>
      <c r="H130" s="1">
        <f t="shared" si="26"/>
        <v>2099.6797316412226</v>
      </c>
      <c r="I130" s="1">
        <v>0</v>
      </c>
      <c r="J130" s="1">
        <v>0</v>
      </c>
      <c r="K130" s="1">
        <f t="shared" si="34"/>
        <v>-265.41078521838944</v>
      </c>
      <c r="L130" s="1">
        <f t="shared" si="27"/>
        <v>265145.374433171</v>
      </c>
      <c r="N130" s="1">
        <f t="shared" si="35"/>
        <v>107</v>
      </c>
      <c r="O130" s="2">
        <f t="shared" si="40"/>
        <v>8</v>
      </c>
      <c r="P130" s="2">
        <f t="shared" si="41"/>
        <v>11</v>
      </c>
      <c r="Q130" s="2">
        <f t="shared" si="42"/>
        <v>8</v>
      </c>
      <c r="R130" s="1">
        <f t="shared" si="36"/>
        <v>1206304.2322076883</v>
      </c>
      <c r="S130" s="1">
        <f>IF($G$17="si",S118*(1+$G$20),S118)</f>
        <v>10000</v>
      </c>
      <c r="U130" s="1">
        <f t="shared" si="43"/>
        <v>9698.9807518940797</v>
      </c>
      <c r="V130" s="1">
        <f t="shared" si="44"/>
        <v>-104.28496164088189</v>
      </c>
      <c r="X130" s="1">
        <f t="shared" si="28"/>
        <v>-1226.0032129595825</v>
      </c>
      <c r="Y130" s="1">
        <f t="shared" si="29"/>
        <v>1224672.9247849821</v>
      </c>
      <c r="AA130" s="2">
        <f>+Bono!J130</f>
        <v>165962.22595283191</v>
      </c>
      <c r="AC130" s="10">
        <f t="shared" si="30"/>
        <v>8.9166666666666661</v>
      </c>
      <c r="AD130" s="1">
        <f t="shared" si="31"/>
        <v>1655780.5251709851</v>
      </c>
    </row>
    <row r="131" spans="2:30">
      <c r="B131" s="1">
        <f t="shared" si="32"/>
        <v>108</v>
      </c>
      <c r="C131" s="2">
        <f t="shared" si="37"/>
        <v>8</v>
      </c>
      <c r="D131" s="2">
        <f t="shared" si="38"/>
        <v>12</v>
      </c>
      <c r="E131" s="2">
        <f t="shared" si="39"/>
        <v>37</v>
      </c>
      <c r="F131" s="1">
        <f t="shared" si="33"/>
        <v>265145.374433171</v>
      </c>
      <c r="H131" s="1">
        <f t="shared" si="26"/>
        <v>2114.3064498043755</v>
      </c>
      <c r="I131" s="1">
        <v>0</v>
      </c>
      <c r="J131" s="69">
        <f>-SUM(F131:H131)*$J$21</f>
        <v>-2405.3371279467788</v>
      </c>
      <c r="K131" s="1">
        <f t="shared" si="34"/>
        <v>-264.85434375502865</v>
      </c>
      <c r="L131" s="1">
        <f t="shared" si="27"/>
        <v>264589.48941127356</v>
      </c>
      <c r="N131" s="1">
        <f t="shared" si="35"/>
        <v>108</v>
      </c>
      <c r="O131" s="2">
        <f t="shared" si="40"/>
        <v>8</v>
      </c>
      <c r="P131" s="2">
        <f t="shared" si="41"/>
        <v>12</v>
      </c>
      <c r="Q131" s="2">
        <f t="shared" si="42"/>
        <v>8</v>
      </c>
      <c r="R131" s="1">
        <f t="shared" si="36"/>
        <v>1224672.9247849821</v>
      </c>
      <c r="S131" s="4">
        <f>IF($G$4="mensual",S130,0)</f>
        <v>10000</v>
      </c>
      <c r="U131" s="1">
        <f t="shared" si="43"/>
        <v>9845.4552860007825</v>
      </c>
      <c r="V131" s="1">
        <f t="shared" si="44"/>
        <v>-104.28496164088189</v>
      </c>
      <c r="X131" s="1">
        <f t="shared" si="28"/>
        <v>-1244.5183800709831</v>
      </c>
      <c r="Y131" s="1">
        <f t="shared" si="29"/>
        <v>1243169.5767292711</v>
      </c>
      <c r="AA131" s="2">
        <f>+Bono!J131</f>
        <v>165486.78567980431</v>
      </c>
      <c r="AC131" s="10">
        <f t="shared" si="30"/>
        <v>9</v>
      </c>
      <c r="AD131" s="1">
        <f t="shared" si="31"/>
        <v>1673245.851820349</v>
      </c>
    </row>
    <row r="132" spans="2:30">
      <c r="B132" s="1">
        <f t="shared" si="32"/>
        <v>109</v>
      </c>
      <c r="C132" s="2">
        <f t="shared" si="37"/>
        <v>9</v>
      </c>
      <c r="D132" s="2">
        <f t="shared" si="38"/>
        <v>1</v>
      </c>
      <c r="E132" s="2">
        <f t="shared" si="39"/>
        <v>38</v>
      </c>
      <c r="F132" s="1">
        <f t="shared" si="33"/>
        <v>264589.48941127356</v>
      </c>
      <c r="H132" s="1">
        <f t="shared" si="26"/>
        <v>2109.8737445774409</v>
      </c>
      <c r="I132" s="1">
        <v>0</v>
      </c>
      <c r="J132" s="1">
        <v>0</v>
      </c>
      <c r="K132" s="1">
        <f t="shared" si="34"/>
        <v>-266.69936315585102</v>
      </c>
      <c r="L132" s="1">
        <f t="shared" si="27"/>
        <v>266432.66379269515</v>
      </c>
      <c r="N132" s="1">
        <f t="shared" si="35"/>
        <v>109</v>
      </c>
      <c r="O132" s="2">
        <f t="shared" si="40"/>
        <v>9</v>
      </c>
      <c r="P132" s="2">
        <f t="shared" si="41"/>
        <v>1</v>
      </c>
      <c r="Q132" s="2">
        <f t="shared" si="42"/>
        <v>9</v>
      </c>
      <c r="R132" s="1">
        <f t="shared" si="36"/>
        <v>1243169.5767292711</v>
      </c>
      <c r="S132" s="1">
        <f>IF($G$17="si",S120*(1+$G$20),S120)</f>
        <v>10000</v>
      </c>
      <c r="U132" s="1">
        <f t="shared" si="43"/>
        <v>9992.950186069098</v>
      </c>
      <c r="V132" s="1">
        <f>V131*(1+$G$18)</f>
        <v>-108.45636010651717</v>
      </c>
      <c r="X132" s="1">
        <f t="shared" si="28"/>
        <v>-1263.1625269153403</v>
      </c>
      <c r="Y132" s="1">
        <f t="shared" si="29"/>
        <v>1261790.9080283183</v>
      </c>
      <c r="AA132" s="2">
        <f>+Bono!J132</f>
        <v>166512.82294629814</v>
      </c>
      <c r="AC132" s="10">
        <f t="shared" si="30"/>
        <v>9.0833333333333339</v>
      </c>
      <c r="AD132" s="1">
        <f t="shared" si="31"/>
        <v>1694736.3947673116</v>
      </c>
    </row>
    <row r="133" spans="2:30">
      <c r="B133" s="1">
        <f t="shared" si="32"/>
        <v>110</v>
      </c>
      <c r="C133" s="2">
        <f t="shared" si="37"/>
        <v>9</v>
      </c>
      <c r="D133" s="2">
        <f t="shared" si="38"/>
        <v>2</v>
      </c>
      <c r="E133" s="2">
        <f t="shared" si="39"/>
        <v>38</v>
      </c>
      <c r="F133" s="1">
        <f t="shared" si="33"/>
        <v>266432.66379269515</v>
      </c>
      <c r="H133" s="1">
        <f t="shared" si="26"/>
        <v>2124.5714759298544</v>
      </c>
      <c r="I133" s="1">
        <v>0</v>
      </c>
      <c r="J133" s="1">
        <v>0</v>
      </c>
      <c r="K133" s="1">
        <f t="shared" si="34"/>
        <v>-268.55723526862505</v>
      </c>
      <c r="L133" s="1">
        <f t="shared" si="27"/>
        <v>268288.67803335638</v>
      </c>
      <c r="N133" s="1">
        <f t="shared" si="35"/>
        <v>110</v>
      </c>
      <c r="O133" s="2">
        <f t="shared" si="40"/>
        <v>9</v>
      </c>
      <c r="P133" s="2">
        <f t="shared" si="41"/>
        <v>2</v>
      </c>
      <c r="Q133" s="2">
        <f t="shared" si="42"/>
        <v>9</v>
      </c>
      <c r="R133" s="1">
        <f t="shared" si="36"/>
        <v>1261790.9080283183</v>
      </c>
      <c r="S133" s="4">
        <f>IF($G$4="mensual",S132,0)</f>
        <v>10000</v>
      </c>
      <c r="U133" s="1">
        <f t="shared" si="43"/>
        <v>10141.439296820841</v>
      </c>
      <c r="V133" s="1">
        <f>V132</f>
        <v>-108.45636010651717</v>
      </c>
      <c r="X133" s="1">
        <f t="shared" si="28"/>
        <v>-1281.9323473251393</v>
      </c>
      <c r="Y133" s="1">
        <f t="shared" si="29"/>
        <v>1280541.9586177075</v>
      </c>
      <c r="AA133" s="2">
        <f>+Bono!J133</f>
        <v>167545.2217628572</v>
      </c>
      <c r="AC133" s="10">
        <f t="shared" si="30"/>
        <v>9.1666666666666661</v>
      </c>
      <c r="AD133" s="1">
        <f t="shared" si="31"/>
        <v>1716375.858413921</v>
      </c>
    </row>
    <row r="134" spans="2:30">
      <c r="B134" s="1">
        <f t="shared" si="32"/>
        <v>111</v>
      </c>
      <c r="C134" s="2">
        <f t="shared" si="37"/>
        <v>9</v>
      </c>
      <c r="D134" s="2">
        <f t="shared" si="38"/>
        <v>3</v>
      </c>
      <c r="E134" s="2">
        <f t="shared" si="39"/>
        <v>38</v>
      </c>
      <c r="F134" s="1">
        <f t="shared" si="33"/>
        <v>268288.67803335638</v>
      </c>
      <c r="H134" s="1">
        <f t="shared" si="26"/>
        <v>2139.3715941229325</v>
      </c>
      <c r="I134" s="1">
        <v>0</v>
      </c>
      <c r="J134" s="69">
        <f>-SUM(F134:H134)*$J$21</f>
        <v>-2433.8524466473145</v>
      </c>
      <c r="K134" s="1">
        <f t="shared" si="34"/>
        <v>-267.99419718083203</v>
      </c>
      <c r="L134" s="1">
        <f t="shared" si="27"/>
        <v>267726.20298365119</v>
      </c>
      <c r="N134" s="1">
        <f t="shared" si="35"/>
        <v>111</v>
      </c>
      <c r="O134" s="2">
        <f t="shared" si="40"/>
        <v>9</v>
      </c>
      <c r="P134" s="2">
        <f t="shared" si="41"/>
        <v>3</v>
      </c>
      <c r="Q134" s="2">
        <f t="shared" si="42"/>
        <v>9</v>
      </c>
      <c r="R134" s="1">
        <f t="shared" si="36"/>
        <v>1280541.9586177075</v>
      </c>
      <c r="S134" s="4">
        <f>IF($G$4="mensual",S133,0)</f>
        <v>10000</v>
      </c>
      <c r="U134" s="1">
        <f t="shared" si="43"/>
        <v>10290.962807410109</v>
      </c>
      <c r="V134" s="1">
        <f t="shared" si="44"/>
        <v>-108.45636010651717</v>
      </c>
      <c r="X134" s="1">
        <f t="shared" si="28"/>
        <v>-1300.8329214251178</v>
      </c>
      <c r="Y134" s="1">
        <f t="shared" si="29"/>
        <v>1299423.6321435859</v>
      </c>
      <c r="AA134" s="2">
        <f>+Bono!J134</f>
        <v>167065.24660271415</v>
      </c>
      <c r="AC134" s="10">
        <f t="shared" si="30"/>
        <v>9.25</v>
      </c>
      <c r="AD134" s="1">
        <f t="shared" si="31"/>
        <v>1734215.0817299513</v>
      </c>
    </row>
    <row r="135" spans="2:30">
      <c r="B135" s="1">
        <f t="shared" si="32"/>
        <v>112</v>
      </c>
      <c r="C135" s="2">
        <f t="shared" si="37"/>
        <v>9</v>
      </c>
      <c r="D135" s="2">
        <f t="shared" si="38"/>
        <v>4</v>
      </c>
      <c r="E135" s="2">
        <f t="shared" si="39"/>
        <v>38</v>
      </c>
      <c r="F135" s="1">
        <f t="shared" si="33"/>
        <v>267726.20298365119</v>
      </c>
      <c r="H135" s="1">
        <f t="shared" si="26"/>
        <v>2134.8863390888287</v>
      </c>
      <c r="I135" s="1">
        <v>0</v>
      </c>
      <c r="J135" s="1">
        <v>0</v>
      </c>
      <c r="K135" s="1">
        <f t="shared" si="34"/>
        <v>-269.86108932274004</v>
      </c>
      <c r="L135" s="1">
        <f t="shared" si="27"/>
        <v>269591.22823341732</v>
      </c>
      <c r="N135" s="1">
        <f t="shared" si="35"/>
        <v>112</v>
      </c>
      <c r="O135" s="2">
        <f t="shared" si="40"/>
        <v>9</v>
      </c>
      <c r="P135" s="2">
        <f t="shared" si="41"/>
        <v>4</v>
      </c>
      <c r="Q135" s="2">
        <f t="shared" si="42"/>
        <v>9</v>
      </c>
      <c r="R135" s="1">
        <f t="shared" si="36"/>
        <v>1299423.6321435859</v>
      </c>
      <c r="S135" s="4">
        <f>IF($G$4="mensual",S132,IF($G$4="trimestral",S132,0))</f>
        <v>10000</v>
      </c>
      <c r="U135" s="1">
        <f t="shared" si="43"/>
        <v>10441.527923638179</v>
      </c>
      <c r="V135" s="1">
        <f t="shared" si="44"/>
        <v>-108.45636010651717</v>
      </c>
      <c r="X135" s="1">
        <f t="shared" si="28"/>
        <v>-1319.8651600672242</v>
      </c>
      <c r="Y135" s="1">
        <f t="shared" si="29"/>
        <v>1318436.8385470503</v>
      </c>
      <c r="AA135" s="2">
        <f>+Bono!J135</f>
        <v>168101.07051002013</v>
      </c>
      <c r="AC135" s="10">
        <f t="shared" si="30"/>
        <v>9.3333333333333339</v>
      </c>
      <c r="AD135" s="1">
        <f t="shared" si="31"/>
        <v>1756129.1372904878</v>
      </c>
    </row>
    <row r="136" spans="2:30">
      <c r="B136" s="1">
        <f t="shared" si="32"/>
        <v>113</v>
      </c>
      <c r="C136" s="2">
        <f t="shared" si="37"/>
        <v>9</v>
      </c>
      <c r="D136" s="2">
        <f t="shared" si="38"/>
        <v>5</v>
      </c>
      <c r="E136" s="2">
        <f t="shared" si="39"/>
        <v>38</v>
      </c>
      <c r="F136" s="1">
        <f t="shared" si="33"/>
        <v>269591.22823341732</v>
      </c>
      <c r="H136" s="1">
        <f t="shared" si="26"/>
        <v>2149.758312333915</v>
      </c>
      <c r="I136" s="1">
        <v>0</v>
      </c>
      <c r="J136" s="1">
        <v>0</v>
      </c>
      <c r="K136" s="1">
        <f t="shared" si="34"/>
        <v>-271.74098654575124</v>
      </c>
      <c r="L136" s="1">
        <f t="shared" si="27"/>
        <v>271469.24555920548</v>
      </c>
      <c r="N136" s="1">
        <f t="shared" si="35"/>
        <v>113</v>
      </c>
      <c r="O136" s="2">
        <f t="shared" si="40"/>
        <v>9</v>
      </c>
      <c r="P136" s="2">
        <f t="shared" si="41"/>
        <v>5</v>
      </c>
      <c r="Q136" s="2">
        <f t="shared" si="42"/>
        <v>9</v>
      </c>
      <c r="R136" s="1">
        <f t="shared" si="36"/>
        <v>1318436.8385470503</v>
      </c>
      <c r="S136" s="4">
        <f>IF($G$4="mensual",S135,0)</f>
        <v>10000</v>
      </c>
      <c r="U136" s="1">
        <f t="shared" si="43"/>
        <v>10593.141901503135</v>
      </c>
      <c r="V136" s="1">
        <f t="shared" si="44"/>
        <v>-108.45636010651717</v>
      </c>
      <c r="X136" s="1">
        <f t="shared" si="28"/>
        <v>-1339.0299804485533</v>
      </c>
      <c r="Y136" s="1">
        <f t="shared" si="29"/>
        <v>1337582.4941079982</v>
      </c>
      <c r="AA136" s="2">
        <f>+Bono!J136</f>
        <v>169143.31664569958</v>
      </c>
      <c r="AC136" s="10">
        <f t="shared" si="30"/>
        <v>9.4166666666666661</v>
      </c>
      <c r="AD136" s="1">
        <f t="shared" si="31"/>
        <v>1778195.0563129033</v>
      </c>
    </row>
    <row r="137" spans="2:30">
      <c r="B137" s="1">
        <f t="shared" si="32"/>
        <v>114</v>
      </c>
      <c r="C137" s="2">
        <f t="shared" si="37"/>
        <v>9</v>
      </c>
      <c r="D137" s="2">
        <f t="shared" si="38"/>
        <v>6</v>
      </c>
      <c r="E137" s="2">
        <f t="shared" si="39"/>
        <v>38</v>
      </c>
      <c r="F137" s="1">
        <f t="shared" si="33"/>
        <v>271469.24555920548</v>
      </c>
      <c r="H137" s="1">
        <f t="shared" si="26"/>
        <v>2164.7338862176639</v>
      </c>
      <c r="I137" s="1">
        <v>0</v>
      </c>
      <c r="J137" s="69">
        <f>-SUM(F137:H137)*$J$21</f>
        <v>-2462.7058150088083</v>
      </c>
      <c r="K137" s="1">
        <f t="shared" si="34"/>
        <v>-271.17127363041436</v>
      </c>
      <c r="L137" s="1">
        <f t="shared" si="27"/>
        <v>270900.10235678393</v>
      </c>
      <c r="N137" s="1">
        <f t="shared" si="35"/>
        <v>114</v>
      </c>
      <c r="O137" s="2">
        <f t="shared" si="40"/>
        <v>9</v>
      </c>
      <c r="P137" s="2">
        <f t="shared" si="41"/>
        <v>6</v>
      </c>
      <c r="Q137" s="2">
        <f t="shared" si="42"/>
        <v>9</v>
      </c>
      <c r="R137" s="1">
        <f t="shared" si="36"/>
        <v>1337582.4941079982</v>
      </c>
      <c r="S137" s="4">
        <f>IF($G$4="mensual",S136,0)</f>
        <v>10000</v>
      </c>
      <c r="U137" s="1">
        <f t="shared" si="43"/>
        <v>10745.812047549558</v>
      </c>
      <c r="V137" s="1">
        <f t="shared" si="44"/>
        <v>-108.45636010651717</v>
      </c>
      <c r="X137" s="1">
        <f t="shared" si="28"/>
        <v>-1358.3283061555478</v>
      </c>
      <c r="Y137" s="1">
        <f t="shared" si="29"/>
        <v>1356861.5214892856</v>
      </c>
      <c r="AA137" s="2">
        <f>+Bono!J137</f>
        <v>168658.76334337358</v>
      </c>
      <c r="AC137" s="10">
        <f t="shared" si="30"/>
        <v>9.5</v>
      </c>
      <c r="AD137" s="1">
        <f t="shared" si="31"/>
        <v>1796420.3871894432</v>
      </c>
    </row>
    <row r="138" spans="2:30">
      <c r="B138" s="1">
        <f t="shared" si="32"/>
        <v>115</v>
      </c>
      <c r="C138" s="2">
        <f t="shared" si="37"/>
        <v>9</v>
      </c>
      <c r="D138" s="2">
        <f t="shared" si="38"/>
        <v>7</v>
      </c>
      <c r="E138" s="2">
        <f t="shared" si="39"/>
        <v>38</v>
      </c>
      <c r="F138" s="1">
        <f t="shared" si="33"/>
        <v>270900.10235678393</v>
      </c>
      <c r="H138" s="1">
        <f t="shared" si="26"/>
        <v>2160.1954583973989</v>
      </c>
      <c r="I138" s="1">
        <v>0</v>
      </c>
      <c r="J138" s="1">
        <v>0</v>
      </c>
      <c r="K138" s="1">
        <f t="shared" si="34"/>
        <v>-273.06029781518134</v>
      </c>
      <c r="L138" s="1">
        <f t="shared" si="27"/>
        <v>272787.23751736613</v>
      </c>
      <c r="N138" s="1">
        <f t="shared" si="35"/>
        <v>115</v>
      </c>
      <c r="O138" s="2">
        <f t="shared" si="40"/>
        <v>9</v>
      </c>
      <c r="P138" s="2">
        <f t="shared" si="41"/>
        <v>7</v>
      </c>
      <c r="Q138" s="2">
        <f t="shared" si="42"/>
        <v>9</v>
      </c>
      <c r="R138" s="1">
        <f t="shared" si="36"/>
        <v>1356861.5214892856</v>
      </c>
      <c r="S138" s="1">
        <f>+IF($G$4="mensual",S132,IF($G$4="trimestral",S132,IF($G$4="semestral",S132,0)))</f>
        <v>10000</v>
      </c>
      <c r="U138" s="1">
        <f t="shared" si="43"/>
        <v>10899.545719220623</v>
      </c>
      <c r="V138" s="1">
        <f t="shared" si="44"/>
        <v>-108.45636010651717</v>
      </c>
      <c r="X138" s="1">
        <f t="shared" si="28"/>
        <v>-1377.7610672085061</v>
      </c>
      <c r="Y138" s="1">
        <f t="shared" si="29"/>
        <v>1376274.849781191</v>
      </c>
      <c r="AA138" s="2">
        <f>+Bono!J138</f>
        <v>169704.46723930814</v>
      </c>
      <c r="AC138" s="10">
        <f t="shared" si="30"/>
        <v>9.5833333333333339</v>
      </c>
      <c r="AD138" s="1">
        <f t="shared" si="31"/>
        <v>1818766.5545378653</v>
      </c>
    </row>
    <row r="139" spans="2:30">
      <c r="B139" s="1">
        <f t="shared" si="32"/>
        <v>116</v>
      </c>
      <c r="C139" s="2">
        <f t="shared" si="37"/>
        <v>9</v>
      </c>
      <c r="D139" s="2">
        <f t="shared" si="38"/>
        <v>8</v>
      </c>
      <c r="E139" s="2">
        <f t="shared" si="39"/>
        <v>38</v>
      </c>
      <c r="F139" s="1">
        <f t="shared" si="33"/>
        <v>272787.23751736613</v>
      </c>
      <c r="H139" s="1">
        <f t="shared" si="26"/>
        <v>2175.2437391762028</v>
      </c>
      <c r="I139" s="1">
        <v>0</v>
      </c>
      <c r="J139" s="1">
        <v>0</v>
      </c>
      <c r="K139" s="1">
        <f t="shared" si="34"/>
        <v>-274.96248125654233</v>
      </c>
      <c r="L139" s="1">
        <f t="shared" si="27"/>
        <v>274687.5187752858</v>
      </c>
      <c r="N139" s="1">
        <f t="shared" si="35"/>
        <v>116</v>
      </c>
      <c r="O139" s="2">
        <f t="shared" si="40"/>
        <v>9</v>
      </c>
      <c r="P139" s="2">
        <f t="shared" si="41"/>
        <v>8</v>
      </c>
      <c r="Q139" s="2">
        <f t="shared" si="42"/>
        <v>9</v>
      </c>
      <c r="R139" s="1">
        <f t="shared" si="36"/>
        <v>1376274.849781191</v>
      </c>
      <c r="S139" s="4">
        <f>IF($G$4="mensual",S138,0)</f>
        <v>10000</v>
      </c>
      <c r="U139" s="1">
        <f t="shared" si="43"/>
        <v>11054.350325212688</v>
      </c>
      <c r="V139" s="1">
        <f t="shared" si="44"/>
        <v>-108.45636010651717</v>
      </c>
      <c r="X139" s="1">
        <f t="shared" si="28"/>
        <v>-1397.3292001064035</v>
      </c>
      <c r="Y139" s="1">
        <f t="shared" si="29"/>
        <v>1395823.4145461905</v>
      </c>
      <c r="AA139" s="2">
        <f>+Bono!J139</f>
        <v>170756.65462069167</v>
      </c>
      <c r="AC139" s="10">
        <f t="shared" si="30"/>
        <v>9.6666666666666661</v>
      </c>
      <c r="AD139" s="1">
        <f t="shared" si="31"/>
        <v>1841267.5879421681</v>
      </c>
    </row>
    <row r="140" spans="2:30">
      <c r="B140" s="1">
        <f t="shared" si="32"/>
        <v>117</v>
      </c>
      <c r="C140" s="2">
        <f t="shared" si="37"/>
        <v>9</v>
      </c>
      <c r="D140" s="2">
        <f t="shared" si="38"/>
        <v>9</v>
      </c>
      <c r="E140" s="2">
        <f t="shared" si="39"/>
        <v>38</v>
      </c>
      <c r="F140" s="1">
        <f t="shared" si="33"/>
        <v>274687.5187752858</v>
      </c>
      <c r="H140" s="1">
        <f t="shared" si="26"/>
        <v>2190.3968487812685</v>
      </c>
      <c r="I140" s="1">
        <v>0</v>
      </c>
      <c r="J140" s="69">
        <f>-SUM(F140:H140)*$J$21</f>
        <v>-2491.9012406166039</v>
      </c>
      <c r="K140" s="1">
        <f t="shared" si="34"/>
        <v>-274.38601438345046</v>
      </c>
      <c r="L140" s="1">
        <f t="shared" si="27"/>
        <v>274111.62836906698</v>
      </c>
      <c r="N140" s="1">
        <f t="shared" si="35"/>
        <v>117</v>
      </c>
      <c r="O140" s="2">
        <f t="shared" si="40"/>
        <v>9</v>
      </c>
      <c r="P140" s="2">
        <f t="shared" si="41"/>
        <v>9</v>
      </c>
      <c r="Q140" s="2">
        <f t="shared" si="42"/>
        <v>9</v>
      </c>
      <c r="R140" s="1">
        <f t="shared" si="36"/>
        <v>1395823.4145461905</v>
      </c>
      <c r="S140" s="4">
        <f>IF($G$4="mensual",S139,0)</f>
        <v>10000</v>
      </c>
      <c r="U140" s="1">
        <f t="shared" si="43"/>
        <v>11210.233325832314</v>
      </c>
      <c r="V140" s="1">
        <f t="shared" si="44"/>
        <v>-108.45636010651717</v>
      </c>
      <c r="X140" s="1">
        <f t="shared" si="28"/>
        <v>-1417.0336478720228</v>
      </c>
      <c r="Y140" s="1">
        <f t="shared" si="29"/>
        <v>1415508.1578640442</v>
      </c>
      <c r="AA140" s="2">
        <f>+Bono!J140</f>
        <v>170267.47950853565</v>
      </c>
      <c r="AC140" s="10">
        <f t="shared" si="30"/>
        <v>9.75</v>
      </c>
      <c r="AD140" s="1">
        <f t="shared" si="31"/>
        <v>1859887.2657416468</v>
      </c>
    </row>
    <row r="141" spans="2:30">
      <c r="B141" s="1">
        <f t="shared" si="32"/>
        <v>118</v>
      </c>
      <c r="C141" s="2">
        <f t="shared" si="37"/>
        <v>9</v>
      </c>
      <c r="D141" s="2">
        <f t="shared" si="38"/>
        <v>10</v>
      </c>
      <c r="E141" s="2">
        <f t="shared" si="39"/>
        <v>38</v>
      </c>
      <c r="F141" s="1">
        <f t="shared" si="33"/>
        <v>274111.62836906698</v>
      </c>
      <c r="H141" s="1">
        <f t="shared" si="26"/>
        <v>2185.804617810421</v>
      </c>
      <c r="I141" s="1">
        <v>0</v>
      </c>
      <c r="J141" s="1">
        <v>0</v>
      </c>
      <c r="K141" s="1">
        <f t="shared" si="34"/>
        <v>-276.29743298687742</v>
      </c>
      <c r="L141" s="1">
        <f t="shared" si="27"/>
        <v>276021.13555389049</v>
      </c>
      <c r="N141" s="1">
        <f t="shared" si="35"/>
        <v>118</v>
      </c>
      <c r="O141" s="2">
        <f t="shared" si="40"/>
        <v>9</v>
      </c>
      <c r="P141" s="2">
        <f t="shared" si="41"/>
        <v>10</v>
      </c>
      <c r="Q141" s="2">
        <f t="shared" si="42"/>
        <v>9</v>
      </c>
      <c r="R141" s="1">
        <f t="shared" si="36"/>
        <v>1415508.1578640442</v>
      </c>
      <c r="S141" s="4">
        <f>IF($G$4="mensual",S132,IF($G$4="trimestral",S132,0))</f>
        <v>10000</v>
      </c>
      <c r="U141" s="1">
        <f t="shared" si="43"/>
        <v>11367.202233355803</v>
      </c>
      <c r="V141" s="1">
        <f t="shared" si="44"/>
        <v>-108.45636010651717</v>
      </c>
      <c r="X141" s="1">
        <f t="shared" si="28"/>
        <v>-1436.8753600973998</v>
      </c>
      <c r="Y141" s="1">
        <f t="shared" si="29"/>
        <v>1435330.0283771958</v>
      </c>
      <c r="AA141" s="2">
        <f>+Bono!J141</f>
        <v>171323.15763129375</v>
      </c>
      <c r="AC141" s="10">
        <f t="shared" si="30"/>
        <v>9.8333333333333339</v>
      </c>
      <c r="AD141" s="1">
        <f t="shared" si="31"/>
        <v>1882674.3215623801</v>
      </c>
    </row>
    <row r="142" spans="2:30">
      <c r="B142" s="1">
        <f t="shared" si="32"/>
        <v>119</v>
      </c>
      <c r="C142" s="2">
        <f t="shared" si="37"/>
        <v>9</v>
      </c>
      <c r="D142" s="2">
        <f t="shared" si="38"/>
        <v>11</v>
      </c>
      <c r="E142" s="2">
        <f t="shared" si="39"/>
        <v>38</v>
      </c>
      <c r="F142" s="1">
        <f t="shared" si="33"/>
        <v>276021.13555389049</v>
      </c>
      <c r="H142" s="1">
        <f t="shared" si="26"/>
        <v>2201.0312962522044</v>
      </c>
      <c r="I142" s="1">
        <v>0</v>
      </c>
      <c r="J142" s="1">
        <v>0</v>
      </c>
      <c r="K142" s="1">
        <f t="shared" si="34"/>
        <v>-278.22216685014268</v>
      </c>
      <c r="L142" s="1">
        <f t="shared" si="27"/>
        <v>277943.94468329259</v>
      </c>
      <c r="N142" s="1">
        <f t="shared" si="35"/>
        <v>119</v>
      </c>
      <c r="O142" s="2">
        <f t="shared" si="40"/>
        <v>9</v>
      </c>
      <c r="P142" s="2">
        <f t="shared" si="41"/>
        <v>11</v>
      </c>
      <c r="Q142" s="2">
        <f t="shared" si="42"/>
        <v>9</v>
      </c>
      <c r="R142" s="1">
        <f t="shared" si="36"/>
        <v>1435330.0283771958</v>
      </c>
      <c r="S142" s="1">
        <f>IF($G$17="si",S130*(1+$G$20),S130)</f>
        <v>10000</v>
      </c>
      <c r="U142" s="1">
        <f t="shared" si="43"/>
        <v>11525.264612391222</v>
      </c>
      <c r="V142" s="1">
        <f t="shared" si="44"/>
        <v>-108.45636010651717</v>
      </c>
      <c r="X142" s="1">
        <f t="shared" si="28"/>
        <v>-1456.855292989587</v>
      </c>
      <c r="Y142" s="1">
        <f t="shared" si="29"/>
        <v>1455289.9813364907</v>
      </c>
      <c r="AA142" s="2">
        <f>+Bono!J142</f>
        <v>172385.38108086406</v>
      </c>
      <c r="AC142" s="10">
        <f t="shared" si="30"/>
        <v>9.9166666666666661</v>
      </c>
      <c r="AD142" s="1">
        <f t="shared" si="31"/>
        <v>1905619.3071006474</v>
      </c>
    </row>
    <row r="143" spans="2:30">
      <c r="B143" s="1">
        <f t="shared" si="32"/>
        <v>120</v>
      </c>
      <c r="C143" s="2">
        <f t="shared" si="37"/>
        <v>9</v>
      </c>
      <c r="D143" s="2">
        <f t="shared" si="38"/>
        <v>12</v>
      </c>
      <c r="E143" s="2">
        <f t="shared" si="39"/>
        <v>38</v>
      </c>
      <c r="F143" s="1">
        <f t="shared" si="33"/>
        <v>277943.94468329259</v>
      </c>
      <c r="H143" s="1">
        <f t="shared" si="26"/>
        <v>2216.3640462680351</v>
      </c>
      <c r="I143" s="1">
        <v>0</v>
      </c>
      <c r="J143" s="69">
        <f>-SUM(F143:H143)*$J$21</f>
        <v>-2521.4427785660459</v>
      </c>
      <c r="K143" s="1">
        <f t="shared" si="34"/>
        <v>-277.63886595099461</v>
      </c>
      <c r="L143" s="1">
        <f t="shared" si="27"/>
        <v>277361.22708504362</v>
      </c>
      <c r="N143" s="1">
        <f t="shared" si="35"/>
        <v>120</v>
      </c>
      <c r="O143" s="2">
        <f t="shared" si="40"/>
        <v>9</v>
      </c>
      <c r="P143" s="2">
        <f t="shared" si="41"/>
        <v>12</v>
      </c>
      <c r="Q143" s="2">
        <f t="shared" si="42"/>
        <v>9</v>
      </c>
      <c r="R143" s="1">
        <f t="shared" si="36"/>
        <v>1455289.9813364907</v>
      </c>
      <c r="S143" s="4">
        <f>IF($G$4="mensual",S142,0)</f>
        <v>10000</v>
      </c>
      <c r="U143" s="1">
        <f t="shared" si="43"/>
        <v>11684.428080242953</v>
      </c>
      <c r="V143" s="1">
        <f t="shared" si="44"/>
        <v>-108.45636010651717</v>
      </c>
      <c r="X143" s="1">
        <f t="shared" si="28"/>
        <v>-1476.9744094167338</v>
      </c>
      <c r="Y143" s="1">
        <f t="shared" si="29"/>
        <v>1475388.9786472104</v>
      </c>
      <c r="AA143" s="2">
        <f>+Bono!J143</f>
        <v>171891.54007471638</v>
      </c>
      <c r="AC143" s="10">
        <f t="shared" si="30"/>
        <v>10</v>
      </c>
      <c r="AD143" s="1">
        <f t="shared" si="31"/>
        <v>1924641.7458069704</v>
      </c>
    </row>
    <row r="144" spans="2:30">
      <c r="B144" s="1">
        <f t="shared" si="32"/>
        <v>121</v>
      </c>
      <c r="C144" s="2">
        <f t="shared" si="37"/>
        <v>10</v>
      </c>
      <c r="D144" s="2">
        <f t="shared" si="38"/>
        <v>1</v>
      </c>
      <c r="E144" s="2">
        <f t="shared" si="39"/>
        <v>39</v>
      </c>
      <c r="F144" s="1">
        <f t="shared" si="33"/>
        <v>277361.22708504362</v>
      </c>
      <c r="H144" s="1">
        <f t="shared" si="26"/>
        <v>2211.7173743092039</v>
      </c>
      <c r="I144" s="1">
        <v>0</v>
      </c>
      <c r="J144" s="1">
        <v>0</v>
      </c>
      <c r="K144" s="1">
        <f t="shared" si="34"/>
        <v>-279.57294445935281</v>
      </c>
      <c r="L144" s="1">
        <f t="shared" si="27"/>
        <v>279293.37151489349</v>
      </c>
      <c r="N144" s="1">
        <f t="shared" si="35"/>
        <v>121</v>
      </c>
      <c r="O144" s="2">
        <f t="shared" si="40"/>
        <v>10</v>
      </c>
      <c r="P144" s="2">
        <f t="shared" si="41"/>
        <v>1</v>
      </c>
      <c r="Q144" s="2">
        <f t="shared" si="42"/>
        <v>10</v>
      </c>
      <c r="R144" s="1">
        <f t="shared" si="36"/>
        <v>1475388.9786472104</v>
      </c>
      <c r="S144" s="1">
        <f>IF($G$17="si",S132*(1+$G$20),S132)</f>
        <v>10000</v>
      </c>
      <c r="U144" s="1">
        <f t="shared" si="43"/>
        <v>11844.70030727879</v>
      </c>
      <c r="V144" s="1">
        <f>V143*(1+$G$18)</f>
        <v>-112.79461451077786</v>
      </c>
      <c r="X144" s="1">
        <f t="shared" si="28"/>
        <v>-1497.2336789544893</v>
      </c>
      <c r="Y144" s="1">
        <f t="shared" si="29"/>
        <v>1495623.650661024</v>
      </c>
      <c r="AA144" s="2">
        <f>+Bono!J144</f>
        <v>172957.28756136418</v>
      </c>
      <c r="AC144" s="10">
        <f t="shared" si="30"/>
        <v>10.083333333333334</v>
      </c>
      <c r="AD144" s="1">
        <f t="shared" si="31"/>
        <v>1947874.3097372819</v>
      </c>
    </row>
    <row r="145" spans="2:30">
      <c r="B145" s="1">
        <f t="shared" si="32"/>
        <v>122</v>
      </c>
      <c r="C145" s="2">
        <f t="shared" si="37"/>
        <v>10</v>
      </c>
      <c r="D145" s="2">
        <f t="shared" si="38"/>
        <v>2</v>
      </c>
      <c r="E145" s="2">
        <f t="shared" si="39"/>
        <v>39</v>
      </c>
      <c r="F145" s="1">
        <f t="shared" si="33"/>
        <v>279293.37151489349</v>
      </c>
      <c r="H145" s="1">
        <f t="shared" si="26"/>
        <v>2227.1245653217511</v>
      </c>
      <c r="I145" s="1">
        <v>0</v>
      </c>
      <c r="J145" s="1">
        <v>0</v>
      </c>
      <c r="K145" s="1">
        <f t="shared" si="34"/>
        <v>-281.52049608021525</v>
      </c>
      <c r="L145" s="1">
        <f t="shared" si="27"/>
        <v>281238.97558413504</v>
      </c>
      <c r="N145" s="1">
        <f t="shared" si="35"/>
        <v>122</v>
      </c>
      <c r="O145" s="2">
        <f t="shared" si="40"/>
        <v>10</v>
      </c>
      <c r="P145" s="2">
        <f t="shared" si="41"/>
        <v>2</v>
      </c>
      <c r="Q145" s="2">
        <f t="shared" si="42"/>
        <v>10</v>
      </c>
      <c r="R145" s="1">
        <f t="shared" si="36"/>
        <v>1495623.650661024</v>
      </c>
      <c r="S145" s="4">
        <f>IF($G$4="mensual",S144,0)</f>
        <v>10000</v>
      </c>
      <c r="U145" s="1">
        <f t="shared" si="43"/>
        <v>12006.05442344975</v>
      </c>
      <c r="V145" s="1">
        <f>V144</f>
        <v>-112.79461451077786</v>
      </c>
      <c r="X145" s="1">
        <f t="shared" si="28"/>
        <v>-1517.6297050844739</v>
      </c>
      <c r="Y145" s="1">
        <f t="shared" si="29"/>
        <v>1515999.2807648785</v>
      </c>
      <c r="AA145" s="2">
        <f>+Bono!J145</f>
        <v>174029.64280604827</v>
      </c>
      <c r="AC145" s="10">
        <f t="shared" si="30"/>
        <v>10.166666666666666</v>
      </c>
      <c r="AD145" s="1">
        <f t="shared" si="31"/>
        <v>1971267.8991550617</v>
      </c>
    </row>
    <row r="146" spans="2:30">
      <c r="B146" s="1">
        <f t="shared" si="32"/>
        <v>123</v>
      </c>
      <c r="C146" s="2">
        <f t="shared" si="37"/>
        <v>10</v>
      </c>
      <c r="D146" s="2">
        <f t="shared" si="38"/>
        <v>3</v>
      </c>
      <c r="E146" s="2">
        <f t="shared" si="39"/>
        <v>39</v>
      </c>
      <c r="F146" s="1">
        <f t="shared" si="33"/>
        <v>281238.97558413504</v>
      </c>
      <c r="H146" s="1">
        <f t="shared" si="26"/>
        <v>2242.6390853889297</v>
      </c>
      <c r="I146" s="1">
        <v>0</v>
      </c>
      <c r="J146" s="69">
        <f>-SUM(F146:H146)*$J$21</f>
        <v>-2551.3345320257158</v>
      </c>
      <c r="K146" s="1">
        <f t="shared" si="34"/>
        <v>-280.93028013749824</v>
      </c>
      <c r="L146" s="1">
        <f t="shared" si="27"/>
        <v>280649.34985736071</v>
      </c>
      <c r="N146" s="1">
        <f t="shared" si="35"/>
        <v>123</v>
      </c>
      <c r="O146" s="2">
        <f t="shared" si="40"/>
        <v>10</v>
      </c>
      <c r="P146" s="2">
        <f t="shared" si="41"/>
        <v>3</v>
      </c>
      <c r="Q146" s="2">
        <f t="shared" si="42"/>
        <v>10</v>
      </c>
      <c r="R146" s="1">
        <f t="shared" si="36"/>
        <v>1515999.2807648785</v>
      </c>
      <c r="S146" s="4">
        <f>IF($G$4="mensual",S145,0)</f>
        <v>10000</v>
      </c>
      <c r="U146" s="1">
        <f t="shared" si="43"/>
        <v>12168.532559225285</v>
      </c>
      <c r="V146" s="1">
        <f t="shared" si="44"/>
        <v>-112.79461451077786</v>
      </c>
      <c r="X146" s="1">
        <f t="shared" si="28"/>
        <v>-1538.1678133241039</v>
      </c>
      <c r="Y146" s="1">
        <f t="shared" si="29"/>
        <v>1536516.8508962689</v>
      </c>
      <c r="AA146" s="2">
        <f>+Bono!J146</f>
        <v>173531.09140125982</v>
      </c>
      <c r="AC146" s="10">
        <f t="shared" si="30"/>
        <v>10.25</v>
      </c>
      <c r="AD146" s="1">
        <f t="shared" si="31"/>
        <v>1990697.2921548896</v>
      </c>
    </row>
    <row r="147" spans="2:30">
      <c r="B147" s="1">
        <f t="shared" si="32"/>
        <v>124</v>
      </c>
      <c r="C147" s="2">
        <f t="shared" si="37"/>
        <v>10</v>
      </c>
      <c r="D147" s="2">
        <f t="shared" si="38"/>
        <v>4</v>
      </c>
      <c r="E147" s="2">
        <f t="shared" si="39"/>
        <v>39</v>
      </c>
      <c r="F147" s="1">
        <f t="shared" si="33"/>
        <v>280649.34985736071</v>
      </c>
      <c r="H147" s="1">
        <f t="shared" si="26"/>
        <v>2237.937327043137</v>
      </c>
      <c r="I147" s="1">
        <v>0</v>
      </c>
      <c r="J147" s="1">
        <v>0</v>
      </c>
      <c r="K147" s="1">
        <f t="shared" si="34"/>
        <v>-282.88728718440387</v>
      </c>
      <c r="L147" s="1">
        <f t="shared" si="27"/>
        <v>282604.39989721944</v>
      </c>
      <c r="N147" s="1">
        <f t="shared" si="35"/>
        <v>124</v>
      </c>
      <c r="O147" s="2">
        <f t="shared" si="40"/>
        <v>10</v>
      </c>
      <c r="P147" s="2">
        <f t="shared" si="41"/>
        <v>4</v>
      </c>
      <c r="Q147" s="2">
        <f t="shared" si="42"/>
        <v>10</v>
      </c>
      <c r="R147" s="1">
        <f t="shared" si="36"/>
        <v>1536516.8508962689</v>
      </c>
      <c r="S147" s="4">
        <f>IF($G$4="mensual",S144,IF($G$4="trimestral",S144,0))</f>
        <v>10000</v>
      </c>
      <c r="U147" s="1">
        <f t="shared" si="43"/>
        <v>12332.142544712871</v>
      </c>
      <c r="V147" s="1">
        <f t="shared" si="44"/>
        <v>-112.79461451077786</v>
      </c>
      <c r="X147" s="1">
        <f t="shared" si="28"/>
        <v>-1558.8489934409818</v>
      </c>
      <c r="Y147" s="1">
        <f t="shared" si="29"/>
        <v>1557177.3498330298</v>
      </c>
      <c r="AA147" s="2">
        <f>+Bono!J147</f>
        <v>174607.00429630838</v>
      </c>
      <c r="AC147" s="10">
        <f t="shared" si="30"/>
        <v>10.333333333333334</v>
      </c>
      <c r="AD147" s="1">
        <f t="shared" si="31"/>
        <v>2014388.7540265576</v>
      </c>
    </row>
    <row r="148" spans="2:30">
      <c r="B148" s="1">
        <f t="shared" si="32"/>
        <v>125</v>
      </c>
      <c r="C148" s="2">
        <f t="shared" si="37"/>
        <v>10</v>
      </c>
      <c r="D148" s="2">
        <f t="shared" si="38"/>
        <v>5</v>
      </c>
      <c r="E148" s="2">
        <f t="shared" si="39"/>
        <v>39</v>
      </c>
      <c r="F148" s="1">
        <f t="shared" si="33"/>
        <v>282604.39989721944</v>
      </c>
      <c r="H148" s="1">
        <f t="shared" si="26"/>
        <v>2253.5271706065041</v>
      </c>
      <c r="I148" s="1">
        <v>0</v>
      </c>
      <c r="J148" s="1">
        <v>0</v>
      </c>
      <c r="K148" s="1">
        <f t="shared" si="34"/>
        <v>-284.85792706782593</v>
      </c>
      <c r="L148" s="1">
        <f t="shared" si="27"/>
        <v>284573.06914075807</v>
      </c>
      <c r="N148" s="1">
        <f t="shared" si="35"/>
        <v>125</v>
      </c>
      <c r="O148" s="2">
        <f t="shared" si="40"/>
        <v>10</v>
      </c>
      <c r="P148" s="2">
        <f t="shared" si="41"/>
        <v>5</v>
      </c>
      <c r="Q148" s="2">
        <f t="shared" si="42"/>
        <v>10</v>
      </c>
      <c r="R148" s="1">
        <f t="shared" si="36"/>
        <v>1557177.3498330298</v>
      </c>
      <c r="S148" s="4">
        <f>IF($G$4="mensual",S147,0)</f>
        <v>10000</v>
      </c>
      <c r="U148" s="1">
        <f t="shared" si="43"/>
        <v>12496.89226456582</v>
      </c>
      <c r="V148" s="1">
        <f t="shared" si="44"/>
        <v>-112.79461451077786</v>
      </c>
      <c r="X148" s="1">
        <f t="shared" si="28"/>
        <v>-1579.6742420975957</v>
      </c>
      <c r="Y148" s="1">
        <f t="shared" si="29"/>
        <v>1577981.7732409872</v>
      </c>
      <c r="AA148" s="2">
        <f>+Bono!J148</f>
        <v>175689.58797610443</v>
      </c>
      <c r="AC148" s="10">
        <f t="shared" si="30"/>
        <v>10.416666666666666</v>
      </c>
      <c r="AD148" s="1">
        <f t="shared" si="31"/>
        <v>2038244.4303578497</v>
      </c>
    </row>
    <row r="149" spans="2:30">
      <c r="B149" s="1">
        <f t="shared" si="32"/>
        <v>126</v>
      </c>
      <c r="C149" s="2">
        <f t="shared" si="37"/>
        <v>10</v>
      </c>
      <c r="D149" s="2">
        <f t="shared" si="38"/>
        <v>6</v>
      </c>
      <c r="E149" s="2">
        <f t="shared" si="39"/>
        <v>39</v>
      </c>
      <c r="F149" s="1">
        <f t="shared" si="33"/>
        <v>284573.06914075807</v>
      </c>
      <c r="H149" s="1">
        <f t="shared" si="26"/>
        <v>2269.225615612545</v>
      </c>
      <c r="I149" s="1">
        <v>0</v>
      </c>
      <c r="J149" s="69">
        <f>-SUM(F149:H149)*$J$21</f>
        <v>-2581.5806528073358</v>
      </c>
      <c r="K149" s="1">
        <f t="shared" si="34"/>
        <v>-284.26071410356326</v>
      </c>
      <c r="L149" s="1">
        <f t="shared" si="27"/>
        <v>283976.4533894597</v>
      </c>
      <c r="N149" s="1">
        <f t="shared" si="35"/>
        <v>126</v>
      </c>
      <c r="O149" s="2">
        <f t="shared" si="40"/>
        <v>10</v>
      </c>
      <c r="P149" s="2">
        <f t="shared" si="41"/>
        <v>6</v>
      </c>
      <c r="Q149" s="2">
        <f t="shared" si="42"/>
        <v>10</v>
      </c>
      <c r="R149" s="1">
        <f t="shared" si="36"/>
        <v>1577981.7732409872</v>
      </c>
      <c r="S149" s="4">
        <f>IF($G$4="mensual",S148,0)</f>
        <v>10000</v>
      </c>
      <c r="U149" s="1">
        <f t="shared" si="43"/>
        <v>12662.789658363246</v>
      </c>
      <c r="V149" s="1">
        <f t="shared" si="44"/>
        <v>-112.79461451077786</v>
      </c>
      <c r="X149" s="1">
        <f t="shared" si="28"/>
        <v>-1600.6445628993504</v>
      </c>
      <c r="Y149" s="1">
        <f t="shared" si="29"/>
        <v>1598931.1237219402</v>
      </c>
      <c r="AA149" s="2">
        <f>+Bono!J149</f>
        <v>175186.28124352777</v>
      </c>
      <c r="AC149" s="10">
        <f t="shared" si="30"/>
        <v>10.5</v>
      </c>
      <c r="AD149" s="1">
        <f t="shared" si="31"/>
        <v>2058093.8583549277</v>
      </c>
    </row>
    <row r="150" spans="2:30">
      <c r="B150" s="1">
        <f t="shared" si="32"/>
        <v>127</v>
      </c>
      <c r="C150" s="2">
        <f t="shared" si="37"/>
        <v>10</v>
      </c>
      <c r="D150" s="2">
        <f t="shared" si="38"/>
        <v>7</v>
      </c>
      <c r="E150" s="2">
        <f t="shared" si="39"/>
        <v>39</v>
      </c>
      <c r="F150" s="1">
        <f t="shared" si="33"/>
        <v>283976.4533894597</v>
      </c>
      <c r="H150" s="1">
        <f t="shared" si="26"/>
        <v>2264.4681178295959</v>
      </c>
      <c r="I150" s="1">
        <v>0</v>
      </c>
      <c r="J150" s="1">
        <v>0</v>
      </c>
      <c r="K150" s="1">
        <f t="shared" si="34"/>
        <v>-286.24092150728927</v>
      </c>
      <c r="L150" s="1">
        <f t="shared" si="27"/>
        <v>285954.68058578199</v>
      </c>
      <c r="N150" s="1">
        <f t="shared" si="35"/>
        <v>127</v>
      </c>
      <c r="O150" s="2">
        <f t="shared" si="40"/>
        <v>10</v>
      </c>
      <c r="P150" s="2">
        <f t="shared" si="41"/>
        <v>7</v>
      </c>
      <c r="Q150" s="2">
        <f t="shared" si="42"/>
        <v>10</v>
      </c>
      <c r="R150" s="1">
        <f t="shared" si="36"/>
        <v>1598931.1237219402</v>
      </c>
      <c r="S150" s="1">
        <f>+IF($G$4="mensual",S144,IF($G$4="trimestral",S144,IF($G$4="semestral",S144,0)))</f>
        <v>10000</v>
      </c>
      <c r="U150" s="1">
        <f t="shared" si="43"/>
        <v>12829.842720992689</v>
      </c>
      <c r="V150" s="1">
        <f t="shared" si="44"/>
        <v>-112.79461451077786</v>
      </c>
      <c r="X150" s="1">
        <f t="shared" si="28"/>
        <v>-1621.7609664429328</v>
      </c>
      <c r="Y150" s="1">
        <f t="shared" si="29"/>
        <v>1620026.410861979</v>
      </c>
      <c r="AA150" s="2">
        <f>+Bono!J150</f>
        <v>176272.45650758853</v>
      </c>
      <c r="AC150" s="10">
        <f t="shared" si="30"/>
        <v>10.583333333333334</v>
      </c>
      <c r="AD150" s="1">
        <f t="shared" si="31"/>
        <v>2082253.5479553496</v>
      </c>
    </row>
    <row r="151" spans="2:30">
      <c r="B151" s="1">
        <f t="shared" si="32"/>
        <v>128</v>
      </c>
      <c r="C151" s="2">
        <f t="shared" si="37"/>
        <v>10</v>
      </c>
      <c r="D151" s="2">
        <f t="shared" si="38"/>
        <v>8</v>
      </c>
      <c r="E151" s="2">
        <f t="shared" si="39"/>
        <v>39</v>
      </c>
      <c r="F151" s="1">
        <f t="shared" si="33"/>
        <v>285954.68058578199</v>
      </c>
      <c r="H151" s="1">
        <f t="shared" si="26"/>
        <v>2280.2427792933463</v>
      </c>
      <c r="I151" s="1">
        <v>0</v>
      </c>
      <c r="J151" s="1">
        <v>0</v>
      </c>
      <c r="K151" s="1">
        <f t="shared" si="34"/>
        <v>-288.2349233650753</v>
      </c>
      <c r="L151" s="1">
        <f t="shared" si="27"/>
        <v>287946.68844171026</v>
      </c>
      <c r="N151" s="1">
        <f t="shared" si="35"/>
        <v>128</v>
      </c>
      <c r="O151" s="2">
        <f t="shared" si="40"/>
        <v>10</v>
      </c>
      <c r="P151" s="2">
        <f t="shared" si="41"/>
        <v>8</v>
      </c>
      <c r="Q151" s="2">
        <f t="shared" si="42"/>
        <v>10</v>
      </c>
      <c r="R151" s="1">
        <f t="shared" si="36"/>
        <v>1620026.410861979</v>
      </c>
      <c r="S151" s="4">
        <f>IF($G$4="mensual",S150,0)</f>
        <v>10000</v>
      </c>
      <c r="U151" s="1">
        <f t="shared" si="43"/>
        <v>12998.059503035405</v>
      </c>
      <c r="V151" s="1">
        <f t="shared" si="44"/>
        <v>-112.79461451077786</v>
      </c>
      <c r="X151" s="1">
        <f t="shared" si="28"/>
        <v>-1643.0244703650144</v>
      </c>
      <c r="Y151" s="1">
        <f t="shared" si="29"/>
        <v>1641268.6512801386</v>
      </c>
      <c r="AA151" s="2">
        <f>+Bono!J151</f>
        <v>177365.36618427499</v>
      </c>
      <c r="AC151" s="10">
        <f t="shared" si="30"/>
        <v>10.666666666666666</v>
      </c>
      <c r="AD151" s="1">
        <f t="shared" si="31"/>
        <v>2106580.7059061239</v>
      </c>
    </row>
    <row r="152" spans="2:30">
      <c r="B152" s="1">
        <f t="shared" si="32"/>
        <v>129</v>
      </c>
      <c r="C152" s="2">
        <f t="shared" si="37"/>
        <v>10</v>
      </c>
      <c r="D152" s="2">
        <f t="shared" si="38"/>
        <v>9</v>
      </c>
      <c r="E152" s="2">
        <f t="shared" si="39"/>
        <v>39</v>
      </c>
      <c r="F152" s="1">
        <f t="shared" si="33"/>
        <v>287946.68844171026</v>
      </c>
      <c r="H152" s="1">
        <f t="shared" ref="H152:H215" si="45">SUM(F152:G152)*$G$8</f>
        <v>2296.1273296719978</v>
      </c>
      <c r="I152" s="1">
        <v>0</v>
      </c>
      <c r="J152" s="69">
        <f>-SUM(F152:H152)*$J$21</f>
        <v>-2612.1853419424406</v>
      </c>
      <c r="K152" s="1">
        <f t="shared" si="34"/>
        <v>-287.63063042943986</v>
      </c>
      <c r="L152" s="1">
        <f t="shared" ref="L152:L215" si="46">SUM(F152:K152)</f>
        <v>287342.9997990104</v>
      </c>
      <c r="N152" s="1">
        <f t="shared" si="35"/>
        <v>129</v>
      </c>
      <c r="O152" s="2">
        <f t="shared" si="40"/>
        <v>10</v>
      </c>
      <c r="P152" s="2">
        <f t="shared" si="41"/>
        <v>9</v>
      </c>
      <c r="Q152" s="2">
        <f t="shared" si="42"/>
        <v>10</v>
      </c>
      <c r="R152" s="1">
        <f t="shared" si="36"/>
        <v>1641268.6512801386</v>
      </c>
      <c r="S152" s="4">
        <f>IF($G$4="mensual",S151,0)</f>
        <v>10000</v>
      </c>
      <c r="U152" s="1">
        <f t="shared" si="43"/>
        <v>13167.448111154345</v>
      </c>
      <c r="V152" s="1">
        <f t="shared" si="44"/>
        <v>-112.79461451077786</v>
      </c>
      <c r="X152" s="1">
        <f t="shared" ref="X152:X215" si="47">-SUM(R152:U152)*0.1%</f>
        <v>-1664.4360993912931</v>
      </c>
      <c r="Y152" s="1">
        <f t="shared" ref="Y152:Y215" si="48">SUM(R152:X152)</f>
        <v>1662658.868677391</v>
      </c>
      <c r="AA152" s="2">
        <f>+Bono!J152</f>
        <v>176857.25876621556</v>
      </c>
      <c r="AC152" s="10">
        <f t="shared" ref="AC152:AC215" si="49">+B152/12</f>
        <v>10.75</v>
      </c>
      <c r="AD152" s="1">
        <f t="shared" ref="AD152:AD215" si="50">+AA152+Y152+L152</f>
        <v>2126859.1272426168</v>
      </c>
    </row>
    <row r="153" spans="2:30">
      <c r="B153" s="1">
        <f t="shared" ref="B153:B216" si="51">+B152+1</f>
        <v>130</v>
      </c>
      <c r="C153" s="2">
        <f t="shared" si="37"/>
        <v>10</v>
      </c>
      <c r="D153" s="2">
        <f t="shared" si="38"/>
        <v>10</v>
      </c>
      <c r="E153" s="2">
        <f t="shared" si="39"/>
        <v>39</v>
      </c>
      <c r="F153" s="1">
        <f t="shared" ref="F153:F216" si="52">L152</f>
        <v>287342.9997990104</v>
      </c>
      <c r="H153" s="1">
        <f t="shared" si="45"/>
        <v>2291.3134316597752</v>
      </c>
      <c r="I153" s="1">
        <v>0</v>
      </c>
      <c r="J153" s="1">
        <v>0</v>
      </c>
      <c r="K153" s="1">
        <f t="shared" ref="K153:K216" si="53">-SUM(F153:J153)*0.1%</f>
        <v>-289.63431323067016</v>
      </c>
      <c r="L153" s="1">
        <f t="shared" si="46"/>
        <v>289344.67891743948</v>
      </c>
      <c r="N153" s="1">
        <f t="shared" ref="N153:N216" si="54">+N152+1</f>
        <v>130</v>
      </c>
      <c r="O153" s="2">
        <f t="shared" si="40"/>
        <v>10</v>
      </c>
      <c r="P153" s="2">
        <f t="shared" si="41"/>
        <v>10</v>
      </c>
      <c r="Q153" s="2">
        <f t="shared" si="42"/>
        <v>10</v>
      </c>
      <c r="R153" s="1">
        <f t="shared" ref="R153:R216" si="55">Y152</f>
        <v>1662658.868677391</v>
      </c>
      <c r="S153" s="4">
        <f>IF($G$4="mensual",S144,IF($G$4="trimestral",S144,0))</f>
        <v>10000</v>
      </c>
      <c r="U153" s="1">
        <f t="shared" si="43"/>
        <v>13338.016708484816</v>
      </c>
      <c r="V153" s="1">
        <f t="shared" si="44"/>
        <v>-112.79461451077786</v>
      </c>
      <c r="X153" s="1">
        <f t="shared" si="47"/>
        <v>-1685.9968853858759</v>
      </c>
      <c r="Y153" s="1">
        <f t="shared" si="48"/>
        <v>1684198.0938859791</v>
      </c>
      <c r="AA153" s="2">
        <f>+Bono!J153</f>
        <v>177953.79428473837</v>
      </c>
      <c r="AC153" s="10">
        <f t="shared" si="49"/>
        <v>10.833333333333334</v>
      </c>
      <c r="AD153" s="1">
        <f t="shared" si="50"/>
        <v>2151496.5670881569</v>
      </c>
    </row>
    <row r="154" spans="2:30">
      <c r="B154" s="1">
        <f t="shared" si="51"/>
        <v>131</v>
      </c>
      <c r="C154" s="2">
        <f t="shared" si="37"/>
        <v>10</v>
      </c>
      <c r="D154" s="2">
        <f t="shared" si="38"/>
        <v>11</v>
      </c>
      <c r="E154" s="2">
        <f t="shared" si="39"/>
        <v>39</v>
      </c>
      <c r="F154" s="1">
        <f t="shared" si="52"/>
        <v>289344.67891743948</v>
      </c>
      <c r="H154" s="1">
        <f t="shared" si="45"/>
        <v>2307.2751020437327</v>
      </c>
      <c r="I154" s="1">
        <v>0</v>
      </c>
      <c r="J154" s="1">
        <v>0</v>
      </c>
      <c r="K154" s="1">
        <f t="shared" si="53"/>
        <v>-291.65195401948324</v>
      </c>
      <c r="L154" s="1">
        <f t="shared" si="46"/>
        <v>291360.30206546374</v>
      </c>
      <c r="N154" s="1">
        <f t="shared" si="54"/>
        <v>131</v>
      </c>
      <c r="O154" s="2">
        <f t="shared" si="40"/>
        <v>10</v>
      </c>
      <c r="P154" s="2">
        <f t="shared" si="41"/>
        <v>11</v>
      </c>
      <c r="Q154" s="2">
        <f t="shared" si="42"/>
        <v>10</v>
      </c>
      <c r="R154" s="1">
        <f t="shared" si="55"/>
        <v>1684198.0938859791</v>
      </c>
      <c r="S154" s="1">
        <f>IF($G$17="si",S142*(1+$G$20),S142)</f>
        <v>10000</v>
      </c>
      <c r="U154" s="1">
        <f t="shared" si="43"/>
        <v>13509.773515027882</v>
      </c>
      <c r="V154" s="1">
        <f t="shared" si="44"/>
        <v>-112.79461451077786</v>
      </c>
      <c r="X154" s="1">
        <f t="shared" si="47"/>
        <v>-1707.7078674010072</v>
      </c>
      <c r="Y154" s="1">
        <f t="shared" si="48"/>
        <v>1705887.3649190953</v>
      </c>
      <c r="AA154" s="2">
        <f>+Bono!J154</f>
        <v>179057.12845066629</v>
      </c>
      <c r="AC154" s="10">
        <f t="shared" si="49"/>
        <v>10.916666666666666</v>
      </c>
      <c r="AD154" s="1">
        <f t="shared" si="50"/>
        <v>2176304.7954352256</v>
      </c>
    </row>
    <row r="155" spans="2:30">
      <c r="B155" s="1">
        <f t="shared" si="51"/>
        <v>132</v>
      </c>
      <c r="C155" s="2">
        <f t="shared" si="37"/>
        <v>10</v>
      </c>
      <c r="D155" s="2">
        <f t="shared" si="38"/>
        <v>12</v>
      </c>
      <c r="E155" s="2">
        <f t="shared" si="39"/>
        <v>39</v>
      </c>
      <c r="F155" s="1">
        <f t="shared" si="52"/>
        <v>291360.30206546374</v>
      </c>
      <c r="H155" s="1">
        <f t="shared" si="45"/>
        <v>2323.3479640778273</v>
      </c>
      <c r="I155" s="1">
        <v>0</v>
      </c>
      <c r="J155" s="69">
        <f>-SUM(F155:H155)*$J$21</f>
        <v>-2643.1528502658743</v>
      </c>
      <c r="K155" s="1">
        <f t="shared" si="53"/>
        <v>-291.04049717927575</v>
      </c>
      <c r="L155" s="1">
        <f t="shared" si="46"/>
        <v>290749.45668209647</v>
      </c>
      <c r="N155" s="1">
        <f t="shared" si="54"/>
        <v>132</v>
      </c>
      <c r="O155" s="2">
        <f t="shared" si="40"/>
        <v>10</v>
      </c>
      <c r="P155" s="2">
        <f t="shared" si="41"/>
        <v>12</v>
      </c>
      <c r="Q155" s="2">
        <f t="shared" si="42"/>
        <v>10</v>
      </c>
      <c r="R155" s="1">
        <f t="shared" si="55"/>
        <v>1705887.3649190953</v>
      </c>
      <c r="S155" s="4">
        <f>IF($G$4="mensual",S154,0)</f>
        <v>10000</v>
      </c>
      <c r="U155" s="1">
        <f t="shared" si="43"/>
        <v>13682.726808046504</v>
      </c>
      <c r="V155" s="1">
        <f t="shared" si="44"/>
        <v>-112.79461451077786</v>
      </c>
      <c r="X155" s="1">
        <f t="shared" si="47"/>
        <v>-1729.5700917271417</v>
      </c>
      <c r="Y155" s="1">
        <f t="shared" si="48"/>
        <v>1727727.7270209037</v>
      </c>
      <c r="AA155" s="2">
        <f>+Bono!J155</f>
        <v>178544.17455679458</v>
      </c>
      <c r="AC155" s="10">
        <f t="shared" si="49"/>
        <v>11</v>
      </c>
      <c r="AD155" s="1">
        <f t="shared" si="50"/>
        <v>2197021.3582597948</v>
      </c>
    </row>
    <row r="156" spans="2:30">
      <c r="B156" s="1">
        <f t="shared" si="51"/>
        <v>133</v>
      </c>
      <c r="C156" s="2">
        <f t="shared" si="37"/>
        <v>11</v>
      </c>
      <c r="D156" s="2">
        <f t="shared" si="38"/>
        <v>1</v>
      </c>
      <c r="E156" s="2">
        <f t="shared" si="39"/>
        <v>40</v>
      </c>
      <c r="F156" s="1">
        <f t="shared" si="52"/>
        <v>290749.45668209647</v>
      </c>
      <c r="H156" s="1">
        <f t="shared" si="45"/>
        <v>2318.4769972105091</v>
      </c>
      <c r="I156" s="1">
        <v>0</v>
      </c>
      <c r="J156" s="1">
        <v>0</v>
      </c>
      <c r="K156" s="1">
        <f t="shared" si="53"/>
        <v>-293.06793367930698</v>
      </c>
      <c r="L156" s="1">
        <f t="shared" si="46"/>
        <v>292774.86574562767</v>
      </c>
      <c r="N156" s="1">
        <f t="shared" si="54"/>
        <v>133</v>
      </c>
      <c r="O156" s="2">
        <f t="shared" si="40"/>
        <v>11</v>
      </c>
      <c r="P156" s="2">
        <f t="shared" si="41"/>
        <v>1</v>
      </c>
      <c r="Q156" s="2">
        <f t="shared" si="42"/>
        <v>11</v>
      </c>
      <c r="R156" s="1">
        <f t="shared" si="55"/>
        <v>1727727.7270209037</v>
      </c>
      <c r="S156" s="1">
        <f>IF($G$17="si",S144*(1+$G$20),S144)</f>
        <v>10000</v>
      </c>
      <c r="U156" s="1">
        <f t="shared" si="43"/>
        <v>13856.884922464433</v>
      </c>
      <c r="V156" s="1">
        <f>V155*(1+$G$18)</f>
        <v>-117.30639909120897</v>
      </c>
      <c r="X156" s="1">
        <f t="shared" si="47"/>
        <v>-1751.5846119433681</v>
      </c>
      <c r="Y156" s="1">
        <f t="shared" si="48"/>
        <v>1749715.7209323335</v>
      </c>
      <c r="AA156" s="2">
        <f>+Bono!J156</f>
        <v>179651.16914888911</v>
      </c>
      <c r="AC156" s="10">
        <f t="shared" si="49"/>
        <v>11.083333333333334</v>
      </c>
      <c r="AD156" s="1">
        <f t="shared" si="50"/>
        <v>2222141.7558268504</v>
      </c>
    </row>
    <row r="157" spans="2:30">
      <c r="B157" s="1">
        <f t="shared" si="51"/>
        <v>134</v>
      </c>
      <c r="C157" s="2">
        <f t="shared" si="37"/>
        <v>11</v>
      </c>
      <c r="D157" s="2">
        <f t="shared" si="38"/>
        <v>2</v>
      </c>
      <c r="E157" s="2">
        <f t="shared" si="39"/>
        <v>40</v>
      </c>
      <c r="F157" s="1">
        <f t="shared" si="52"/>
        <v>292774.86574562767</v>
      </c>
      <c r="H157" s="1">
        <f t="shared" si="45"/>
        <v>2334.6278935090813</v>
      </c>
      <c r="I157" s="1">
        <v>0</v>
      </c>
      <c r="J157" s="1">
        <v>0</v>
      </c>
      <c r="K157" s="1">
        <f t="shared" si="53"/>
        <v>-295.10949363913682</v>
      </c>
      <c r="L157" s="1">
        <f t="shared" si="46"/>
        <v>294814.38414549764</v>
      </c>
      <c r="N157" s="1">
        <f t="shared" si="54"/>
        <v>134</v>
      </c>
      <c r="O157" s="2">
        <f t="shared" si="40"/>
        <v>11</v>
      </c>
      <c r="P157" s="2">
        <f t="shared" si="41"/>
        <v>2</v>
      </c>
      <c r="Q157" s="2">
        <f t="shared" si="42"/>
        <v>11</v>
      </c>
      <c r="R157" s="1">
        <f t="shared" si="55"/>
        <v>1749715.7209323335</v>
      </c>
      <c r="S157" s="4">
        <f>IF($G$4="mensual",S156,0)</f>
        <v>10000</v>
      </c>
      <c r="U157" s="1">
        <f t="shared" si="43"/>
        <v>14032.220273664054</v>
      </c>
      <c r="V157" s="1">
        <f>V156</f>
        <v>-117.30639909120897</v>
      </c>
      <c r="X157" s="1">
        <f t="shared" si="47"/>
        <v>-1773.7479412059974</v>
      </c>
      <c r="Y157" s="1">
        <f t="shared" si="48"/>
        <v>1771856.8868657004</v>
      </c>
      <c r="AA157" s="2">
        <f>+Bono!J157</f>
        <v>180765.02723585806</v>
      </c>
      <c r="AC157" s="10">
        <f t="shared" si="49"/>
        <v>11.166666666666666</v>
      </c>
      <c r="AD157" s="1">
        <f t="shared" si="50"/>
        <v>2247436.2982470561</v>
      </c>
    </row>
    <row r="158" spans="2:30">
      <c r="B158" s="1">
        <f t="shared" si="51"/>
        <v>135</v>
      </c>
      <c r="C158" s="2">
        <f t="shared" si="37"/>
        <v>11</v>
      </c>
      <c r="D158" s="2">
        <f t="shared" si="38"/>
        <v>3</v>
      </c>
      <c r="E158" s="2">
        <f t="shared" si="39"/>
        <v>40</v>
      </c>
      <c r="F158" s="1">
        <f t="shared" si="52"/>
        <v>294814.38414549764</v>
      </c>
      <c r="H158" s="1">
        <f t="shared" si="45"/>
        <v>2350.8912996369777</v>
      </c>
      <c r="I158" s="1">
        <v>0</v>
      </c>
      <c r="J158" s="69">
        <f>-SUM(F158:H158)*$J$21</f>
        <v>-2674.4874790062117</v>
      </c>
      <c r="K158" s="1">
        <f t="shared" si="53"/>
        <v>-294.49078796612838</v>
      </c>
      <c r="L158" s="1">
        <f t="shared" si="46"/>
        <v>294196.29717816226</v>
      </c>
      <c r="N158" s="1">
        <f t="shared" si="54"/>
        <v>135</v>
      </c>
      <c r="O158" s="2">
        <f t="shared" si="40"/>
        <v>11</v>
      </c>
      <c r="P158" s="2">
        <f t="shared" si="41"/>
        <v>3</v>
      </c>
      <c r="Q158" s="2">
        <f t="shared" si="42"/>
        <v>11</v>
      </c>
      <c r="R158" s="1">
        <f t="shared" si="55"/>
        <v>1771856.8868657004</v>
      </c>
      <c r="S158" s="4">
        <f>IF($G$4="mensual",S157,0)</f>
        <v>10000</v>
      </c>
      <c r="U158" s="1">
        <f t="shared" si="43"/>
        <v>14208.777040076382</v>
      </c>
      <c r="V158" s="1">
        <f t="shared" si="44"/>
        <v>-117.30639909120897</v>
      </c>
      <c r="X158" s="1">
        <f t="shared" si="47"/>
        <v>-1796.0656639057768</v>
      </c>
      <c r="Y158" s="1">
        <f t="shared" si="48"/>
        <v>1794152.2918427798</v>
      </c>
      <c r="AA158" s="2">
        <f>+Bono!J158</f>
        <v>180247.18063908315</v>
      </c>
      <c r="AC158" s="10">
        <f t="shared" si="49"/>
        <v>11.25</v>
      </c>
      <c r="AD158" s="1">
        <f t="shared" si="50"/>
        <v>2268595.7696600254</v>
      </c>
    </row>
    <row r="159" spans="2:30">
      <c r="B159" s="1">
        <f t="shared" si="51"/>
        <v>136</v>
      </c>
      <c r="C159" s="2">
        <f t="shared" si="37"/>
        <v>11</v>
      </c>
      <c r="D159" s="2">
        <f t="shared" si="38"/>
        <v>4</v>
      </c>
      <c r="E159" s="2">
        <f t="shared" si="39"/>
        <v>40</v>
      </c>
      <c r="F159" s="1">
        <f t="shared" si="52"/>
        <v>294196.29717816226</v>
      </c>
      <c r="H159" s="1">
        <f t="shared" si="45"/>
        <v>2345.9625873621703</v>
      </c>
      <c r="I159" s="1">
        <v>0</v>
      </c>
      <c r="J159" s="1">
        <v>0</v>
      </c>
      <c r="K159" s="1">
        <f t="shared" si="53"/>
        <v>-296.54225976552442</v>
      </c>
      <c r="L159" s="1">
        <f t="shared" si="46"/>
        <v>296245.71750575892</v>
      </c>
      <c r="N159" s="1">
        <f t="shared" si="54"/>
        <v>136</v>
      </c>
      <c r="O159" s="2">
        <f t="shared" si="40"/>
        <v>11</v>
      </c>
      <c r="P159" s="2">
        <f t="shared" si="41"/>
        <v>4</v>
      </c>
      <c r="Q159" s="2">
        <f t="shared" si="42"/>
        <v>11</v>
      </c>
      <c r="R159" s="1">
        <f t="shared" si="55"/>
        <v>1794152.2918427798</v>
      </c>
      <c r="S159" s="4">
        <f>IF($G$4="mensual",S156,IF($G$4="trimestral",S156,0))</f>
        <v>10000</v>
      </c>
      <c r="U159" s="1">
        <f t="shared" si="43"/>
        <v>14386.563730282895</v>
      </c>
      <c r="V159" s="1">
        <f t="shared" si="44"/>
        <v>-117.30639909120897</v>
      </c>
      <c r="X159" s="1">
        <f t="shared" si="47"/>
        <v>-1818.5388555730628</v>
      </c>
      <c r="Y159" s="1">
        <f t="shared" si="48"/>
        <v>1816603.0103183985</v>
      </c>
      <c r="AA159" s="2">
        <f>+Bono!J159</f>
        <v>181364.73406642434</v>
      </c>
      <c r="AC159" s="10">
        <f t="shared" si="49"/>
        <v>11.333333333333334</v>
      </c>
      <c r="AD159" s="1">
        <f t="shared" si="50"/>
        <v>2294213.461890582</v>
      </c>
    </row>
    <row r="160" spans="2:30">
      <c r="B160" s="1">
        <f t="shared" si="51"/>
        <v>137</v>
      </c>
      <c r="C160" s="2">
        <f t="shared" si="37"/>
        <v>11</v>
      </c>
      <c r="D160" s="2">
        <f t="shared" si="38"/>
        <v>5</v>
      </c>
      <c r="E160" s="2">
        <f t="shared" si="39"/>
        <v>40</v>
      </c>
      <c r="F160" s="1">
        <f t="shared" si="52"/>
        <v>296245.71750575892</v>
      </c>
      <c r="H160" s="1">
        <f t="shared" si="45"/>
        <v>2362.3049528522756</v>
      </c>
      <c r="I160" s="1">
        <v>0</v>
      </c>
      <c r="J160" s="1">
        <v>0</v>
      </c>
      <c r="K160" s="1">
        <f t="shared" si="53"/>
        <v>-298.60802245861117</v>
      </c>
      <c r="L160" s="1">
        <f t="shared" si="46"/>
        <v>298309.41443615255</v>
      </c>
      <c r="N160" s="1">
        <f t="shared" si="54"/>
        <v>137</v>
      </c>
      <c r="O160" s="2">
        <f t="shared" si="40"/>
        <v>11</v>
      </c>
      <c r="P160" s="2">
        <f t="shared" si="41"/>
        <v>5</v>
      </c>
      <c r="Q160" s="2">
        <f t="shared" si="42"/>
        <v>11</v>
      </c>
      <c r="R160" s="1">
        <f t="shared" si="55"/>
        <v>1816603.0103183985</v>
      </c>
      <c r="S160" s="4">
        <f>IF($G$4="mensual",S159,0)</f>
        <v>10000</v>
      </c>
      <c r="U160" s="1">
        <f t="shared" si="43"/>
        <v>14565.58891213726</v>
      </c>
      <c r="V160" s="1">
        <f t="shared" si="44"/>
        <v>-117.30639909120897</v>
      </c>
      <c r="X160" s="1">
        <f t="shared" si="47"/>
        <v>-1841.1685992305358</v>
      </c>
      <c r="Y160" s="1">
        <f t="shared" si="48"/>
        <v>1839210.1242322142</v>
      </c>
      <c r="AA160" s="2">
        <f>+Bono!J160</f>
        <v>182489.2164546432</v>
      </c>
      <c r="AC160" s="10">
        <f t="shared" si="49"/>
        <v>11.416666666666666</v>
      </c>
      <c r="AD160" s="1">
        <f t="shared" si="50"/>
        <v>2320008.7551230099</v>
      </c>
    </row>
    <row r="161" spans="2:30">
      <c r="B161" s="1">
        <f t="shared" si="51"/>
        <v>138</v>
      </c>
      <c r="C161" s="2">
        <f t="shared" si="37"/>
        <v>11</v>
      </c>
      <c r="D161" s="2">
        <f t="shared" si="38"/>
        <v>6</v>
      </c>
      <c r="E161" s="2">
        <f t="shared" si="39"/>
        <v>40</v>
      </c>
      <c r="F161" s="1">
        <f t="shared" si="52"/>
        <v>298309.41443615255</v>
      </c>
      <c r="H161" s="1">
        <f t="shared" si="45"/>
        <v>2378.7611619779323</v>
      </c>
      <c r="I161" s="1">
        <v>0</v>
      </c>
      <c r="J161" s="69">
        <f>-SUM(F161:H161)*$J$21</f>
        <v>-2706.1935803831748</v>
      </c>
      <c r="K161" s="1">
        <f t="shared" si="53"/>
        <v>-297.98198201774733</v>
      </c>
      <c r="L161" s="1">
        <f t="shared" si="46"/>
        <v>297684.00003572955</v>
      </c>
      <c r="N161" s="1">
        <f t="shared" si="54"/>
        <v>138</v>
      </c>
      <c r="O161" s="2">
        <f t="shared" si="40"/>
        <v>11</v>
      </c>
      <c r="P161" s="2">
        <f t="shared" si="41"/>
        <v>6</v>
      </c>
      <c r="Q161" s="2">
        <f t="shared" si="42"/>
        <v>11</v>
      </c>
      <c r="R161" s="1">
        <f t="shared" si="55"/>
        <v>1839210.1242322142</v>
      </c>
      <c r="S161" s="4">
        <f>IF($G$4="mensual",S160,0)</f>
        <v>10000</v>
      </c>
      <c r="U161" s="1">
        <f t="shared" si="43"/>
        <v>14745.861213178252</v>
      </c>
      <c r="V161" s="1">
        <f t="shared" si="44"/>
        <v>-117.30639909120897</v>
      </c>
      <c r="X161" s="1">
        <f t="shared" si="47"/>
        <v>-1863.9559854453923</v>
      </c>
      <c r="Y161" s="1">
        <f t="shared" si="48"/>
        <v>1861974.7230608559</v>
      </c>
      <c r="AA161" s="2">
        <f>+Bono!J161</f>
        <v>181966.43048694689</v>
      </c>
      <c r="AC161" s="10">
        <f t="shared" si="49"/>
        <v>11.5</v>
      </c>
      <c r="AD161" s="1">
        <f t="shared" si="50"/>
        <v>2341625.1535835322</v>
      </c>
    </row>
    <row r="162" spans="2:30">
      <c r="B162" s="1">
        <f t="shared" si="51"/>
        <v>139</v>
      </c>
      <c r="C162" s="2">
        <f t="shared" si="37"/>
        <v>11</v>
      </c>
      <c r="D162" s="2">
        <f t="shared" si="38"/>
        <v>7</v>
      </c>
      <c r="E162" s="2">
        <f t="shared" si="39"/>
        <v>40</v>
      </c>
      <c r="F162" s="1">
        <f t="shared" si="52"/>
        <v>297684.00003572955</v>
      </c>
      <c r="H162" s="1">
        <f t="shared" si="45"/>
        <v>2373.7740197227008</v>
      </c>
      <c r="I162" s="1">
        <v>0</v>
      </c>
      <c r="J162" s="1">
        <v>0</v>
      </c>
      <c r="K162" s="1">
        <f t="shared" si="53"/>
        <v>-300.05777405545228</v>
      </c>
      <c r="L162" s="1">
        <f t="shared" si="46"/>
        <v>299757.7162813968</v>
      </c>
      <c r="N162" s="1">
        <f t="shared" si="54"/>
        <v>139</v>
      </c>
      <c r="O162" s="2">
        <f t="shared" si="40"/>
        <v>11</v>
      </c>
      <c r="P162" s="2">
        <f t="shared" si="41"/>
        <v>7</v>
      </c>
      <c r="Q162" s="2">
        <f t="shared" si="42"/>
        <v>11</v>
      </c>
      <c r="R162" s="1">
        <f t="shared" si="55"/>
        <v>1861974.7230608559</v>
      </c>
      <c r="S162" s="1">
        <f>+IF($G$4="mensual",S156,IF($G$4="trimestral",S156,IF($G$4="semestral",S156,0)))</f>
        <v>10000</v>
      </c>
      <c r="U162" s="1">
        <f t="shared" si="43"/>
        <v>14927.389321045499</v>
      </c>
      <c r="V162" s="1">
        <f t="shared" si="44"/>
        <v>-117.30639909120897</v>
      </c>
      <c r="X162" s="1">
        <f t="shared" si="47"/>
        <v>-1886.9021123819014</v>
      </c>
      <c r="Y162" s="1">
        <f t="shared" si="48"/>
        <v>1884897.9038704282</v>
      </c>
      <c r="AA162" s="2">
        <f>+Bono!J162</f>
        <v>183094.6434627655</v>
      </c>
      <c r="AC162" s="10">
        <f t="shared" si="49"/>
        <v>11.583333333333334</v>
      </c>
      <c r="AD162" s="1">
        <f t="shared" si="50"/>
        <v>2367750.2636145903</v>
      </c>
    </row>
    <row r="163" spans="2:30">
      <c r="B163" s="1">
        <f t="shared" si="51"/>
        <v>140</v>
      </c>
      <c r="C163" s="2">
        <f t="shared" si="37"/>
        <v>11</v>
      </c>
      <c r="D163" s="2">
        <f t="shared" si="38"/>
        <v>8</v>
      </c>
      <c r="E163" s="2">
        <f t="shared" si="39"/>
        <v>40</v>
      </c>
      <c r="F163" s="1">
        <f t="shared" si="52"/>
        <v>299757.7162813968</v>
      </c>
      <c r="H163" s="1">
        <f t="shared" si="45"/>
        <v>2390.3101242753505</v>
      </c>
      <c r="I163" s="1">
        <v>0</v>
      </c>
      <c r="J163" s="1">
        <v>0</v>
      </c>
      <c r="K163" s="1">
        <f t="shared" si="53"/>
        <v>-302.14802640567217</v>
      </c>
      <c r="L163" s="1">
        <f t="shared" si="46"/>
        <v>301845.87837926648</v>
      </c>
      <c r="N163" s="1">
        <f t="shared" si="54"/>
        <v>140</v>
      </c>
      <c r="O163" s="2">
        <f t="shared" si="40"/>
        <v>11</v>
      </c>
      <c r="P163" s="2">
        <f t="shared" si="41"/>
        <v>8</v>
      </c>
      <c r="Q163" s="2">
        <f t="shared" si="42"/>
        <v>11</v>
      </c>
      <c r="R163" s="1">
        <f t="shared" si="55"/>
        <v>1884897.9038704282</v>
      </c>
      <c r="S163" s="4">
        <f>IF($G$4="mensual",S162,0)</f>
        <v>10000</v>
      </c>
      <c r="U163" s="1">
        <f t="shared" si="43"/>
        <v>15110.181983898181</v>
      </c>
      <c r="V163" s="1">
        <f t="shared" si="44"/>
        <v>-117.30639909120897</v>
      </c>
      <c r="X163" s="1">
        <f t="shared" si="47"/>
        <v>-1910.0080858543265</v>
      </c>
      <c r="Y163" s="1">
        <f t="shared" si="48"/>
        <v>1907980.7713693809</v>
      </c>
      <c r="AA163" s="2">
        <f>+Bono!J163</f>
        <v>184229.85148989878</v>
      </c>
      <c r="AC163" s="10">
        <f t="shared" si="49"/>
        <v>11.666666666666666</v>
      </c>
      <c r="AD163" s="1">
        <f t="shared" si="50"/>
        <v>2394056.5012385463</v>
      </c>
    </row>
    <row r="164" spans="2:30">
      <c r="B164" s="1">
        <f t="shared" si="51"/>
        <v>141</v>
      </c>
      <c r="C164" s="2">
        <f t="shared" ref="C164:C227" si="56">C152+1</f>
        <v>11</v>
      </c>
      <c r="D164" s="2">
        <f t="shared" ref="D164:D227" si="57">D152</f>
        <v>9</v>
      </c>
      <c r="E164" s="2">
        <f t="shared" ref="E164:E227" si="58">E152+1</f>
        <v>40</v>
      </c>
      <c r="F164" s="1">
        <f t="shared" si="52"/>
        <v>301845.87837926648</v>
      </c>
      <c r="H164" s="1">
        <f t="shared" si="45"/>
        <v>2406.9614220820777</v>
      </c>
      <c r="I164" s="1">
        <v>0</v>
      </c>
      <c r="J164" s="69">
        <f>-SUM(F164:H164)*$J$21</f>
        <v>-2738.2755582121376</v>
      </c>
      <c r="K164" s="1">
        <f t="shared" si="53"/>
        <v>-301.51456424313642</v>
      </c>
      <c r="L164" s="1">
        <f t="shared" si="46"/>
        <v>301213.04967889329</v>
      </c>
      <c r="N164" s="1">
        <f t="shared" si="54"/>
        <v>141</v>
      </c>
      <c r="O164" s="2">
        <f t="shared" ref="O164:O227" si="59">O152+1</f>
        <v>11</v>
      </c>
      <c r="P164" s="2">
        <f t="shared" ref="P164:P227" si="60">P152</f>
        <v>9</v>
      </c>
      <c r="Q164" s="2">
        <f t="shared" ref="Q164:Q227" si="61">Q152+1</f>
        <v>11</v>
      </c>
      <c r="R164" s="1">
        <f t="shared" si="55"/>
        <v>1907980.7713693809</v>
      </c>
      <c r="S164" s="4">
        <f>IF($G$4="mensual",S163,0)</f>
        <v>10000</v>
      </c>
      <c r="U164" s="1">
        <f t="shared" ref="U164:U227" si="62">SUM(R164:T164)*$G$8</f>
        <v>15294.248010836607</v>
      </c>
      <c r="V164" s="1">
        <f t="shared" si="44"/>
        <v>-117.30639909120897</v>
      </c>
      <c r="X164" s="1">
        <f t="shared" si="47"/>
        <v>-1933.2750193802174</v>
      </c>
      <c r="Y164" s="1">
        <f t="shared" si="48"/>
        <v>1931224.437961746</v>
      </c>
      <c r="AA164" s="2">
        <f>+Bono!J164</f>
        <v>183702.07903812962</v>
      </c>
      <c r="AC164" s="10">
        <f t="shared" si="49"/>
        <v>11.75</v>
      </c>
      <c r="AD164" s="1">
        <f t="shared" si="50"/>
        <v>2416139.566678769</v>
      </c>
    </row>
    <row r="165" spans="2:30">
      <c r="B165" s="1">
        <f t="shared" si="51"/>
        <v>142</v>
      </c>
      <c r="C165" s="2">
        <f t="shared" si="56"/>
        <v>11</v>
      </c>
      <c r="D165" s="2">
        <f t="shared" si="57"/>
        <v>10</v>
      </c>
      <c r="E165" s="2">
        <f t="shared" si="58"/>
        <v>40</v>
      </c>
      <c r="F165" s="1">
        <f t="shared" si="52"/>
        <v>301213.04967889329</v>
      </c>
      <c r="H165" s="1">
        <f t="shared" si="45"/>
        <v>2401.9151571578609</v>
      </c>
      <c r="I165" s="1">
        <v>0</v>
      </c>
      <c r="J165" s="1">
        <v>0</v>
      </c>
      <c r="K165" s="1">
        <f t="shared" si="53"/>
        <v>-303.61496483605117</v>
      </c>
      <c r="L165" s="1">
        <f t="shared" si="46"/>
        <v>303311.34987121512</v>
      </c>
      <c r="N165" s="1">
        <f t="shared" si="54"/>
        <v>142</v>
      </c>
      <c r="O165" s="2">
        <f t="shared" si="59"/>
        <v>11</v>
      </c>
      <c r="P165" s="2">
        <f t="shared" si="60"/>
        <v>10</v>
      </c>
      <c r="Q165" s="2">
        <f t="shared" si="61"/>
        <v>11</v>
      </c>
      <c r="R165" s="1">
        <f t="shared" si="55"/>
        <v>1931224.437961746</v>
      </c>
      <c r="S165" s="4">
        <f>IF($G$4="mensual",S156,IF($G$4="trimestral",S156,0))</f>
        <v>10000</v>
      </c>
      <c r="U165" s="1">
        <f t="shared" si="62"/>
        <v>15479.596272326746</v>
      </c>
      <c r="V165" s="1">
        <f t="shared" si="44"/>
        <v>-117.30639909120897</v>
      </c>
      <c r="X165" s="1">
        <f t="shared" si="47"/>
        <v>-1956.7040342340729</v>
      </c>
      <c r="Y165" s="1">
        <f t="shared" si="48"/>
        <v>1954630.0238007475</v>
      </c>
      <c r="AA165" s="2">
        <f>+Bono!J165</f>
        <v>184841.05323628831</v>
      </c>
      <c r="AC165" s="10">
        <f t="shared" si="49"/>
        <v>11.833333333333334</v>
      </c>
      <c r="AD165" s="1">
        <f t="shared" si="50"/>
        <v>2442782.4269082509</v>
      </c>
    </row>
    <row r="166" spans="2:30">
      <c r="B166" s="1">
        <f t="shared" si="51"/>
        <v>143</v>
      </c>
      <c r="C166" s="2">
        <f t="shared" si="56"/>
        <v>11</v>
      </c>
      <c r="D166" s="2">
        <f t="shared" si="57"/>
        <v>11</v>
      </c>
      <c r="E166" s="2">
        <f t="shared" si="58"/>
        <v>40</v>
      </c>
      <c r="F166" s="1">
        <f t="shared" si="52"/>
        <v>303311.34987121512</v>
      </c>
      <c r="H166" s="1">
        <f t="shared" si="45"/>
        <v>2418.6472975534311</v>
      </c>
      <c r="I166" s="1">
        <v>0</v>
      </c>
      <c r="J166" s="1">
        <v>0</v>
      </c>
      <c r="K166" s="1">
        <f t="shared" si="53"/>
        <v>-305.72999716876853</v>
      </c>
      <c r="L166" s="1">
        <f t="shared" si="46"/>
        <v>305424.26717159979</v>
      </c>
      <c r="N166" s="1">
        <f t="shared" si="54"/>
        <v>143</v>
      </c>
      <c r="O166" s="2">
        <f t="shared" si="59"/>
        <v>11</v>
      </c>
      <c r="P166" s="2">
        <f t="shared" si="60"/>
        <v>11</v>
      </c>
      <c r="Q166" s="2">
        <f t="shared" si="61"/>
        <v>11</v>
      </c>
      <c r="R166" s="1">
        <f t="shared" si="55"/>
        <v>1954630.0238007475</v>
      </c>
      <c r="S166" s="1">
        <f>IF($G$17="si",S154*(1+$G$20),S154)</f>
        <v>10000</v>
      </c>
      <c r="U166" s="1">
        <f t="shared" si="62"/>
        <v>15666.235700627705</v>
      </c>
      <c r="V166" s="1">
        <f t="shared" si="44"/>
        <v>-117.30639909120897</v>
      </c>
      <c r="X166" s="1">
        <f t="shared" si="47"/>
        <v>-1980.2962595013753</v>
      </c>
      <c r="Y166" s="1">
        <f t="shared" si="48"/>
        <v>1978198.6568427826</v>
      </c>
      <c r="AA166" s="2">
        <f>+Bono!J166</f>
        <v>185987.08920658843</v>
      </c>
      <c r="AC166" s="10">
        <f t="shared" si="49"/>
        <v>11.916666666666666</v>
      </c>
      <c r="AD166" s="1">
        <f t="shared" si="50"/>
        <v>2469610.013220971</v>
      </c>
    </row>
    <row r="167" spans="2:30">
      <c r="B167" s="1">
        <f t="shared" si="51"/>
        <v>144</v>
      </c>
      <c r="C167" s="2">
        <f t="shared" si="56"/>
        <v>11</v>
      </c>
      <c r="D167" s="2">
        <f t="shared" si="57"/>
        <v>12</v>
      </c>
      <c r="E167" s="2">
        <f t="shared" si="58"/>
        <v>40</v>
      </c>
      <c r="F167" s="1">
        <f t="shared" si="52"/>
        <v>305424.26717159979</v>
      </c>
      <c r="H167" s="1">
        <f t="shared" si="45"/>
        <v>2435.4959968213584</v>
      </c>
      <c r="I167" s="1">
        <v>0</v>
      </c>
      <c r="J167" s="69">
        <f>-SUM(F167:H167)*$J$21</f>
        <v>-2770.737868515791</v>
      </c>
      <c r="K167" s="1">
        <f t="shared" si="53"/>
        <v>-305.08902529990542</v>
      </c>
      <c r="L167" s="1">
        <f t="shared" si="46"/>
        <v>304783.93627460551</v>
      </c>
      <c r="N167" s="1">
        <f t="shared" si="54"/>
        <v>144</v>
      </c>
      <c r="O167" s="2">
        <f t="shared" si="59"/>
        <v>11</v>
      </c>
      <c r="P167" s="2">
        <f t="shared" si="60"/>
        <v>12</v>
      </c>
      <c r="Q167" s="2">
        <f t="shared" si="61"/>
        <v>11</v>
      </c>
      <c r="R167" s="1">
        <f t="shared" si="55"/>
        <v>1978198.6568427826</v>
      </c>
      <c r="S167" s="4">
        <f>IF($G$4="mensual",S166,0)</f>
        <v>10000</v>
      </c>
      <c r="U167" s="1">
        <f t="shared" si="62"/>
        <v>15854.175290222194</v>
      </c>
      <c r="V167" s="1">
        <f t="shared" si="44"/>
        <v>-117.30639909120897</v>
      </c>
      <c r="X167" s="1">
        <f t="shared" si="47"/>
        <v>-2004.052832133005</v>
      </c>
      <c r="Y167" s="1">
        <f t="shared" si="48"/>
        <v>2001931.4729017809</v>
      </c>
      <c r="AA167" s="2">
        <f>+Bono!J167</f>
        <v>185454.2827082162</v>
      </c>
      <c r="AC167" s="10">
        <f t="shared" si="49"/>
        <v>12</v>
      </c>
      <c r="AD167" s="1">
        <f t="shared" si="50"/>
        <v>2492169.6918846024</v>
      </c>
    </row>
    <row r="168" spans="2:30">
      <c r="B168" s="1">
        <f t="shared" si="51"/>
        <v>145</v>
      </c>
      <c r="C168" s="2">
        <f t="shared" si="56"/>
        <v>12</v>
      </c>
      <c r="D168" s="2">
        <f t="shared" si="57"/>
        <v>1</v>
      </c>
      <c r="E168" s="2">
        <f t="shared" si="58"/>
        <v>41</v>
      </c>
      <c r="F168" s="1">
        <f t="shared" si="52"/>
        <v>304783.93627460551</v>
      </c>
      <c r="H168" s="1">
        <f t="shared" si="45"/>
        <v>2430.3899083277602</v>
      </c>
      <c r="I168" s="1">
        <v>0</v>
      </c>
      <c r="J168" s="1">
        <v>0</v>
      </c>
      <c r="K168" s="1">
        <f t="shared" si="53"/>
        <v>-307.21432618293329</v>
      </c>
      <c r="L168" s="1">
        <f t="shared" si="46"/>
        <v>306907.11185675033</v>
      </c>
      <c r="N168" s="1">
        <f t="shared" si="54"/>
        <v>145</v>
      </c>
      <c r="O168" s="2">
        <f t="shared" si="59"/>
        <v>12</v>
      </c>
      <c r="P168" s="2">
        <f t="shared" si="60"/>
        <v>1</v>
      </c>
      <c r="Q168" s="2">
        <f t="shared" si="61"/>
        <v>12</v>
      </c>
      <c r="R168" s="1">
        <f t="shared" si="55"/>
        <v>2001931.4729017809</v>
      </c>
      <c r="S168" s="1">
        <f>IF($G$17="si",S156*(1+$G$20),S156)</f>
        <v>10000</v>
      </c>
      <c r="U168" s="1">
        <f t="shared" si="62"/>
        <v>16043.424098249989</v>
      </c>
      <c r="V168" s="1">
        <f>V167*(1+$G$18)</f>
        <v>-121.99865505485734</v>
      </c>
      <c r="X168" s="1">
        <f t="shared" si="47"/>
        <v>-2027.974897000031</v>
      </c>
      <c r="Y168" s="1">
        <f t="shared" si="48"/>
        <v>2025824.9234479759</v>
      </c>
      <c r="AA168" s="2">
        <f>+Bono!J168</f>
        <v>186604.12077237249</v>
      </c>
      <c r="AC168" s="10">
        <f t="shared" si="49"/>
        <v>12.083333333333334</v>
      </c>
      <c r="AD168" s="1">
        <f t="shared" si="50"/>
        <v>2519336.1560770986</v>
      </c>
    </row>
    <row r="169" spans="2:30">
      <c r="B169" s="1">
        <f t="shared" si="51"/>
        <v>146</v>
      </c>
      <c r="C169" s="2">
        <f t="shared" si="56"/>
        <v>12</v>
      </c>
      <c r="D169" s="2">
        <f t="shared" si="57"/>
        <v>2</v>
      </c>
      <c r="E169" s="2">
        <f t="shared" si="58"/>
        <v>41</v>
      </c>
      <c r="F169" s="1">
        <f t="shared" si="52"/>
        <v>306907.11185675033</v>
      </c>
      <c r="H169" s="1">
        <f t="shared" si="45"/>
        <v>2447.3204085750026</v>
      </c>
      <c r="I169" s="1">
        <v>0</v>
      </c>
      <c r="J169" s="1">
        <v>0</v>
      </c>
      <c r="K169" s="1">
        <f t="shared" si="53"/>
        <v>-309.35443226532533</v>
      </c>
      <c r="L169" s="1">
        <f t="shared" si="46"/>
        <v>309045.07783306</v>
      </c>
      <c r="N169" s="1">
        <f t="shared" si="54"/>
        <v>146</v>
      </c>
      <c r="O169" s="2">
        <f t="shared" si="59"/>
        <v>12</v>
      </c>
      <c r="P169" s="2">
        <f t="shared" si="60"/>
        <v>2</v>
      </c>
      <c r="Q169" s="2">
        <f t="shared" si="61"/>
        <v>12</v>
      </c>
      <c r="R169" s="1">
        <f t="shared" si="55"/>
        <v>2025824.9234479759</v>
      </c>
      <c r="S169" s="4">
        <f>IF($G$4="mensual",S168,0)</f>
        <v>10000</v>
      </c>
      <c r="U169" s="1">
        <f t="shared" si="62"/>
        <v>16233.953828236416</v>
      </c>
      <c r="V169" s="1">
        <f>V168</f>
        <v>-121.99865505485734</v>
      </c>
      <c r="X169" s="1">
        <f t="shared" si="47"/>
        <v>-2052.0588772762121</v>
      </c>
      <c r="Y169" s="1">
        <f t="shared" si="48"/>
        <v>2049884.819743881</v>
      </c>
      <c r="AA169" s="2">
        <f>+Bono!J169</f>
        <v>187761.08796589953</v>
      </c>
      <c r="AC169" s="10">
        <f t="shared" si="49"/>
        <v>12.166666666666666</v>
      </c>
      <c r="AD169" s="1">
        <f t="shared" si="50"/>
        <v>2546690.9855428408</v>
      </c>
    </row>
    <row r="170" spans="2:30">
      <c r="B170" s="1">
        <f t="shared" si="51"/>
        <v>147</v>
      </c>
      <c r="C170" s="2">
        <f t="shared" si="56"/>
        <v>12</v>
      </c>
      <c r="D170" s="2">
        <f t="shared" si="57"/>
        <v>3</v>
      </c>
      <c r="E170" s="2">
        <f t="shared" si="58"/>
        <v>41</v>
      </c>
      <c r="F170" s="1">
        <f t="shared" si="52"/>
        <v>309045.07783306</v>
      </c>
      <c r="H170" s="1">
        <f t="shared" si="45"/>
        <v>2464.3688495023143</v>
      </c>
      <c r="I170" s="1">
        <v>0</v>
      </c>
      <c r="J170" s="69">
        <f>-SUM(F170:H170)*$J$21</f>
        <v>-2803.5850201430608</v>
      </c>
      <c r="K170" s="1">
        <f t="shared" si="53"/>
        <v>-308.70586166241924</v>
      </c>
      <c r="L170" s="1">
        <f t="shared" si="46"/>
        <v>308397.15580075682</v>
      </c>
      <c r="N170" s="1">
        <f t="shared" si="54"/>
        <v>147</v>
      </c>
      <c r="O170" s="2">
        <f t="shared" si="59"/>
        <v>12</v>
      </c>
      <c r="P170" s="2">
        <f t="shared" si="60"/>
        <v>3</v>
      </c>
      <c r="Q170" s="2">
        <f t="shared" si="61"/>
        <v>12</v>
      </c>
      <c r="R170" s="1">
        <f t="shared" si="55"/>
        <v>2049884.819743881</v>
      </c>
      <c r="S170" s="4">
        <f>IF($G$4="mensual",S169,0)</f>
        <v>10000</v>
      </c>
      <c r="U170" s="1">
        <f t="shared" si="62"/>
        <v>16425.810820004823</v>
      </c>
      <c r="V170" s="1">
        <f t="shared" si="44"/>
        <v>-121.99865505485734</v>
      </c>
      <c r="X170" s="1">
        <f t="shared" si="47"/>
        <v>-2076.3106305638858</v>
      </c>
      <c r="Y170" s="1">
        <f t="shared" si="48"/>
        <v>2074112.3212782671</v>
      </c>
      <c r="AA170" s="2">
        <f>+Bono!J170</f>
        <v>187223.19940472874</v>
      </c>
      <c r="AC170" s="10">
        <f t="shared" si="49"/>
        <v>12.25</v>
      </c>
      <c r="AD170" s="1">
        <f t="shared" si="50"/>
        <v>2569732.6764837527</v>
      </c>
    </row>
    <row r="171" spans="2:30">
      <c r="B171" s="1">
        <f t="shared" si="51"/>
        <v>148</v>
      </c>
      <c r="C171" s="2">
        <f t="shared" si="56"/>
        <v>12</v>
      </c>
      <c r="D171" s="2">
        <f t="shared" si="57"/>
        <v>4</v>
      </c>
      <c r="E171" s="2">
        <f t="shared" si="58"/>
        <v>41</v>
      </c>
      <c r="F171" s="1">
        <f t="shared" si="52"/>
        <v>308397.15580075682</v>
      </c>
      <c r="H171" s="1">
        <f t="shared" si="45"/>
        <v>2459.202228229748</v>
      </c>
      <c r="I171" s="1">
        <v>0</v>
      </c>
      <c r="J171" s="1">
        <v>0</v>
      </c>
      <c r="K171" s="1">
        <f t="shared" si="53"/>
        <v>-310.85635802898656</v>
      </c>
      <c r="L171" s="1">
        <f t="shared" si="46"/>
        <v>310545.50167095754</v>
      </c>
      <c r="N171" s="1">
        <f t="shared" si="54"/>
        <v>148</v>
      </c>
      <c r="O171" s="2">
        <f t="shared" si="59"/>
        <v>12</v>
      </c>
      <c r="P171" s="2">
        <f t="shared" si="60"/>
        <v>4</v>
      </c>
      <c r="Q171" s="2">
        <f t="shared" si="61"/>
        <v>12</v>
      </c>
      <c r="R171" s="1">
        <f t="shared" si="55"/>
        <v>2074112.3212782671</v>
      </c>
      <c r="S171" s="4">
        <f>IF($G$4="mensual",S168,IF($G$4="trimestral",S168,0))</f>
        <v>10000</v>
      </c>
      <c r="U171" s="1">
        <f t="shared" si="62"/>
        <v>16619.004319481501</v>
      </c>
      <c r="V171" s="1">
        <f t="shared" si="44"/>
        <v>-121.99865505485734</v>
      </c>
      <c r="X171" s="1">
        <f t="shared" si="47"/>
        <v>-2100.7313255977488</v>
      </c>
      <c r="Y171" s="1">
        <f t="shared" si="48"/>
        <v>2098508.5956170959</v>
      </c>
      <c r="AA171" s="2">
        <f>+Bono!J171</f>
        <v>188384.00495758504</v>
      </c>
      <c r="AC171" s="10">
        <f t="shared" si="49"/>
        <v>12.333333333333334</v>
      </c>
      <c r="AD171" s="1">
        <f t="shared" si="50"/>
        <v>2597438.1022456386</v>
      </c>
    </row>
    <row r="172" spans="2:30">
      <c r="B172" s="1">
        <f t="shared" si="51"/>
        <v>149</v>
      </c>
      <c r="C172" s="2">
        <f t="shared" si="56"/>
        <v>12</v>
      </c>
      <c r="D172" s="2">
        <f t="shared" si="57"/>
        <v>5</v>
      </c>
      <c r="E172" s="2">
        <f t="shared" si="58"/>
        <v>41</v>
      </c>
      <c r="F172" s="1">
        <f t="shared" si="52"/>
        <v>310545.50167095754</v>
      </c>
      <c r="H172" s="1">
        <f t="shared" si="45"/>
        <v>2476.3334398885841</v>
      </c>
      <c r="I172" s="1">
        <v>0</v>
      </c>
      <c r="J172" s="1">
        <v>0</v>
      </c>
      <c r="K172" s="1">
        <f t="shared" si="53"/>
        <v>-313.02183511084615</v>
      </c>
      <c r="L172" s="1">
        <f t="shared" si="46"/>
        <v>312708.8132757353</v>
      </c>
      <c r="N172" s="1">
        <f t="shared" si="54"/>
        <v>149</v>
      </c>
      <c r="O172" s="2">
        <f t="shared" si="59"/>
        <v>12</v>
      </c>
      <c r="P172" s="2">
        <f t="shared" si="60"/>
        <v>5</v>
      </c>
      <c r="Q172" s="2">
        <f t="shared" si="61"/>
        <v>12</v>
      </c>
      <c r="R172" s="1">
        <f t="shared" si="55"/>
        <v>2098508.5956170959</v>
      </c>
      <c r="S172" s="4">
        <f>IF($G$4="mensual",S171,0)</f>
        <v>10000</v>
      </c>
      <c r="U172" s="1">
        <f t="shared" si="62"/>
        <v>16813.543637001385</v>
      </c>
      <c r="V172" s="1">
        <f t="shared" si="44"/>
        <v>-121.99865505485734</v>
      </c>
      <c r="X172" s="1">
        <f t="shared" si="47"/>
        <v>-2125.3221392540972</v>
      </c>
      <c r="Y172" s="1">
        <f t="shared" si="48"/>
        <v>2123074.8184597883</v>
      </c>
      <c r="AA172" s="2">
        <f>+Bono!J172</f>
        <v>189552.00763951417</v>
      </c>
      <c r="AC172" s="10">
        <f t="shared" si="49"/>
        <v>12.416666666666666</v>
      </c>
      <c r="AD172" s="1">
        <f t="shared" si="50"/>
        <v>2625335.639375038</v>
      </c>
    </row>
    <row r="173" spans="2:30">
      <c r="B173" s="1">
        <f t="shared" si="51"/>
        <v>150</v>
      </c>
      <c r="C173" s="2">
        <f t="shared" si="56"/>
        <v>12</v>
      </c>
      <c r="D173" s="2">
        <f t="shared" si="57"/>
        <v>6</v>
      </c>
      <c r="E173" s="2">
        <f t="shared" si="58"/>
        <v>41</v>
      </c>
      <c r="F173" s="1">
        <f t="shared" si="52"/>
        <v>312708.8132757353</v>
      </c>
      <c r="H173" s="1">
        <f t="shared" si="45"/>
        <v>2493.5839904165591</v>
      </c>
      <c r="I173" s="1">
        <v>0</v>
      </c>
      <c r="J173" s="69">
        <f>-SUM(F173:H173)*$J$21</f>
        <v>-2836.8215753953668</v>
      </c>
      <c r="K173" s="1">
        <f t="shared" si="53"/>
        <v>-312.36557569075649</v>
      </c>
      <c r="L173" s="1">
        <f t="shared" si="46"/>
        <v>312053.21011506574</v>
      </c>
      <c r="N173" s="1">
        <f t="shared" si="54"/>
        <v>150</v>
      </c>
      <c r="O173" s="2">
        <f t="shared" si="59"/>
        <v>12</v>
      </c>
      <c r="P173" s="2">
        <f t="shared" si="60"/>
        <v>6</v>
      </c>
      <c r="Q173" s="2">
        <f t="shared" si="61"/>
        <v>12</v>
      </c>
      <c r="R173" s="1">
        <f t="shared" si="55"/>
        <v>2123074.8184597883</v>
      </c>
      <c r="S173" s="4">
        <f>IF($G$4="mensual",S172,0)</f>
        <v>10000</v>
      </c>
      <c r="U173" s="1">
        <f t="shared" si="62"/>
        <v>17009.438147756755</v>
      </c>
      <c r="V173" s="1">
        <f t="shared" si="44"/>
        <v>-121.99865505485734</v>
      </c>
      <c r="X173" s="1">
        <f t="shared" si="47"/>
        <v>-2150.0842566075453</v>
      </c>
      <c r="Y173" s="1">
        <f t="shared" si="48"/>
        <v>2147812.1736958828</v>
      </c>
      <c r="AA173" s="2">
        <f>+Bono!J173</f>
        <v>189008.98854135702</v>
      </c>
      <c r="AC173" s="10">
        <f t="shared" si="49"/>
        <v>12.5</v>
      </c>
      <c r="AD173" s="1">
        <f t="shared" si="50"/>
        <v>2648874.3723523058</v>
      </c>
    </row>
    <row r="174" spans="2:30">
      <c r="B174" s="1">
        <f t="shared" si="51"/>
        <v>151</v>
      </c>
      <c r="C174" s="2">
        <f t="shared" si="56"/>
        <v>12</v>
      </c>
      <c r="D174" s="2">
        <f t="shared" si="57"/>
        <v>7</v>
      </c>
      <c r="E174" s="2">
        <f t="shared" si="58"/>
        <v>41</v>
      </c>
      <c r="F174" s="1">
        <f t="shared" si="52"/>
        <v>312053.21011506574</v>
      </c>
      <c r="H174" s="1">
        <f t="shared" si="45"/>
        <v>2488.3561187477467</v>
      </c>
      <c r="I174" s="1">
        <v>0</v>
      </c>
      <c r="J174" s="1">
        <v>0</v>
      </c>
      <c r="K174" s="1">
        <f t="shared" si="53"/>
        <v>-314.54156623381346</v>
      </c>
      <c r="L174" s="1">
        <f t="shared" si="46"/>
        <v>314227.02466757968</v>
      </c>
      <c r="N174" s="1">
        <f t="shared" si="54"/>
        <v>151</v>
      </c>
      <c r="O174" s="2">
        <f t="shared" si="59"/>
        <v>12</v>
      </c>
      <c r="P174" s="2">
        <f t="shared" si="60"/>
        <v>7</v>
      </c>
      <c r="Q174" s="2">
        <f t="shared" si="61"/>
        <v>12</v>
      </c>
      <c r="R174" s="1">
        <f t="shared" si="55"/>
        <v>2147812.1736958828</v>
      </c>
      <c r="S174" s="1">
        <f>+IF($G$4="mensual",S168,IF($G$4="trimestral",S168,IF($G$4="semestral",S168,0)))</f>
        <v>10000</v>
      </c>
      <c r="U174" s="1">
        <f t="shared" si="62"/>
        <v>17206.697292249049</v>
      </c>
      <c r="V174" s="1">
        <f t="shared" si="44"/>
        <v>-121.99865505485734</v>
      </c>
      <c r="X174" s="1">
        <f t="shared" si="47"/>
        <v>-2175.0188709881322</v>
      </c>
      <c r="Y174" s="1">
        <f t="shared" si="48"/>
        <v>2172721.8534620893</v>
      </c>
      <c r="AA174" s="2">
        <f>+Bono!J174</f>
        <v>190180.86619399913</v>
      </c>
      <c r="AC174" s="10">
        <f t="shared" si="49"/>
        <v>12.583333333333334</v>
      </c>
      <c r="AD174" s="1">
        <f t="shared" si="50"/>
        <v>2677129.7443236681</v>
      </c>
    </row>
    <row r="175" spans="2:30">
      <c r="B175" s="1">
        <f t="shared" si="51"/>
        <v>152</v>
      </c>
      <c r="C175" s="2">
        <f t="shared" si="56"/>
        <v>12</v>
      </c>
      <c r="D175" s="2">
        <f t="shared" si="57"/>
        <v>8</v>
      </c>
      <c r="E175" s="2">
        <f t="shared" si="58"/>
        <v>41</v>
      </c>
      <c r="F175" s="1">
        <f t="shared" si="52"/>
        <v>314227.02466757968</v>
      </c>
      <c r="H175" s="1">
        <f t="shared" si="45"/>
        <v>2505.6904212558875</v>
      </c>
      <c r="I175" s="1">
        <v>0</v>
      </c>
      <c r="J175" s="1">
        <v>0</v>
      </c>
      <c r="K175" s="1">
        <f t="shared" si="53"/>
        <v>-316.73271508883556</v>
      </c>
      <c r="L175" s="1">
        <f t="shared" si="46"/>
        <v>316415.98237374675</v>
      </c>
      <c r="N175" s="1">
        <f t="shared" si="54"/>
        <v>152</v>
      </c>
      <c r="O175" s="2">
        <f t="shared" si="59"/>
        <v>12</v>
      </c>
      <c r="P175" s="2">
        <f t="shared" si="60"/>
        <v>8</v>
      </c>
      <c r="Q175" s="2">
        <f t="shared" si="61"/>
        <v>12</v>
      </c>
      <c r="R175" s="1">
        <f t="shared" si="55"/>
        <v>2172721.8534620893</v>
      </c>
      <c r="S175" s="4">
        <f>IF($G$4="mensual",S174,0)</f>
        <v>10000</v>
      </c>
      <c r="U175" s="1">
        <f t="shared" si="62"/>
        <v>17405.330576743803</v>
      </c>
      <c r="V175" s="1">
        <f t="shared" si="44"/>
        <v>-121.99865505485734</v>
      </c>
      <c r="X175" s="1">
        <f t="shared" si="47"/>
        <v>-2200.1271840388331</v>
      </c>
      <c r="Y175" s="1">
        <f t="shared" si="48"/>
        <v>2197805.0581997395</v>
      </c>
      <c r="AA175" s="2">
        <f>+Bono!J175</f>
        <v>191360.00962401702</v>
      </c>
      <c r="AC175" s="10">
        <f t="shared" si="49"/>
        <v>12.666666666666666</v>
      </c>
      <c r="AD175" s="1">
        <f t="shared" si="50"/>
        <v>2705581.0501975031</v>
      </c>
    </row>
    <row r="176" spans="2:30">
      <c r="B176" s="1">
        <f t="shared" si="51"/>
        <v>153</v>
      </c>
      <c r="C176" s="2">
        <f t="shared" si="56"/>
        <v>12</v>
      </c>
      <c r="D176" s="2">
        <f t="shared" si="57"/>
        <v>9</v>
      </c>
      <c r="E176" s="2">
        <f t="shared" si="58"/>
        <v>41</v>
      </c>
      <c r="F176" s="1">
        <f t="shared" si="52"/>
        <v>316415.98237374675</v>
      </c>
      <c r="H176" s="1">
        <f t="shared" si="45"/>
        <v>2523.1454773977948</v>
      </c>
      <c r="I176" s="1">
        <v>0</v>
      </c>
      <c r="J176" s="69">
        <f>-SUM(F176:H176)*$J$21</f>
        <v>-2870.452150660301</v>
      </c>
      <c r="K176" s="1">
        <f t="shared" si="53"/>
        <v>-316.06867570048428</v>
      </c>
      <c r="L176" s="1">
        <f t="shared" si="46"/>
        <v>315752.60702478379</v>
      </c>
      <c r="N176" s="1">
        <f t="shared" si="54"/>
        <v>153</v>
      </c>
      <c r="O176" s="2">
        <f t="shared" si="59"/>
        <v>12</v>
      </c>
      <c r="P176" s="2">
        <f t="shared" si="60"/>
        <v>9</v>
      </c>
      <c r="Q176" s="2">
        <f t="shared" si="61"/>
        <v>12</v>
      </c>
      <c r="R176" s="1">
        <f t="shared" si="55"/>
        <v>2197805.0581997395</v>
      </c>
      <c r="S176" s="4">
        <f>IF($G$4="mensual",S175,0)</f>
        <v>10000</v>
      </c>
      <c r="U176" s="1">
        <f t="shared" si="62"/>
        <v>17605.34757372877</v>
      </c>
      <c r="V176" s="1">
        <f t="shared" si="44"/>
        <v>-121.99865505485734</v>
      </c>
      <c r="X176" s="1">
        <f t="shared" si="47"/>
        <v>-2225.4104057734685</v>
      </c>
      <c r="Y176" s="1">
        <f t="shared" si="48"/>
        <v>2223062.9967126399</v>
      </c>
      <c r="AA176" s="2">
        <f>+Bono!J176</f>
        <v>190811.81105232477</v>
      </c>
      <c r="AC176" s="10">
        <f t="shared" si="49"/>
        <v>12.75</v>
      </c>
      <c r="AD176" s="1">
        <f t="shared" si="50"/>
        <v>2729627.4147897484</v>
      </c>
    </row>
    <row r="177" spans="2:30">
      <c r="B177" s="1">
        <f t="shared" si="51"/>
        <v>154</v>
      </c>
      <c r="C177" s="2">
        <f t="shared" si="56"/>
        <v>12</v>
      </c>
      <c r="D177" s="2">
        <f t="shared" si="57"/>
        <v>10</v>
      </c>
      <c r="E177" s="2">
        <f t="shared" si="58"/>
        <v>41</v>
      </c>
      <c r="F177" s="1">
        <f t="shared" si="52"/>
        <v>315752.60702478379</v>
      </c>
      <c r="H177" s="1">
        <f t="shared" si="45"/>
        <v>2517.8556292080912</v>
      </c>
      <c r="I177" s="1">
        <v>0</v>
      </c>
      <c r="J177" s="1">
        <v>0</v>
      </c>
      <c r="K177" s="1">
        <f t="shared" si="53"/>
        <v>-318.2704626539919</v>
      </c>
      <c r="L177" s="1">
        <f t="shared" si="46"/>
        <v>317952.19219133788</v>
      </c>
      <c r="N177" s="1">
        <f t="shared" si="54"/>
        <v>154</v>
      </c>
      <c r="O177" s="2">
        <f t="shared" si="59"/>
        <v>12</v>
      </c>
      <c r="P177" s="2">
        <f t="shared" si="60"/>
        <v>10</v>
      </c>
      <c r="Q177" s="2">
        <f t="shared" si="61"/>
        <v>12</v>
      </c>
      <c r="R177" s="1">
        <f t="shared" si="55"/>
        <v>2223062.9967126399</v>
      </c>
      <c r="S177" s="4">
        <f>IF($G$4="mensual",S168,IF($G$4="trimestral",S168,0))</f>
        <v>10000</v>
      </c>
      <c r="U177" s="1">
        <f t="shared" si="62"/>
        <v>17806.757922375255</v>
      </c>
      <c r="V177" s="1">
        <f t="shared" si="44"/>
        <v>-121.99865505485734</v>
      </c>
      <c r="X177" s="1">
        <f t="shared" si="47"/>
        <v>-2250.8697546350149</v>
      </c>
      <c r="Y177" s="1">
        <f t="shared" si="48"/>
        <v>2248496.8862253255</v>
      </c>
      <c r="AA177" s="2">
        <f>+Bono!J177</f>
        <v>191994.86641364935</v>
      </c>
      <c r="AC177" s="10">
        <f t="shared" si="49"/>
        <v>12.833333333333334</v>
      </c>
      <c r="AD177" s="1">
        <f t="shared" si="50"/>
        <v>2758443.9448303124</v>
      </c>
    </row>
    <row r="178" spans="2:30">
      <c r="B178" s="1">
        <f t="shared" si="51"/>
        <v>155</v>
      </c>
      <c r="C178" s="2">
        <f t="shared" si="56"/>
        <v>12</v>
      </c>
      <c r="D178" s="2">
        <f t="shared" si="57"/>
        <v>11</v>
      </c>
      <c r="E178" s="2">
        <f t="shared" si="58"/>
        <v>41</v>
      </c>
      <c r="F178" s="1">
        <f t="shared" si="52"/>
        <v>317952.19219133788</v>
      </c>
      <c r="H178" s="1">
        <f t="shared" si="45"/>
        <v>2535.3954302115271</v>
      </c>
      <c r="I178" s="1">
        <v>0</v>
      </c>
      <c r="J178" s="1">
        <v>0</v>
      </c>
      <c r="K178" s="1">
        <f t="shared" si="53"/>
        <v>-320.48758762154938</v>
      </c>
      <c r="L178" s="1">
        <f t="shared" si="46"/>
        <v>320167.10003392783</v>
      </c>
      <c r="N178" s="1">
        <f t="shared" si="54"/>
        <v>155</v>
      </c>
      <c r="O178" s="2">
        <f t="shared" si="59"/>
        <v>12</v>
      </c>
      <c r="P178" s="2">
        <f t="shared" si="60"/>
        <v>11</v>
      </c>
      <c r="Q178" s="2">
        <f t="shared" si="61"/>
        <v>12</v>
      </c>
      <c r="R178" s="1">
        <f t="shared" si="55"/>
        <v>2248496.8862253255</v>
      </c>
      <c r="S178" s="1">
        <f>IF($G$17="si",S166*(1+$G$20),S166)</f>
        <v>10000</v>
      </c>
      <c r="U178" s="1">
        <f t="shared" si="62"/>
        <v>18009.571329002632</v>
      </c>
      <c r="V178" s="1">
        <f t="shared" si="44"/>
        <v>-121.99865505485734</v>
      </c>
      <c r="X178" s="1">
        <f t="shared" si="47"/>
        <v>-2276.5064575543283</v>
      </c>
      <c r="Y178" s="1">
        <f t="shared" si="48"/>
        <v>2274107.9524417194</v>
      </c>
      <c r="AA178" s="2">
        <f>+Bono!J178</f>
        <v>193185.25685544006</v>
      </c>
      <c r="AC178" s="10">
        <f t="shared" si="49"/>
        <v>12.916666666666666</v>
      </c>
      <c r="AD178" s="1">
        <f t="shared" si="50"/>
        <v>2787460.3093310869</v>
      </c>
    </row>
    <row r="179" spans="2:30">
      <c r="B179" s="1">
        <f t="shared" si="51"/>
        <v>156</v>
      </c>
      <c r="C179" s="2">
        <f t="shared" si="56"/>
        <v>12</v>
      </c>
      <c r="D179" s="2">
        <f t="shared" si="57"/>
        <v>12</v>
      </c>
      <c r="E179" s="2">
        <f t="shared" si="58"/>
        <v>41</v>
      </c>
      <c r="F179" s="1">
        <f t="shared" si="52"/>
        <v>320167.10003392783</v>
      </c>
      <c r="H179" s="1">
        <f t="shared" si="45"/>
        <v>2553.0574163854199</v>
      </c>
      <c r="I179" s="1">
        <v>0</v>
      </c>
      <c r="J179" s="69">
        <f>-SUM(F179:H179)*$J$21</f>
        <v>-2904.4814170528198</v>
      </c>
      <c r="K179" s="1">
        <f t="shared" si="53"/>
        <v>-319.8156760332605</v>
      </c>
      <c r="L179" s="1">
        <f t="shared" si="46"/>
        <v>319495.86035722721</v>
      </c>
      <c r="N179" s="1">
        <f t="shared" si="54"/>
        <v>156</v>
      </c>
      <c r="O179" s="2">
        <f t="shared" si="59"/>
        <v>12</v>
      </c>
      <c r="P179" s="2">
        <f t="shared" si="60"/>
        <v>12</v>
      </c>
      <c r="Q179" s="2">
        <f t="shared" si="61"/>
        <v>12</v>
      </c>
      <c r="R179" s="1">
        <f t="shared" si="55"/>
        <v>2274107.9524417194</v>
      </c>
      <c r="S179" s="4">
        <f>IF($G$4="mensual",S178,0)</f>
        <v>10000</v>
      </c>
      <c r="U179" s="1">
        <f t="shared" si="62"/>
        <v>18213.797567546109</v>
      </c>
      <c r="V179" s="1">
        <f t="shared" si="44"/>
        <v>-121.99865505485734</v>
      </c>
      <c r="X179" s="1">
        <f t="shared" si="47"/>
        <v>-2302.3217500092651</v>
      </c>
      <c r="Y179" s="1">
        <f t="shared" si="48"/>
        <v>2299897.4296042011</v>
      </c>
      <c r="AA179" s="2">
        <f>+Bono!J179</f>
        <v>192631.82940689308</v>
      </c>
      <c r="AC179" s="10">
        <f t="shared" si="49"/>
        <v>13</v>
      </c>
      <c r="AD179" s="1">
        <f t="shared" si="50"/>
        <v>2812025.1193683213</v>
      </c>
    </row>
    <row r="180" spans="2:30">
      <c r="B180" s="1">
        <f t="shared" si="51"/>
        <v>157</v>
      </c>
      <c r="C180" s="2">
        <f t="shared" si="56"/>
        <v>13</v>
      </c>
      <c r="D180" s="2">
        <f t="shared" si="57"/>
        <v>1</v>
      </c>
      <c r="E180" s="2">
        <f t="shared" si="58"/>
        <v>42</v>
      </c>
      <c r="F180" s="1">
        <f t="shared" si="52"/>
        <v>319495.86035722721</v>
      </c>
      <c r="H180" s="1">
        <f t="shared" si="45"/>
        <v>2547.7048569419571</v>
      </c>
      <c r="I180" s="1">
        <v>0</v>
      </c>
      <c r="J180" s="1">
        <v>0</v>
      </c>
      <c r="K180" s="1">
        <f t="shared" si="53"/>
        <v>-322.04356521416918</v>
      </c>
      <c r="L180" s="1">
        <f t="shared" si="46"/>
        <v>321721.52164895501</v>
      </c>
      <c r="N180" s="1">
        <f t="shared" si="54"/>
        <v>157</v>
      </c>
      <c r="O180" s="2">
        <f t="shared" si="59"/>
        <v>13</v>
      </c>
      <c r="P180" s="2">
        <f t="shared" si="60"/>
        <v>1</v>
      </c>
      <c r="Q180" s="2">
        <f t="shared" si="61"/>
        <v>13</v>
      </c>
      <c r="R180" s="1">
        <f t="shared" si="55"/>
        <v>2299897.4296042011</v>
      </c>
      <c r="S180" s="1">
        <f>IF($G$17="si",S168*(1+$G$20),S168)</f>
        <v>10000</v>
      </c>
      <c r="U180" s="1">
        <f t="shared" si="62"/>
        <v>18419.446480027746</v>
      </c>
      <c r="V180" s="1">
        <f>V179*(1+$G$18)</f>
        <v>-126.87860125705164</v>
      </c>
      <c r="X180" s="1">
        <f t="shared" si="47"/>
        <v>-2328.3168760842291</v>
      </c>
      <c r="Y180" s="1">
        <f t="shared" si="48"/>
        <v>2325861.6806068877</v>
      </c>
      <c r="AA180" s="2">
        <f>+Bono!J180</f>
        <v>193826.16909312506</v>
      </c>
      <c r="AC180" s="10">
        <f t="shared" si="49"/>
        <v>13.083333333333334</v>
      </c>
      <c r="AD180" s="1">
        <f t="shared" si="50"/>
        <v>2841409.3713489678</v>
      </c>
    </row>
    <row r="181" spans="2:30">
      <c r="B181" s="1">
        <f t="shared" si="51"/>
        <v>158</v>
      </c>
      <c r="C181" s="2">
        <f t="shared" si="56"/>
        <v>13</v>
      </c>
      <c r="D181" s="2">
        <f t="shared" si="57"/>
        <v>2</v>
      </c>
      <c r="E181" s="2">
        <f t="shared" si="58"/>
        <v>42</v>
      </c>
      <c r="F181" s="1">
        <f t="shared" si="52"/>
        <v>321721.52164895501</v>
      </c>
      <c r="H181" s="1">
        <f t="shared" si="45"/>
        <v>2565.45259262937</v>
      </c>
      <c r="I181" s="1">
        <v>0</v>
      </c>
      <c r="J181" s="1">
        <v>0</v>
      </c>
      <c r="K181" s="1">
        <f t="shared" si="53"/>
        <v>-324.28697424158435</v>
      </c>
      <c r="L181" s="1">
        <f t="shared" si="46"/>
        <v>323962.68726734276</v>
      </c>
      <c r="N181" s="1">
        <f t="shared" si="54"/>
        <v>158</v>
      </c>
      <c r="O181" s="2">
        <f t="shared" si="59"/>
        <v>13</v>
      </c>
      <c r="P181" s="2">
        <f t="shared" si="60"/>
        <v>2</v>
      </c>
      <c r="Q181" s="2">
        <f t="shared" si="61"/>
        <v>13</v>
      </c>
      <c r="R181" s="1">
        <f t="shared" si="55"/>
        <v>2325861.6806068877</v>
      </c>
      <c r="S181" s="4">
        <f>IF($G$4="mensual",S180,0)</f>
        <v>10000</v>
      </c>
      <c r="U181" s="1">
        <f t="shared" si="62"/>
        <v>18626.489063654473</v>
      </c>
      <c r="V181" s="1">
        <f>V180</f>
        <v>-126.87860125705164</v>
      </c>
      <c r="X181" s="1">
        <f t="shared" si="47"/>
        <v>-2354.4881696705424</v>
      </c>
      <c r="Y181" s="1">
        <f t="shared" si="48"/>
        <v>2352006.8028996144</v>
      </c>
      <c r="AA181" s="2">
        <f>+Bono!J181</f>
        <v>195027.9138239465</v>
      </c>
      <c r="AC181" s="10">
        <f t="shared" si="49"/>
        <v>13.166666666666666</v>
      </c>
      <c r="AD181" s="1">
        <f t="shared" si="50"/>
        <v>2870997.4039909034</v>
      </c>
    </row>
    <row r="182" spans="2:30">
      <c r="B182" s="1">
        <f t="shared" si="51"/>
        <v>159</v>
      </c>
      <c r="C182" s="2">
        <f t="shared" si="56"/>
        <v>13</v>
      </c>
      <c r="D182" s="2">
        <f t="shared" si="57"/>
        <v>3</v>
      </c>
      <c r="E182" s="2">
        <f t="shared" si="58"/>
        <v>42</v>
      </c>
      <c r="F182" s="1">
        <f t="shared" si="52"/>
        <v>323962.68726734276</v>
      </c>
      <c r="H182" s="1">
        <f t="shared" si="45"/>
        <v>2583.3239619948245</v>
      </c>
      <c r="I182" s="1">
        <v>0</v>
      </c>
      <c r="J182" s="69">
        <f>-SUM(F182:H182)*$J$21</f>
        <v>-2938.9141010640387</v>
      </c>
      <c r="K182" s="1">
        <f t="shared" si="53"/>
        <v>-323.60709712827355</v>
      </c>
      <c r="L182" s="1">
        <f t="shared" si="46"/>
        <v>323283.49003114528</v>
      </c>
      <c r="N182" s="1">
        <f t="shared" si="54"/>
        <v>159</v>
      </c>
      <c r="O182" s="2">
        <f t="shared" si="59"/>
        <v>13</v>
      </c>
      <c r="P182" s="2">
        <f t="shared" si="60"/>
        <v>3</v>
      </c>
      <c r="Q182" s="2">
        <f t="shared" si="61"/>
        <v>13</v>
      </c>
      <c r="R182" s="1">
        <f t="shared" si="55"/>
        <v>2352006.8028996144</v>
      </c>
      <c r="S182" s="4">
        <f>IF($G$4="mensual",S181,0)</f>
        <v>10000</v>
      </c>
      <c r="U182" s="1">
        <f t="shared" si="62"/>
        <v>18834.97394034754</v>
      </c>
      <c r="V182" s="1">
        <f t="shared" si="44"/>
        <v>-126.87860125705164</v>
      </c>
      <c r="X182" s="1">
        <f t="shared" si="47"/>
        <v>-2380.8417768399618</v>
      </c>
      <c r="Y182" s="1">
        <f t="shared" si="48"/>
        <v>2378334.0564618646</v>
      </c>
      <c r="AA182" s="2">
        <f>+Bono!J182</f>
        <v>194469.20762400184</v>
      </c>
      <c r="AC182" s="10">
        <f t="shared" si="49"/>
        <v>13.25</v>
      </c>
      <c r="AD182" s="1">
        <f t="shared" si="50"/>
        <v>2896086.754117012</v>
      </c>
    </row>
    <row r="183" spans="2:30">
      <c r="B183" s="1">
        <f t="shared" si="51"/>
        <v>160</v>
      </c>
      <c r="C183" s="2">
        <f t="shared" si="56"/>
        <v>13</v>
      </c>
      <c r="D183" s="2">
        <f t="shared" si="57"/>
        <v>4</v>
      </c>
      <c r="E183" s="2">
        <f t="shared" si="58"/>
        <v>42</v>
      </c>
      <c r="F183" s="1">
        <f t="shared" si="52"/>
        <v>323283.49003114528</v>
      </c>
      <c r="H183" s="1">
        <f t="shared" si="45"/>
        <v>2577.9079478544627</v>
      </c>
      <c r="I183" s="1">
        <v>0</v>
      </c>
      <c r="J183" s="1">
        <v>0</v>
      </c>
      <c r="K183" s="1">
        <f t="shared" si="53"/>
        <v>-325.86139797899978</v>
      </c>
      <c r="L183" s="1">
        <f t="shared" si="46"/>
        <v>325535.53658102074</v>
      </c>
      <c r="N183" s="1">
        <f t="shared" si="54"/>
        <v>160</v>
      </c>
      <c r="O183" s="2">
        <f t="shared" si="59"/>
        <v>13</v>
      </c>
      <c r="P183" s="2">
        <f t="shared" si="60"/>
        <v>4</v>
      </c>
      <c r="Q183" s="2">
        <f t="shared" si="61"/>
        <v>13</v>
      </c>
      <c r="R183" s="1">
        <f t="shared" si="55"/>
        <v>2378334.0564618646</v>
      </c>
      <c r="S183" s="4">
        <f>IF($G$4="mensual",S180,IF($G$4="trimestral",S180,0))</f>
        <v>10000</v>
      </c>
      <c r="U183" s="1">
        <f t="shared" si="62"/>
        <v>19044.911157360279</v>
      </c>
      <c r="V183" s="1">
        <f t="shared" si="44"/>
        <v>-126.87860125705164</v>
      </c>
      <c r="X183" s="1">
        <f t="shared" si="47"/>
        <v>-2407.378967619225</v>
      </c>
      <c r="Y183" s="1">
        <f t="shared" si="48"/>
        <v>2404844.7100503487</v>
      </c>
      <c r="AA183" s="2">
        <f>+Bono!J183</f>
        <v>195674.93926830258</v>
      </c>
      <c r="AC183" s="10">
        <f t="shared" si="49"/>
        <v>13.333333333333334</v>
      </c>
      <c r="AD183" s="1">
        <f t="shared" si="50"/>
        <v>2926055.1858996721</v>
      </c>
    </row>
    <row r="184" spans="2:30">
      <c r="B184" s="1">
        <f t="shared" si="51"/>
        <v>161</v>
      </c>
      <c r="C184" s="2">
        <f t="shared" si="56"/>
        <v>13</v>
      </c>
      <c r="D184" s="2">
        <f t="shared" si="57"/>
        <v>5</v>
      </c>
      <c r="E184" s="2">
        <f t="shared" si="58"/>
        <v>42</v>
      </c>
      <c r="F184" s="1">
        <f t="shared" si="52"/>
        <v>325535.53658102074</v>
      </c>
      <c r="H184" s="1">
        <f t="shared" si="45"/>
        <v>2595.8660832955979</v>
      </c>
      <c r="I184" s="1">
        <v>0</v>
      </c>
      <c r="J184" s="1">
        <v>0</v>
      </c>
      <c r="K184" s="1">
        <f t="shared" si="53"/>
        <v>-328.13140266431634</v>
      </c>
      <c r="L184" s="1">
        <f t="shared" si="46"/>
        <v>327803.27126165206</v>
      </c>
      <c r="N184" s="1">
        <f t="shared" si="54"/>
        <v>161</v>
      </c>
      <c r="O184" s="2">
        <f t="shared" si="59"/>
        <v>13</v>
      </c>
      <c r="P184" s="2">
        <f t="shared" si="60"/>
        <v>5</v>
      </c>
      <c r="Q184" s="2">
        <f t="shared" si="61"/>
        <v>13</v>
      </c>
      <c r="R184" s="1">
        <f t="shared" si="55"/>
        <v>2404844.7100503487</v>
      </c>
      <c r="S184" s="4">
        <f>IF($G$4="mensual",S183,0)</f>
        <v>10000</v>
      </c>
      <c r="U184" s="1">
        <f t="shared" si="62"/>
        <v>19256.310831936873</v>
      </c>
      <c r="V184" s="1">
        <f t="shared" si="44"/>
        <v>-126.87860125705164</v>
      </c>
      <c r="X184" s="1">
        <f t="shared" si="47"/>
        <v>-2434.1010208822859</v>
      </c>
      <c r="Y184" s="1">
        <f t="shared" si="48"/>
        <v>2431540.0412601461</v>
      </c>
      <c r="AA184" s="2">
        <f>+Bono!J184</f>
        <v>196888.14658865417</v>
      </c>
      <c r="AC184" s="10">
        <f t="shared" si="49"/>
        <v>13.416666666666666</v>
      </c>
      <c r="AD184" s="1">
        <f t="shared" si="50"/>
        <v>2956231.4591104523</v>
      </c>
    </row>
    <row r="185" spans="2:30">
      <c r="B185" s="1">
        <f t="shared" si="51"/>
        <v>162</v>
      </c>
      <c r="C185" s="2">
        <f t="shared" si="56"/>
        <v>13</v>
      </c>
      <c r="D185" s="2">
        <f t="shared" si="57"/>
        <v>6</v>
      </c>
      <c r="E185" s="2">
        <f t="shared" si="58"/>
        <v>42</v>
      </c>
      <c r="F185" s="1">
        <f t="shared" si="52"/>
        <v>327803.27126165206</v>
      </c>
      <c r="H185" s="1">
        <f t="shared" si="45"/>
        <v>2613.9493180944473</v>
      </c>
      <c r="I185" s="1">
        <v>0</v>
      </c>
      <c r="J185" s="69">
        <f>-SUM(F185:H185)*$J$21</f>
        <v>-2973.754985217719</v>
      </c>
      <c r="K185" s="1">
        <f t="shared" si="53"/>
        <v>-327.44346559452885</v>
      </c>
      <c r="L185" s="1">
        <f t="shared" si="46"/>
        <v>327116.02212893427</v>
      </c>
      <c r="N185" s="1">
        <f t="shared" si="54"/>
        <v>162</v>
      </c>
      <c r="O185" s="2">
        <f t="shared" si="59"/>
        <v>13</v>
      </c>
      <c r="P185" s="2">
        <f t="shared" si="60"/>
        <v>6</v>
      </c>
      <c r="Q185" s="2">
        <f t="shared" si="61"/>
        <v>13</v>
      </c>
      <c r="R185" s="1">
        <f t="shared" si="55"/>
        <v>2431540.0412601461</v>
      </c>
      <c r="S185" s="4">
        <f>IF($G$4="mensual",S184,0)</f>
        <v>10000</v>
      </c>
      <c r="U185" s="1">
        <f t="shared" si="62"/>
        <v>19469.183151799894</v>
      </c>
      <c r="V185" s="1">
        <f t="shared" si="44"/>
        <v>-126.87860125705164</v>
      </c>
      <c r="X185" s="1">
        <f t="shared" si="47"/>
        <v>-2461.009224411946</v>
      </c>
      <c r="Y185" s="1">
        <f t="shared" si="48"/>
        <v>2458421.3365862765</v>
      </c>
      <c r="AA185" s="2">
        <f>+Bono!J185</f>
        <v>196324.11128705117</v>
      </c>
      <c r="AC185" s="10">
        <f t="shared" si="49"/>
        <v>13.5</v>
      </c>
      <c r="AD185" s="1">
        <f t="shared" si="50"/>
        <v>2981861.4700022619</v>
      </c>
    </row>
    <row r="186" spans="2:30">
      <c r="B186" s="1">
        <f t="shared" si="51"/>
        <v>163</v>
      </c>
      <c r="C186" s="2">
        <f t="shared" si="56"/>
        <v>13</v>
      </c>
      <c r="D186" s="2">
        <f t="shared" si="57"/>
        <v>7</v>
      </c>
      <c r="E186" s="2">
        <f t="shared" si="58"/>
        <v>42</v>
      </c>
      <c r="F186" s="1">
        <f t="shared" si="52"/>
        <v>327116.02212893427</v>
      </c>
      <c r="H186" s="1">
        <f t="shared" si="45"/>
        <v>2608.4690970005131</v>
      </c>
      <c r="I186" s="1">
        <v>0</v>
      </c>
      <c r="J186" s="1">
        <v>0</v>
      </c>
      <c r="K186" s="1">
        <f t="shared" si="53"/>
        <v>-329.72449122593474</v>
      </c>
      <c r="L186" s="1">
        <f t="shared" si="46"/>
        <v>329394.7667347088</v>
      </c>
      <c r="N186" s="1">
        <f t="shared" si="54"/>
        <v>163</v>
      </c>
      <c r="O186" s="2">
        <f t="shared" si="59"/>
        <v>13</v>
      </c>
      <c r="P186" s="2">
        <f t="shared" si="60"/>
        <v>7</v>
      </c>
      <c r="Q186" s="2">
        <f t="shared" si="61"/>
        <v>13</v>
      </c>
      <c r="R186" s="1">
        <f t="shared" si="55"/>
        <v>2458421.3365862765</v>
      </c>
      <c r="S186" s="1">
        <f>+IF($G$4="mensual",S180,IF($G$4="trimestral",S180,IF($G$4="semestral",S180,0)))</f>
        <v>10000</v>
      </c>
      <c r="U186" s="1">
        <f t="shared" si="62"/>
        <v>19683.538375641296</v>
      </c>
      <c r="V186" s="1">
        <f t="shared" si="44"/>
        <v>-126.87860125705164</v>
      </c>
      <c r="X186" s="1">
        <f t="shared" si="47"/>
        <v>-2488.1048749619176</v>
      </c>
      <c r="Y186" s="1">
        <f t="shared" si="48"/>
        <v>2485489.8914856985</v>
      </c>
      <c r="AA186" s="2">
        <f>+Bono!J186</f>
        <v>197541.34354921829</v>
      </c>
      <c r="AC186" s="10">
        <f t="shared" si="49"/>
        <v>13.583333333333334</v>
      </c>
      <c r="AD186" s="1">
        <f t="shared" si="50"/>
        <v>3012426.0017696256</v>
      </c>
    </row>
    <row r="187" spans="2:30">
      <c r="B187" s="1">
        <f t="shared" si="51"/>
        <v>164</v>
      </c>
      <c r="C187" s="2">
        <f t="shared" si="56"/>
        <v>13</v>
      </c>
      <c r="D187" s="2">
        <f t="shared" si="57"/>
        <v>8</v>
      </c>
      <c r="E187" s="2">
        <f t="shared" si="58"/>
        <v>42</v>
      </c>
      <c r="F187" s="1">
        <f t="shared" si="52"/>
        <v>329394.7667347088</v>
      </c>
      <c r="H187" s="1">
        <f t="shared" si="45"/>
        <v>2626.6401264885662</v>
      </c>
      <c r="I187" s="1">
        <v>0</v>
      </c>
      <c r="J187" s="1">
        <v>0</v>
      </c>
      <c r="K187" s="1">
        <f t="shared" si="53"/>
        <v>-332.02140686119736</v>
      </c>
      <c r="L187" s="1">
        <f t="shared" si="46"/>
        <v>331689.38545433618</v>
      </c>
      <c r="N187" s="1">
        <f t="shared" si="54"/>
        <v>164</v>
      </c>
      <c r="O187" s="2">
        <f t="shared" si="59"/>
        <v>13</v>
      </c>
      <c r="P187" s="2">
        <f t="shared" si="60"/>
        <v>8</v>
      </c>
      <c r="Q187" s="2">
        <f t="shared" si="61"/>
        <v>13</v>
      </c>
      <c r="R187" s="1">
        <f t="shared" si="55"/>
        <v>2485489.8914856985</v>
      </c>
      <c r="S187" s="4">
        <f>IF($G$4="mensual",S186,0)</f>
        <v>10000</v>
      </c>
      <c r="U187" s="1">
        <f t="shared" si="62"/>
        <v>19899.386833616776</v>
      </c>
      <c r="V187" s="1">
        <f t="shared" si="44"/>
        <v>-126.87860125705164</v>
      </c>
      <c r="X187" s="1">
        <f t="shared" si="47"/>
        <v>-2515.3892783193155</v>
      </c>
      <c r="Y187" s="1">
        <f t="shared" si="48"/>
        <v>2512747.0104397391</v>
      </c>
      <c r="AA187" s="2">
        <f>+Bono!J187</f>
        <v>198766.12279260109</v>
      </c>
      <c r="AC187" s="10">
        <f t="shared" si="49"/>
        <v>13.666666666666666</v>
      </c>
      <c r="AD187" s="1">
        <f t="shared" si="50"/>
        <v>3043202.5186866764</v>
      </c>
    </row>
    <row r="188" spans="2:30">
      <c r="B188" s="1">
        <f t="shared" si="51"/>
        <v>165</v>
      </c>
      <c r="C188" s="2">
        <f t="shared" si="56"/>
        <v>13</v>
      </c>
      <c r="D188" s="2">
        <f t="shared" si="57"/>
        <v>9</v>
      </c>
      <c r="E188" s="2">
        <f t="shared" si="58"/>
        <v>42</v>
      </c>
      <c r="F188" s="1">
        <f t="shared" si="52"/>
        <v>331689.38545433618</v>
      </c>
      <c r="H188" s="1">
        <f t="shared" si="45"/>
        <v>2644.9377383896663</v>
      </c>
      <c r="I188" s="1">
        <v>0</v>
      </c>
      <c r="J188" s="69">
        <f>-SUM(F188:H188)*$J$21</f>
        <v>-3009.0089087345327</v>
      </c>
      <c r="K188" s="1">
        <f t="shared" si="53"/>
        <v>-331.3253142839913</v>
      </c>
      <c r="L188" s="1">
        <f t="shared" si="46"/>
        <v>330993.98896970728</v>
      </c>
      <c r="N188" s="1">
        <f t="shared" si="54"/>
        <v>165</v>
      </c>
      <c r="O188" s="2">
        <f t="shared" si="59"/>
        <v>13</v>
      </c>
      <c r="P188" s="2">
        <f t="shared" si="60"/>
        <v>9</v>
      </c>
      <c r="Q188" s="2">
        <f t="shared" si="61"/>
        <v>13</v>
      </c>
      <c r="R188" s="1">
        <f t="shared" si="55"/>
        <v>2512747.0104397391</v>
      </c>
      <c r="S188" s="4">
        <f>IF($G$4="mensual",S187,0)</f>
        <v>10000</v>
      </c>
      <c r="U188" s="1">
        <f t="shared" si="62"/>
        <v>20116.738927843631</v>
      </c>
      <c r="V188" s="1">
        <f t="shared" si="44"/>
        <v>-126.87860125705164</v>
      </c>
      <c r="X188" s="1">
        <f t="shared" si="47"/>
        <v>-2542.8637493675828</v>
      </c>
      <c r="Y188" s="1">
        <f t="shared" si="48"/>
        <v>2540194.0070169577</v>
      </c>
      <c r="AA188" s="2">
        <f>+Bono!J188</f>
        <v>198196.70755882366</v>
      </c>
      <c r="AC188" s="10">
        <f t="shared" si="49"/>
        <v>13.75</v>
      </c>
      <c r="AD188" s="1">
        <f t="shared" si="50"/>
        <v>3069384.7035454889</v>
      </c>
    </row>
    <row r="189" spans="2:30">
      <c r="B189" s="1">
        <f t="shared" si="51"/>
        <v>166</v>
      </c>
      <c r="C189" s="2">
        <f t="shared" si="56"/>
        <v>13</v>
      </c>
      <c r="D189" s="2">
        <f t="shared" si="57"/>
        <v>10</v>
      </c>
      <c r="E189" s="2">
        <f t="shared" si="58"/>
        <v>42</v>
      </c>
      <c r="F189" s="1">
        <f t="shared" si="52"/>
        <v>330993.98896970728</v>
      </c>
      <c r="H189" s="1">
        <f t="shared" si="45"/>
        <v>2639.3925491674695</v>
      </c>
      <c r="I189" s="1">
        <v>0</v>
      </c>
      <c r="J189" s="1">
        <v>0</v>
      </c>
      <c r="K189" s="1">
        <f t="shared" si="53"/>
        <v>-333.63338151887473</v>
      </c>
      <c r="L189" s="1">
        <f t="shared" si="46"/>
        <v>333299.74813735584</v>
      </c>
      <c r="N189" s="1">
        <f t="shared" si="54"/>
        <v>166</v>
      </c>
      <c r="O189" s="2">
        <f t="shared" si="59"/>
        <v>13</v>
      </c>
      <c r="P189" s="2">
        <f t="shared" si="60"/>
        <v>10</v>
      </c>
      <c r="Q189" s="2">
        <f t="shared" si="61"/>
        <v>13</v>
      </c>
      <c r="R189" s="1">
        <f t="shared" si="55"/>
        <v>2540194.0070169577</v>
      </c>
      <c r="S189" s="4">
        <f>IF($G$4="mensual",S180,IF($G$4="trimestral",S180,0))</f>
        <v>10000</v>
      </c>
      <c r="U189" s="1">
        <f t="shared" si="62"/>
        <v>20335.605132902012</v>
      </c>
      <c r="V189" s="1">
        <f t="shared" ref="V189:V251" si="63">V188</f>
        <v>-126.87860125705164</v>
      </c>
      <c r="X189" s="1">
        <f t="shared" si="47"/>
        <v>-2570.52961214986</v>
      </c>
      <c r="Y189" s="1">
        <f t="shared" si="48"/>
        <v>2567832.2039364525</v>
      </c>
      <c r="AA189" s="2">
        <f>+Bono!J189</f>
        <v>199425.55013508353</v>
      </c>
      <c r="AC189" s="10">
        <f t="shared" si="49"/>
        <v>13.833333333333334</v>
      </c>
      <c r="AD189" s="1">
        <f t="shared" si="50"/>
        <v>3100557.5022088918</v>
      </c>
    </row>
    <row r="190" spans="2:30">
      <c r="B190" s="1">
        <f t="shared" si="51"/>
        <v>167</v>
      </c>
      <c r="C190" s="2">
        <f t="shared" si="56"/>
        <v>13</v>
      </c>
      <c r="D190" s="2">
        <f t="shared" si="57"/>
        <v>11</v>
      </c>
      <c r="E190" s="2">
        <f t="shared" si="58"/>
        <v>42</v>
      </c>
      <c r="F190" s="1">
        <f t="shared" si="52"/>
        <v>333299.74813735584</v>
      </c>
      <c r="H190" s="1">
        <f t="shared" si="45"/>
        <v>2657.7789965655311</v>
      </c>
      <c r="I190" s="1">
        <v>0</v>
      </c>
      <c r="J190" s="1">
        <v>0</v>
      </c>
      <c r="K190" s="1">
        <f t="shared" si="53"/>
        <v>-335.95752713392142</v>
      </c>
      <c r="L190" s="1">
        <f t="shared" si="46"/>
        <v>335621.56960678747</v>
      </c>
      <c r="N190" s="1">
        <f t="shared" si="54"/>
        <v>167</v>
      </c>
      <c r="O190" s="2">
        <f t="shared" si="59"/>
        <v>13</v>
      </c>
      <c r="P190" s="2">
        <f t="shared" si="60"/>
        <v>11</v>
      </c>
      <c r="Q190" s="2">
        <f t="shared" si="61"/>
        <v>13</v>
      </c>
      <c r="R190" s="1">
        <f t="shared" si="55"/>
        <v>2567832.2039364525</v>
      </c>
      <c r="S190" s="1">
        <f>IF($G$17="si",S178*(1+$G$20),S178)</f>
        <v>10000</v>
      </c>
      <c r="U190" s="1">
        <f t="shared" si="62"/>
        <v>20555.99599633976</v>
      </c>
      <c r="V190" s="1">
        <f t="shared" si="63"/>
        <v>-126.87860125705164</v>
      </c>
      <c r="X190" s="1">
        <f t="shared" si="47"/>
        <v>-2598.3881999327923</v>
      </c>
      <c r="Y190" s="1">
        <f t="shared" si="48"/>
        <v>2595662.9331316021</v>
      </c>
      <c r="AA190" s="2">
        <f>+Bono!J190</f>
        <v>200662.01167785309</v>
      </c>
      <c r="AC190" s="10">
        <f t="shared" si="49"/>
        <v>13.916666666666666</v>
      </c>
      <c r="AD190" s="1">
        <f t="shared" si="50"/>
        <v>3131946.5144162429</v>
      </c>
    </row>
    <row r="191" spans="2:30">
      <c r="B191" s="1">
        <f t="shared" si="51"/>
        <v>168</v>
      </c>
      <c r="C191" s="2">
        <f t="shared" si="56"/>
        <v>13</v>
      </c>
      <c r="D191" s="2">
        <f t="shared" si="57"/>
        <v>12</v>
      </c>
      <c r="E191" s="2">
        <f t="shared" si="58"/>
        <v>42</v>
      </c>
      <c r="F191" s="1">
        <f t="shared" si="52"/>
        <v>335621.56960678747</v>
      </c>
      <c r="H191" s="1">
        <f t="shared" si="45"/>
        <v>2676.2935270136227</v>
      </c>
      <c r="I191" s="1">
        <v>0</v>
      </c>
      <c r="J191" s="69">
        <f>-SUM(F191:H191)*$J$21</f>
        <v>-3044.6807682042104</v>
      </c>
      <c r="K191" s="1">
        <f t="shared" si="53"/>
        <v>-335.2531823655969</v>
      </c>
      <c r="L191" s="1">
        <f t="shared" si="46"/>
        <v>334917.92918323126</v>
      </c>
      <c r="N191" s="1">
        <f t="shared" si="54"/>
        <v>168</v>
      </c>
      <c r="O191" s="2">
        <f t="shared" si="59"/>
        <v>13</v>
      </c>
      <c r="P191" s="2">
        <f t="shared" si="60"/>
        <v>12</v>
      </c>
      <c r="Q191" s="2">
        <f t="shared" si="61"/>
        <v>13</v>
      </c>
      <c r="R191" s="1">
        <f t="shared" si="55"/>
        <v>2595662.9331316021</v>
      </c>
      <c r="S191" s="4">
        <f>IF($G$4="mensual",S190,0)</f>
        <v>10000</v>
      </c>
      <c r="U191" s="1">
        <f t="shared" si="62"/>
        <v>20777.922139180675</v>
      </c>
      <c r="V191" s="1">
        <f t="shared" si="63"/>
        <v>-126.87860125705164</v>
      </c>
      <c r="X191" s="1">
        <f t="shared" si="47"/>
        <v>-2626.4408552707832</v>
      </c>
      <c r="Y191" s="1">
        <f t="shared" si="48"/>
        <v>2623687.535814255</v>
      </c>
      <c r="AA191" s="2">
        <f>+Bono!J191</f>
        <v>200087.16519654897</v>
      </c>
      <c r="AC191" s="10">
        <f t="shared" si="49"/>
        <v>14</v>
      </c>
      <c r="AD191" s="1">
        <f t="shared" si="50"/>
        <v>3158692.6301940354</v>
      </c>
    </row>
    <row r="192" spans="2:30">
      <c r="B192" s="1">
        <f t="shared" si="51"/>
        <v>169</v>
      </c>
      <c r="C192" s="2">
        <f t="shared" si="56"/>
        <v>14</v>
      </c>
      <c r="D192" s="2">
        <f t="shared" si="57"/>
        <v>1</v>
      </c>
      <c r="E192" s="2">
        <f t="shared" si="58"/>
        <v>43</v>
      </c>
      <c r="F192" s="1">
        <f t="shared" si="52"/>
        <v>334917.92918323126</v>
      </c>
      <c r="H192" s="1">
        <f t="shared" si="45"/>
        <v>2670.6825994647324</v>
      </c>
      <c r="I192" s="1">
        <v>0</v>
      </c>
      <c r="J192" s="1">
        <v>0</v>
      </c>
      <c r="K192" s="1">
        <f t="shared" si="53"/>
        <v>-337.58861178269598</v>
      </c>
      <c r="L192" s="1">
        <f t="shared" si="46"/>
        <v>337251.02317091328</v>
      </c>
      <c r="N192" s="1">
        <f t="shared" si="54"/>
        <v>169</v>
      </c>
      <c r="O192" s="2">
        <f t="shared" si="59"/>
        <v>14</v>
      </c>
      <c r="P192" s="2">
        <f t="shared" si="60"/>
        <v>1</v>
      </c>
      <c r="Q192" s="2">
        <f t="shared" si="61"/>
        <v>14</v>
      </c>
      <c r="R192" s="1">
        <f t="shared" si="55"/>
        <v>2623687.535814255</v>
      </c>
      <c r="S192" s="1">
        <f>IF($G$17="si",S180*(1+$G$20),S180)</f>
        <v>10000</v>
      </c>
      <c r="U192" s="1">
        <f t="shared" si="62"/>
        <v>21001.394256436382</v>
      </c>
      <c r="V192" s="1">
        <f>V191*(1+$G$18)</f>
        <v>-131.95374530733372</v>
      </c>
      <c r="X192" s="1">
        <f t="shared" si="47"/>
        <v>-2654.6889300706912</v>
      </c>
      <c r="Y192" s="1">
        <f t="shared" si="48"/>
        <v>2651902.2873953134</v>
      </c>
      <c r="AA192" s="2">
        <f>+Bono!J192</f>
        <v>201327.72882944223</v>
      </c>
      <c r="AC192" s="10">
        <f t="shared" si="49"/>
        <v>14.083333333333334</v>
      </c>
      <c r="AD192" s="1">
        <f t="shared" si="50"/>
        <v>3190481.0393956685</v>
      </c>
    </row>
    <row r="193" spans="2:30">
      <c r="B193" s="1">
        <f t="shared" si="51"/>
        <v>170</v>
      </c>
      <c r="C193" s="2">
        <f t="shared" si="56"/>
        <v>14</v>
      </c>
      <c r="D193" s="2">
        <f t="shared" si="57"/>
        <v>2</v>
      </c>
      <c r="E193" s="2">
        <f t="shared" si="58"/>
        <v>43</v>
      </c>
      <c r="F193" s="1">
        <f t="shared" si="52"/>
        <v>337251.02317091328</v>
      </c>
      <c r="H193" s="1">
        <f t="shared" si="45"/>
        <v>2689.2870185563397</v>
      </c>
      <c r="I193" s="1">
        <v>0</v>
      </c>
      <c r="J193" s="1">
        <v>0</v>
      </c>
      <c r="K193" s="1">
        <f t="shared" si="53"/>
        <v>-339.94031018946959</v>
      </c>
      <c r="L193" s="1">
        <f t="shared" si="46"/>
        <v>339600.36987928016</v>
      </c>
      <c r="N193" s="1">
        <f t="shared" si="54"/>
        <v>170</v>
      </c>
      <c r="O193" s="2">
        <f t="shared" si="59"/>
        <v>14</v>
      </c>
      <c r="P193" s="2">
        <f t="shared" si="60"/>
        <v>2</v>
      </c>
      <c r="Q193" s="2">
        <f t="shared" si="61"/>
        <v>14</v>
      </c>
      <c r="R193" s="1">
        <f t="shared" si="55"/>
        <v>2651902.2873953134</v>
      </c>
      <c r="S193" s="4">
        <f>IF($G$4="mensual",S192,0)</f>
        <v>10000</v>
      </c>
      <c r="U193" s="1">
        <f t="shared" si="62"/>
        <v>21226.382647710376</v>
      </c>
      <c r="V193" s="1">
        <f>V192</f>
        <v>-131.95374530733372</v>
      </c>
      <c r="X193" s="1">
        <f t="shared" si="47"/>
        <v>-2683.1286700430237</v>
      </c>
      <c r="Y193" s="1">
        <f t="shared" si="48"/>
        <v>2680313.5876276735</v>
      </c>
      <c r="AA193" s="2">
        <f>+Bono!J193</f>
        <v>202575.98410075589</v>
      </c>
      <c r="AC193" s="10">
        <f t="shared" si="49"/>
        <v>14.166666666666666</v>
      </c>
      <c r="AD193" s="1">
        <f t="shared" si="50"/>
        <v>3222489.9416077095</v>
      </c>
    </row>
    <row r="194" spans="2:30">
      <c r="B194" s="1">
        <f t="shared" si="51"/>
        <v>171</v>
      </c>
      <c r="C194" s="2">
        <f t="shared" si="56"/>
        <v>14</v>
      </c>
      <c r="D194" s="2">
        <f t="shared" si="57"/>
        <v>3</v>
      </c>
      <c r="E194" s="2">
        <f t="shared" si="58"/>
        <v>43</v>
      </c>
      <c r="F194" s="1">
        <f t="shared" si="52"/>
        <v>339600.36987928016</v>
      </c>
      <c r="H194" s="1">
        <f t="shared" si="45"/>
        <v>2708.0210391250403</v>
      </c>
      <c r="I194" s="1">
        <v>0</v>
      </c>
      <c r="J194" s="69">
        <f>-SUM(F194:H194)*$J$21</f>
        <v>-3080.7755182656474</v>
      </c>
      <c r="K194" s="1">
        <f t="shared" si="53"/>
        <v>-339.22761540013954</v>
      </c>
      <c r="L194" s="1">
        <f t="shared" si="46"/>
        <v>338888.38778473937</v>
      </c>
      <c r="N194" s="1">
        <f t="shared" si="54"/>
        <v>171</v>
      </c>
      <c r="O194" s="2">
        <f t="shared" si="59"/>
        <v>14</v>
      </c>
      <c r="P194" s="2">
        <f t="shared" si="60"/>
        <v>3</v>
      </c>
      <c r="Q194" s="2">
        <f t="shared" si="61"/>
        <v>14</v>
      </c>
      <c r="R194" s="1">
        <f t="shared" si="55"/>
        <v>2680313.5876276735</v>
      </c>
      <c r="S194" s="4">
        <f>IF($G$4="mensual",S193,0)</f>
        <v>10000</v>
      </c>
      <c r="U194" s="1">
        <f t="shared" si="62"/>
        <v>21452.938345530962</v>
      </c>
      <c r="V194" s="1">
        <f t="shared" si="63"/>
        <v>-131.95374530733372</v>
      </c>
      <c r="X194" s="1">
        <f t="shared" si="47"/>
        <v>-2711.7665259732048</v>
      </c>
      <c r="Y194" s="1">
        <f t="shared" si="48"/>
        <v>2708922.805701924</v>
      </c>
      <c r="AA194" s="2">
        <f>+Bono!J194</f>
        <v>201995.65456711204</v>
      </c>
      <c r="AC194" s="10">
        <f t="shared" si="49"/>
        <v>14.25</v>
      </c>
      <c r="AD194" s="1">
        <f t="shared" si="50"/>
        <v>3249806.8480537757</v>
      </c>
    </row>
    <row r="195" spans="2:30">
      <c r="B195" s="1">
        <f t="shared" si="51"/>
        <v>172</v>
      </c>
      <c r="C195" s="2">
        <f t="shared" si="56"/>
        <v>14</v>
      </c>
      <c r="D195" s="2">
        <f t="shared" si="57"/>
        <v>4</v>
      </c>
      <c r="E195" s="2">
        <f t="shared" si="58"/>
        <v>43</v>
      </c>
      <c r="F195" s="1">
        <f t="shared" si="52"/>
        <v>338888.38778473937</v>
      </c>
      <c r="H195" s="1">
        <f t="shared" si="45"/>
        <v>2702.3435939203068</v>
      </c>
      <c r="I195" s="1">
        <v>0</v>
      </c>
      <c r="J195" s="1">
        <v>0</v>
      </c>
      <c r="K195" s="1">
        <f t="shared" si="53"/>
        <v>-341.59073137865965</v>
      </c>
      <c r="L195" s="1">
        <f t="shared" si="46"/>
        <v>341249.14064728102</v>
      </c>
      <c r="N195" s="1">
        <f t="shared" si="54"/>
        <v>172</v>
      </c>
      <c r="O195" s="2">
        <f t="shared" si="59"/>
        <v>14</v>
      </c>
      <c r="P195" s="2">
        <f t="shared" si="60"/>
        <v>4</v>
      </c>
      <c r="Q195" s="2">
        <f t="shared" si="61"/>
        <v>14</v>
      </c>
      <c r="R195" s="1">
        <f t="shared" si="55"/>
        <v>2708922.805701924</v>
      </c>
      <c r="S195" s="4">
        <f>IF($G$4="mensual",S192,IF($G$4="trimestral",S192,0))</f>
        <v>10000</v>
      </c>
      <c r="U195" s="1">
        <f t="shared" si="62"/>
        <v>21681.072268016167</v>
      </c>
      <c r="V195" s="1">
        <f t="shared" si="63"/>
        <v>-131.95374530733372</v>
      </c>
      <c r="X195" s="1">
        <f t="shared" si="47"/>
        <v>-2740.6038779699402</v>
      </c>
      <c r="Y195" s="1">
        <f t="shared" si="48"/>
        <v>2737731.3203466628</v>
      </c>
      <c r="AA195" s="2">
        <f>+Bono!J195</f>
        <v>203248.05105547386</v>
      </c>
      <c r="AC195" s="10">
        <f t="shared" si="49"/>
        <v>14.333333333333334</v>
      </c>
      <c r="AD195" s="1">
        <f t="shared" si="50"/>
        <v>3282228.5120494175</v>
      </c>
    </row>
    <row r="196" spans="2:30">
      <c r="B196" s="1">
        <f t="shared" si="51"/>
        <v>173</v>
      </c>
      <c r="C196" s="2">
        <f t="shared" si="56"/>
        <v>14</v>
      </c>
      <c r="D196" s="2">
        <f t="shared" si="57"/>
        <v>5</v>
      </c>
      <c r="E196" s="2">
        <f t="shared" si="58"/>
        <v>43</v>
      </c>
      <c r="F196" s="1">
        <f t="shared" si="52"/>
        <v>341249.14064728102</v>
      </c>
      <c r="H196" s="1">
        <f t="shared" si="45"/>
        <v>2721.1685687641507</v>
      </c>
      <c r="I196" s="1">
        <v>0</v>
      </c>
      <c r="J196" s="1">
        <v>0</v>
      </c>
      <c r="K196" s="1">
        <f t="shared" si="53"/>
        <v>-343.97030921604522</v>
      </c>
      <c r="L196" s="1">
        <f t="shared" si="46"/>
        <v>343626.33890682913</v>
      </c>
      <c r="N196" s="1">
        <f t="shared" si="54"/>
        <v>173</v>
      </c>
      <c r="O196" s="2">
        <f t="shared" si="59"/>
        <v>14</v>
      </c>
      <c r="P196" s="2">
        <f t="shared" si="60"/>
        <v>5</v>
      </c>
      <c r="Q196" s="2">
        <f t="shared" si="61"/>
        <v>14</v>
      </c>
      <c r="R196" s="1">
        <f t="shared" si="55"/>
        <v>2737731.3203466628</v>
      </c>
      <c r="S196" s="4">
        <f>IF($G$4="mensual",S195,0)</f>
        <v>10000</v>
      </c>
      <c r="U196" s="1">
        <f t="shared" si="62"/>
        <v>21910.795409341445</v>
      </c>
      <c r="V196" s="1">
        <f t="shared" si="63"/>
        <v>-131.95374530733372</v>
      </c>
      <c r="X196" s="1">
        <f t="shared" si="47"/>
        <v>-2769.6421157560044</v>
      </c>
      <c r="Y196" s="1">
        <f t="shared" si="48"/>
        <v>2766740.5198949408</v>
      </c>
      <c r="AA196" s="2">
        <f>+Bono!J196</f>
        <v>204508.21254733251</v>
      </c>
      <c r="AC196" s="10">
        <f t="shared" si="49"/>
        <v>14.416666666666666</v>
      </c>
      <c r="AD196" s="1">
        <f t="shared" si="50"/>
        <v>3314875.0713491025</v>
      </c>
    </row>
    <row r="197" spans="2:30">
      <c r="B197" s="1">
        <f t="shared" si="51"/>
        <v>174</v>
      </c>
      <c r="C197" s="2">
        <f t="shared" si="56"/>
        <v>14</v>
      </c>
      <c r="D197" s="2">
        <f t="shared" si="57"/>
        <v>6</v>
      </c>
      <c r="E197" s="2">
        <f t="shared" si="58"/>
        <v>43</v>
      </c>
      <c r="F197" s="1">
        <f t="shared" si="52"/>
        <v>343626.33890682913</v>
      </c>
      <c r="H197" s="1">
        <f t="shared" si="45"/>
        <v>2740.1246815131326</v>
      </c>
      <c r="I197" s="1">
        <v>0</v>
      </c>
      <c r="J197" s="69">
        <f>-SUM(F197:H197)*$J$21</f>
        <v>-3117.2981722950803</v>
      </c>
      <c r="K197" s="1">
        <f t="shared" si="53"/>
        <v>-343.24916541604716</v>
      </c>
      <c r="L197" s="1">
        <f t="shared" si="46"/>
        <v>342905.9162506311</v>
      </c>
      <c r="N197" s="1">
        <f t="shared" si="54"/>
        <v>174</v>
      </c>
      <c r="O197" s="2">
        <f t="shared" si="59"/>
        <v>14</v>
      </c>
      <c r="P197" s="2">
        <f t="shared" si="60"/>
        <v>6</v>
      </c>
      <c r="Q197" s="2">
        <f t="shared" si="61"/>
        <v>14</v>
      </c>
      <c r="R197" s="1">
        <f t="shared" si="55"/>
        <v>2766740.5198949408</v>
      </c>
      <c r="S197" s="4">
        <f>IF($G$4="mensual",S196,0)</f>
        <v>10000</v>
      </c>
      <c r="U197" s="1">
        <f t="shared" si="62"/>
        <v>22142.118840269504</v>
      </c>
      <c r="V197" s="1">
        <f t="shared" si="63"/>
        <v>-131.95374530733372</v>
      </c>
      <c r="X197" s="1">
        <f t="shared" si="47"/>
        <v>-2798.8826387352101</v>
      </c>
      <c r="Y197" s="1">
        <f t="shared" si="48"/>
        <v>2795951.8023511674</v>
      </c>
      <c r="AA197" s="2">
        <f>+Bono!J197</f>
        <v>203922.34766240668</v>
      </c>
      <c r="AC197" s="10">
        <f t="shared" si="49"/>
        <v>14.5</v>
      </c>
      <c r="AD197" s="1">
        <f t="shared" si="50"/>
        <v>3342780.0662642051</v>
      </c>
    </row>
    <row r="198" spans="2:30">
      <c r="B198" s="1">
        <f t="shared" si="51"/>
        <v>175</v>
      </c>
      <c r="C198" s="2">
        <f t="shared" si="56"/>
        <v>14</v>
      </c>
      <c r="D198" s="2">
        <f t="shared" si="57"/>
        <v>7</v>
      </c>
      <c r="E198" s="2">
        <f t="shared" si="58"/>
        <v>43</v>
      </c>
      <c r="F198" s="1">
        <f t="shared" si="52"/>
        <v>342905.9162506311</v>
      </c>
      <c r="H198" s="1">
        <f t="shared" si="45"/>
        <v>2734.3799300844457</v>
      </c>
      <c r="I198" s="1">
        <v>0</v>
      </c>
      <c r="J198" s="1">
        <v>0</v>
      </c>
      <c r="K198" s="1">
        <f t="shared" si="53"/>
        <v>-345.64029618071555</v>
      </c>
      <c r="L198" s="1">
        <f t="shared" si="46"/>
        <v>345294.65588453482</v>
      </c>
      <c r="N198" s="1">
        <f t="shared" si="54"/>
        <v>175</v>
      </c>
      <c r="O198" s="2">
        <f t="shared" si="59"/>
        <v>14</v>
      </c>
      <c r="P198" s="2">
        <f t="shared" si="60"/>
        <v>7</v>
      </c>
      <c r="Q198" s="2">
        <f t="shared" si="61"/>
        <v>14</v>
      </c>
      <c r="R198" s="1">
        <f t="shared" si="55"/>
        <v>2795951.8023511674</v>
      </c>
      <c r="S198" s="1">
        <f>+IF($G$4="mensual",S192,IF($G$4="trimestral",S192,IF($G$4="semestral",S192,0)))</f>
        <v>10000</v>
      </c>
      <c r="U198" s="1">
        <f t="shared" si="62"/>
        <v>22375.05370868383</v>
      </c>
      <c r="V198" s="1">
        <f t="shared" si="63"/>
        <v>-131.95374530733372</v>
      </c>
      <c r="X198" s="1">
        <f t="shared" si="47"/>
        <v>-2828.3268560598513</v>
      </c>
      <c r="Y198" s="1">
        <f t="shared" si="48"/>
        <v>2825366.5754584838</v>
      </c>
      <c r="AA198" s="2">
        <f>+Bono!J198</f>
        <v>205186.68987144189</v>
      </c>
      <c r="AC198" s="10">
        <f t="shared" si="49"/>
        <v>14.583333333333334</v>
      </c>
      <c r="AD198" s="1">
        <f t="shared" si="50"/>
        <v>3375847.9212144604</v>
      </c>
    </row>
    <row r="199" spans="2:30">
      <c r="B199" s="1">
        <f t="shared" si="51"/>
        <v>176</v>
      </c>
      <c r="C199" s="2">
        <f t="shared" si="56"/>
        <v>14</v>
      </c>
      <c r="D199" s="2">
        <f t="shared" si="57"/>
        <v>8</v>
      </c>
      <c r="E199" s="2">
        <f t="shared" si="58"/>
        <v>43</v>
      </c>
      <c r="F199" s="1">
        <f t="shared" si="52"/>
        <v>345294.65588453482</v>
      </c>
      <c r="H199" s="1">
        <f t="shared" si="45"/>
        <v>2753.4280753732824</v>
      </c>
      <c r="I199" s="1">
        <v>0</v>
      </c>
      <c r="J199" s="1">
        <v>0</v>
      </c>
      <c r="K199" s="1">
        <f t="shared" si="53"/>
        <v>-348.04808395990813</v>
      </c>
      <c r="L199" s="1">
        <f t="shared" si="46"/>
        <v>347700.0358759482</v>
      </c>
      <c r="N199" s="1">
        <f t="shared" si="54"/>
        <v>176</v>
      </c>
      <c r="O199" s="2">
        <f t="shared" si="59"/>
        <v>14</v>
      </c>
      <c r="P199" s="2">
        <f t="shared" si="60"/>
        <v>8</v>
      </c>
      <c r="Q199" s="2">
        <f t="shared" si="61"/>
        <v>14</v>
      </c>
      <c r="R199" s="1">
        <f t="shared" si="55"/>
        <v>2825366.5754584838</v>
      </c>
      <c r="S199" s="4">
        <f>IF($G$4="mensual",S198,0)</f>
        <v>10000</v>
      </c>
      <c r="U199" s="1">
        <f t="shared" si="62"/>
        <v>22609.611240125912</v>
      </c>
      <c r="V199" s="1">
        <f t="shared" si="63"/>
        <v>-131.95374530733372</v>
      </c>
      <c r="X199" s="1">
        <f t="shared" si="47"/>
        <v>-2857.9761866986096</v>
      </c>
      <c r="Y199" s="1">
        <f t="shared" si="48"/>
        <v>2854986.2567666033</v>
      </c>
      <c r="AA199" s="2">
        <f>+Bono!J199</f>
        <v>206458.87114882772</v>
      </c>
      <c r="AC199" s="10">
        <f t="shared" si="49"/>
        <v>14.666666666666666</v>
      </c>
      <c r="AD199" s="1">
        <f t="shared" si="50"/>
        <v>3409145.163791379</v>
      </c>
    </row>
    <row r="200" spans="2:30">
      <c r="B200" s="1">
        <f t="shared" si="51"/>
        <v>177</v>
      </c>
      <c r="C200" s="2">
        <f t="shared" si="56"/>
        <v>14</v>
      </c>
      <c r="D200" s="2">
        <f t="shared" si="57"/>
        <v>9</v>
      </c>
      <c r="E200" s="2">
        <f t="shared" si="58"/>
        <v>43</v>
      </c>
      <c r="F200" s="1">
        <f t="shared" si="52"/>
        <v>347700.0358759482</v>
      </c>
      <c r="H200" s="1">
        <f t="shared" si="45"/>
        <v>2772.6089132096877</v>
      </c>
      <c r="I200" s="1">
        <v>0</v>
      </c>
      <c r="J200" s="69">
        <f>-SUM(F200:H200)*$J$21</f>
        <v>-3154.2538031024214</v>
      </c>
      <c r="K200" s="1">
        <f t="shared" si="53"/>
        <v>-347.31839098605548</v>
      </c>
      <c r="L200" s="1">
        <f t="shared" si="46"/>
        <v>346971.07259506942</v>
      </c>
      <c r="N200" s="1">
        <f t="shared" si="54"/>
        <v>177</v>
      </c>
      <c r="O200" s="2">
        <f t="shared" si="59"/>
        <v>14</v>
      </c>
      <c r="P200" s="2">
        <f t="shared" si="60"/>
        <v>9</v>
      </c>
      <c r="Q200" s="2">
        <f t="shared" si="61"/>
        <v>14</v>
      </c>
      <c r="R200" s="1">
        <f t="shared" si="55"/>
        <v>2854986.2567666033</v>
      </c>
      <c r="S200" s="4">
        <f>IF($G$4="mensual",S199,0)</f>
        <v>10000</v>
      </c>
      <c r="U200" s="1">
        <f t="shared" si="62"/>
        <v>22845.802738336231</v>
      </c>
      <c r="V200" s="1">
        <f t="shared" si="63"/>
        <v>-131.95374530733372</v>
      </c>
      <c r="X200" s="1">
        <f t="shared" si="47"/>
        <v>-2887.8320595049399</v>
      </c>
      <c r="Y200" s="1">
        <f t="shared" si="48"/>
        <v>2884812.2737001274</v>
      </c>
      <c r="AA200" s="2">
        <f>+Bono!J200</f>
        <v>205867.41811483511</v>
      </c>
      <c r="AC200" s="10">
        <f t="shared" si="49"/>
        <v>14.75</v>
      </c>
      <c r="AD200" s="1">
        <f t="shared" si="50"/>
        <v>3437650.764410032</v>
      </c>
    </row>
    <row r="201" spans="2:30">
      <c r="B201" s="1">
        <f t="shared" si="51"/>
        <v>178</v>
      </c>
      <c r="C201" s="2">
        <f t="shared" si="56"/>
        <v>14</v>
      </c>
      <c r="D201" s="2">
        <f t="shared" si="57"/>
        <v>10</v>
      </c>
      <c r="E201" s="2">
        <f t="shared" si="58"/>
        <v>43</v>
      </c>
      <c r="F201" s="1">
        <f t="shared" si="52"/>
        <v>346971.07259506942</v>
      </c>
      <c r="H201" s="1">
        <f t="shared" si="45"/>
        <v>2766.7960576404462</v>
      </c>
      <c r="I201" s="1">
        <v>0</v>
      </c>
      <c r="J201" s="1">
        <v>0</v>
      </c>
      <c r="K201" s="1">
        <f t="shared" si="53"/>
        <v>-349.73786865270989</v>
      </c>
      <c r="L201" s="1">
        <f t="shared" si="46"/>
        <v>349388.13078405714</v>
      </c>
      <c r="N201" s="1">
        <f t="shared" si="54"/>
        <v>178</v>
      </c>
      <c r="O201" s="2">
        <f t="shared" si="59"/>
        <v>14</v>
      </c>
      <c r="P201" s="2">
        <f t="shared" si="60"/>
        <v>10</v>
      </c>
      <c r="Q201" s="2">
        <f t="shared" si="61"/>
        <v>14</v>
      </c>
      <c r="R201" s="1">
        <f t="shared" si="55"/>
        <v>2884812.2737001274</v>
      </c>
      <c r="S201" s="4">
        <f>IF($G$4="mensual",S192,IF($G$4="trimestral",S192,0))</f>
        <v>10000</v>
      </c>
      <c r="U201" s="1">
        <f t="shared" si="62"/>
        <v>23083.639585799014</v>
      </c>
      <c r="V201" s="1">
        <f t="shared" si="63"/>
        <v>-131.95374530733372</v>
      </c>
      <c r="X201" s="1">
        <f t="shared" si="47"/>
        <v>-2917.8959132859263</v>
      </c>
      <c r="Y201" s="1">
        <f t="shared" si="48"/>
        <v>2914846.0636273329</v>
      </c>
      <c r="AA201" s="2">
        <f>+Bono!J201</f>
        <v>207143.81998628957</v>
      </c>
      <c r="AC201" s="10">
        <f t="shared" si="49"/>
        <v>14.833333333333334</v>
      </c>
      <c r="AD201" s="1">
        <f t="shared" si="50"/>
        <v>3471378.0143976794</v>
      </c>
    </row>
    <row r="202" spans="2:30">
      <c r="B202" s="1">
        <f t="shared" si="51"/>
        <v>179</v>
      </c>
      <c r="C202" s="2">
        <f t="shared" si="56"/>
        <v>14</v>
      </c>
      <c r="D202" s="2">
        <f t="shared" si="57"/>
        <v>11</v>
      </c>
      <c r="E202" s="2">
        <f t="shared" si="58"/>
        <v>43</v>
      </c>
      <c r="F202" s="1">
        <f t="shared" si="52"/>
        <v>349388.13078405714</v>
      </c>
      <c r="H202" s="1">
        <f t="shared" si="45"/>
        <v>2786.070019064266</v>
      </c>
      <c r="I202" s="1">
        <v>0</v>
      </c>
      <c r="J202" s="1">
        <v>0</v>
      </c>
      <c r="K202" s="1">
        <f t="shared" si="53"/>
        <v>-352.17420080312138</v>
      </c>
      <c r="L202" s="1">
        <f t="shared" si="46"/>
        <v>351822.02660231828</v>
      </c>
      <c r="N202" s="1">
        <f t="shared" si="54"/>
        <v>179</v>
      </c>
      <c r="O202" s="2">
        <f t="shared" si="59"/>
        <v>14</v>
      </c>
      <c r="P202" s="2">
        <f t="shared" si="60"/>
        <v>11</v>
      </c>
      <c r="Q202" s="2">
        <f t="shared" si="61"/>
        <v>14</v>
      </c>
      <c r="R202" s="1">
        <f t="shared" si="55"/>
        <v>2914846.0636273329</v>
      </c>
      <c r="S202" s="1">
        <f>IF($G$17="si",S190*(1+$G$20),S190)</f>
        <v>10000</v>
      </c>
      <c r="U202" s="1">
        <f t="shared" si="62"/>
        <v>23323.133244290748</v>
      </c>
      <c r="V202" s="1">
        <f t="shared" si="63"/>
        <v>-131.95374530733372</v>
      </c>
      <c r="X202" s="1">
        <f t="shared" si="47"/>
        <v>-2948.1691968716241</v>
      </c>
      <c r="Y202" s="1">
        <f t="shared" si="48"/>
        <v>2945089.0739294449</v>
      </c>
      <c r="AA202" s="2">
        <f>+Bono!J202</f>
        <v>208428.13569740052</v>
      </c>
      <c r="AC202" s="10">
        <f t="shared" si="49"/>
        <v>14.916666666666666</v>
      </c>
      <c r="AD202" s="1">
        <f t="shared" si="50"/>
        <v>3505339.2362291636</v>
      </c>
    </row>
    <row r="203" spans="2:30">
      <c r="B203" s="1">
        <f t="shared" si="51"/>
        <v>180</v>
      </c>
      <c r="C203" s="2">
        <f t="shared" si="56"/>
        <v>14</v>
      </c>
      <c r="D203" s="2">
        <f t="shared" si="57"/>
        <v>12</v>
      </c>
      <c r="E203" s="2">
        <f t="shared" si="58"/>
        <v>43</v>
      </c>
      <c r="F203" s="1">
        <f t="shared" si="52"/>
        <v>351822.02660231828</v>
      </c>
      <c r="H203" s="1">
        <f t="shared" si="45"/>
        <v>2805.4782461084019</v>
      </c>
      <c r="I203" s="1">
        <v>0</v>
      </c>
      <c r="J203" s="69">
        <f>-SUM(F203:H203)*$J$21</f>
        <v>-3191.6475436358405</v>
      </c>
      <c r="K203" s="1">
        <f t="shared" si="53"/>
        <v>-351.43585730479083</v>
      </c>
      <c r="L203" s="1">
        <f t="shared" si="46"/>
        <v>351084.42144748603</v>
      </c>
      <c r="N203" s="1">
        <f t="shared" si="54"/>
        <v>180</v>
      </c>
      <c r="O203" s="2">
        <f t="shared" si="59"/>
        <v>14</v>
      </c>
      <c r="P203" s="2">
        <f t="shared" si="60"/>
        <v>12</v>
      </c>
      <c r="Q203" s="2">
        <f t="shared" si="61"/>
        <v>14</v>
      </c>
      <c r="R203" s="1">
        <f t="shared" si="55"/>
        <v>2945089.0739294449</v>
      </c>
      <c r="S203" s="4">
        <f>IF($G$4="mensual",S202,0)</f>
        <v>10000</v>
      </c>
      <c r="U203" s="1">
        <f t="shared" si="62"/>
        <v>23564.295255432571</v>
      </c>
      <c r="V203" s="1">
        <f t="shared" si="63"/>
        <v>-131.95374530733372</v>
      </c>
      <c r="X203" s="1">
        <f t="shared" si="47"/>
        <v>-2978.6533691848772</v>
      </c>
      <c r="Y203" s="1">
        <f t="shared" si="48"/>
        <v>2975542.7620703848</v>
      </c>
      <c r="AA203" s="2">
        <f>+Bono!J203</f>
        <v>207831.04121295581</v>
      </c>
      <c r="AC203" s="10">
        <f t="shared" si="49"/>
        <v>15</v>
      </c>
      <c r="AD203" s="1">
        <f t="shared" si="50"/>
        <v>3534458.2247308269</v>
      </c>
    </row>
    <row r="204" spans="2:30">
      <c r="B204" s="1">
        <f t="shared" si="51"/>
        <v>181</v>
      </c>
      <c r="C204" s="2">
        <f t="shared" si="56"/>
        <v>15</v>
      </c>
      <c r="D204" s="2">
        <f t="shared" si="57"/>
        <v>1</v>
      </c>
      <c r="E204" s="2">
        <f t="shared" si="58"/>
        <v>44</v>
      </c>
      <c r="F204" s="1">
        <f t="shared" si="52"/>
        <v>351084.42144748603</v>
      </c>
      <c r="H204" s="1">
        <f t="shared" si="45"/>
        <v>2799.5964790226863</v>
      </c>
      <c r="I204" s="1">
        <v>0</v>
      </c>
      <c r="J204" s="1">
        <v>0</v>
      </c>
      <c r="K204" s="1">
        <f t="shared" si="53"/>
        <v>-353.88401792650876</v>
      </c>
      <c r="L204" s="1">
        <f t="shared" si="46"/>
        <v>353530.13390858221</v>
      </c>
      <c r="N204" s="1">
        <f t="shared" si="54"/>
        <v>181</v>
      </c>
      <c r="O204" s="2">
        <f t="shared" si="59"/>
        <v>15</v>
      </c>
      <c r="P204" s="2">
        <f t="shared" si="60"/>
        <v>1</v>
      </c>
      <c r="Q204" s="2">
        <f t="shared" si="61"/>
        <v>15</v>
      </c>
      <c r="R204" s="1">
        <f t="shared" si="55"/>
        <v>2975542.7620703848</v>
      </c>
      <c r="S204" s="1">
        <f>IF($G$17="si",S192*(1+$G$20),S192)</f>
        <v>10000</v>
      </c>
      <c r="U204" s="1">
        <f t="shared" si="62"/>
        <v>23807.137241246466</v>
      </c>
      <c r="V204" s="1">
        <f>V203*(1+$G$18)</f>
        <v>-137.23189511962707</v>
      </c>
      <c r="X204" s="1">
        <f t="shared" si="47"/>
        <v>-3009.3498993116314</v>
      </c>
      <c r="Y204" s="1">
        <f t="shared" si="48"/>
        <v>3006203.3175172005</v>
      </c>
      <c r="AA204" s="2">
        <f>+Bono!J204</f>
        <v>209119.6177753848</v>
      </c>
      <c r="AC204" s="10">
        <f t="shared" si="49"/>
        <v>15.083333333333334</v>
      </c>
      <c r="AD204" s="1">
        <f t="shared" si="50"/>
        <v>3568853.0692011677</v>
      </c>
    </row>
    <row r="205" spans="2:30">
      <c r="B205" s="1">
        <f t="shared" si="51"/>
        <v>182</v>
      </c>
      <c r="C205" s="2">
        <f t="shared" si="56"/>
        <v>15</v>
      </c>
      <c r="D205" s="2">
        <f t="shared" si="57"/>
        <v>2</v>
      </c>
      <c r="E205" s="2">
        <f t="shared" si="58"/>
        <v>44</v>
      </c>
      <c r="F205" s="1">
        <f t="shared" si="52"/>
        <v>353530.13390858221</v>
      </c>
      <c r="H205" s="1">
        <f t="shared" si="45"/>
        <v>2819.0989336361868</v>
      </c>
      <c r="I205" s="1">
        <v>0</v>
      </c>
      <c r="J205" s="1">
        <v>0</v>
      </c>
      <c r="K205" s="1">
        <f t="shared" si="53"/>
        <v>-356.34923284221844</v>
      </c>
      <c r="L205" s="1">
        <f t="shared" si="46"/>
        <v>355992.88360937621</v>
      </c>
      <c r="N205" s="1">
        <f t="shared" si="54"/>
        <v>182</v>
      </c>
      <c r="O205" s="2">
        <f t="shared" si="59"/>
        <v>15</v>
      </c>
      <c r="P205" s="2">
        <f t="shared" si="60"/>
        <v>2</v>
      </c>
      <c r="Q205" s="2">
        <f t="shared" si="61"/>
        <v>15</v>
      </c>
      <c r="R205" s="1">
        <f t="shared" si="55"/>
        <v>3006203.3175172005</v>
      </c>
      <c r="S205" s="4">
        <f>IF($G$4="mensual",S204,0)</f>
        <v>10000</v>
      </c>
      <c r="U205" s="1">
        <f t="shared" si="62"/>
        <v>24051.628816007567</v>
      </c>
      <c r="V205" s="1">
        <f>V204</f>
        <v>-137.23189511962707</v>
      </c>
      <c r="X205" s="1">
        <f t="shared" si="47"/>
        <v>-3040.2549463332084</v>
      </c>
      <c r="Y205" s="1">
        <f t="shared" si="48"/>
        <v>3037077.4594917553</v>
      </c>
      <c r="AA205" s="2">
        <f>+Bono!J205</f>
        <v>210416.1836619665</v>
      </c>
      <c r="AC205" s="10">
        <f t="shared" si="49"/>
        <v>15.166666666666666</v>
      </c>
      <c r="AD205" s="1">
        <f t="shared" si="50"/>
        <v>3603486.5267630983</v>
      </c>
    </row>
    <row r="206" spans="2:30">
      <c r="B206" s="1">
        <f t="shared" si="51"/>
        <v>183</v>
      </c>
      <c r="C206" s="2">
        <f t="shared" si="56"/>
        <v>15</v>
      </c>
      <c r="D206" s="2">
        <f t="shared" si="57"/>
        <v>3</v>
      </c>
      <c r="E206" s="2">
        <f t="shared" si="58"/>
        <v>44</v>
      </c>
      <c r="F206" s="1">
        <f t="shared" si="52"/>
        <v>355992.88360937621</v>
      </c>
      <c r="H206" s="1">
        <f t="shared" si="45"/>
        <v>2838.7372455915593</v>
      </c>
      <c r="I206" s="1">
        <v>0</v>
      </c>
      <c r="J206" s="69">
        <f>-SUM(F206:H206)*$J$21</f>
        <v>-3229.4845876947102</v>
      </c>
      <c r="K206" s="1">
        <f t="shared" si="53"/>
        <v>-355.60213626727307</v>
      </c>
      <c r="L206" s="1">
        <f t="shared" si="46"/>
        <v>355246.53413100576</v>
      </c>
      <c r="N206" s="1">
        <f t="shared" si="54"/>
        <v>183</v>
      </c>
      <c r="O206" s="2">
        <f t="shared" si="59"/>
        <v>15</v>
      </c>
      <c r="P206" s="2">
        <f t="shared" si="60"/>
        <v>3</v>
      </c>
      <c r="Q206" s="2">
        <f t="shared" si="61"/>
        <v>15</v>
      </c>
      <c r="R206" s="1">
        <f t="shared" si="55"/>
        <v>3037077.4594917553</v>
      </c>
      <c r="S206" s="4">
        <f>IF($G$4="mensual",S205,0)</f>
        <v>10000</v>
      </c>
      <c r="U206" s="1">
        <f t="shared" si="62"/>
        <v>24297.823559734577</v>
      </c>
      <c r="V206" s="1">
        <f t="shared" si="63"/>
        <v>-137.23189511962707</v>
      </c>
      <c r="X206" s="1">
        <f t="shared" si="47"/>
        <v>-3071.37528305149</v>
      </c>
      <c r="Y206" s="1">
        <f t="shared" si="48"/>
        <v>3068166.6758733192</v>
      </c>
      <c r="AA206" s="2">
        <f>+Bono!J206</f>
        <v>209813.39391728025</v>
      </c>
      <c r="AC206" s="10">
        <f t="shared" si="49"/>
        <v>15.25</v>
      </c>
      <c r="AD206" s="1">
        <f t="shared" si="50"/>
        <v>3633226.6039216053</v>
      </c>
    </row>
    <row r="207" spans="2:30">
      <c r="B207" s="1">
        <f t="shared" si="51"/>
        <v>184</v>
      </c>
      <c r="C207" s="2">
        <f t="shared" si="56"/>
        <v>15</v>
      </c>
      <c r="D207" s="2">
        <f t="shared" si="57"/>
        <v>4</v>
      </c>
      <c r="E207" s="2">
        <f t="shared" si="58"/>
        <v>44</v>
      </c>
      <c r="F207" s="1">
        <f t="shared" si="52"/>
        <v>355246.53413100576</v>
      </c>
      <c r="H207" s="1">
        <f t="shared" si="45"/>
        <v>2832.7857500419941</v>
      </c>
      <c r="I207" s="1">
        <v>0</v>
      </c>
      <c r="J207" s="1">
        <v>0</v>
      </c>
      <c r="K207" s="1">
        <f t="shared" si="53"/>
        <v>-358.07931988104775</v>
      </c>
      <c r="L207" s="1">
        <f t="shared" si="46"/>
        <v>357721.24056116672</v>
      </c>
      <c r="N207" s="1">
        <f t="shared" si="54"/>
        <v>184</v>
      </c>
      <c r="O207" s="2">
        <f t="shared" si="59"/>
        <v>15</v>
      </c>
      <c r="P207" s="2">
        <f t="shared" si="60"/>
        <v>4</v>
      </c>
      <c r="Q207" s="2">
        <f t="shared" si="61"/>
        <v>15</v>
      </c>
      <c r="R207" s="1">
        <f t="shared" si="55"/>
        <v>3068166.6758733192</v>
      </c>
      <c r="S207" s="4">
        <f>IF($G$4="mensual",S204,IF($G$4="trimestral",S204,0))</f>
        <v>10000</v>
      </c>
      <c r="U207" s="1">
        <f t="shared" si="62"/>
        <v>24545.733336985744</v>
      </c>
      <c r="V207" s="1">
        <f t="shared" si="63"/>
        <v>-137.23189511962707</v>
      </c>
      <c r="X207" s="1">
        <f t="shared" si="47"/>
        <v>-3102.7124092103049</v>
      </c>
      <c r="Y207" s="1">
        <f t="shared" si="48"/>
        <v>3099472.4649059749</v>
      </c>
      <c r="AA207" s="2">
        <f>+Bono!J207</f>
        <v>211114.26129641474</v>
      </c>
      <c r="AC207" s="10">
        <f t="shared" si="49"/>
        <v>15.333333333333334</v>
      </c>
      <c r="AD207" s="1">
        <f t="shared" si="50"/>
        <v>3668307.9667635565</v>
      </c>
    </row>
    <row r="208" spans="2:30">
      <c r="B208" s="1">
        <f t="shared" si="51"/>
        <v>185</v>
      </c>
      <c r="C208" s="2">
        <f t="shared" si="56"/>
        <v>15</v>
      </c>
      <c r="D208" s="2">
        <f t="shared" si="57"/>
        <v>5</v>
      </c>
      <c r="E208" s="2">
        <f t="shared" si="58"/>
        <v>44</v>
      </c>
      <c r="F208" s="1">
        <f t="shared" si="52"/>
        <v>357721.24056116672</v>
      </c>
      <c r="H208" s="1">
        <f t="shared" si="45"/>
        <v>2852.5194066364088</v>
      </c>
      <c r="I208" s="1">
        <v>0</v>
      </c>
      <c r="J208" s="1">
        <v>0</v>
      </c>
      <c r="K208" s="1">
        <f t="shared" si="53"/>
        <v>-360.57375996780314</v>
      </c>
      <c r="L208" s="1">
        <f t="shared" si="46"/>
        <v>360213.18620783533</v>
      </c>
      <c r="N208" s="1">
        <f t="shared" si="54"/>
        <v>185</v>
      </c>
      <c r="O208" s="2">
        <f t="shared" si="59"/>
        <v>15</v>
      </c>
      <c r="P208" s="2">
        <f t="shared" si="60"/>
        <v>5</v>
      </c>
      <c r="Q208" s="2">
        <f t="shared" si="61"/>
        <v>15</v>
      </c>
      <c r="R208" s="1">
        <f t="shared" si="55"/>
        <v>3099472.4649059749</v>
      </c>
      <c r="S208" s="4">
        <f>IF($G$4="mensual",S207,0)</f>
        <v>10000</v>
      </c>
      <c r="U208" s="1">
        <f t="shared" si="62"/>
        <v>24795.370094969778</v>
      </c>
      <c r="V208" s="1">
        <f t="shared" si="63"/>
        <v>-137.23189511962707</v>
      </c>
      <c r="X208" s="1">
        <f t="shared" si="47"/>
        <v>-3134.2678350009451</v>
      </c>
      <c r="Y208" s="1">
        <f t="shared" si="48"/>
        <v>3130996.3352708244</v>
      </c>
      <c r="AA208" s="2">
        <f>+Bono!J208</f>
        <v>212423.19420419115</v>
      </c>
      <c r="AC208" s="10">
        <f t="shared" si="49"/>
        <v>15.416666666666666</v>
      </c>
      <c r="AD208" s="1">
        <f t="shared" si="50"/>
        <v>3703632.7156828512</v>
      </c>
    </row>
    <row r="209" spans="2:30">
      <c r="B209" s="1">
        <f t="shared" si="51"/>
        <v>186</v>
      </c>
      <c r="C209" s="2">
        <f t="shared" si="56"/>
        <v>15</v>
      </c>
      <c r="D209" s="2">
        <f t="shared" si="57"/>
        <v>6</v>
      </c>
      <c r="E209" s="2">
        <f t="shared" si="58"/>
        <v>44</v>
      </c>
      <c r="F209" s="1">
        <f t="shared" si="52"/>
        <v>360213.18620783533</v>
      </c>
      <c r="H209" s="1">
        <f t="shared" si="45"/>
        <v>2872.3905311641397</v>
      </c>
      <c r="I209" s="1">
        <v>0</v>
      </c>
      <c r="J209" s="69">
        <f>-SUM(F209:H209)*$J$21</f>
        <v>-3267.7701906509956</v>
      </c>
      <c r="K209" s="1">
        <f t="shared" si="53"/>
        <v>-359.81780654834847</v>
      </c>
      <c r="L209" s="1">
        <f t="shared" si="46"/>
        <v>359457.98874180013</v>
      </c>
      <c r="N209" s="1">
        <f t="shared" si="54"/>
        <v>186</v>
      </c>
      <c r="O209" s="2">
        <f t="shared" si="59"/>
        <v>15</v>
      </c>
      <c r="P209" s="2">
        <f t="shared" si="60"/>
        <v>6</v>
      </c>
      <c r="Q209" s="2">
        <f t="shared" si="61"/>
        <v>15</v>
      </c>
      <c r="R209" s="1">
        <f t="shared" si="55"/>
        <v>3130996.3352708244</v>
      </c>
      <c r="S209" s="4">
        <f>IF($G$4="mensual",S208,0)</f>
        <v>10000</v>
      </c>
      <c r="U209" s="1">
        <f t="shared" si="62"/>
        <v>25046.745864121644</v>
      </c>
      <c r="V209" s="1">
        <f t="shared" si="63"/>
        <v>-137.23189511962707</v>
      </c>
      <c r="X209" s="1">
        <f t="shared" si="47"/>
        <v>-3166.0430811349461</v>
      </c>
      <c r="Y209" s="1">
        <f t="shared" si="48"/>
        <v>3162739.8061586916</v>
      </c>
      <c r="AA209" s="2">
        <f>+Bono!J209</f>
        <v>211814.65487622059</v>
      </c>
      <c r="AC209" s="10">
        <f t="shared" si="49"/>
        <v>15.5</v>
      </c>
      <c r="AD209" s="1">
        <f t="shared" si="50"/>
        <v>3734012.4497767123</v>
      </c>
    </row>
    <row r="210" spans="2:30">
      <c r="B210" s="1">
        <f t="shared" si="51"/>
        <v>187</v>
      </c>
      <c r="C210" s="2">
        <f t="shared" si="56"/>
        <v>15</v>
      </c>
      <c r="D210" s="2">
        <f t="shared" si="57"/>
        <v>7</v>
      </c>
      <c r="E210" s="2">
        <f t="shared" si="58"/>
        <v>44</v>
      </c>
      <c r="F210" s="1">
        <f t="shared" si="52"/>
        <v>359457.98874180013</v>
      </c>
      <c r="H210" s="1">
        <f t="shared" si="45"/>
        <v>2866.3684805184225</v>
      </c>
      <c r="I210" s="1">
        <v>0</v>
      </c>
      <c r="J210" s="1">
        <v>0</v>
      </c>
      <c r="K210" s="1">
        <f t="shared" si="53"/>
        <v>-362.32435722231855</v>
      </c>
      <c r="L210" s="1">
        <f t="shared" si="46"/>
        <v>361962.03286509623</v>
      </c>
      <c r="N210" s="1">
        <f t="shared" si="54"/>
        <v>187</v>
      </c>
      <c r="O210" s="2">
        <f t="shared" si="59"/>
        <v>15</v>
      </c>
      <c r="P210" s="2">
        <f t="shared" si="60"/>
        <v>7</v>
      </c>
      <c r="Q210" s="2">
        <f t="shared" si="61"/>
        <v>15</v>
      </c>
      <c r="R210" s="1">
        <f t="shared" si="55"/>
        <v>3162739.8061586916</v>
      </c>
      <c r="S210" s="1">
        <f>+IF($G$4="mensual",S204,IF($G$4="trimestral",S204,IF($G$4="semestral",S204,0)))</f>
        <v>10000</v>
      </c>
      <c r="U210" s="1">
        <f t="shared" si="62"/>
        <v>25299.872758682315</v>
      </c>
      <c r="V210" s="1">
        <f t="shared" si="63"/>
        <v>-137.23189511962707</v>
      </c>
      <c r="X210" s="1">
        <f t="shared" si="47"/>
        <v>-3198.0396789173742</v>
      </c>
      <c r="Y210" s="1">
        <f t="shared" si="48"/>
        <v>3194704.4073433373</v>
      </c>
      <c r="AA210" s="2">
        <f>+Bono!J210</f>
        <v>213127.93030543244</v>
      </c>
      <c r="AC210" s="10">
        <f t="shared" si="49"/>
        <v>15.583333333333334</v>
      </c>
      <c r="AD210" s="1">
        <f t="shared" si="50"/>
        <v>3769794.3705138662</v>
      </c>
    </row>
    <row r="211" spans="2:30">
      <c r="B211" s="1">
        <f t="shared" si="51"/>
        <v>188</v>
      </c>
      <c r="C211" s="2">
        <f t="shared" si="56"/>
        <v>15</v>
      </c>
      <c r="D211" s="2">
        <f t="shared" si="57"/>
        <v>8</v>
      </c>
      <c r="E211" s="2">
        <f t="shared" si="58"/>
        <v>44</v>
      </c>
      <c r="F211" s="1">
        <f t="shared" si="52"/>
        <v>361962.03286509623</v>
      </c>
      <c r="H211" s="1">
        <f t="shared" si="45"/>
        <v>2886.3360799977568</v>
      </c>
      <c r="I211" s="1">
        <v>0</v>
      </c>
      <c r="J211" s="1">
        <v>0</v>
      </c>
      <c r="K211" s="1">
        <f t="shared" si="53"/>
        <v>-364.84836894509402</v>
      </c>
      <c r="L211" s="1">
        <f t="shared" si="46"/>
        <v>364483.52057614893</v>
      </c>
      <c r="N211" s="1">
        <f t="shared" si="54"/>
        <v>188</v>
      </c>
      <c r="O211" s="2">
        <f t="shared" si="59"/>
        <v>15</v>
      </c>
      <c r="P211" s="2">
        <f t="shared" si="60"/>
        <v>8</v>
      </c>
      <c r="Q211" s="2">
        <f t="shared" si="61"/>
        <v>15</v>
      </c>
      <c r="R211" s="1">
        <f t="shared" si="55"/>
        <v>3194704.4073433373</v>
      </c>
      <c r="S211" s="4">
        <f>IF($G$4="mensual",S210,0)</f>
        <v>10000</v>
      </c>
      <c r="U211" s="1">
        <f t="shared" si="62"/>
        <v>25554.762977282582</v>
      </c>
      <c r="V211" s="1">
        <f t="shared" si="63"/>
        <v>-137.23189511962707</v>
      </c>
      <c r="X211" s="1">
        <f t="shared" si="47"/>
        <v>-3230.2591703206199</v>
      </c>
      <c r="Y211" s="1">
        <f t="shared" si="48"/>
        <v>3226891.6792551796</v>
      </c>
      <c r="AA211" s="2">
        <f>+Bono!J211</f>
        <v>214449.34819463591</v>
      </c>
      <c r="AC211" s="10">
        <f t="shared" si="49"/>
        <v>15.666666666666666</v>
      </c>
      <c r="AD211" s="1">
        <f t="shared" si="50"/>
        <v>3805824.5480259643</v>
      </c>
    </row>
    <row r="212" spans="2:30">
      <c r="B212" s="1">
        <f t="shared" si="51"/>
        <v>189</v>
      </c>
      <c r="C212" s="2">
        <f t="shared" si="56"/>
        <v>15</v>
      </c>
      <c r="D212" s="2">
        <f t="shared" si="57"/>
        <v>9</v>
      </c>
      <c r="E212" s="2">
        <f t="shared" si="58"/>
        <v>44</v>
      </c>
      <c r="F212" s="1">
        <f t="shared" si="52"/>
        <v>364483.52057614893</v>
      </c>
      <c r="H212" s="1">
        <f t="shared" si="45"/>
        <v>2906.4427770954462</v>
      </c>
      <c r="I212" s="1">
        <v>0</v>
      </c>
      <c r="J212" s="69">
        <f>-SUM(F212:H212)*$J$21</f>
        <v>-3306.5096701791995</v>
      </c>
      <c r="K212" s="1">
        <f t="shared" si="53"/>
        <v>-364.08345368306516</v>
      </c>
      <c r="L212" s="1">
        <f t="shared" si="46"/>
        <v>363719.37022938207</v>
      </c>
      <c r="N212" s="1">
        <f t="shared" si="54"/>
        <v>189</v>
      </c>
      <c r="O212" s="2">
        <f t="shared" si="59"/>
        <v>15</v>
      </c>
      <c r="P212" s="2">
        <f t="shared" si="60"/>
        <v>9</v>
      </c>
      <c r="Q212" s="2">
        <f t="shared" si="61"/>
        <v>15</v>
      </c>
      <c r="R212" s="1">
        <f t="shared" si="55"/>
        <v>3226891.6792551796</v>
      </c>
      <c r="S212" s="4">
        <f>IF($G$4="mensual",S211,0)</f>
        <v>10000</v>
      </c>
      <c r="U212" s="1">
        <f t="shared" si="62"/>
        <v>25811.428803530922</v>
      </c>
      <c r="V212" s="1">
        <f t="shared" si="63"/>
        <v>-137.23189511962707</v>
      </c>
      <c r="X212" s="1">
        <f t="shared" si="47"/>
        <v>-3262.7031080587108</v>
      </c>
      <c r="Y212" s="1">
        <f t="shared" si="48"/>
        <v>3259303.1730555324</v>
      </c>
      <c r="AA212" s="2">
        <f>+Bono!J212</f>
        <v>213835.00444218935</v>
      </c>
      <c r="AC212" s="10">
        <f t="shared" si="49"/>
        <v>15.75</v>
      </c>
      <c r="AD212" s="1">
        <f t="shared" si="50"/>
        <v>3836857.5477271038</v>
      </c>
    </row>
    <row r="213" spans="2:30">
      <c r="B213" s="1">
        <f t="shared" si="51"/>
        <v>190</v>
      </c>
      <c r="C213" s="2">
        <f t="shared" si="56"/>
        <v>15</v>
      </c>
      <c r="D213" s="2">
        <f t="shared" si="57"/>
        <v>10</v>
      </c>
      <c r="E213" s="2">
        <f t="shared" si="58"/>
        <v>44</v>
      </c>
      <c r="F213" s="1">
        <f t="shared" si="52"/>
        <v>363719.37022938207</v>
      </c>
      <c r="H213" s="1">
        <f t="shared" si="45"/>
        <v>2900.3493349215319</v>
      </c>
      <c r="I213" s="1">
        <v>0</v>
      </c>
      <c r="J213" s="1">
        <v>0</v>
      </c>
      <c r="K213" s="1">
        <f t="shared" si="53"/>
        <v>-366.61971956430358</v>
      </c>
      <c r="L213" s="1">
        <f t="shared" si="46"/>
        <v>366253.09984473925</v>
      </c>
      <c r="N213" s="1">
        <f t="shared" si="54"/>
        <v>190</v>
      </c>
      <c r="O213" s="2">
        <f t="shared" si="59"/>
        <v>15</v>
      </c>
      <c r="P213" s="2">
        <f t="shared" si="60"/>
        <v>10</v>
      </c>
      <c r="Q213" s="2">
        <f t="shared" si="61"/>
        <v>15</v>
      </c>
      <c r="R213" s="1">
        <f t="shared" si="55"/>
        <v>3259303.1730555324</v>
      </c>
      <c r="S213" s="4">
        <f>IF($G$4="mensual",S204,IF($G$4="trimestral",S204,0))</f>
        <v>10000</v>
      </c>
      <c r="U213" s="1">
        <f t="shared" si="62"/>
        <v>26069.882606605479</v>
      </c>
      <c r="V213" s="1">
        <f t="shared" si="63"/>
        <v>-137.23189511962707</v>
      </c>
      <c r="X213" s="1">
        <f t="shared" si="47"/>
        <v>-3295.3730556621381</v>
      </c>
      <c r="Y213" s="1">
        <f t="shared" si="48"/>
        <v>3291940.4507113565</v>
      </c>
      <c r="AA213" s="2">
        <f>+Bono!J213</f>
        <v>215160.80627305622</v>
      </c>
      <c r="AC213" s="10">
        <f t="shared" si="49"/>
        <v>15.833333333333334</v>
      </c>
      <c r="AD213" s="1">
        <f t="shared" si="50"/>
        <v>3873354.356829152</v>
      </c>
    </row>
    <row r="214" spans="2:30">
      <c r="B214" s="1">
        <f t="shared" si="51"/>
        <v>191</v>
      </c>
      <c r="C214" s="2">
        <f t="shared" si="56"/>
        <v>15</v>
      </c>
      <c r="D214" s="2">
        <f t="shared" si="57"/>
        <v>11</v>
      </c>
      <c r="E214" s="2">
        <f t="shared" si="58"/>
        <v>44</v>
      </c>
      <c r="F214" s="1">
        <f t="shared" si="52"/>
        <v>366253.09984473925</v>
      </c>
      <c r="H214" s="1">
        <f t="shared" si="45"/>
        <v>2920.5536506832623</v>
      </c>
      <c r="I214" s="1">
        <v>0</v>
      </c>
      <c r="J214" s="1">
        <v>0</v>
      </c>
      <c r="K214" s="1">
        <f t="shared" si="53"/>
        <v>-369.17365349542251</v>
      </c>
      <c r="L214" s="1">
        <f t="shared" si="46"/>
        <v>368804.47984192707</v>
      </c>
      <c r="N214" s="1">
        <f t="shared" si="54"/>
        <v>191</v>
      </c>
      <c r="O214" s="2">
        <f t="shared" si="59"/>
        <v>15</v>
      </c>
      <c r="P214" s="2">
        <f t="shared" si="60"/>
        <v>11</v>
      </c>
      <c r="Q214" s="2">
        <f t="shared" si="61"/>
        <v>15</v>
      </c>
      <c r="R214" s="1">
        <f t="shared" si="55"/>
        <v>3291940.4507113565</v>
      </c>
      <c r="S214" s="1">
        <f>IF($G$17="si",S202*(1+$G$20),S202)</f>
        <v>10000</v>
      </c>
      <c r="U214" s="1">
        <f t="shared" si="62"/>
        <v>26330.136841850144</v>
      </c>
      <c r="V214" s="1">
        <f t="shared" si="63"/>
        <v>-137.23189511962707</v>
      </c>
      <c r="X214" s="1">
        <f t="shared" si="47"/>
        <v>-3328.270587553207</v>
      </c>
      <c r="Y214" s="1">
        <f t="shared" si="48"/>
        <v>3324805.0850705341</v>
      </c>
      <c r="AA214" s="2">
        <f>+Bono!J214</f>
        <v>216494.82822905798</v>
      </c>
      <c r="AC214" s="10">
        <f t="shared" si="49"/>
        <v>15.916666666666666</v>
      </c>
      <c r="AD214" s="1">
        <f t="shared" si="50"/>
        <v>3910104.3931415193</v>
      </c>
    </row>
    <row r="215" spans="2:30">
      <c r="B215" s="1">
        <f t="shared" si="51"/>
        <v>192</v>
      </c>
      <c r="C215" s="2">
        <f t="shared" si="56"/>
        <v>15</v>
      </c>
      <c r="D215" s="2">
        <f t="shared" si="57"/>
        <v>12</v>
      </c>
      <c r="E215" s="2">
        <f t="shared" si="58"/>
        <v>44</v>
      </c>
      <c r="F215" s="1">
        <f t="shared" si="52"/>
        <v>368804.47984192707</v>
      </c>
      <c r="H215" s="1">
        <f t="shared" si="45"/>
        <v>2940.898713068334</v>
      </c>
      <c r="I215" s="1">
        <v>0</v>
      </c>
      <c r="J215" s="69">
        <f>-SUM(F215:H215)*$J$21</f>
        <v>-3345.7084069949592</v>
      </c>
      <c r="K215" s="1">
        <f t="shared" si="53"/>
        <v>-368.3996701480005</v>
      </c>
      <c r="L215" s="1">
        <f t="shared" si="46"/>
        <v>368031.27047785249</v>
      </c>
      <c r="N215" s="1">
        <f t="shared" si="54"/>
        <v>192</v>
      </c>
      <c r="O215" s="2">
        <f t="shared" si="59"/>
        <v>15</v>
      </c>
      <c r="P215" s="2">
        <f t="shared" si="60"/>
        <v>12</v>
      </c>
      <c r="Q215" s="2">
        <f t="shared" si="61"/>
        <v>15</v>
      </c>
      <c r="R215" s="1">
        <f t="shared" si="55"/>
        <v>3324805.0850705341</v>
      </c>
      <c r="S215" s="4">
        <f>IF($G$4="mensual",S214,0)</f>
        <v>10000</v>
      </c>
      <c r="U215" s="1">
        <f t="shared" si="62"/>
        <v>26592.204051374803</v>
      </c>
      <c r="V215" s="1">
        <f t="shared" si="63"/>
        <v>-137.23189511962707</v>
      </c>
      <c r="X215" s="1">
        <f t="shared" si="47"/>
        <v>-3361.3972891219091</v>
      </c>
      <c r="Y215" s="1">
        <f t="shared" si="48"/>
        <v>3357898.6599376677</v>
      </c>
      <c r="AA215" s="2">
        <f>+Bono!J215</f>
        <v>215874.62468785251</v>
      </c>
      <c r="AC215" s="10">
        <f t="shared" si="49"/>
        <v>16</v>
      </c>
      <c r="AD215" s="1">
        <f t="shared" si="50"/>
        <v>3941804.5551033723</v>
      </c>
    </row>
    <row r="216" spans="2:30">
      <c r="B216" s="1">
        <f t="shared" si="51"/>
        <v>193</v>
      </c>
      <c r="C216" s="2">
        <f t="shared" si="56"/>
        <v>16</v>
      </c>
      <c r="D216" s="2">
        <f t="shared" si="57"/>
        <v>1</v>
      </c>
      <c r="E216" s="2">
        <f t="shared" si="58"/>
        <v>45</v>
      </c>
      <c r="F216" s="1">
        <f t="shared" si="52"/>
        <v>368031.27047785249</v>
      </c>
      <c r="H216" s="1">
        <f t="shared" ref="H216:H279" si="64">SUM(F216:G216)*$G$8</f>
        <v>2934.7330330182599</v>
      </c>
      <c r="I216" s="1">
        <v>0</v>
      </c>
      <c r="J216" s="1">
        <v>0</v>
      </c>
      <c r="K216" s="1">
        <f t="shared" si="53"/>
        <v>-370.96600351087073</v>
      </c>
      <c r="L216" s="1">
        <f t="shared" ref="L216:L279" si="65">SUM(F216:K216)</f>
        <v>370595.03750735987</v>
      </c>
      <c r="N216" s="1">
        <f t="shared" si="54"/>
        <v>193</v>
      </c>
      <c r="O216" s="2">
        <f t="shared" si="59"/>
        <v>16</v>
      </c>
      <c r="P216" s="2">
        <f t="shared" si="60"/>
        <v>1</v>
      </c>
      <c r="Q216" s="2">
        <f t="shared" si="61"/>
        <v>16</v>
      </c>
      <c r="R216" s="1">
        <f t="shared" si="55"/>
        <v>3357898.6599376677</v>
      </c>
      <c r="S216" s="1">
        <f>IF($G$17="si",S204*(1+$G$20),S204)</f>
        <v>10000</v>
      </c>
      <c r="U216" s="1">
        <f t="shared" si="62"/>
        <v>26856.096864659765</v>
      </c>
      <c r="V216" s="1">
        <f>V215*(1+$G$18)</f>
        <v>-142.72117092441215</v>
      </c>
      <c r="X216" s="1">
        <f t="shared" ref="X216:X279" si="66">-SUM(R216:U216)*0.1%</f>
        <v>-3394.7547568023274</v>
      </c>
      <c r="Y216" s="1">
        <f t="shared" ref="Y216:Y279" si="67">SUM(R216:X216)</f>
        <v>3391217.2808746006</v>
      </c>
      <c r="AA216" s="2">
        <f>+Bono!J216</f>
        <v>217213.07240082379</v>
      </c>
      <c r="AC216" s="10">
        <f t="shared" ref="AC216:AC279" si="68">+B216/12</f>
        <v>16.083333333333332</v>
      </c>
      <c r="AD216" s="1">
        <f t="shared" ref="AD216:AD279" si="69">+AA216+Y216+L216</f>
        <v>3979025.3907827842</v>
      </c>
    </row>
    <row r="217" spans="2:30">
      <c r="B217" s="1">
        <f t="shared" ref="B217:B280" si="70">+B216+1</f>
        <v>194</v>
      </c>
      <c r="C217" s="2">
        <f t="shared" si="56"/>
        <v>16</v>
      </c>
      <c r="D217" s="2">
        <f t="shared" si="57"/>
        <v>2</v>
      </c>
      <c r="E217" s="2">
        <f t="shared" si="58"/>
        <v>45</v>
      </c>
      <c r="F217" s="1">
        <f t="shared" ref="F217:F280" si="71">L216</f>
        <v>370595.03750735987</v>
      </c>
      <c r="H217" s="1">
        <f t="shared" si="64"/>
        <v>2955.1768713385454</v>
      </c>
      <c r="I217" s="1">
        <v>0</v>
      </c>
      <c r="J217" s="1">
        <v>0</v>
      </c>
      <c r="K217" s="1">
        <f t="shared" ref="K217:K280" si="72">-SUM(F217:J217)*0.1%</f>
        <v>-373.55021437869846</v>
      </c>
      <c r="L217" s="1">
        <f t="shared" si="65"/>
        <v>373176.66416431975</v>
      </c>
      <c r="N217" s="1">
        <f t="shared" ref="N217:N280" si="73">+N216+1</f>
        <v>194</v>
      </c>
      <c r="O217" s="2">
        <f t="shared" si="59"/>
        <v>16</v>
      </c>
      <c r="P217" s="2">
        <f t="shared" si="60"/>
        <v>2</v>
      </c>
      <c r="Q217" s="2">
        <f t="shared" si="61"/>
        <v>16</v>
      </c>
      <c r="R217" s="1">
        <f t="shared" ref="R217:R280" si="74">Y216</f>
        <v>3391217.2808746006</v>
      </c>
      <c r="S217" s="4">
        <f>IF($G$4="mensual",S216,0)</f>
        <v>10000</v>
      </c>
      <c r="U217" s="1">
        <f t="shared" si="62"/>
        <v>27121.784226908283</v>
      </c>
      <c r="V217" s="1">
        <f>V216</f>
        <v>-142.72117092441215</v>
      </c>
      <c r="X217" s="1">
        <f t="shared" si="66"/>
        <v>-3428.3390651015093</v>
      </c>
      <c r="Y217" s="1">
        <f t="shared" si="67"/>
        <v>3424768.0048654829</v>
      </c>
      <c r="AA217" s="2">
        <f>+Bono!J217</f>
        <v>218559.81864486582</v>
      </c>
      <c r="AC217" s="10">
        <f t="shared" si="68"/>
        <v>16.166666666666668</v>
      </c>
      <c r="AD217" s="1">
        <f t="shared" si="69"/>
        <v>4016504.4876746684</v>
      </c>
    </row>
    <row r="218" spans="2:30">
      <c r="B218" s="1">
        <f t="shared" si="70"/>
        <v>195</v>
      </c>
      <c r="C218" s="2">
        <f t="shared" si="56"/>
        <v>16</v>
      </c>
      <c r="D218" s="2">
        <f t="shared" si="57"/>
        <v>3</v>
      </c>
      <c r="E218" s="2">
        <f t="shared" si="58"/>
        <v>45</v>
      </c>
      <c r="F218" s="1">
        <f t="shared" si="71"/>
        <v>373176.66416431975</v>
      </c>
      <c r="H218" s="1">
        <f t="shared" si="64"/>
        <v>2975.7631248361449</v>
      </c>
      <c r="I218" s="1">
        <v>0</v>
      </c>
      <c r="J218" s="69">
        <f>-SUM(F218:H218)*$J$21</f>
        <v>-3385.3718456024035</v>
      </c>
      <c r="K218" s="1">
        <f t="shared" si="72"/>
        <v>-372.76705544355349</v>
      </c>
      <c r="L218" s="1">
        <f t="shared" si="65"/>
        <v>372394.28838810994</v>
      </c>
      <c r="N218" s="1">
        <f t="shared" si="73"/>
        <v>195</v>
      </c>
      <c r="O218" s="2">
        <f t="shared" si="59"/>
        <v>16</v>
      </c>
      <c r="P218" s="2">
        <f t="shared" si="60"/>
        <v>3</v>
      </c>
      <c r="Q218" s="2">
        <f t="shared" si="61"/>
        <v>16</v>
      </c>
      <c r="R218" s="1">
        <f t="shared" si="74"/>
        <v>3424768.0048654829</v>
      </c>
      <c r="S218" s="4">
        <f>IF($G$4="mensual",S217,0)</f>
        <v>10000</v>
      </c>
      <c r="U218" s="1">
        <f t="shared" si="62"/>
        <v>27389.32241150297</v>
      </c>
      <c r="V218" s="1">
        <f t="shared" si="63"/>
        <v>-142.72117092441215</v>
      </c>
      <c r="X218" s="1">
        <f t="shared" si="66"/>
        <v>-3462.1573272769861</v>
      </c>
      <c r="Y218" s="1">
        <f t="shared" si="67"/>
        <v>3458552.4487787844</v>
      </c>
      <c r="AA218" s="2">
        <f>+Bono!J218</f>
        <v>217933.69942253802</v>
      </c>
      <c r="AC218" s="10">
        <f t="shared" si="68"/>
        <v>16.25</v>
      </c>
      <c r="AD218" s="1">
        <f t="shared" si="69"/>
        <v>4048880.4365894319</v>
      </c>
    </row>
    <row r="219" spans="2:30">
      <c r="B219" s="1">
        <f t="shared" si="70"/>
        <v>196</v>
      </c>
      <c r="C219" s="2">
        <f t="shared" si="56"/>
        <v>16</v>
      </c>
      <c r="D219" s="2">
        <f t="shared" si="57"/>
        <v>4</v>
      </c>
      <c r="E219" s="2">
        <f t="shared" si="58"/>
        <v>45</v>
      </c>
      <c r="F219" s="1">
        <f t="shared" si="71"/>
        <v>372394.28838810994</v>
      </c>
      <c r="H219" s="1">
        <f t="shared" si="64"/>
        <v>2969.5243505284752</v>
      </c>
      <c r="I219" s="1">
        <v>0</v>
      </c>
      <c r="J219" s="1">
        <v>0</v>
      </c>
      <c r="K219" s="1">
        <f t="shared" si="72"/>
        <v>-375.36381273863844</v>
      </c>
      <c r="L219" s="1">
        <f t="shared" si="65"/>
        <v>374988.44892589981</v>
      </c>
      <c r="N219" s="1">
        <f t="shared" si="73"/>
        <v>196</v>
      </c>
      <c r="O219" s="2">
        <f t="shared" si="59"/>
        <v>16</v>
      </c>
      <c r="P219" s="2">
        <f t="shared" si="60"/>
        <v>4</v>
      </c>
      <c r="Q219" s="2">
        <f t="shared" si="61"/>
        <v>16</v>
      </c>
      <c r="R219" s="1">
        <f t="shared" si="74"/>
        <v>3458552.4487787844</v>
      </c>
      <c r="S219" s="4">
        <f>IF($G$4="mensual",S216,IF($G$4="trimestral",S216,0))</f>
        <v>10000</v>
      </c>
      <c r="U219" s="1">
        <f t="shared" si="62"/>
        <v>27658.724311580059</v>
      </c>
      <c r="V219" s="1">
        <f t="shared" si="63"/>
        <v>-142.72117092441215</v>
      </c>
      <c r="X219" s="1">
        <f t="shared" si="66"/>
        <v>-3496.2111730903644</v>
      </c>
      <c r="Y219" s="1">
        <f t="shared" si="67"/>
        <v>3492572.2407463496</v>
      </c>
      <c r="AA219" s="2">
        <f>+Bono!J219</f>
        <v>219284.91363770224</v>
      </c>
      <c r="AC219" s="10">
        <f t="shared" si="68"/>
        <v>16.333333333333332</v>
      </c>
      <c r="AD219" s="1">
        <f t="shared" si="69"/>
        <v>4086845.6033099517</v>
      </c>
    </row>
    <row r="220" spans="2:30">
      <c r="B220" s="1">
        <f t="shared" si="70"/>
        <v>197</v>
      </c>
      <c r="C220" s="2">
        <f t="shared" si="56"/>
        <v>16</v>
      </c>
      <c r="D220" s="2">
        <f t="shared" si="57"/>
        <v>5</v>
      </c>
      <c r="E220" s="2">
        <f t="shared" si="58"/>
        <v>45</v>
      </c>
      <c r="F220" s="1">
        <f t="shared" si="71"/>
        <v>374988.44892589981</v>
      </c>
      <c r="H220" s="1">
        <f t="shared" si="64"/>
        <v>2990.210550951932</v>
      </c>
      <c r="I220" s="1">
        <v>0</v>
      </c>
      <c r="J220" s="1">
        <v>0</v>
      </c>
      <c r="K220" s="1">
        <f t="shared" si="72"/>
        <v>-377.97865947685176</v>
      </c>
      <c r="L220" s="1">
        <f t="shared" si="65"/>
        <v>377600.6808173749</v>
      </c>
      <c r="N220" s="1">
        <f t="shared" si="73"/>
        <v>197</v>
      </c>
      <c r="O220" s="2">
        <f t="shared" si="59"/>
        <v>16</v>
      </c>
      <c r="P220" s="2">
        <f t="shared" si="60"/>
        <v>5</v>
      </c>
      <c r="Q220" s="2">
        <f t="shared" si="61"/>
        <v>16</v>
      </c>
      <c r="R220" s="1">
        <f t="shared" si="74"/>
        <v>3492572.2407463496</v>
      </c>
      <c r="S220" s="4">
        <f>IF($G$4="mensual",S219,0)</f>
        <v>10000</v>
      </c>
      <c r="U220" s="1">
        <f t="shared" si="62"/>
        <v>27930.002910091516</v>
      </c>
      <c r="V220" s="1">
        <f t="shared" si="63"/>
        <v>-142.72117092441215</v>
      </c>
      <c r="X220" s="1">
        <f t="shared" si="66"/>
        <v>-3530.5022436564414</v>
      </c>
      <c r="Y220" s="1">
        <f t="shared" si="67"/>
        <v>3526829.0202418598</v>
      </c>
      <c r="AA220" s="2">
        <f>+Bono!J220</f>
        <v>220644.50553773163</v>
      </c>
      <c r="AC220" s="10">
        <f t="shared" si="68"/>
        <v>16.416666666666668</v>
      </c>
      <c r="AD220" s="1">
        <f t="shared" si="69"/>
        <v>4125074.2065969664</v>
      </c>
    </row>
    <row r="221" spans="2:30">
      <c r="B221" s="1">
        <f t="shared" si="70"/>
        <v>198</v>
      </c>
      <c r="C221" s="2">
        <f t="shared" si="56"/>
        <v>16</v>
      </c>
      <c r="D221" s="2">
        <f t="shared" si="57"/>
        <v>6</v>
      </c>
      <c r="E221" s="2">
        <f t="shared" si="58"/>
        <v>45</v>
      </c>
      <c r="F221" s="1">
        <f t="shared" si="71"/>
        <v>377600.6808173749</v>
      </c>
      <c r="H221" s="1">
        <f t="shared" si="64"/>
        <v>3011.0408548874152</v>
      </c>
      <c r="I221" s="1">
        <v>0</v>
      </c>
      <c r="J221" s="69">
        <f>-SUM(F221:H221)*$J$21</f>
        <v>-3425.5054950503609</v>
      </c>
      <c r="K221" s="1">
        <f t="shared" si="72"/>
        <v>-377.18621617721197</v>
      </c>
      <c r="L221" s="1">
        <f t="shared" si="65"/>
        <v>376809.02996103477</v>
      </c>
      <c r="N221" s="1">
        <f t="shared" si="73"/>
        <v>198</v>
      </c>
      <c r="O221" s="2">
        <f t="shared" si="59"/>
        <v>16</v>
      </c>
      <c r="P221" s="2">
        <f t="shared" si="60"/>
        <v>6</v>
      </c>
      <c r="Q221" s="2">
        <f t="shared" si="61"/>
        <v>16</v>
      </c>
      <c r="R221" s="1">
        <f t="shared" si="74"/>
        <v>3526829.0202418598</v>
      </c>
      <c r="S221" s="4">
        <f>IF($G$4="mensual",S220,0)</f>
        <v>10000</v>
      </c>
      <c r="U221" s="1">
        <f t="shared" si="62"/>
        <v>28203.171280430706</v>
      </c>
      <c r="V221" s="1">
        <f t="shared" si="63"/>
        <v>-142.72117092441215</v>
      </c>
      <c r="X221" s="1">
        <f t="shared" si="66"/>
        <v>-3565.0321915222908</v>
      </c>
      <c r="Y221" s="1">
        <f t="shared" si="67"/>
        <v>3561324.4381598434</v>
      </c>
      <c r="AA221" s="2">
        <f>+Bono!J221</f>
        <v>220012.41420880044</v>
      </c>
      <c r="AC221" s="10">
        <f t="shared" si="68"/>
        <v>16.5</v>
      </c>
      <c r="AD221" s="1">
        <f t="shared" si="69"/>
        <v>4158145.8823296786</v>
      </c>
    </row>
    <row r="222" spans="2:30">
      <c r="B222" s="1">
        <f t="shared" si="70"/>
        <v>199</v>
      </c>
      <c r="C222" s="2">
        <f t="shared" si="56"/>
        <v>16</v>
      </c>
      <c r="D222" s="2">
        <f t="shared" si="57"/>
        <v>7</v>
      </c>
      <c r="E222" s="2">
        <f t="shared" si="58"/>
        <v>45</v>
      </c>
      <c r="F222" s="1">
        <f t="shared" si="71"/>
        <v>376809.02996103477</v>
      </c>
      <c r="H222" s="1">
        <f t="shared" si="64"/>
        <v>3004.7281197882971</v>
      </c>
      <c r="I222" s="1">
        <v>0</v>
      </c>
      <c r="J222" s="1">
        <v>0</v>
      </c>
      <c r="K222" s="1">
        <f t="shared" si="72"/>
        <v>-379.81375808082305</v>
      </c>
      <c r="L222" s="1">
        <f t="shared" si="65"/>
        <v>379433.94432274223</v>
      </c>
      <c r="N222" s="1">
        <f t="shared" si="73"/>
        <v>199</v>
      </c>
      <c r="O222" s="2">
        <f t="shared" si="59"/>
        <v>16</v>
      </c>
      <c r="P222" s="2">
        <f t="shared" si="60"/>
        <v>7</v>
      </c>
      <c r="Q222" s="2">
        <f t="shared" si="61"/>
        <v>16</v>
      </c>
      <c r="R222" s="1">
        <f t="shared" si="74"/>
        <v>3561324.4381598434</v>
      </c>
      <c r="S222" s="1">
        <f>+IF($G$4="mensual",S216,IF($G$4="trimestral",S216,IF($G$4="semestral",S216,0)))</f>
        <v>10000</v>
      </c>
      <c r="U222" s="1">
        <f t="shared" si="62"/>
        <v>28478.242587062428</v>
      </c>
      <c r="V222" s="1">
        <f t="shared" si="63"/>
        <v>-142.72117092441215</v>
      </c>
      <c r="X222" s="1">
        <f t="shared" si="66"/>
        <v>-3599.8026807469059</v>
      </c>
      <c r="Y222" s="1">
        <f t="shared" si="67"/>
        <v>3596060.1568952342</v>
      </c>
      <c r="AA222" s="2">
        <f>+Bono!J222</f>
        <v>221376.51669675551</v>
      </c>
      <c r="AC222" s="10">
        <f t="shared" si="68"/>
        <v>16.583333333333332</v>
      </c>
      <c r="AD222" s="1">
        <f t="shared" si="69"/>
        <v>4196870.6179147316</v>
      </c>
    </row>
    <row r="223" spans="2:30">
      <c r="B223" s="1">
        <f t="shared" si="70"/>
        <v>200</v>
      </c>
      <c r="C223" s="2">
        <f t="shared" si="56"/>
        <v>16</v>
      </c>
      <c r="D223" s="2">
        <f t="shared" si="57"/>
        <v>8</v>
      </c>
      <c r="E223" s="2">
        <f t="shared" si="58"/>
        <v>45</v>
      </c>
      <c r="F223" s="1">
        <f t="shared" si="71"/>
        <v>379433.94432274223</v>
      </c>
      <c r="H223" s="1">
        <f t="shared" si="64"/>
        <v>3025.6595555223989</v>
      </c>
      <c r="I223" s="1">
        <v>0</v>
      </c>
      <c r="J223" s="1">
        <v>0</v>
      </c>
      <c r="K223" s="1">
        <f t="shared" si="72"/>
        <v>-382.4596038782646</v>
      </c>
      <c r="L223" s="1">
        <f t="shared" si="65"/>
        <v>382077.14427438634</v>
      </c>
      <c r="N223" s="1">
        <f t="shared" si="73"/>
        <v>200</v>
      </c>
      <c r="O223" s="2">
        <f t="shared" si="59"/>
        <v>16</v>
      </c>
      <c r="P223" s="2">
        <f t="shared" si="60"/>
        <v>8</v>
      </c>
      <c r="Q223" s="2">
        <f t="shared" si="61"/>
        <v>16</v>
      </c>
      <c r="R223" s="1">
        <f t="shared" si="74"/>
        <v>3596060.1568952342</v>
      </c>
      <c r="S223" s="4">
        <f>IF($G$4="mensual",S222,0)</f>
        <v>10000</v>
      </c>
      <c r="U223" s="1">
        <f t="shared" si="62"/>
        <v>28755.230086157339</v>
      </c>
      <c r="V223" s="1">
        <f t="shared" si="63"/>
        <v>-142.72117092441215</v>
      </c>
      <c r="X223" s="1">
        <f t="shared" si="66"/>
        <v>-3634.8153869813918</v>
      </c>
      <c r="Y223" s="1">
        <f t="shared" si="67"/>
        <v>3631037.850423486</v>
      </c>
      <c r="AA223" s="2">
        <f>+Bono!J223</f>
        <v>222749.07677836198</v>
      </c>
      <c r="AC223" s="10">
        <f t="shared" si="68"/>
        <v>16.666666666666668</v>
      </c>
      <c r="AD223" s="1">
        <f t="shared" si="69"/>
        <v>4235864.0714762341</v>
      </c>
    </row>
    <row r="224" spans="2:30">
      <c r="B224" s="1">
        <f t="shared" si="70"/>
        <v>201</v>
      </c>
      <c r="C224" s="2">
        <f t="shared" si="56"/>
        <v>16</v>
      </c>
      <c r="D224" s="2">
        <f t="shared" si="57"/>
        <v>9</v>
      </c>
      <c r="E224" s="2">
        <f t="shared" si="58"/>
        <v>45</v>
      </c>
      <c r="F224" s="1">
        <f t="shared" si="71"/>
        <v>382077.14427438634</v>
      </c>
      <c r="H224" s="1">
        <f t="shared" si="64"/>
        <v>3046.7368031184806</v>
      </c>
      <c r="I224" s="1">
        <v>0</v>
      </c>
      <c r="J224" s="69">
        <f>-SUM(F224:H224)*$J$21</f>
        <v>-3466.1149296975441</v>
      </c>
      <c r="K224" s="1">
        <f t="shared" si="72"/>
        <v>-381.65776614780731</v>
      </c>
      <c r="L224" s="1">
        <f t="shared" si="65"/>
        <v>381276.10838165949</v>
      </c>
      <c r="N224" s="1">
        <f t="shared" si="73"/>
        <v>201</v>
      </c>
      <c r="O224" s="2">
        <f t="shared" si="59"/>
        <v>16</v>
      </c>
      <c r="P224" s="2">
        <f t="shared" si="60"/>
        <v>9</v>
      </c>
      <c r="Q224" s="2">
        <f t="shared" si="61"/>
        <v>16</v>
      </c>
      <c r="R224" s="1">
        <f t="shared" si="74"/>
        <v>3631037.850423486</v>
      </c>
      <c r="S224" s="4">
        <f>IF($G$4="mensual",S223,0)</f>
        <v>10000</v>
      </c>
      <c r="U224" s="1">
        <f t="shared" si="62"/>
        <v>29034.147126230775</v>
      </c>
      <c r="V224" s="1">
        <f t="shared" si="63"/>
        <v>-142.72117092441215</v>
      </c>
      <c r="X224" s="1">
        <f t="shared" si="66"/>
        <v>-3670.0719975497168</v>
      </c>
      <c r="Y224" s="1">
        <f t="shared" si="67"/>
        <v>3666259.2043812424</v>
      </c>
      <c r="AA224" s="2">
        <f>+Bono!J224</f>
        <v>222110.95637914387</v>
      </c>
      <c r="AC224" s="10">
        <f t="shared" si="68"/>
        <v>16.75</v>
      </c>
      <c r="AD224" s="1">
        <f t="shared" si="69"/>
        <v>4269646.2691420456</v>
      </c>
    </row>
    <row r="225" spans="2:30">
      <c r="B225" s="1">
        <f t="shared" si="70"/>
        <v>202</v>
      </c>
      <c r="C225" s="2">
        <f t="shared" si="56"/>
        <v>16</v>
      </c>
      <c r="D225" s="2">
        <f t="shared" si="57"/>
        <v>10</v>
      </c>
      <c r="E225" s="2">
        <f t="shared" si="58"/>
        <v>45</v>
      </c>
      <c r="F225" s="1">
        <f t="shared" si="71"/>
        <v>381276.10838165949</v>
      </c>
      <c r="H225" s="1">
        <f t="shared" si="64"/>
        <v>3040.3492304212841</v>
      </c>
      <c r="I225" s="1">
        <v>0</v>
      </c>
      <c r="J225" s="1">
        <v>0</v>
      </c>
      <c r="K225" s="1">
        <f t="shared" si="72"/>
        <v>-384.3164576120808</v>
      </c>
      <c r="L225" s="1">
        <f t="shared" si="65"/>
        <v>383932.1411544687</v>
      </c>
      <c r="N225" s="1">
        <f t="shared" si="73"/>
        <v>202</v>
      </c>
      <c r="O225" s="2">
        <f t="shared" si="59"/>
        <v>16</v>
      </c>
      <c r="P225" s="2">
        <f t="shared" si="60"/>
        <v>10</v>
      </c>
      <c r="Q225" s="2">
        <f t="shared" si="61"/>
        <v>16</v>
      </c>
      <c r="R225" s="1">
        <f t="shared" si="74"/>
        <v>3666259.2043812424</v>
      </c>
      <c r="S225" s="4">
        <f>IF($G$4="mensual",S216,IF($G$4="trimestral",S216,0))</f>
        <v>10000</v>
      </c>
      <c r="U225" s="1">
        <f t="shared" si="62"/>
        <v>29315.007148786051</v>
      </c>
      <c r="V225" s="1">
        <f t="shared" si="63"/>
        <v>-142.72117092441215</v>
      </c>
      <c r="X225" s="1">
        <f t="shared" si="66"/>
        <v>-3705.5742115300286</v>
      </c>
      <c r="Y225" s="1">
        <f t="shared" si="67"/>
        <v>3701725.9161475739</v>
      </c>
      <c r="AA225" s="2">
        <f>+Bono!J225</f>
        <v>223488.07007197087</v>
      </c>
      <c r="AC225" s="10">
        <f t="shared" si="68"/>
        <v>16.833333333333332</v>
      </c>
      <c r="AD225" s="1">
        <f t="shared" si="69"/>
        <v>4309146.1273740139</v>
      </c>
    </row>
    <row r="226" spans="2:30">
      <c r="B226" s="1">
        <f t="shared" si="70"/>
        <v>203</v>
      </c>
      <c r="C226" s="2">
        <f t="shared" si="56"/>
        <v>16</v>
      </c>
      <c r="D226" s="2">
        <f t="shared" si="57"/>
        <v>11</v>
      </c>
      <c r="E226" s="2">
        <f t="shared" si="58"/>
        <v>45</v>
      </c>
      <c r="F226" s="1">
        <f t="shared" si="71"/>
        <v>383932.1411544687</v>
      </c>
      <c r="H226" s="1">
        <f t="shared" si="64"/>
        <v>3061.5288087354356</v>
      </c>
      <c r="I226" s="1">
        <v>0</v>
      </c>
      <c r="J226" s="1">
        <v>0</v>
      </c>
      <c r="K226" s="1">
        <f t="shared" si="72"/>
        <v>-386.99366996320413</v>
      </c>
      <c r="L226" s="1">
        <f t="shared" si="65"/>
        <v>386606.67629324092</v>
      </c>
      <c r="N226" s="1">
        <f t="shared" si="73"/>
        <v>203</v>
      </c>
      <c r="O226" s="2">
        <f t="shared" si="59"/>
        <v>16</v>
      </c>
      <c r="P226" s="2">
        <f t="shared" si="60"/>
        <v>11</v>
      </c>
      <c r="Q226" s="2">
        <f t="shared" si="61"/>
        <v>16</v>
      </c>
      <c r="R226" s="1">
        <f t="shared" si="74"/>
        <v>3701725.9161475739</v>
      </c>
      <c r="S226" s="1">
        <f>IF($G$17="si",S214*(1+$G$20),S214)</f>
        <v>10000</v>
      </c>
      <c r="U226" s="1">
        <f t="shared" si="62"/>
        <v>29597.823688962231</v>
      </c>
      <c r="V226" s="1">
        <f t="shared" si="63"/>
        <v>-142.72117092441215</v>
      </c>
      <c r="X226" s="1">
        <f t="shared" si="66"/>
        <v>-3741.3237398365359</v>
      </c>
      <c r="Y226" s="1">
        <f t="shared" si="67"/>
        <v>3737439.6949257748</v>
      </c>
      <c r="AA226" s="2">
        <f>+Bono!J226</f>
        <v>224873.7220294287</v>
      </c>
      <c r="AC226" s="10">
        <f t="shared" si="68"/>
        <v>16.916666666666668</v>
      </c>
      <c r="AD226" s="1">
        <f t="shared" si="69"/>
        <v>4348920.0932484446</v>
      </c>
    </row>
    <row r="227" spans="2:30">
      <c r="B227" s="1">
        <f t="shared" si="70"/>
        <v>204</v>
      </c>
      <c r="C227" s="2">
        <f t="shared" si="56"/>
        <v>16</v>
      </c>
      <c r="D227" s="2">
        <f t="shared" si="57"/>
        <v>12</v>
      </c>
      <c r="E227" s="2">
        <f t="shared" si="58"/>
        <v>45</v>
      </c>
      <c r="F227" s="1">
        <f t="shared" si="71"/>
        <v>386606.67629324092</v>
      </c>
      <c r="H227" s="1">
        <f t="shared" si="64"/>
        <v>3082.8559275140428</v>
      </c>
      <c r="I227" s="1">
        <v>0</v>
      </c>
      <c r="J227" s="69">
        <f>-SUM(F227:H227)*$J$21</f>
        <v>-3507.205789986795</v>
      </c>
      <c r="K227" s="1">
        <f t="shared" si="72"/>
        <v>-386.18232643076811</v>
      </c>
      <c r="L227" s="1">
        <f t="shared" si="65"/>
        <v>385796.14410433738</v>
      </c>
      <c r="N227" s="1">
        <f t="shared" si="73"/>
        <v>204</v>
      </c>
      <c r="O227" s="2">
        <f t="shared" si="59"/>
        <v>16</v>
      </c>
      <c r="P227" s="2">
        <f t="shared" si="60"/>
        <v>12</v>
      </c>
      <c r="Q227" s="2">
        <f t="shared" si="61"/>
        <v>16</v>
      </c>
      <c r="R227" s="1">
        <f t="shared" si="74"/>
        <v>3737439.6949257748</v>
      </c>
      <c r="S227" s="4">
        <f>IF($G$4="mensual",S226,0)</f>
        <v>10000</v>
      </c>
      <c r="U227" s="1">
        <f t="shared" si="62"/>
        <v>29882.610376186411</v>
      </c>
      <c r="V227" s="1">
        <f t="shared" si="63"/>
        <v>-142.72117092441215</v>
      </c>
      <c r="X227" s="1">
        <f t="shared" si="66"/>
        <v>-3777.322305301961</v>
      </c>
      <c r="Y227" s="1">
        <f t="shared" si="67"/>
        <v>3773402.2618257343</v>
      </c>
      <c r="AA227" s="2">
        <f>+Bono!J227</f>
        <v>224229.51505290385</v>
      </c>
      <c r="AC227" s="10">
        <f t="shared" si="68"/>
        <v>17</v>
      </c>
      <c r="AD227" s="1">
        <f t="shared" si="69"/>
        <v>4383427.9209829755</v>
      </c>
    </row>
    <row r="228" spans="2:30">
      <c r="B228" s="1">
        <f t="shared" si="70"/>
        <v>205</v>
      </c>
      <c r="C228" s="2">
        <f t="shared" ref="C228:C291" si="75">C216+1</f>
        <v>17</v>
      </c>
      <c r="D228" s="2">
        <f t="shared" ref="D228:D291" si="76">D216</f>
        <v>1</v>
      </c>
      <c r="E228" s="2">
        <f t="shared" ref="E228:E291" si="77">E216+1</f>
        <v>46</v>
      </c>
      <c r="F228" s="1">
        <f t="shared" si="71"/>
        <v>385796.14410433738</v>
      </c>
      <c r="H228" s="1">
        <f t="shared" si="64"/>
        <v>3076.3926300175794</v>
      </c>
      <c r="I228" s="1">
        <v>0</v>
      </c>
      <c r="J228" s="1">
        <v>0</v>
      </c>
      <c r="K228" s="1">
        <f t="shared" si="72"/>
        <v>-388.87253673435498</v>
      </c>
      <c r="L228" s="1">
        <f t="shared" si="65"/>
        <v>388483.66419762064</v>
      </c>
      <c r="N228" s="1">
        <f t="shared" si="73"/>
        <v>205</v>
      </c>
      <c r="O228" s="2">
        <f t="shared" ref="O228:O291" si="78">O216+1</f>
        <v>17</v>
      </c>
      <c r="P228" s="2">
        <f t="shared" ref="P228:P291" si="79">P216</f>
        <v>1</v>
      </c>
      <c r="Q228" s="2">
        <f t="shared" ref="Q228:Q291" si="80">Q216+1</f>
        <v>17</v>
      </c>
      <c r="R228" s="1">
        <f t="shared" si="74"/>
        <v>3773402.2618257343</v>
      </c>
      <c r="S228" s="1">
        <f>IF($G$17="si",S216*(1+$G$20),S216)</f>
        <v>10000</v>
      </c>
      <c r="U228" s="1">
        <f t="shared" ref="U228:U291" si="81">SUM(R228:T228)*$G$8</f>
        <v>30169.380934830533</v>
      </c>
      <c r="V228" s="1">
        <f>V227*(1+$G$18)</f>
        <v>-148.43001776138863</v>
      </c>
      <c r="X228" s="1">
        <f t="shared" si="66"/>
        <v>-3813.5716427605653</v>
      </c>
      <c r="Y228" s="1">
        <f t="shared" si="67"/>
        <v>3809609.641100043</v>
      </c>
      <c r="AA228" s="2">
        <f>+Bono!J228</f>
        <v>225619.76405524576</v>
      </c>
      <c r="AC228" s="10">
        <f t="shared" si="68"/>
        <v>17.083333333333332</v>
      </c>
      <c r="AD228" s="1">
        <f t="shared" si="69"/>
        <v>4423713.069352909</v>
      </c>
    </row>
    <row r="229" spans="2:30">
      <c r="B229" s="1">
        <f t="shared" si="70"/>
        <v>206</v>
      </c>
      <c r="C229" s="2">
        <f t="shared" si="75"/>
        <v>17</v>
      </c>
      <c r="D229" s="2">
        <f t="shared" si="76"/>
        <v>2</v>
      </c>
      <c r="E229" s="2">
        <f t="shared" si="77"/>
        <v>46</v>
      </c>
      <c r="F229" s="1">
        <f t="shared" si="71"/>
        <v>388483.66419762064</v>
      </c>
      <c r="H229" s="1">
        <f t="shared" si="64"/>
        <v>3097.8232926469204</v>
      </c>
      <c r="I229" s="1">
        <v>0</v>
      </c>
      <c r="J229" s="1">
        <v>0</v>
      </c>
      <c r="K229" s="1">
        <f t="shared" si="72"/>
        <v>-391.58148749026753</v>
      </c>
      <c r="L229" s="1">
        <f t="shared" si="65"/>
        <v>391189.90600277728</v>
      </c>
      <c r="N229" s="1">
        <f t="shared" si="73"/>
        <v>206</v>
      </c>
      <c r="O229" s="2">
        <f t="shared" si="78"/>
        <v>17</v>
      </c>
      <c r="P229" s="2">
        <f t="shared" si="79"/>
        <v>2</v>
      </c>
      <c r="Q229" s="2">
        <f t="shared" si="80"/>
        <v>17</v>
      </c>
      <c r="R229" s="1">
        <f t="shared" si="74"/>
        <v>3809609.641100043</v>
      </c>
      <c r="S229" s="4">
        <f>IF($G$4="mensual",S228,0)</f>
        <v>10000</v>
      </c>
      <c r="U229" s="1">
        <f t="shared" si="81"/>
        <v>30458.103661726451</v>
      </c>
      <c r="V229" s="1">
        <f>V228</f>
        <v>-148.43001776138863</v>
      </c>
      <c r="X229" s="1">
        <f t="shared" si="66"/>
        <v>-3850.0677447617691</v>
      </c>
      <c r="Y229" s="1">
        <f t="shared" si="67"/>
        <v>3846069.2469992461</v>
      </c>
      <c r="AA229" s="2">
        <f>+Bono!J229</f>
        <v>227018.63276266112</v>
      </c>
      <c r="AC229" s="10">
        <f t="shared" si="68"/>
        <v>17.166666666666668</v>
      </c>
      <c r="AD229" s="1">
        <f t="shared" si="69"/>
        <v>4464277.7857646849</v>
      </c>
    </row>
    <row r="230" spans="2:30">
      <c r="B230" s="1">
        <f t="shared" si="70"/>
        <v>207</v>
      </c>
      <c r="C230" s="2">
        <f t="shared" si="75"/>
        <v>17</v>
      </c>
      <c r="D230" s="2">
        <f t="shared" si="76"/>
        <v>3</v>
      </c>
      <c r="E230" s="2">
        <f t="shared" si="77"/>
        <v>46</v>
      </c>
      <c r="F230" s="1">
        <f t="shared" si="71"/>
        <v>391189.90600277728</v>
      </c>
      <c r="H230" s="1">
        <f t="shared" si="64"/>
        <v>3119.4032448358098</v>
      </c>
      <c r="I230" s="1">
        <v>0</v>
      </c>
      <c r="J230" s="69">
        <f>-SUM(F230:H230)*$J$21</f>
        <v>-3548.7837832285181</v>
      </c>
      <c r="K230" s="1">
        <f t="shared" si="72"/>
        <v>-390.76052546438456</v>
      </c>
      <c r="L230" s="1">
        <f t="shared" si="65"/>
        <v>390369.76493892015</v>
      </c>
      <c r="N230" s="1">
        <f t="shared" si="73"/>
        <v>207</v>
      </c>
      <c r="O230" s="2">
        <f t="shared" si="78"/>
        <v>17</v>
      </c>
      <c r="P230" s="2">
        <f t="shared" si="79"/>
        <v>3</v>
      </c>
      <c r="Q230" s="2">
        <f t="shared" si="80"/>
        <v>17</v>
      </c>
      <c r="R230" s="1">
        <f t="shared" si="74"/>
        <v>3846069.2469992461</v>
      </c>
      <c r="S230" s="4">
        <f>IF($G$4="mensual",S229,0)</f>
        <v>10000</v>
      </c>
      <c r="U230" s="1">
        <f t="shared" si="81"/>
        <v>30748.837679149183</v>
      </c>
      <c r="V230" s="1">
        <f t="shared" si="63"/>
        <v>-148.43001776138863</v>
      </c>
      <c r="X230" s="1">
        <f t="shared" si="66"/>
        <v>-3886.8180846783953</v>
      </c>
      <c r="Y230" s="1">
        <f t="shared" si="67"/>
        <v>3882782.8365759552</v>
      </c>
      <c r="AA230" s="2">
        <f>+Bono!J230</f>
        <v>226368.28115329123</v>
      </c>
      <c r="AC230" s="10">
        <f t="shared" si="68"/>
        <v>17.25</v>
      </c>
      <c r="AD230" s="1">
        <f t="shared" si="69"/>
        <v>4499520.8826681664</v>
      </c>
    </row>
    <row r="231" spans="2:30">
      <c r="B231" s="1">
        <f t="shared" si="70"/>
        <v>208</v>
      </c>
      <c r="C231" s="2">
        <f t="shared" si="75"/>
        <v>17</v>
      </c>
      <c r="D231" s="2">
        <f t="shared" si="76"/>
        <v>4</v>
      </c>
      <c r="E231" s="2">
        <f t="shared" si="77"/>
        <v>46</v>
      </c>
      <c r="F231" s="1">
        <f t="shared" si="71"/>
        <v>390369.76493892015</v>
      </c>
      <c r="H231" s="1">
        <f t="shared" si="64"/>
        <v>3112.8633248211022</v>
      </c>
      <c r="I231" s="1">
        <v>0</v>
      </c>
      <c r="J231" s="1">
        <v>0</v>
      </c>
      <c r="K231" s="1">
        <f t="shared" si="72"/>
        <v>-393.48262826374128</v>
      </c>
      <c r="L231" s="1">
        <f t="shared" si="65"/>
        <v>393089.1456354775</v>
      </c>
      <c r="N231" s="1">
        <f t="shared" si="73"/>
        <v>208</v>
      </c>
      <c r="O231" s="2">
        <f t="shared" si="78"/>
        <v>17</v>
      </c>
      <c r="P231" s="2">
        <f t="shared" si="79"/>
        <v>4</v>
      </c>
      <c r="Q231" s="2">
        <f t="shared" si="80"/>
        <v>17</v>
      </c>
      <c r="R231" s="1">
        <f t="shared" si="74"/>
        <v>3882782.8365759552</v>
      </c>
      <c r="S231" s="4">
        <f>IF($G$4="mensual",S228,IF($G$4="trimestral",S228,0))</f>
        <v>10000</v>
      </c>
      <c r="U231" s="1">
        <f t="shared" si="81"/>
        <v>31041.596998082998</v>
      </c>
      <c r="V231" s="1">
        <f t="shared" si="63"/>
        <v>-148.43001776138863</v>
      </c>
      <c r="X231" s="1">
        <f t="shared" si="66"/>
        <v>-3923.8244335740383</v>
      </c>
      <c r="Y231" s="1">
        <f t="shared" si="67"/>
        <v>3919752.1791227027</v>
      </c>
      <c r="AA231" s="2">
        <f>+Bono!J231</f>
        <v>227771.79075353706</v>
      </c>
      <c r="AC231" s="10">
        <f t="shared" si="68"/>
        <v>17.333333333333332</v>
      </c>
      <c r="AD231" s="1">
        <f t="shared" si="69"/>
        <v>4540613.1155117173</v>
      </c>
    </row>
    <row r="232" spans="2:30">
      <c r="B232" s="1">
        <f t="shared" si="70"/>
        <v>209</v>
      </c>
      <c r="C232" s="2">
        <f t="shared" si="75"/>
        <v>17</v>
      </c>
      <c r="D232" s="2">
        <f t="shared" si="76"/>
        <v>5</v>
      </c>
      <c r="E232" s="2">
        <f t="shared" si="77"/>
        <v>46</v>
      </c>
      <c r="F232" s="1">
        <f t="shared" si="71"/>
        <v>393089.1456354775</v>
      </c>
      <c r="H232" s="1">
        <f t="shared" si="64"/>
        <v>3134.5480483751007</v>
      </c>
      <c r="I232" s="1">
        <v>0</v>
      </c>
      <c r="J232" s="1">
        <v>0</v>
      </c>
      <c r="K232" s="1">
        <f t="shared" si="72"/>
        <v>-396.22369368385262</v>
      </c>
      <c r="L232" s="1">
        <f t="shared" si="65"/>
        <v>395827.46999016876</v>
      </c>
      <c r="N232" s="1">
        <f t="shared" si="73"/>
        <v>209</v>
      </c>
      <c r="O232" s="2">
        <f t="shared" si="78"/>
        <v>17</v>
      </c>
      <c r="P232" s="2">
        <f t="shared" si="79"/>
        <v>5</v>
      </c>
      <c r="Q232" s="2">
        <f t="shared" si="80"/>
        <v>17</v>
      </c>
      <c r="R232" s="1">
        <f t="shared" si="74"/>
        <v>3919752.1791227027</v>
      </c>
      <c r="S232" s="4">
        <f>IF($G$4="mensual",S231,0)</f>
        <v>10000</v>
      </c>
      <c r="U232" s="1">
        <f t="shared" si="81"/>
        <v>31336.39572711501</v>
      </c>
      <c r="V232" s="1">
        <f t="shared" si="63"/>
        <v>-148.43001776138863</v>
      </c>
      <c r="X232" s="1">
        <f t="shared" si="66"/>
        <v>-3961.0885748498181</v>
      </c>
      <c r="Y232" s="1">
        <f t="shared" si="67"/>
        <v>3956979.0562572065</v>
      </c>
      <c r="AA232" s="2">
        <f>+Bono!J232</f>
        <v>229184.00227610147</v>
      </c>
      <c r="AC232" s="10">
        <f t="shared" si="68"/>
        <v>17.416666666666668</v>
      </c>
      <c r="AD232" s="1">
        <f t="shared" si="69"/>
        <v>4581990.5285234768</v>
      </c>
    </row>
    <row r="233" spans="2:30">
      <c r="B233" s="1">
        <f t="shared" si="70"/>
        <v>210</v>
      </c>
      <c r="C233" s="2">
        <f t="shared" si="75"/>
        <v>17</v>
      </c>
      <c r="D233" s="2">
        <f t="shared" si="76"/>
        <v>6</v>
      </c>
      <c r="E233" s="2">
        <f t="shared" si="77"/>
        <v>46</v>
      </c>
      <c r="F233" s="1">
        <f t="shared" si="71"/>
        <v>395827.46999016876</v>
      </c>
      <c r="H233" s="1">
        <f t="shared" si="64"/>
        <v>3156.383831319296</v>
      </c>
      <c r="I233" s="1">
        <v>0</v>
      </c>
      <c r="J233" s="69">
        <f>-SUM(F233:H233)*$J$21</f>
        <v>-3590.8546843933927</v>
      </c>
      <c r="K233" s="1">
        <f t="shared" si="72"/>
        <v>-395.39299913709465</v>
      </c>
      <c r="L233" s="1">
        <f t="shared" si="65"/>
        <v>394997.60613795754</v>
      </c>
      <c r="N233" s="1">
        <f t="shared" si="73"/>
        <v>210</v>
      </c>
      <c r="O233" s="2">
        <f t="shared" si="78"/>
        <v>17</v>
      </c>
      <c r="P233" s="2">
        <f t="shared" si="79"/>
        <v>6</v>
      </c>
      <c r="Q233" s="2">
        <f t="shared" si="80"/>
        <v>17</v>
      </c>
      <c r="R233" s="1">
        <f t="shared" si="74"/>
        <v>3956979.0562572065</v>
      </c>
      <c r="S233" s="4">
        <f>IF($G$4="mensual",S232,0)</f>
        <v>10000</v>
      </c>
      <c r="U233" s="1">
        <f t="shared" si="81"/>
        <v>31633.24807311509</v>
      </c>
      <c r="V233" s="1">
        <f t="shared" si="63"/>
        <v>-148.43001776138863</v>
      </c>
      <c r="X233" s="1">
        <f t="shared" si="66"/>
        <v>-3998.6123043303214</v>
      </c>
      <c r="Y233" s="1">
        <f t="shared" si="67"/>
        <v>3994465.2620082297</v>
      </c>
      <c r="AA233" s="2">
        <f>+Bono!J233</f>
        <v>228527.44742459763</v>
      </c>
      <c r="AC233" s="10">
        <f t="shared" si="68"/>
        <v>17.5</v>
      </c>
      <c r="AD233" s="1">
        <f t="shared" si="69"/>
        <v>4617990.3155707847</v>
      </c>
    </row>
    <row r="234" spans="2:30">
      <c r="B234" s="1">
        <f t="shared" si="70"/>
        <v>211</v>
      </c>
      <c r="C234" s="2">
        <f t="shared" si="75"/>
        <v>17</v>
      </c>
      <c r="D234" s="2">
        <f t="shared" si="76"/>
        <v>7</v>
      </c>
      <c r="E234" s="2">
        <f t="shared" si="77"/>
        <v>46</v>
      </c>
      <c r="F234" s="1">
        <f t="shared" si="71"/>
        <v>394997.60613795754</v>
      </c>
      <c r="H234" s="1">
        <f t="shared" si="64"/>
        <v>3149.7663804248928</v>
      </c>
      <c r="I234" s="1">
        <v>0</v>
      </c>
      <c r="J234" s="1">
        <v>0</v>
      </c>
      <c r="K234" s="1">
        <f t="shared" si="72"/>
        <v>-398.14737251838244</v>
      </c>
      <c r="L234" s="1">
        <f t="shared" si="65"/>
        <v>397749.22514586407</v>
      </c>
      <c r="N234" s="1">
        <f t="shared" si="73"/>
        <v>211</v>
      </c>
      <c r="O234" s="2">
        <f t="shared" si="78"/>
        <v>17</v>
      </c>
      <c r="P234" s="2">
        <f t="shared" si="79"/>
        <v>7</v>
      </c>
      <c r="Q234" s="2">
        <f t="shared" si="80"/>
        <v>17</v>
      </c>
      <c r="R234" s="1">
        <f t="shared" si="74"/>
        <v>3994465.2620082297</v>
      </c>
      <c r="S234" s="1">
        <f>+IF($G$4="mensual",S228,IF($G$4="trimestral",S228,IF($G$4="semestral",S228,0)))</f>
        <v>10000</v>
      </c>
      <c r="U234" s="1">
        <f t="shared" si="81"/>
        <v>31932.168341920529</v>
      </c>
      <c r="V234" s="1">
        <f t="shared" si="63"/>
        <v>-148.43001776138863</v>
      </c>
      <c r="X234" s="1">
        <f t="shared" si="66"/>
        <v>-4036.3974303501504</v>
      </c>
      <c r="Y234" s="1">
        <f t="shared" si="67"/>
        <v>4032212.602902039</v>
      </c>
      <c r="AA234" s="2">
        <f>+Bono!J234</f>
        <v>229944.34410617335</v>
      </c>
      <c r="AC234" s="10">
        <f t="shared" si="68"/>
        <v>17.583333333333332</v>
      </c>
      <c r="AD234" s="1">
        <f t="shared" si="69"/>
        <v>4659906.1721540764</v>
      </c>
    </row>
    <row r="235" spans="2:30">
      <c r="B235" s="1">
        <f t="shared" si="70"/>
        <v>212</v>
      </c>
      <c r="C235" s="2">
        <f t="shared" si="75"/>
        <v>17</v>
      </c>
      <c r="D235" s="2">
        <f t="shared" si="76"/>
        <v>8</v>
      </c>
      <c r="E235" s="2">
        <f t="shared" si="77"/>
        <v>46</v>
      </c>
      <c r="F235" s="1">
        <f t="shared" si="71"/>
        <v>397749.22514586407</v>
      </c>
      <c r="H235" s="1">
        <f t="shared" si="64"/>
        <v>3171.7081768007806</v>
      </c>
      <c r="I235" s="1">
        <v>0</v>
      </c>
      <c r="J235" s="1">
        <v>0</v>
      </c>
      <c r="K235" s="1">
        <f t="shared" si="72"/>
        <v>-400.92093332266489</v>
      </c>
      <c r="L235" s="1">
        <f t="shared" si="65"/>
        <v>400520.01238934218</v>
      </c>
      <c r="N235" s="1">
        <f t="shared" si="73"/>
        <v>212</v>
      </c>
      <c r="O235" s="2">
        <f t="shared" si="78"/>
        <v>17</v>
      </c>
      <c r="P235" s="2">
        <f t="shared" si="79"/>
        <v>8</v>
      </c>
      <c r="Q235" s="2">
        <f t="shared" si="80"/>
        <v>17</v>
      </c>
      <c r="R235" s="1">
        <f t="shared" si="74"/>
        <v>4032212.602902039</v>
      </c>
      <c r="S235" s="4">
        <f>IF($G$4="mensual",S234,0)</f>
        <v>10000</v>
      </c>
      <c r="U235" s="1">
        <f t="shared" si="81"/>
        <v>32233.170939025465</v>
      </c>
      <c r="V235" s="1">
        <f t="shared" si="63"/>
        <v>-148.43001776138863</v>
      </c>
      <c r="X235" s="1">
        <f t="shared" si="66"/>
        <v>-4074.4457738410647</v>
      </c>
      <c r="Y235" s="1">
        <f t="shared" si="67"/>
        <v>4070222.8980494621</v>
      </c>
      <c r="AA235" s="2">
        <f>+Bono!J235</f>
        <v>231370.02571152468</v>
      </c>
      <c r="AC235" s="10">
        <f t="shared" si="68"/>
        <v>17.666666666666668</v>
      </c>
      <c r="AD235" s="1">
        <f t="shared" si="69"/>
        <v>4702112.9361503292</v>
      </c>
    </row>
    <row r="236" spans="2:30">
      <c r="B236" s="1">
        <f t="shared" si="70"/>
        <v>213</v>
      </c>
      <c r="C236" s="2">
        <f t="shared" si="75"/>
        <v>17</v>
      </c>
      <c r="D236" s="2">
        <f t="shared" si="76"/>
        <v>9</v>
      </c>
      <c r="E236" s="2">
        <f t="shared" si="77"/>
        <v>46</v>
      </c>
      <c r="F236" s="1">
        <f t="shared" si="71"/>
        <v>400520.01238934218</v>
      </c>
      <c r="H236" s="1">
        <f t="shared" si="64"/>
        <v>3193.80282337889</v>
      </c>
      <c r="I236" s="1">
        <v>0</v>
      </c>
      <c r="J236" s="69">
        <f>-SUM(F236:H236)*$J$21</f>
        <v>-3633.4243369144901</v>
      </c>
      <c r="K236" s="1">
        <f t="shared" si="72"/>
        <v>-400.08039087580659</v>
      </c>
      <c r="L236" s="1">
        <f t="shared" si="65"/>
        <v>399680.31048493076</v>
      </c>
      <c r="N236" s="1">
        <f t="shared" si="73"/>
        <v>213</v>
      </c>
      <c r="O236" s="2">
        <f t="shared" si="78"/>
        <v>17</v>
      </c>
      <c r="P236" s="2">
        <f t="shared" si="79"/>
        <v>9</v>
      </c>
      <c r="Q236" s="2">
        <f t="shared" si="80"/>
        <v>17</v>
      </c>
      <c r="R236" s="1">
        <f t="shared" si="74"/>
        <v>4070222.8980494621</v>
      </c>
      <c r="S236" s="4">
        <f>IF($G$4="mensual",S235,0)</f>
        <v>10000</v>
      </c>
      <c r="U236" s="1">
        <f t="shared" si="81"/>
        <v>32536.270370275099</v>
      </c>
      <c r="V236" s="1">
        <f t="shared" si="63"/>
        <v>-148.43001776138863</v>
      </c>
      <c r="X236" s="1">
        <f t="shared" si="66"/>
        <v>-4112.7591684197378</v>
      </c>
      <c r="Y236" s="1">
        <f t="shared" si="67"/>
        <v>4108497.9792335564</v>
      </c>
      <c r="AA236" s="2">
        <f>+Bono!J236</f>
        <v>230707.2084495656</v>
      </c>
      <c r="AC236" s="10">
        <f t="shared" si="68"/>
        <v>17.75</v>
      </c>
      <c r="AD236" s="1">
        <f t="shared" si="69"/>
        <v>4738885.4981680531</v>
      </c>
    </row>
    <row r="237" spans="2:30">
      <c r="B237" s="1">
        <f t="shared" si="70"/>
        <v>214</v>
      </c>
      <c r="C237" s="2">
        <f t="shared" si="75"/>
        <v>17</v>
      </c>
      <c r="D237" s="2">
        <f t="shared" si="76"/>
        <v>10</v>
      </c>
      <c r="E237" s="2">
        <f t="shared" si="77"/>
        <v>46</v>
      </c>
      <c r="F237" s="1">
        <f t="shared" si="71"/>
        <v>399680.31048493076</v>
      </c>
      <c r="H237" s="1">
        <f t="shared" si="64"/>
        <v>3187.1069224746952</v>
      </c>
      <c r="I237" s="1">
        <v>0</v>
      </c>
      <c r="J237" s="1">
        <v>0</v>
      </c>
      <c r="K237" s="1">
        <f t="shared" si="72"/>
        <v>-402.86741740740547</v>
      </c>
      <c r="L237" s="1">
        <f t="shared" si="65"/>
        <v>402464.54998999805</v>
      </c>
      <c r="N237" s="1">
        <f t="shared" si="73"/>
        <v>214</v>
      </c>
      <c r="O237" s="2">
        <f t="shared" si="78"/>
        <v>17</v>
      </c>
      <c r="P237" s="2">
        <f t="shared" si="79"/>
        <v>10</v>
      </c>
      <c r="Q237" s="2">
        <f t="shared" si="80"/>
        <v>17</v>
      </c>
      <c r="R237" s="1">
        <f t="shared" si="74"/>
        <v>4108497.9792335564</v>
      </c>
      <c r="S237" s="4">
        <f>IF($G$4="mensual",S228,IF($G$4="trimestral",S228,0))</f>
        <v>10000</v>
      </c>
      <c r="U237" s="1">
        <f t="shared" si="81"/>
        <v>32841.481242564761</v>
      </c>
      <c r="V237" s="1">
        <f t="shared" si="63"/>
        <v>-148.43001776138863</v>
      </c>
      <c r="X237" s="1">
        <f t="shared" si="66"/>
        <v>-4151.3394604761215</v>
      </c>
      <c r="Y237" s="1">
        <f t="shared" si="67"/>
        <v>4147039.6909978837</v>
      </c>
      <c r="AA237" s="2">
        <f>+Bono!J237</f>
        <v>232137.61990233272</v>
      </c>
      <c r="AC237" s="10">
        <f t="shared" si="68"/>
        <v>17.833333333333332</v>
      </c>
      <c r="AD237" s="1">
        <f t="shared" si="69"/>
        <v>4781641.8608902143</v>
      </c>
    </row>
    <row r="238" spans="2:30">
      <c r="B238" s="1">
        <f t="shared" si="70"/>
        <v>215</v>
      </c>
      <c r="C238" s="2">
        <f t="shared" si="75"/>
        <v>17</v>
      </c>
      <c r="D238" s="2">
        <f t="shared" si="76"/>
        <v>11</v>
      </c>
      <c r="E238" s="2">
        <f t="shared" si="77"/>
        <v>46</v>
      </c>
      <c r="F238" s="1">
        <f t="shared" si="71"/>
        <v>402464.54998999805</v>
      </c>
      <c r="H238" s="1">
        <f t="shared" si="64"/>
        <v>3209.3088392758036</v>
      </c>
      <c r="I238" s="1">
        <v>0</v>
      </c>
      <c r="J238" s="1">
        <v>0</v>
      </c>
      <c r="K238" s="1">
        <f t="shared" si="72"/>
        <v>-405.67385882927385</v>
      </c>
      <c r="L238" s="1">
        <f t="shared" si="65"/>
        <v>405268.18497044459</v>
      </c>
      <c r="N238" s="1">
        <f t="shared" si="73"/>
        <v>215</v>
      </c>
      <c r="O238" s="2">
        <f t="shared" si="78"/>
        <v>17</v>
      </c>
      <c r="P238" s="2">
        <f t="shared" si="79"/>
        <v>11</v>
      </c>
      <c r="Q238" s="2">
        <f t="shared" si="80"/>
        <v>17</v>
      </c>
      <c r="R238" s="1">
        <f t="shared" si="74"/>
        <v>4147039.6909978837</v>
      </c>
      <c r="S238" s="1">
        <f>IF($G$17="si",S226*(1+$G$20),S226)</f>
        <v>10000</v>
      </c>
      <c r="U238" s="1">
        <f t="shared" si="81"/>
        <v>33148.818264543836</v>
      </c>
      <c r="V238" s="1">
        <f t="shared" si="63"/>
        <v>-148.43001776138863</v>
      </c>
      <c r="X238" s="1">
        <f t="shared" si="66"/>
        <v>-4190.1885092624279</v>
      </c>
      <c r="Y238" s="1">
        <f t="shared" si="67"/>
        <v>4185849.8907354036</v>
      </c>
      <c r="AA238" s="2">
        <f>+Bono!J238</f>
        <v>233576.90007202449</v>
      </c>
      <c r="AC238" s="10">
        <f t="shared" si="68"/>
        <v>17.916666666666668</v>
      </c>
      <c r="AD238" s="1">
        <f t="shared" si="69"/>
        <v>4824694.9757778728</v>
      </c>
    </row>
    <row r="239" spans="2:30">
      <c r="B239" s="1">
        <f t="shared" si="70"/>
        <v>216</v>
      </c>
      <c r="C239" s="2">
        <f t="shared" si="75"/>
        <v>17</v>
      </c>
      <c r="D239" s="2">
        <f t="shared" si="76"/>
        <v>12</v>
      </c>
      <c r="E239" s="2">
        <f t="shared" si="77"/>
        <v>46</v>
      </c>
      <c r="F239" s="1">
        <f t="shared" si="71"/>
        <v>405268.18497044459</v>
      </c>
      <c r="H239" s="1">
        <f t="shared" si="64"/>
        <v>3231.6654183212713</v>
      </c>
      <c r="I239" s="1">
        <v>0</v>
      </c>
      <c r="J239" s="69">
        <f>-SUM(F239:H239)*$J$21</f>
        <v>-3676.498653498893</v>
      </c>
      <c r="K239" s="1">
        <f t="shared" si="72"/>
        <v>-404.82335173526695</v>
      </c>
      <c r="L239" s="1">
        <f t="shared" si="65"/>
        <v>404418.52838353172</v>
      </c>
      <c r="N239" s="1">
        <f t="shared" si="73"/>
        <v>216</v>
      </c>
      <c r="O239" s="2">
        <f t="shared" si="78"/>
        <v>17</v>
      </c>
      <c r="P239" s="2">
        <f t="shared" si="79"/>
        <v>12</v>
      </c>
      <c r="Q239" s="2">
        <f t="shared" si="80"/>
        <v>17</v>
      </c>
      <c r="R239" s="1">
        <f t="shared" si="74"/>
        <v>4185849.8907354036</v>
      </c>
      <c r="S239" s="4">
        <f>IF($G$4="mensual",S238,0)</f>
        <v>10000</v>
      </c>
      <c r="U239" s="1">
        <f t="shared" si="81"/>
        <v>33458.296247324623</v>
      </c>
      <c r="V239" s="1">
        <f t="shared" si="63"/>
        <v>-148.43001776138863</v>
      </c>
      <c r="X239" s="1">
        <f t="shared" si="66"/>
        <v>-4229.3081869827283</v>
      </c>
      <c r="Y239" s="1">
        <f t="shared" si="67"/>
        <v>4224930.4487779848</v>
      </c>
      <c r="AA239" s="2">
        <f>+Bono!J239</f>
        <v>232907.7606669243</v>
      </c>
      <c r="AC239" s="10">
        <f t="shared" si="68"/>
        <v>18</v>
      </c>
      <c r="AD239" s="1">
        <f t="shared" si="69"/>
        <v>4862256.737828441</v>
      </c>
    </row>
    <row r="240" spans="2:30">
      <c r="B240" s="1">
        <f t="shared" si="70"/>
        <v>217</v>
      </c>
      <c r="C240" s="2">
        <f t="shared" si="75"/>
        <v>18</v>
      </c>
      <c r="D240" s="2">
        <f t="shared" si="76"/>
        <v>1</v>
      </c>
      <c r="E240" s="2">
        <f t="shared" si="77"/>
        <v>47</v>
      </c>
      <c r="F240" s="1">
        <f t="shared" si="71"/>
        <v>404418.52838353172</v>
      </c>
      <c r="H240" s="1">
        <f t="shared" si="64"/>
        <v>3224.8901373808849</v>
      </c>
      <c r="I240" s="1">
        <v>0</v>
      </c>
      <c r="J240" s="1">
        <v>0</v>
      </c>
      <c r="K240" s="1">
        <f t="shared" si="72"/>
        <v>-407.64341852091258</v>
      </c>
      <c r="L240" s="1">
        <f t="shared" si="65"/>
        <v>407235.77510239166</v>
      </c>
      <c r="N240" s="1">
        <f t="shared" si="73"/>
        <v>217</v>
      </c>
      <c r="O240" s="2">
        <f t="shared" si="78"/>
        <v>18</v>
      </c>
      <c r="P240" s="2">
        <f t="shared" si="79"/>
        <v>1</v>
      </c>
      <c r="Q240" s="2">
        <f t="shared" si="80"/>
        <v>18</v>
      </c>
      <c r="R240" s="1">
        <f t="shared" si="74"/>
        <v>4224930.4487779848</v>
      </c>
      <c r="S240" s="1">
        <f>IF($G$17="si",S228*(1+$G$20),S228)</f>
        <v>10000</v>
      </c>
      <c r="U240" s="1">
        <f t="shared" si="81"/>
        <v>33769.930105196094</v>
      </c>
      <c r="V240" s="1">
        <f>V239*(1+$G$18)</f>
        <v>-154.36721847184418</v>
      </c>
      <c r="X240" s="1">
        <f t="shared" si="66"/>
        <v>-4268.7003788831817</v>
      </c>
      <c r="Y240" s="1">
        <f t="shared" si="67"/>
        <v>4264277.3112858254</v>
      </c>
      <c r="AA240" s="2">
        <f>+Bono!J240</f>
        <v>234351.81579868731</v>
      </c>
      <c r="AC240" s="10">
        <f t="shared" si="68"/>
        <v>18.083333333333332</v>
      </c>
      <c r="AD240" s="1">
        <f t="shared" si="69"/>
        <v>4905864.902186905</v>
      </c>
    </row>
    <row r="241" spans="2:30">
      <c r="B241" s="1">
        <f t="shared" si="70"/>
        <v>218</v>
      </c>
      <c r="C241" s="2">
        <f t="shared" si="75"/>
        <v>18</v>
      </c>
      <c r="D241" s="2">
        <f t="shared" si="76"/>
        <v>2</v>
      </c>
      <c r="E241" s="2">
        <f t="shared" si="77"/>
        <v>47</v>
      </c>
      <c r="F241" s="1">
        <f t="shared" si="71"/>
        <v>407235.77510239166</v>
      </c>
      <c r="H241" s="1">
        <f t="shared" si="64"/>
        <v>3247.3552583399423</v>
      </c>
      <c r="I241" s="1">
        <v>0</v>
      </c>
      <c r="J241" s="1">
        <v>0</v>
      </c>
      <c r="K241" s="1">
        <f t="shared" si="72"/>
        <v>-410.48313036073165</v>
      </c>
      <c r="L241" s="1">
        <f t="shared" si="65"/>
        <v>410072.6472303709</v>
      </c>
      <c r="N241" s="1">
        <f t="shared" si="73"/>
        <v>218</v>
      </c>
      <c r="O241" s="2">
        <f t="shared" si="78"/>
        <v>18</v>
      </c>
      <c r="P241" s="2">
        <f t="shared" si="79"/>
        <v>2</v>
      </c>
      <c r="Q241" s="2">
        <f t="shared" si="80"/>
        <v>18</v>
      </c>
      <c r="R241" s="1">
        <f t="shared" si="74"/>
        <v>4264277.3112858254</v>
      </c>
      <c r="S241" s="4">
        <f>IF($G$4="mensual",S240,0)</f>
        <v>10000</v>
      </c>
      <c r="U241" s="1">
        <f t="shared" si="81"/>
        <v>34083.687512270379</v>
      </c>
      <c r="V241" s="1">
        <f>V240</f>
        <v>-154.36721847184418</v>
      </c>
      <c r="X241" s="1">
        <f t="shared" si="66"/>
        <v>-4308.3609987980954</v>
      </c>
      <c r="Y241" s="1">
        <f t="shared" si="67"/>
        <v>4303898.2705808254</v>
      </c>
      <c r="AA241" s="2">
        <f>+Bono!J241</f>
        <v>235804.8242397673</v>
      </c>
      <c r="AC241" s="10">
        <f t="shared" si="68"/>
        <v>18.166666666666668</v>
      </c>
      <c r="AD241" s="1">
        <f t="shared" si="69"/>
        <v>4949775.7420509635</v>
      </c>
    </row>
    <row r="242" spans="2:30">
      <c r="B242" s="1">
        <f t="shared" si="70"/>
        <v>219</v>
      </c>
      <c r="C242" s="2">
        <f t="shared" si="75"/>
        <v>18</v>
      </c>
      <c r="D242" s="2">
        <f t="shared" si="76"/>
        <v>3</v>
      </c>
      <c r="E242" s="2">
        <f t="shared" si="77"/>
        <v>47</v>
      </c>
      <c r="F242" s="1">
        <f t="shared" si="71"/>
        <v>410072.6472303709</v>
      </c>
      <c r="H242" s="1">
        <f t="shared" si="64"/>
        <v>3269.976875067292</v>
      </c>
      <c r="I242" s="1">
        <v>0</v>
      </c>
      <c r="J242" s="69">
        <f>-SUM(F242:H242)*$J$21</f>
        <v>-3720.0836169489439</v>
      </c>
      <c r="K242" s="1">
        <f t="shared" si="72"/>
        <v>-409.62254048848928</v>
      </c>
      <c r="L242" s="1">
        <f t="shared" si="65"/>
        <v>409212.91794800077</v>
      </c>
      <c r="N242" s="1">
        <f t="shared" si="73"/>
        <v>219</v>
      </c>
      <c r="O242" s="2">
        <f t="shared" si="78"/>
        <v>18</v>
      </c>
      <c r="P242" s="2">
        <f t="shared" si="79"/>
        <v>3</v>
      </c>
      <c r="Q242" s="2">
        <f t="shared" si="80"/>
        <v>18</v>
      </c>
      <c r="R242" s="1">
        <f t="shared" si="74"/>
        <v>4303898.2705808254</v>
      </c>
      <c r="S242" s="4">
        <f>IF($G$4="mensual",S241,0)</f>
        <v>10000</v>
      </c>
      <c r="U242" s="1">
        <f t="shared" si="81"/>
        <v>34399.630605616592</v>
      </c>
      <c r="V242" s="1">
        <f t="shared" si="63"/>
        <v>-154.36721847184418</v>
      </c>
      <c r="X242" s="1">
        <f t="shared" si="66"/>
        <v>-4348.2979011864418</v>
      </c>
      <c r="Y242" s="1">
        <f t="shared" si="67"/>
        <v>4343795.2360667838</v>
      </c>
      <c r="AA242" s="2">
        <f>+Bono!J242</f>
        <v>235129.30238909242</v>
      </c>
      <c r="AC242" s="10">
        <f t="shared" si="68"/>
        <v>18.25</v>
      </c>
      <c r="AD242" s="1">
        <f t="shared" si="69"/>
        <v>4988137.4564038776</v>
      </c>
    </row>
    <row r="243" spans="2:30">
      <c r="B243" s="1">
        <f t="shared" si="70"/>
        <v>220</v>
      </c>
      <c r="C243" s="2">
        <f t="shared" si="75"/>
        <v>18</v>
      </c>
      <c r="D243" s="2">
        <f t="shared" si="76"/>
        <v>4</v>
      </c>
      <c r="E243" s="2">
        <f t="shared" si="77"/>
        <v>47</v>
      </c>
      <c r="F243" s="1">
        <f t="shared" si="71"/>
        <v>409212.91794800077</v>
      </c>
      <c r="H243" s="1">
        <f t="shared" si="64"/>
        <v>3263.121273038832</v>
      </c>
      <c r="I243" s="1">
        <v>0</v>
      </c>
      <c r="J243" s="1">
        <v>0</v>
      </c>
      <c r="K243" s="1">
        <f t="shared" si="72"/>
        <v>-412.47603922103963</v>
      </c>
      <c r="L243" s="1">
        <f t="shared" si="65"/>
        <v>412063.56318181858</v>
      </c>
      <c r="N243" s="1">
        <f t="shared" si="73"/>
        <v>220</v>
      </c>
      <c r="O243" s="2">
        <f t="shared" si="78"/>
        <v>18</v>
      </c>
      <c r="P243" s="2">
        <f t="shared" si="79"/>
        <v>4</v>
      </c>
      <c r="Q243" s="2">
        <f t="shared" si="80"/>
        <v>18</v>
      </c>
      <c r="R243" s="1">
        <f t="shared" si="74"/>
        <v>4343795.2360667838</v>
      </c>
      <c r="S243" s="4">
        <f>IF($G$4="mensual",S240,IF($G$4="trimestral",S240,0))</f>
        <v>10000</v>
      </c>
      <c r="U243" s="1">
        <f t="shared" si="81"/>
        <v>34717.774611088746</v>
      </c>
      <c r="V243" s="1">
        <f t="shared" si="63"/>
        <v>-154.36721847184418</v>
      </c>
      <c r="X243" s="1">
        <f t="shared" si="66"/>
        <v>-4388.5130106778724</v>
      </c>
      <c r="Y243" s="1">
        <f t="shared" si="67"/>
        <v>4383970.1304487223</v>
      </c>
      <c r="AA243" s="2">
        <f>+Bono!J243</f>
        <v>236587.13133721577</v>
      </c>
      <c r="AC243" s="10">
        <f t="shared" si="68"/>
        <v>18.333333333333332</v>
      </c>
      <c r="AD243" s="1">
        <f t="shared" si="69"/>
        <v>5032620.8249677569</v>
      </c>
    </row>
    <row r="244" spans="2:30">
      <c r="B244" s="1">
        <f t="shared" si="70"/>
        <v>221</v>
      </c>
      <c r="C244" s="2">
        <f t="shared" si="75"/>
        <v>18</v>
      </c>
      <c r="D244" s="2">
        <f t="shared" si="76"/>
        <v>5</v>
      </c>
      <c r="E244" s="2">
        <f t="shared" si="77"/>
        <v>47</v>
      </c>
      <c r="F244" s="1">
        <f t="shared" si="71"/>
        <v>412063.56318181858</v>
      </c>
      <c r="H244" s="1">
        <f t="shared" si="64"/>
        <v>3285.8527184462801</v>
      </c>
      <c r="I244" s="1">
        <v>0</v>
      </c>
      <c r="J244" s="1">
        <v>0</v>
      </c>
      <c r="K244" s="1">
        <f t="shared" si="72"/>
        <v>-415.34941590026489</v>
      </c>
      <c r="L244" s="1">
        <f t="shared" si="65"/>
        <v>414934.06648436462</v>
      </c>
      <c r="N244" s="1">
        <f t="shared" si="73"/>
        <v>221</v>
      </c>
      <c r="O244" s="2">
        <f t="shared" si="78"/>
        <v>18</v>
      </c>
      <c r="P244" s="2">
        <f t="shared" si="79"/>
        <v>5</v>
      </c>
      <c r="Q244" s="2">
        <f t="shared" si="80"/>
        <v>18</v>
      </c>
      <c r="R244" s="1">
        <f t="shared" si="74"/>
        <v>4383970.1304487223</v>
      </c>
      <c r="S244" s="4">
        <f>IF($G$4="mensual",S243,0)</f>
        <v>10000</v>
      </c>
      <c r="U244" s="1">
        <f t="shared" si="81"/>
        <v>35038.134860606704</v>
      </c>
      <c r="V244" s="1">
        <f t="shared" si="63"/>
        <v>-154.36721847184418</v>
      </c>
      <c r="X244" s="1">
        <f t="shared" si="66"/>
        <v>-4429.0082653093295</v>
      </c>
      <c r="Y244" s="1">
        <f t="shared" si="67"/>
        <v>4424424.889825548</v>
      </c>
      <c r="AA244" s="2">
        <f>+Bono!J244</f>
        <v>238053.99899391519</v>
      </c>
      <c r="AC244" s="10">
        <f t="shared" si="68"/>
        <v>18.416666666666668</v>
      </c>
      <c r="AD244" s="1">
        <f t="shared" si="69"/>
        <v>5077412.9553038282</v>
      </c>
    </row>
    <row r="245" spans="2:30">
      <c r="B245" s="1">
        <f t="shared" si="70"/>
        <v>222</v>
      </c>
      <c r="C245" s="2">
        <f t="shared" si="75"/>
        <v>18</v>
      </c>
      <c r="D245" s="2">
        <f t="shared" si="76"/>
        <v>6</v>
      </c>
      <c r="E245" s="2">
        <f t="shared" si="77"/>
        <v>47</v>
      </c>
      <c r="F245" s="1">
        <f t="shared" si="71"/>
        <v>414934.06648436462</v>
      </c>
      <c r="H245" s="1">
        <f t="shared" si="64"/>
        <v>3308.7425148824145</v>
      </c>
      <c r="I245" s="1">
        <v>0</v>
      </c>
      <c r="J245" s="69">
        <f>-SUM(F245:H245)*$J$21</f>
        <v>-3764.1852809932238</v>
      </c>
      <c r="K245" s="1">
        <f t="shared" si="72"/>
        <v>-414.4786237182538</v>
      </c>
      <c r="L245" s="1">
        <f t="shared" si="65"/>
        <v>414064.14509453555</v>
      </c>
      <c r="N245" s="1">
        <f t="shared" si="73"/>
        <v>222</v>
      </c>
      <c r="O245" s="2">
        <f t="shared" si="78"/>
        <v>18</v>
      </c>
      <c r="P245" s="2">
        <f t="shared" si="79"/>
        <v>6</v>
      </c>
      <c r="Q245" s="2">
        <f t="shared" si="80"/>
        <v>18</v>
      </c>
      <c r="R245" s="1">
        <f t="shared" si="74"/>
        <v>4424424.889825548</v>
      </c>
      <c r="S245" s="4">
        <f>IF($G$4="mensual",S244,0)</f>
        <v>10000</v>
      </c>
      <c r="U245" s="1">
        <f t="shared" si="81"/>
        <v>35360.726792895024</v>
      </c>
      <c r="V245" s="1">
        <f t="shared" si="63"/>
        <v>-154.36721847184418</v>
      </c>
      <c r="X245" s="1">
        <f t="shared" si="66"/>
        <v>-4469.7856166184438</v>
      </c>
      <c r="Y245" s="1">
        <f t="shared" si="67"/>
        <v>4465161.4637833526</v>
      </c>
      <c r="AA245" s="2">
        <f>+Bono!J245</f>
        <v>237372.03382005001</v>
      </c>
      <c r="AC245" s="10">
        <f t="shared" si="68"/>
        <v>18.5</v>
      </c>
      <c r="AD245" s="1">
        <f t="shared" si="69"/>
        <v>5116597.6426979378</v>
      </c>
    </row>
    <row r="246" spans="2:30">
      <c r="B246" s="1">
        <f t="shared" si="70"/>
        <v>223</v>
      </c>
      <c r="C246" s="2">
        <f t="shared" si="75"/>
        <v>18</v>
      </c>
      <c r="D246" s="2">
        <f t="shared" si="76"/>
        <v>7</v>
      </c>
      <c r="E246" s="2">
        <f t="shared" si="77"/>
        <v>47</v>
      </c>
      <c r="F246" s="1">
        <f t="shared" si="71"/>
        <v>414064.14509453555</v>
      </c>
      <c r="H246" s="1">
        <f t="shared" si="64"/>
        <v>3301.8056395578101</v>
      </c>
      <c r="I246" s="1">
        <v>0</v>
      </c>
      <c r="J246" s="1">
        <v>0</v>
      </c>
      <c r="K246" s="1">
        <f t="shared" si="72"/>
        <v>-417.36595073409336</v>
      </c>
      <c r="L246" s="1">
        <f t="shared" si="65"/>
        <v>416948.58478335926</v>
      </c>
      <c r="N246" s="1">
        <f t="shared" si="73"/>
        <v>223</v>
      </c>
      <c r="O246" s="2">
        <f t="shared" si="78"/>
        <v>18</v>
      </c>
      <c r="P246" s="2">
        <f t="shared" si="79"/>
        <v>7</v>
      </c>
      <c r="Q246" s="2">
        <f t="shared" si="80"/>
        <v>18</v>
      </c>
      <c r="R246" s="1">
        <f t="shared" si="74"/>
        <v>4465161.4637833526</v>
      </c>
      <c r="S246" s="1">
        <f>+IF($G$4="mensual",S240,IF($G$4="trimestral",S240,IF($G$4="semestral",S240,0)))</f>
        <v>10000</v>
      </c>
      <c r="U246" s="1">
        <f t="shared" si="81"/>
        <v>35685.565954226979</v>
      </c>
      <c r="V246" s="1">
        <f t="shared" si="63"/>
        <v>-154.36721847184418</v>
      </c>
      <c r="X246" s="1">
        <f t="shared" si="66"/>
        <v>-4510.8470297375798</v>
      </c>
      <c r="Y246" s="1">
        <f t="shared" si="67"/>
        <v>4506181.8154893704</v>
      </c>
      <c r="AA246" s="2">
        <f>+Bono!J246</f>
        <v>238843.76796318605</v>
      </c>
      <c r="AC246" s="10">
        <f t="shared" si="68"/>
        <v>18.583333333333332</v>
      </c>
      <c r="AD246" s="1">
        <f t="shared" si="69"/>
        <v>5161974.1682359157</v>
      </c>
    </row>
    <row r="247" spans="2:30">
      <c r="B247" s="1">
        <f t="shared" si="70"/>
        <v>224</v>
      </c>
      <c r="C247" s="2">
        <f t="shared" si="75"/>
        <v>18</v>
      </c>
      <c r="D247" s="2">
        <f t="shared" si="76"/>
        <v>8</v>
      </c>
      <c r="E247" s="2">
        <f t="shared" si="77"/>
        <v>47</v>
      </c>
      <c r="F247" s="1">
        <f t="shared" si="71"/>
        <v>416948.58478335926</v>
      </c>
      <c r="H247" s="1">
        <f t="shared" si="64"/>
        <v>3324.8065666951939</v>
      </c>
      <c r="I247" s="1">
        <v>0</v>
      </c>
      <c r="J247" s="1">
        <v>0</v>
      </c>
      <c r="K247" s="1">
        <f t="shared" si="72"/>
        <v>-420.27339135005451</v>
      </c>
      <c r="L247" s="1">
        <f t="shared" si="65"/>
        <v>419853.11795870442</v>
      </c>
      <c r="N247" s="1">
        <f t="shared" si="73"/>
        <v>224</v>
      </c>
      <c r="O247" s="2">
        <f t="shared" si="78"/>
        <v>18</v>
      </c>
      <c r="P247" s="2">
        <f t="shared" si="79"/>
        <v>8</v>
      </c>
      <c r="Q247" s="2">
        <f t="shared" si="80"/>
        <v>18</v>
      </c>
      <c r="R247" s="1">
        <f t="shared" si="74"/>
        <v>4506181.8154893704</v>
      </c>
      <c r="S247" s="4">
        <f>IF($G$4="mensual",S246,0)</f>
        <v>10000</v>
      </c>
      <c r="U247" s="1">
        <f t="shared" si="81"/>
        <v>36012.667999173791</v>
      </c>
      <c r="V247" s="1">
        <f t="shared" si="63"/>
        <v>-154.36721847184418</v>
      </c>
      <c r="X247" s="1">
        <f t="shared" si="66"/>
        <v>-4552.1944834885444</v>
      </c>
      <c r="Y247" s="1">
        <f t="shared" si="67"/>
        <v>4547487.921786583</v>
      </c>
      <c r="AA247" s="2">
        <f>+Bono!J247</f>
        <v>240324.62702872013</v>
      </c>
      <c r="AC247" s="10">
        <f t="shared" si="68"/>
        <v>18.666666666666668</v>
      </c>
      <c r="AD247" s="1">
        <f t="shared" si="69"/>
        <v>5207665.6667740075</v>
      </c>
    </row>
    <row r="248" spans="2:30">
      <c r="B248" s="1">
        <f t="shared" si="70"/>
        <v>225</v>
      </c>
      <c r="C248" s="2">
        <f t="shared" si="75"/>
        <v>18</v>
      </c>
      <c r="D248" s="2">
        <f t="shared" si="76"/>
        <v>9</v>
      </c>
      <c r="E248" s="2">
        <f t="shared" si="77"/>
        <v>47</v>
      </c>
      <c r="F248" s="1">
        <f t="shared" si="71"/>
        <v>419853.11795870442</v>
      </c>
      <c r="H248" s="1">
        <f t="shared" si="64"/>
        <v>3347.9677221158058</v>
      </c>
      <c r="I248" s="1">
        <v>0</v>
      </c>
      <c r="J248" s="69">
        <f>-SUM(F248:H248)*$J$21</f>
        <v>-3808.8097711273826</v>
      </c>
      <c r="K248" s="1">
        <f t="shared" si="72"/>
        <v>-419.3922759096929</v>
      </c>
      <c r="L248" s="1">
        <f t="shared" si="65"/>
        <v>418972.88363378315</v>
      </c>
      <c r="N248" s="1">
        <f t="shared" si="73"/>
        <v>225</v>
      </c>
      <c r="O248" s="2">
        <f t="shared" si="78"/>
        <v>18</v>
      </c>
      <c r="P248" s="2">
        <f t="shared" si="79"/>
        <v>9</v>
      </c>
      <c r="Q248" s="2">
        <f t="shared" si="80"/>
        <v>18</v>
      </c>
      <c r="R248" s="1">
        <f t="shared" si="74"/>
        <v>4547487.921786583</v>
      </c>
      <c r="S248" s="4">
        <f>IF($G$4="mensual",S247,0)</f>
        <v>10000</v>
      </c>
      <c r="U248" s="1">
        <f t="shared" si="81"/>
        <v>36342.048691358992</v>
      </c>
      <c r="V248" s="1">
        <f t="shared" si="63"/>
        <v>-154.36721847184418</v>
      </c>
      <c r="X248" s="1">
        <f t="shared" si="66"/>
        <v>-4593.8299704779429</v>
      </c>
      <c r="Y248" s="1">
        <f t="shared" si="67"/>
        <v>4589081.7732889922</v>
      </c>
      <c r="AA248" s="2">
        <f>+Bono!J248</f>
        <v>239636.1570733806</v>
      </c>
      <c r="AC248" s="10">
        <f t="shared" si="68"/>
        <v>18.75</v>
      </c>
      <c r="AD248" s="1">
        <f t="shared" si="69"/>
        <v>5247690.8139961557</v>
      </c>
    </row>
    <row r="249" spans="2:30">
      <c r="B249" s="1">
        <f t="shared" si="70"/>
        <v>226</v>
      </c>
      <c r="C249" s="2">
        <f t="shared" si="75"/>
        <v>18</v>
      </c>
      <c r="D249" s="2">
        <f t="shared" si="76"/>
        <v>10</v>
      </c>
      <c r="E249" s="2">
        <f t="shared" si="77"/>
        <v>47</v>
      </c>
      <c r="F249" s="1">
        <f t="shared" si="71"/>
        <v>418972.88363378315</v>
      </c>
      <c r="H249" s="1">
        <f t="shared" si="64"/>
        <v>3340.9486099985425</v>
      </c>
      <c r="I249" s="1">
        <v>0</v>
      </c>
      <c r="J249" s="1">
        <v>0</v>
      </c>
      <c r="K249" s="1">
        <f t="shared" si="72"/>
        <v>-422.31383224378175</v>
      </c>
      <c r="L249" s="1">
        <f t="shared" si="65"/>
        <v>421891.51841153792</v>
      </c>
      <c r="N249" s="1">
        <f t="shared" si="73"/>
        <v>226</v>
      </c>
      <c r="O249" s="2">
        <f t="shared" si="78"/>
        <v>18</v>
      </c>
      <c r="P249" s="2">
        <f t="shared" si="79"/>
        <v>10</v>
      </c>
      <c r="Q249" s="2">
        <f t="shared" si="80"/>
        <v>18</v>
      </c>
      <c r="R249" s="1">
        <f t="shared" si="74"/>
        <v>4589081.7732889922</v>
      </c>
      <c r="S249" s="4">
        <f>IF($G$4="mensual",S240,IF($G$4="trimestral",S240,0))</f>
        <v>10000</v>
      </c>
      <c r="U249" s="1">
        <f t="shared" si="81"/>
        <v>36673.723904218168</v>
      </c>
      <c r="V249" s="1">
        <f t="shared" si="63"/>
        <v>-154.36721847184418</v>
      </c>
      <c r="X249" s="1">
        <f t="shared" si="66"/>
        <v>-4635.7554971932104</v>
      </c>
      <c r="Y249" s="1">
        <f t="shared" si="67"/>
        <v>4630965.3744775457</v>
      </c>
      <c r="AA249" s="2">
        <f>+Bono!J249</f>
        <v>241121.92904330933</v>
      </c>
      <c r="AC249" s="10">
        <f t="shared" si="68"/>
        <v>18.833333333333332</v>
      </c>
      <c r="AD249" s="1">
        <f t="shared" si="69"/>
        <v>5293978.8219323931</v>
      </c>
    </row>
    <row r="250" spans="2:30">
      <c r="B250" s="1">
        <f t="shared" si="70"/>
        <v>227</v>
      </c>
      <c r="C250" s="2">
        <f t="shared" si="75"/>
        <v>18</v>
      </c>
      <c r="D250" s="2">
        <f t="shared" si="76"/>
        <v>11</v>
      </c>
      <c r="E250" s="2">
        <f t="shared" si="77"/>
        <v>47</v>
      </c>
      <c r="F250" s="1">
        <f t="shared" si="71"/>
        <v>421891.51841153792</v>
      </c>
      <c r="H250" s="1">
        <f t="shared" si="64"/>
        <v>3364.2222135770412</v>
      </c>
      <c r="I250" s="1">
        <v>0</v>
      </c>
      <c r="J250" s="1">
        <v>0</v>
      </c>
      <c r="K250" s="1">
        <f t="shared" si="72"/>
        <v>-425.25574062511492</v>
      </c>
      <c r="L250" s="1">
        <f t="shared" si="65"/>
        <v>424830.48488448979</v>
      </c>
      <c r="N250" s="1">
        <f t="shared" si="73"/>
        <v>227</v>
      </c>
      <c r="O250" s="2">
        <f t="shared" si="78"/>
        <v>18</v>
      </c>
      <c r="P250" s="2">
        <f t="shared" si="79"/>
        <v>11</v>
      </c>
      <c r="Q250" s="2">
        <f t="shared" si="80"/>
        <v>18</v>
      </c>
      <c r="R250" s="1">
        <f t="shared" si="74"/>
        <v>4630965.3744775457</v>
      </c>
      <c r="S250" s="1">
        <f>IF($G$17="si",S238*(1+$G$20),S238)</f>
        <v>10000</v>
      </c>
      <c r="U250" s="1">
        <f t="shared" si="81"/>
        <v>37007.709621763897</v>
      </c>
      <c r="V250" s="1">
        <f t="shared" si="63"/>
        <v>-154.36721847184418</v>
      </c>
      <c r="X250" s="1">
        <f t="shared" si="66"/>
        <v>-4677.9730840993097</v>
      </c>
      <c r="Y250" s="1">
        <f t="shared" si="67"/>
        <v>4673140.7437967379</v>
      </c>
      <c r="AA250" s="2">
        <f>+Bono!J250</f>
        <v>242616.9129717905</v>
      </c>
      <c r="AC250" s="10">
        <f t="shared" si="68"/>
        <v>18.916666666666668</v>
      </c>
      <c r="AD250" s="1">
        <f t="shared" si="69"/>
        <v>5340588.1416530181</v>
      </c>
    </row>
    <row r="251" spans="2:30">
      <c r="B251" s="1">
        <f t="shared" si="70"/>
        <v>228</v>
      </c>
      <c r="C251" s="2">
        <f t="shared" si="75"/>
        <v>18</v>
      </c>
      <c r="D251" s="2">
        <f t="shared" si="76"/>
        <v>12</v>
      </c>
      <c r="E251" s="2">
        <f t="shared" si="77"/>
        <v>47</v>
      </c>
      <c r="F251" s="1">
        <f t="shared" si="71"/>
        <v>424830.48488448979</v>
      </c>
      <c r="H251" s="1">
        <f t="shared" si="64"/>
        <v>3387.6579449481997</v>
      </c>
      <c r="I251" s="1">
        <v>0</v>
      </c>
      <c r="J251" s="69">
        <f>-SUM(F251:H251)*$J$21</f>
        <v>-3853.9632854649421</v>
      </c>
      <c r="K251" s="1">
        <f t="shared" si="72"/>
        <v>-424.36417954397302</v>
      </c>
      <c r="L251" s="1">
        <f t="shared" si="65"/>
        <v>423939.81536442903</v>
      </c>
      <c r="N251" s="1">
        <f t="shared" si="73"/>
        <v>228</v>
      </c>
      <c r="O251" s="2">
        <f t="shared" si="78"/>
        <v>18</v>
      </c>
      <c r="P251" s="2">
        <f t="shared" si="79"/>
        <v>12</v>
      </c>
      <c r="Q251" s="2">
        <f t="shared" si="80"/>
        <v>18</v>
      </c>
      <c r="R251" s="1">
        <f t="shared" si="74"/>
        <v>4673140.7437967379</v>
      </c>
      <c r="S251" s="4">
        <f>IF($G$4="mensual",S250,0)</f>
        <v>10000</v>
      </c>
      <c r="U251" s="1">
        <f t="shared" si="81"/>
        <v>37344.021939356011</v>
      </c>
      <c r="V251" s="1">
        <f t="shared" si="63"/>
        <v>-154.36721847184418</v>
      </c>
      <c r="X251" s="1">
        <f t="shared" si="66"/>
        <v>-4720.4847657360942</v>
      </c>
      <c r="Y251" s="1">
        <f t="shared" si="67"/>
        <v>4715609.9137518853</v>
      </c>
      <c r="AA251" s="2">
        <f>+Bono!J251</f>
        <v>241921.87619048578</v>
      </c>
      <c r="AC251" s="10">
        <f t="shared" si="68"/>
        <v>19</v>
      </c>
      <c r="AD251" s="1">
        <f t="shared" si="69"/>
        <v>5381471.6053067995</v>
      </c>
    </row>
    <row r="252" spans="2:30">
      <c r="B252" s="1">
        <f t="shared" si="70"/>
        <v>229</v>
      </c>
      <c r="C252" s="2">
        <f t="shared" si="75"/>
        <v>19</v>
      </c>
      <c r="D252" s="2">
        <f t="shared" si="76"/>
        <v>1</v>
      </c>
      <c r="E252" s="2">
        <f t="shared" si="77"/>
        <v>48</v>
      </c>
      <c r="F252" s="1">
        <f t="shared" si="71"/>
        <v>423939.81536442903</v>
      </c>
      <c r="H252" s="1">
        <f t="shared" si="64"/>
        <v>3380.5556211194908</v>
      </c>
      <c r="I252" s="1">
        <v>0</v>
      </c>
      <c r="J252" s="1">
        <v>0</v>
      </c>
      <c r="K252" s="1">
        <f t="shared" si="72"/>
        <v>-427.32037098554855</v>
      </c>
      <c r="L252" s="1">
        <f t="shared" si="65"/>
        <v>426893.05061456299</v>
      </c>
      <c r="N252" s="1">
        <f t="shared" si="73"/>
        <v>229</v>
      </c>
      <c r="O252" s="2">
        <f t="shared" si="78"/>
        <v>19</v>
      </c>
      <c r="P252" s="2">
        <f t="shared" si="79"/>
        <v>1</v>
      </c>
      <c r="Q252" s="2">
        <f t="shared" si="80"/>
        <v>19</v>
      </c>
      <c r="R252" s="1">
        <f t="shared" si="74"/>
        <v>4715609.9137518853</v>
      </c>
      <c r="S252" s="1">
        <f>IF($G$17="si",S240*(1+$G$20),S240)</f>
        <v>10000</v>
      </c>
      <c r="U252" s="1">
        <f t="shared" si="81"/>
        <v>37682.677064477342</v>
      </c>
      <c r="V252" s="1">
        <f>V251*(1+$G$18)</f>
        <v>-160.54190721071797</v>
      </c>
      <c r="X252" s="1">
        <f t="shared" si="66"/>
        <v>-4763.2925908163625</v>
      </c>
      <c r="Y252" s="1">
        <f t="shared" si="67"/>
        <v>4758368.7563183354</v>
      </c>
      <c r="AA252" s="2">
        <f>+Bono!J252</f>
        <v>243421.81988406755</v>
      </c>
      <c r="AC252" s="10">
        <f t="shared" si="68"/>
        <v>19.083333333333332</v>
      </c>
      <c r="AD252" s="1">
        <f t="shared" si="69"/>
        <v>5428683.6268169656</v>
      </c>
    </row>
    <row r="253" spans="2:30">
      <c r="B253" s="1">
        <f t="shared" si="70"/>
        <v>230</v>
      </c>
      <c r="C253" s="2">
        <f t="shared" si="75"/>
        <v>19</v>
      </c>
      <c r="D253" s="2">
        <f t="shared" si="76"/>
        <v>2</v>
      </c>
      <c r="E253" s="2">
        <f t="shared" si="77"/>
        <v>48</v>
      </c>
      <c r="F253" s="1">
        <f t="shared" si="71"/>
        <v>426893.05061456299</v>
      </c>
      <c r="H253" s="1">
        <f t="shared" si="64"/>
        <v>3404.1051337236477</v>
      </c>
      <c r="I253" s="1">
        <v>0</v>
      </c>
      <c r="J253" s="1">
        <v>0</v>
      </c>
      <c r="K253" s="1">
        <f t="shared" si="72"/>
        <v>-430.29715574828663</v>
      </c>
      <c r="L253" s="1">
        <f t="shared" si="65"/>
        <v>429866.85859253834</v>
      </c>
      <c r="N253" s="1">
        <f t="shared" si="73"/>
        <v>230</v>
      </c>
      <c r="O253" s="2">
        <f t="shared" si="78"/>
        <v>19</v>
      </c>
      <c r="P253" s="2">
        <f t="shared" si="79"/>
        <v>2</v>
      </c>
      <c r="Q253" s="2">
        <f t="shared" si="80"/>
        <v>19</v>
      </c>
      <c r="R253" s="1">
        <f t="shared" si="74"/>
        <v>4758368.7563183354</v>
      </c>
      <c r="S253" s="4">
        <f>IF($G$4="mensual",S252,0)</f>
        <v>10000</v>
      </c>
      <c r="U253" s="1">
        <f t="shared" si="81"/>
        <v>38023.642079679601</v>
      </c>
      <c r="V253" s="1">
        <f t="shared" ref="V253:V316" si="82">V252</f>
        <v>-160.54190721071797</v>
      </c>
      <c r="X253" s="1">
        <f t="shared" si="66"/>
        <v>-4806.3923983980148</v>
      </c>
      <c r="Y253" s="1">
        <f t="shared" si="67"/>
        <v>4801425.4640924055</v>
      </c>
      <c r="AA253" s="2">
        <f>+Bono!J253</f>
        <v>244931.06340253225</v>
      </c>
      <c r="AC253" s="10">
        <f t="shared" si="68"/>
        <v>19.166666666666668</v>
      </c>
      <c r="AD253" s="1">
        <f t="shared" si="69"/>
        <v>5476223.3860874763</v>
      </c>
    </row>
    <row r="254" spans="2:30">
      <c r="B254" s="1">
        <f t="shared" si="70"/>
        <v>231</v>
      </c>
      <c r="C254" s="2">
        <f t="shared" si="75"/>
        <v>19</v>
      </c>
      <c r="D254" s="2">
        <f t="shared" si="76"/>
        <v>3</v>
      </c>
      <c r="E254" s="2">
        <f t="shared" si="77"/>
        <v>48</v>
      </c>
      <c r="F254" s="1">
        <f t="shared" si="71"/>
        <v>429866.85859253834</v>
      </c>
      <c r="H254" s="1">
        <f t="shared" si="64"/>
        <v>3427.8186961486176</v>
      </c>
      <c r="I254" s="1">
        <v>0</v>
      </c>
      <c r="J254" s="69">
        <f>-SUM(F254:H254)*$J$21</f>
        <v>-3899.6520955981832</v>
      </c>
      <c r="K254" s="1">
        <f t="shared" si="72"/>
        <v>-429.39502519308883</v>
      </c>
      <c r="L254" s="1">
        <f t="shared" si="65"/>
        <v>428965.6301678957</v>
      </c>
      <c r="N254" s="1">
        <f t="shared" si="73"/>
        <v>231</v>
      </c>
      <c r="O254" s="2">
        <f t="shared" si="78"/>
        <v>19</v>
      </c>
      <c r="P254" s="2">
        <f t="shared" si="79"/>
        <v>3</v>
      </c>
      <c r="Q254" s="2">
        <f t="shared" si="80"/>
        <v>19</v>
      </c>
      <c r="R254" s="1">
        <f t="shared" si="74"/>
        <v>4801425.4640924055</v>
      </c>
      <c r="S254" s="4">
        <f>IF($G$4="mensual",S253,0)</f>
        <v>10000</v>
      </c>
      <c r="U254" s="1">
        <f t="shared" si="81"/>
        <v>38366.982313876309</v>
      </c>
      <c r="V254" s="1">
        <f t="shared" si="82"/>
        <v>-160.54190721071797</v>
      </c>
      <c r="X254" s="1">
        <f t="shared" si="66"/>
        <v>-4849.7924464062817</v>
      </c>
      <c r="Y254" s="1">
        <f t="shared" si="67"/>
        <v>4844782.1120526642</v>
      </c>
      <c r="AA254" s="2">
        <f>+Bono!J254</f>
        <v>244229.39715897309</v>
      </c>
      <c r="AC254" s="10">
        <f t="shared" si="68"/>
        <v>19.25</v>
      </c>
      <c r="AD254" s="1">
        <f t="shared" si="69"/>
        <v>5517977.139379533</v>
      </c>
    </row>
    <row r="255" spans="2:30">
      <c r="B255" s="1">
        <f t="shared" si="70"/>
        <v>232</v>
      </c>
      <c r="C255" s="2">
        <f t="shared" si="75"/>
        <v>19</v>
      </c>
      <c r="D255" s="2">
        <f t="shared" si="76"/>
        <v>4</v>
      </c>
      <c r="E255" s="2">
        <f t="shared" si="77"/>
        <v>48</v>
      </c>
      <c r="F255" s="1">
        <f t="shared" si="71"/>
        <v>428965.6301678957</v>
      </c>
      <c r="H255" s="1">
        <f t="shared" si="64"/>
        <v>3420.6321741319971</v>
      </c>
      <c r="I255" s="1">
        <v>0</v>
      </c>
      <c r="J255" s="1">
        <v>0</v>
      </c>
      <c r="K255" s="1">
        <f t="shared" si="72"/>
        <v>-432.38626234202769</v>
      </c>
      <c r="L255" s="1">
        <f t="shared" si="65"/>
        <v>431953.87607968564</v>
      </c>
      <c r="N255" s="1">
        <f t="shared" si="73"/>
        <v>232</v>
      </c>
      <c r="O255" s="2">
        <f t="shared" si="78"/>
        <v>19</v>
      </c>
      <c r="P255" s="2">
        <f t="shared" si="79"/>
        <v>4</v>
      </c>
      <c r="Q255" s="2">
        <f t="shared" si="80"/>
        <v>19</v>
      </c>
      <c r="R255" s="1">
        <f t="shared" si="74"/>
        <v>4844782.1120526642</v>
      </c>
      <c r="S255" s="4">
        <f>IF($G$4="mensual",S252,IF($G$4="trimestral",S252,0))</f>
        <v>10000</v>
      </c>
      <c r="U255" s="1">
        <f t="shared" si="81"/>
        <v>38712.714313237957</v>
      </c>
      <c r="V255" s="1">
        <f t="shared" si="82"/>
        <v>-160.54190721071797</v>
      </c>
      <c r="X255" s="1">
        <f t="shared" si="66"/>
        <v>-4893.4948263659026</v>
      </c>
      <c r="Y255" s="1">
        <f t="shared" si="67"/>
        <v>4888440.7896323251</v>
      </c>
      <c r="AA255" s="2">
        <f>+Bono!J255</f>
        <v>245743.64775021537</v>
      </c>
      <c r="AC255" s="10">
        <f t="shared" si="68"/>
        <v>19.333333333333332</v>
      </c>
      <c r="AD255" s="1">
        <f t="shared" si="69"/>
        <v>5566138.3134622267</v>
      </c>
    </row>
    <row r="256" spans="2:30">
      <c r="B256" s="1">
        <f t="shared" si="70"/>
        <v>233</v>
      </c>
      <c r="C256" s="2">
        <f t="shared" si="75"/>
        <v>19</v>
      </c>
      <c r="D256" s="2">
        <f t="shared" si="76"/>
        <v>5</v>
      </c>
      <c r="E256" s="2">
        <f t="shared" si="77"/>
        <v>48</v>
      </c>
      <c r="F256" s="1">
        <f t="shared" si="71"/>
        <v>431953.87607968564</v>
      </c>
      <c r="H256" s="1">
        <f t="shared" si="64"/>
        <v>3444.4608666687077</v>
      </c>
      <c r="I256" s="1">
        <v>0</v>
      </c>
      <c r="J256" s="1">
        <v>0</v>
      </c>
      <c r="K256" s="1">
        <f t="shared" si="72"/>
        <v>-435.39833694635439</v>
      </c>
      <c r="L256" s="1">
        <f t="shared" si="65"/>
        <v>434962.93860940798</v>
      </c>
      <c r="N256" s="1">
        <f t="shared" si="73"/>
        <v>233</v>
      </c>
      <c r="O256" s="2">
        <f t="shared" si="78"/>
        <v>19</v>
      </c>
      <c r="P256" s="2">
        <f t="shared" si="79"/>
        <v>5</v>
      </c>
      <c r="Q256" s="2">
        <f t="shared" si="80"/>
        <v>19</v>
      </c>
      <c r="R256" s="1">
        <f t="shared" si="74"/>
        <v>4888440.7896323251</v>
      </c>
      <c r="S256" s="4">
        <f>IF($G$4="mensual",S255,0)</f>
        <v>10000</v>
      </c>
      <c r="U256" s="1">
        <f t="shared" si="81"/>
        <v>39060.854739198403</v>
      </c>
      <c r="V256" s="1">
        <f t="shared" si="82"/>
        <v>-160.54190721071797</v>
      </c>
      <c r="X256" s="1">
        <f t="shared" si="66"/>
        <v>-4937.501644371524</v>
      </c>
      <c r="Y256" s="1">
        <f t="shared" si="67"/>
        <v>4932403.6008199416</v>
      </c>
      <c r="AA256" s="2">
        <f>+Bono!J256</f>
        <v>247267.28687076556</v>
      </c>
      <c r="AC256" s="10">
        <f t="shared" si="68"/>
        <v>19.416666666666668</v>
      </c>
      <c r="AD256" s="1">
        <f t="shared" si="69"/>
        <v>5614633.8263001153</v>
      </c>
    </row>
    <row r="257" spans="2:30">
      <c r="B257" s="1">
        <f t="shared" si="70"/>
        <v>234</v>
      </c>
      <c r="C257" s="2">
        <f t="shared" si="75"/>
        <v>19</v>
      </c>
      <c r="D257" s="2">
        <f t="shared" si="76"/>
        <v>6</v>
      </c>
      <c r="E257" s="2">
        <f t="shared" si="77"/>
        <v>48</v>
      </c>
      <c r="F257" s="1">
        <f t="shared" si="71"/>
        <v>434962.93860940798</v>
      </c>
      <c r="H257" s="1">
        <f t="shared" si="64"/>
        <v>3468.4555538400664</v>
      </c>
      <c r="I257" s="1">
        <v>0</v>
      </c>
      <c r="J257" s="69">
        <f>-SUM(F257:H257)*$J$21</f>
        <v>-3945.882547469233</v>
      </c>
      <c r="K257" s="1">
        <f t="shared" si="72"/>
        <v>-434.48551161577888</v>
      </c>
      <c r="L257" s="1">
        <f t="shared" si="65"/>
        <v>434051.02610416309</v>
      </c>
      <c r="N257" s="1">
        <f t="shared" si="73"/>
        <v>234</v>
      </c>
      <c r="O257" s="2">
        <f t="shared" si="78"/>
        <v>19</v>
      </c>
      <c r="P257" s="2">
        <f t="shared" si="79"/>
        <v>6</v>
      </c>
      <c r="Q257" s="2">
        <f t="shared" si="80"/>
        <v>19</v>
      </c>
      <c r="R257" s="1">
        <f t="shared" si="74"/>
        <v>4932403.6008199416</v>
      </c>
      <c r="S257" s="4">
        <f>IF($G$4="mensual",S256,0)</f>
        <v>10000</v>
      </c>
      <c r="U257" s="1">
        <f t="shared" si="81"/>
        <v>39411.420369257838</v>
      </c>
      <c r="V257" s="1">
        <f t="shared" si="82"/>
        <v>-160.54190721071797</v>
      </c>
      <c r="X257" s="1">
        <f t="shared" si="66"/>
        <v>-4981.8150211891998</v>
      </c>
      <c r="Y257" s="1">
        <f t="shared" si="67"/>
        <v>4976672.6642608</v>
      </c>
      <c r="AA257" s="2">
        <f>+Bono!J257</f>
        <v>246558.9279312196</v>
      </c>
      <c r="AC257" s="10">
        <f t="shared" si="68"/>
        <v>19.5</v>
      </c>
      <c r="AD257" s="1">
        <f t="shared" si="69"/>
        <v>5657282.6182961827</v>
      </c>
    </row>
    <row r="258" spans="2:30">
      <c r="B258" s="1">
        <f t="shared" si="70"/>
        <v>235</v>
      </c>
      <c r="C258" s="2">
        <f t="shared" si="75"/>
        <v>19</v>
      </c>
      <c r="D258" s="2">
        <f t="shared" si="76"/>
        <v>7</v>
      </c>
      <c r="E258" s="2">
        <f t="shared" si="77"/>
        <v>48</v>
      </c>
      <c r="F258" s="1">
        <f t="shared" si="71"/>
        <v>434051.02610416309</v>
      </c>
      <c r="H258" s="1">
        <f t="shared" si="64"/>
        <v>3461.1838354643701</v>
      </c>
      <c r="I258" s="1">
        <v>0</v>
      </c>
      <c r="J258" s="1">
        <v>0</v>
      </c>
      <c r="K258" s="1">
        <f t="shared" si="72"/>
        <v>-437.51220993962744</v>
      </c>
      <c r="L258" s="1">
        <f t="shared" si="65"/>
        <v>437074.69772968779</v>
      </c>
      <c r="N258" s="1">
        <f t="shared" si="73"/>
        <v>235</v>
      </c>
      <c r="O258" s="2">
        <f t="shared" si="78"/>
        <v>19</v>
      </c>
      <c r="P258" s="2">
        <f t="shared" si="79"/>
        <v>7</v>
      </c>
      <c r="Q258" s="2">
        <f t="shared" si="80"/>
        <v>19</v>
      </c>
      <c r="R258" s="1">
        <f t="shared" si="74"/>
        <v>4976672.6642608</v>
      </c>
      <c r="S258" s="1">
        <f>+IF($G$4="mensual",S252,IF($G$4="trimestral",S252,IF($G$4="semestral",S252,0)))</f>
        <v>10000</v>
      </c>
      <c r="U258" s="1">
        <f t="shared" si="81"/>
        <v>39764.428097791293</v>
      </c>
      <c r="V258" s="1">
        <f t="shared" si="82"/>
        <v>-160.54190721071797</v>
      </c>
      <c r="X258" s="1">
        <f t="shared" si="66"/>
        <v>-5026.4370923585911</v>
      </c>
      <c r="Y258" s="1">
        <f t="shared" si="67"/>
        <v>5021250.113359022</v>
      </c>
      <c r="AA258" s="2">
        <f>+Bono!J258</f>
        <v>248087.62188345863</v>
      </c>
      <c r="AC258" s="10">
        <f t="shared" si="68"/>
        <v>19.583333333333332</v>
      </c>
      <c r="AD258" s="1">
        <f t="shared" si="69"/>
        <v>5706412.4329721685</v>
      </c>
    </row>
    <row r="259" spans="2:30">
      <c r="B259" s="1">
        <f t="shared" si="70"/>
        <v>236</v>
      </c>
      <c r="C259" s="2">
        <f t="shared" si="75"/>
        <v>19</v>
      </c>
      <c r="D259" s="2">
        <f t="shared" si="76"/>
        <v>8</v>
      </c>
      <c r="E259" s="2">
        <f t="shared" si="77"/>
        <v>48</v>
      </c>
      <c r="F259" s="1">
        <f t="shared" si="71"/>
        <v>437074.69772968779</v>
      </c>
      <c r="H259" s="1">
        <f t="shared" si="64"/>
        <v>3485.2950176171958</v>
      </c>
      <c r="I259" s="1">
        <v>0</v>
      </c>
      <c r="J259" s="1">
        <v>0</v>
      </c>
      <c r="K259" s="1">
        <f t="shared" si="72"/>
        <v>-440.55999274730499</v>
      </c>
      <c r="L259" s="1">
        <f t="shared" si="65"/>
        <v>440119.43275455764</v>
      </c>
      <c r="N259" s="1">
        <f t="shared" si="73"/>
        <v>236</v>
      </c>
      <c r="O259" s="2">
        <f t="shared" si="78"/>
        <v>19</v>
      </c>
      <c r="P259" s="2">
        <f t="shared" si="79"/>
        <v>8</v>
      </c>
      <c r="Q259" s="2">
        <f t="shared" si="80"/>
        <v>19</v>
      </c>
      <c r="R259" s="1">
        <f t="shared" si="74"/>
        <v>5021250.113359022</v>
      </c>
      <c r="S259" s="4">
        <f>IF($G$4="mensual",S258,0)</f>
        <v>10000</v>
      </c>
      <c r="U259" s="1">
        <f t="shared" si="81"/>
        <v>40119.894936862824</v>
      </c>
      <c r="V259" s="1">
        <f t="shared" si="82"/>
        <v>-160.54190721071797</v>
      </c>
      <c r="X259" s="1">
        <f t="shared" si="66"/>
        <v>-5071.3700082958849</v>
      </c>
      <c r="Y259" s="1">
        <f t="shared" si="67"/>
        <v>5066138.0963803772</v>
      </c>
      <c r="AA259" s="2">
        <f>+Bono!J259</f>
        <v>249625.79391551908</v>
      </c>
      <c r="AC259" s="10">
        <f t="shared" si="68"/>
        <v>19.666666666666668</v>
      </c>
      <c r="AD259" s="1">
        <f t="shared" si="69"/>
        <v>5755883.3230504543</v>
      </c>
    </row>
    <row r="260" spans="2:30">
      <c r="B260" s="1">
        <f t="shared" si="70"/>
        <v>237</v>
      </c>
      <c r="C260" s="2">
        <f t="shared" si="75"/>
        <v>19</v>
      </c>
      <c r="D260" s="2">
        <f t="shared" si="76"/>
        <v>9</v>
      </c>
      <c r="E260" s="2">
        <f t="shared" si="77"/>
        <v>48</v>
      </c>
      <c r="F260" s="1">
        <f t="shared" si="71"/>
        <v>440119.43275455764</v>
      </c>
      <c r="H260" s="1">
        <f t="shared" si="64"/>
        <v>3509.5741622743099</v>
      </c>
      <c r="I260" s="1">
        <v>0</v>
      </c>
      <c r="J260" s="69">
        <f>-SUM(F260:H260)*$J$21</f>
        <v>-3992.6610622514881</v>
      </c>
      <c r="K260" s="1">
        <f t="shared" si="72"/>
        <v>-439.6363458545805</v>
      </c>
      <c r="L260" s="1">
        <f t="shared" si="65"/>
        <v>439196.70950872591</v>
      </c>
      <c r="N260" s="1">
        <f t="shared" si="73"/>
        <v>237</v>
      </c>
      <c r="O260" s="2">
        <f t="shared" si="78"/>
        <v>19</v>
      </c>
      <c r="P260" s="2">
        <f t="shared" si="79"/>
        <v>9</v>
      </c>
      <c r="Q260" s="2">
        <f t="shared" si="80"/>
        <v>19</v>
      </c>
      <c r="R260" s="1">
        <f t="shared" si="74"/>
        <v>5066138.0963803772</v>
      </c>
      <c r="S260" s="4">
        <f>IF($G$4="mensual",S259,0)</f>
        <v>10000</v>
      </c>
      <c r="U260" s="1">
        <f t="shared" si="81"/>
        <v>40477.83801704536</v>
      </c>
      <c r="V260" s="1">
        <f t="shared" si="82"/>
        <v>-160.54190721071797</v>
      </c>
      <c r="X260" s="1">
        <f t="shared" si="66"/>
        <v>-5116.6159343974232</v>
      </c>
      <c r="Y260" s="1">
        <f t="shared" si="67"/>
        <v>5111338.7765558148</v>
      </c>
      <c r="AA260" s="2">
        <f>+Bono!J260</f>
        <v>248910.67844311241</v>
      </c>
      <c r="AC260" s="10">
        <f t="shared" si="68"/>
        <v>19.75</v>
      </c>
      <c r="AD260" s="1">
        <f t="shared" si="69"/>
        <v>5799446.1645076536</v>
      </c>
    </row>
    <row r="261" spans="2:30">
      <c r="B261" s="1">
        <f t="shared" si="70"/>
        <v>238</v>
      </c>
      <c r="C261" s="2">
        <f t="shared" si="75"/>
        <v>19</v>
      </c>
      <c r="D261" s="2">
        <f t="shared" si="76"/>
        <v>10</v>
      </c>
      <c r="E261" s="2">
        <f t="shared" si="77"/>
        <v>48</v>
      </c>
      <c r="F261" s="1">
        <f t="shared" si="71"/>
        <v>439196.70950872591</v>
      </c>
      <c r="H261" s="1">
        <f t="shared" si="64"/>
        <v>3502.2162375350335</v>
      </c>
      <c r="I261" s="1">
        <v>0</v>
      </c>
      <c r="J261" s="1">
        <v>0</v>
      </c>
      <c r="K261" s="1">
        <f t="shared" si="72"/>
        <v>-442.69892574626095</v>
      </c>
      <c r="L261" s="1">
        <f t="shared" si="65"/>
        <v>442256.22682051471</v>
      </c>
      <c r="N261" s="1">
        <f t="shared" si="73"/>
        <v>238</v>
      </c>
      <c r="O261" s="2">
        <f t="shared" si="78"/>
        <v>19</v>
      </c>
      <c r="P261" s="2">
        <f t="shared" si="79"/>
        <v>10</v>
      </c>
      <c r="Q261" s="2">
        <f t="shared" si="80"/>
        <v>19</v>
      </c>
      <c r="R261" s="1">
        <f t="shared" si="74"/>
        <v>5111338.7765558148</v>
      </c>
      <c r="S261" s="4">
        <f>IF($G$4="mensual",S252,IF($G$4="trimestral",S252,0))</f>
        <v>10000</v>
      </c>
      <c r="U261" s="1">
        <f t="shared" si="81"/>
        <v>40838.274588246262</v>
      </c>
      <c r="V261" s="1">
        <f t="shared" si="82"/>
        <v>-160.54190721071797</v>
      </c>
      <c r="X261" s="1">
        <f t="shared" si="66"/>
        <v>-5162.1770511440609</v>
      </c>
      <c r="Y261" s="1">
        <f t="shared" si="67"/>
        <v>5156854.3321857061</v>
      </c>
      <c r="AA261" s="2">
        <f>+Bono!J261</f>
        <v>250453.95352131137</v>
      </c>
      <c r="AC261" s="10">
        <f t="shared" si="68"/>
        <v>19.833333333333332</v>
      </c>
      <c r="AD261" s="1">
        <f t="shared" si="69"/>
        <v>5849564.5125275319</v>
      </c>
    </row>
    <row r="262" spans="2:30">
      <c r="B262" s="1">
        <f t="shared" si="70"/>
        <v>239</v>
      </c>
      <c r="C262" s="2">
        <f t="shared" si="75"/>
        <v>19</v>
      </c>
      <c r="D262" s="2">
        <f t="shared" si="76"/>
        <v>11</v>
      </c>
      <c r="E262" s="2">
        <f t="shared" si="77"/>
        <v>48</v>
      </c>
      <c r="F262" s="1">
        <f t="shared" si="71"/>
        <v>442256.22682051471</v>
      </c>
      <c r="H262" s="1">
        <f t="shared" si="64"/>
        <v>3526.6132582238997</v>
      </c>
      <c r="I262" s="1">
        <v>0</v>
      </c>
      <c r="J262" s="1">
        <v>0</v>
      </c>
      <c r="K262" s="1">
        <f t="shared" si="72"/>
        <v>-445.78284007873862</v>
      </c>
      <c r="L262" s="1">
        <f t="shared" si="65"/>
        <v>445337.05723865988</v>
      </c>
      <c r="N262" s="1">
        <f t="shared" si="73"/>
        <v>239</v>
      </c>
      <c r="O262" s="2">
        <f t="shared" si="78"/>
        <v>19</v>
      </c>
      <c r="P262" s="2">
        <f t="shared" si="79"/>
        <v>11</v>
      </c>
      <c r="Q262" s="2">
        <f t="shared" si="80"/>
        <v>19</v>
      </c>
      <c r="R262" s="1">
        <f t="shared" si="74"/>
        <v>5156854.3321857061</v>
      </c>
      <c r="S262" s="1">
        <f>IF($G$17="si",S250*(1+$G$20),S250)</f>
        <v>10000</v>
      </c>
      <c r="U262" s="1">
        <f t="shared" si="81"/>
        <v>41201.222020538597</v>
      </c>
      <c r="V262" s="1">
        <f t="shared" si="82"/>
        <v>-160.54190721071797</v>
      </c>
      <c r="X262" s="1">
        <f t="shared" si="66"/>
        <v>-5208.0555542062448</v>
      </c>
      <c r="Y262" s="1">
        <f t="shared" si="67"/>
        <v>5202686.9567448273</v>
      </c>
      <c r="AA262" s="2">
        <f>+Bono!J262</f>
        <v>252006.79708400401</v>
      </c>
      <c r="AC262" s="10">
        <f t="shared" si="68"/>
        <v>19.916666666666668</v>
      </c>
      <c r="AD262" s="1">
        <f t="shared" si="69"/>
        <v>5900030.8110674908</v>
      </c>
    </row>
    <row r="263" spans="2:30">
      <c r="B263" s="1">
        <f t="shared" si="70"/>
        <v>240</v>
      </c>
      <c r="C263" s="2">
        <f t="shared" si="75"/>
        <v>19</v>
      </c>
      <c r="D263" s="2">
        <f t="shared" si="76"/>
        <v>12</v>
      </c>
      <c r="E263" s="2">
        <f t="shared" si="77"/>
        <v>48</v>
      </c>
      <c r="F263" s="1">
        <f t="shared" si="71"/>
        <v>445337.05723865988</v>
      </c>
      <c r="H263" s="1">
        <f t="shared" si="64"/>
        <v>3551.1802326158277</v>
      </c>
      <c r="I263" s="1">
        <v>0</v>
      </c>
      <c r="J263" s="69">
        <f>-SUM(F263:H263)*$J$21</f>
        <v>-4039.9941372414819</v>
      </c>
      <c r="K263" s="1">
        <f t="shared" si="72"/>
        <v>-444.84824333403424</v>
      </c>
      <c r="L263" s="1">
        <f t="shared" si="65"/>
        <v>444403.39509070019</v>
      </c>
      <c r="N263" s="1">
        <f t="shared" si="73"/>
        <v>240</v>
      </c>
      <c r="O263" s="2">
        <f t="shared" si="78"/>
        <v>19</v>
      </c>
      <c r="P263" s="2">
        <f t="shared" si="79"/>
        <v>12</v>
      </c>
      <c r="Q263" s="2">
        <f t="shared" si="80"/>
        <v>19</v>
      </c>
      <c r="R263" s="1">
        <f t="shared" si="74"/>
        <v>5202686.9567448273</v>
      </c>
      <c r="S263" s="4">
        <f>IF($G$4="mensual",S262,0)</f>
        <v>10000</v>
      </c>
      <c r="U263" s="1">
        <f t="shared" si="81"/>
        <v>41566.697804998257</v>
      </c>
      <c r="V263" s="1">
        <f t="shared" si="82"/>
        <v>-160.54190721071797</v>
      </c>
      <c r="X263" s="1">
        <f t="shared" si="66"/>
        <v>-5254.253654549826</v>
      </c>
      <c r="Y263" s="1">
        <f t="shared" si="67"/>
        <v>5248838.8589880653</v>
      </c>
      <c r="AA263" s="2">
        <f>+Bono!J263</f>
        <v>251284.86063296793</v>
      </c>
      <c r="AC263" s="10">
        <f t="shared" si="68"/>
        <v>20</v>
      </c>
      <c r="AD263" s="1">
        <f t="shared" si="69"/>
        <v>5944527.1147117335</v>
      </c>
    </row>
    <row r="264" spans="2:30">
      <c r="B264" s="1">
        <f t="shared" si="70"/>
        <v>241</v>
      </c>
      <c r="C264" s="2">
        <f t="shared" si="75"/>
        <v>20</v>
      </c>
      <c r="D264" s="2">
        <f t="shared" si="76"/>
        <v>1</v>
      </c>
      <c r="E264" s="2">
        <f t="shared" si="77"/>
        <v>49</v>
      </c>
      <c r="F264" s="1">
        <f t="shared" si="71"/>
        <v>444403.39509070019</v>
      </c>
      <c r="H264" s="1">
        <f t="shared" si="64"/>
        <v>3543.7350795348448</v>
      </c>
      <c r="I264" s="1">
        <v>0</v>
      </c>
      <c r="J264" s="1">
        <v>0</v>
      </c>
      <c r="K264" s="1">
        <f t="shared" si="72"/>
        <v>-447.94713017023503</v>
      </c>
      <c r="L264" s="1">
        <f t="shared" si="65"/>
        <v>447499.18304006476</v>
      </c>
      <c r="N264" s="1">
        <f t="shared" si="73"/>
        <v>241</v>
      </c>
      <c r="O264" s="2">
        <f t="shared" si="78"/>
        <v>20</v>
      </c>
      <c r="P264" s="2">
        <f t="shared" si="79"/>
        <v>1</v>
      </c>
      <c r="Q264" s="2">
        <f t="shared" si="80"/>
        <v>20</v>
      </c>
      <c r="R264" s="1">
        <f t="shared" si="74"/>
        <v>5248838.8589880653</v>
      </c>
      <c r="S264" s="1">
        <f>IF($G$17="si",S252*(1+$G$20),S252)</f>
        <v>10000</v>
      </c>
      <c r="U264" s="1">
        <f t="shared" si="81"/>
        <v>41934.719554546871</v>
      </c>
      <c r="V264" s="1">
        <f>V263*(1+$G$18)</f>
        <v>-166.96358349914669</v>
      </c>
      <c r="X264" s="1">
        <f t="shared" si="66"/>
        <v>-5300.773578542613</v>
      </c>
      <c r="Y264" s="1">
        <f t="shared" si="67"/>
        <v>5295305.841380571</v>
      </c>
      <c r="AA264" s="2">
        <f>+Bono!J264</f>
        <v>252842.8559161321</v>
      </c>
      <c r="AC264" s="10">
        <f t="shared" si="68"/>
        <v>20.083333333333332</v>
      </c>
      <c r="AD264" s="1">
        <f t="shared" si="69"/>
        <v>5995647.880336768</v>
      </c>
    </row>
    <row r="265" spans="2:30">
      <c r="B265" s="1">
        <f t="shared" si="70"/>
        <v>242</v>
      </c>
      <c r="C265" s="2">
        <f t="shared" si="75"/>
        <v>20</v>
      </c>
      <c r="D265" s="2">
        <f t="shared" si="76"/>
        <v>2</v>
      </c>
      <c r="E265" s="2">
        <f t="shared" si="77"/>
        <v>49</v>
      </c>
      <c r="F265" s="1">
        <f t="shared" si="71"/>
        <v>447499.18304006476</v>
      </c>
      <c r="H265" s="1">
        <f t="shared" si="64"/>
        <v>3568.4213273811861</v>
      </c>
      <c r="I265" s="1">
        <v>0</v>
      </c>
      <c r="J265" s="1">
        <v>0</v>
      </c>
      <c r="K265" s="1">
        <f t="shared" si="72"/>
        <v>-451.06760436744594</v>
      </c>
      <c r="L265" s="1">
        <f t="shared" si="65"/>
        <v>450616.53676307847</v>
      </c>
      <c r="N265" s="1">
        <f t="shared" si="73"/>
        <v>242</v>
      </c>
      <c r="O265" s="2">
        <f t="shared" si="78"/>
        <v>20</v>
      </c>
      <c r="P265" s="2">
        <f t="shared" si="79"/>
        <v>2</v>
      </c>
      <c r="Q265" s="2">
        <f t="shared" si="80"/>
        <v>20</v>
      </c>
      <c r="R265" s="1">
        <f t="shared" si="74"/>
        <v>5295305.841380571</v>
      </c>
      <c r="S265" s="4">
        <f>IF($G$4="mensual",S264,0)</f>
        <v>10000</v>
      </c>
      <c r="U265" s="1">
        <f t="shared" si="81"/>
        <v>42305.253797452111</v>
      </c>
      <c r="V265" s="1">
        <f>V264</f>
        <v>-166.96358349914669</v>
      </c>
      <c r="X265" s="1">
        <f t="shared" si="66"/>
        <v>-5347.6110951780229</v>
      </c>
      <c r="Y265" s="1">
        <f t="shared" si="67"/>
        <v>5342096.5204993458</v>
      </c>
      <c r="AA265" s="2">
        <f>+Bono!J265</f>
        <v>254410.51095076813</v>
      </c>
      <c r="AC265" s="10">
        <f t="shared" si="68"/>
        <v>20.166666666666668</v>
      </c>
      <c r="AD265" s="1">
        <f t="shared" si="69"/>
        <v>6047123.5682131927</v>
      </c>
    </row>
    <row r="266" spans="2:30">
      <c r="B266" s="1">
        <f t="shared" si="70"/>
        <v>243</v>
      </c>
      <c r="C266" s="2">
        <f t="shared" si="75"/>
        <v>20</v>
      </c>
      <c r="D266" s="2">
        <f t="shared" si="76"/>
        <v>3</v>
      </c>
      <c r="E266" s="2">
        <f t="shared" si="77"/>
        <v>49</v>
      </c>
      <c r="F266" s="1">
        <f t="shared" si="71"/>
        <v>450616.53676307847</v>
      </c>
      <c r="H266" s="1">
        <f t="shared" si="64"/>
        <v>3593.2795437350633</v>
      </c>
      <c r="I266" s="1">
        <v>0</v>
      </c>
      <c r="J266" s="69">
        <f>-SUM(F266:H266)*$J$21</f>
        <v>-4087.8883467613227</v>
      </c>
      <c r="K266" s="1">
        <f t="shared" si="72"/>
        <v>-450.12192796005223</v>
      </c>
      <c r="L266" s="1">
        <f t="shared" si="65"/>
        <v>449671.80603209214</v>
      </c>
      <c r="N266" s="1">
        <f t="shared" si="73"/>
        <v>243</v>
      </c>
      <c r="O266" s="2">
        <f t="shared" si="78"/>
        <v>20</v>
      </c>
      <c r="P266" s="2">
        <f t="shared" si="79"/>
        <v>3</v>
      </c>
      <c r="Q266" s="2">
        <f t="shared" si="80"/>
        <v>20</v>
      </c>
      <c r="R266" s="1">
        <f t="shared" si="74"/>
        <v>5342096.5204993458</v>
      </c>
      <c r="S266" s="4">
        <f>IF($G$4="mensual",S265,0)</f>
        <v>10000</v>
      </c>
      <c r="U266" s="1">
        <f t="shared" si="81"/>
        <v>42678.369243508998</v>
      </c>
      <c r="V266" s="1">
        <f t="shared" si="82"/>
        <v>-166.96358349914669</v>
      </c>
      <c r="X266" s="1">
        <f t="shared" si="66"/>
        <v>-5394.7748897428555</v>
      </c>
      <c r="Y266" s="1">
        <f t="shared" si="67"/>
        <v>5389213.1512696128</v>
      </c>
      <c r="AA266" s="2">
        <f>+Bono!J266</f>
        <v>253681.6884606317</v>
      </c>
      <c r="AC266" s="10">
        <f t="shared" si="68"/>
        <v>20.25</v>
      </c>
      <c r="AD266" s="1">
        <f t="shared" si="69"/>
        <v>6092566.6457623364</v>
      </c>
    </row>
    <row r="267" spans="2:30">
      <c r="B267" s="1">
        <f t="shared" si="70"/>
        <v>244</v>
      </c>
      <c r="C267" s="2">
        <f t="shared" si="75"/>
        <v>20</v>
      </c>
      <c r="D267" s="2">
        <f t="shared" si="76"/>
        <v>4</v>
      </c>
      <c r="E267" s="2">
        <f t="shared" si="77"/>
        <v>49</v>
      </c>
      <c r="F267" s="1">
        <f t="shared" si="71"/>
        <v>449671.80603209214</v>
      </c>
      <c r="H267" s="1">
        <f t="shared" si="64"/>
        <v>3585.7461282186773</v>
      </c>
      <c r="I267" s="1">
        <v>0</v>
      </c>
      <c r="J267" s="1">
        <v>0</v>
      </c>
      <c r="K267" s="1">
        <f t="shared" si="72"/>
        <v>-453.25755216031081</v>
      </c>
      <c r="L267" s="1">
        <f t="shared" si="65"/>
        <v>452804.29460815049</v>
      </c>
      <c r="N267" s="1">
        <f t="shared" si="73"/>
        <v>244</v>
      </c>
      <c r="O267" s="2">
        <f t="shared" si="78"/>
        <v>20</v>
      </c>
      <c r="P267" s="2">
        <f t="shared" si="79"/>
        <v>4</v>
      </c>
      <c r="Q267" s="2">
        <f t="shared" si="80"/>
        <v>20</v>
      </c>
      <c r="R267" s="1">
        <f t="shared" si="74"/>
        <v>5389213.1512696128</v>
      </c>
      <c r="S267" s="4">
        <f>IF($G$4="mensual",S264,IF($G$4="trimestral",S264,0))</f>
        <v>10000</v>
      </c>
      <c r="U267" s="1">
        <f t="shared" si="81"/>
        <v>43054.083873807918</v>
      </c>
      <c r="V267" s="1">
        <f t="shared" si="82"/>
        <v>-166.96358349914669</v>
      </c>
      <c r="X267" s="1">
        <f t="shared" si="66"/>
        <v>-5442.2672351434212</v>
      </c>
      <c r="Y267" s="1">
        <f t="shared" si="67"/>
        <v>5436658.0043247789</v>
      </c>
      <c r="AA267" s="2">
        <f>+Bono!J267</f>
        <v>255254.54435434219</v>
      </c>
      <c r="AC267" s="10">
        <f t="shared" si="68"/>
        <v>20.333333333333332</v>
      </c>
      <c r="AD267" s="1">
        <f t="shared" si="69"/>
        <v>6144716.8432872714</v>
      </c>
    </row>
    <row r="268" spans="2:30">
      <c r="B268" s="1">
        <f t="shared" si="70"/>
        <v>245</v>
      </c>
      <c r="C268" s="2">
        <f t="shared" si="75"/>
        <v>20</v>
      </c>
      <c r="D268" s="2">
        <f t="shared" si="76"/>
        <v>5</v>
      </c>
      <c r="E268" s="2">
        <f t="shared" si="77"/>
        <v>49</v>
      </c>
      <c r="F268" s="1">
        <f t="shared" si="71"/>
        <v>452804.29460815049</v>
      </c>
      <c r="H268" s="1">
        <f t="shared" si="64"/>
        <v>3610.7250320161038</v>
      </c>
      <c r="I268" s="1">
        <v>0</v>
      </c>
      <c r="J268" s="1">
        <v>0</v>
      </c>
      <c r="K268" s="1">
        <f t="shared" si="72"/>
        <v>-456.41501964016663</v>
      </c>
      <c r="L268" s="1">
        <f t="shared" si="65"/>
        <v>455958.60462052643</v>
      </c>
      <c r="N268" s="1">
        <f t="shared" si="73"/>
        <v>245</v>
      </c>
      <c r="O268" s="2">
        <f t="shared" si="78"/>
        <v>20</v>
      </c>
      <c r="P268" s="2">
        <f t="shared" si="79"/>
        <v>5</v>
      </c>
      <c r="Q268" s="2">
        <f t="shared" si="80"/>
        <v>20</v>
      </c>
      <c r="R268" s="1">
        <f t="shared" si="74"/>
        <v>5436658.0043247789</v>
      </c>
      <c r="S268" s="4">
        <f>IF($G$4="mensual",S267,0)</f>
        <v>10000</v>
      </c>
      <c r="U268" s="1">
        <f t="shared" si="81"/>
        <v>43432.415794698514</v>
      </c>
      <c r="V268" s="1">
        <f t="shared" si="82"/>
        <v>-166.96358349914669</v>
      </c>
      <c r="X268" s="1">
        <f t="shared" si="66"/>
        <v>-5490.0904201194771</v>
      </c>
      <c r="Y268" s="1">
        <f t="shared" si="67"/>
        <v>5484433.3661158588</v>
      </c>
      <c r="AA268" s="2">
        <f>+Bono!J268</f>
        <v>256837.15213703367</v>
      </c>
      <c r="AC268" s="10">
        <f t="shared" si="68"/>
        <v>20.416666666666668</v>
      </c>
      <c r="AD268" s="1">
        <f t="shared" si="69"/>
        <v>6197229.122873419</v>
      </c>
    </row>
    <row r="269" spans="2:30">
      <c r="B269" s="1">
        <f t="shared" si="70"/>
        <v>246</v>
      </c>
      <c r="C269" s="2">
        <f t="shared" si="75"/>
        <v>20</v>
      </c>
      <c r="D269" s="2">
        <f t="shared" si="76"/>
        <v>6</v>
      </c>
      <c r="E269" s="2">
        <f t="shared" si="77"/>
        <v>49</v>
      </c>
      <c r="F269" s="1">
        <f t="shared" si="71"/>
        <v>455958.60462052643</v>
      </c>
      <c r="H269" s="1">
        <f t="shared" si="64"/>
        <v>3635.8779430110867</v>
      </c>
      <c r="I269" s="1">
        <v>0</v>
      </c>
      <c r="J269" s="69">
        <f>-SUM(F269:H269)*$J$21</f>
        <v>-4136.3503430718383</v>
      </c>
      <c r="K269" s="1">
        <f t="shared" si="72"/>
        <v>-455.45813222046564</v>
      </c>
      <c r="L269" s="1">
        <f t="shared" si="65"/>
        <v>455002.67408824514</v>
      </c>
      <c r="N269" s="1">
        <f t="shared" si="73"/>
        <v>246</v>
      </c>
      <c r="O269" s="2">
        <f t="shared" si="78"/>
        <v>20</v>
      </c>
      <c r="P269" s="2">
        <f t="shared" si="79"/>
        <v>6</v>
      </c>
      <c r="Q269" s="2">
        <f t="shared" si="80"/>
        <v>20</v>
      </c>
      <c r="R269" s="1">
        <f t="shared" si="74"/>
        <v>5484433.3661158588</v>
      </c>
      <c r="S269" s="4">
        <f>IF($G$4="mensual",S268,0)</f>
        <v>10000</v>
      </c>
      <c r="U269" s="1">
        <f t="shared" si="81"/>
        <v>43813.383238662267</v>
      </c>
      <c r="V269" s="1">
        <f t="shared" si="82"/>
        <v>-166.96358349914669</v>
      </c>
      <c r="X269" s="1">
        <f t="shared" si="66"/>
        <v>-5538.2467493545209</v>
      </c>
      <c r="Y269" s="1">
        <f t="shared" si="67"/>
        <v>5532541.5390216671</v>
      </c>
      <c r="AA269" s="2">
        <f>+Bono!J269</f>
        <v>256101.37792676027</v>
      </c>
      <c r="AC269" s="10">
        <f t="shared" si="68"/>
        <v>20.5</v>
      </c>
      <c r="AD269" s="1">
        <f t="shared" si="69"/>
        <v>6243645.5910366727</v>
      </c>
    </row>
    <row r="270" spans="2:30">
      <c r="B270" s="1">
        <f t="shared" si="70"/>
        <v>247</v>
      </c>
      <c r="C270" s="2">
        <f t="shared" si="75"/>
        <v>20</v>
      </c>
      <c r="D270" s="2">
        <f t="shared" si="76"/>
        <v>7</v>
      </c>
      <c r="E270" s="2">
        <f t="shared" si="77"/>
        <v>49</v>
      </c>
      <c r="F270" s="1">
        <f t="shared" si="71"/>
        <v>455002.67408824514</v>
      </c>
      <c r="H270" s="1">
        <f t="shared" si="64"/>
        <v>3628.2552187063989</v>
      </c>
      <c r="I270" s="1">
        <v>0</v>
      </c>
      <c r="J270" s="1">
        <v>0</v>
      </c>
      <c r="K270" s="1">
        <f t="shared" si="72"/>
        <v>-458.63092930695154</v>
      </c>
      <c r="L270" s="1">
        <f t="shared" si="65"/>
        <v>458172.29837764456</v>
      </c>
      <c r="N270" s="1">
        <f t="shared" si="73"/>
        <v>247</v>
      </c>
      <c r="O270" s="2">
        <f t="shared" si="78"/>
        <v>20</v>
      </c>
      <c r="P270" s="2">
        <f t="shared" si="79"/>
        <v>7</v>
      </c>
      <c r="Q270" s="2">
        <f t="shared" si="80"/>
        <v>20</v>
      </c>
      <c r="R270" s="1">
        <f t="shared" si="74"/>
        <v>5532541.5390216671</v>
      </c>
      <c r="S270" s="1">
        <f>+IF($G$4="mensual",S264,IF($G$4="trimestral",S264,IF($G$4="semestral",S264,0)))</f>
        <v>10000</v>
      </c>
      <c r="U270" s="1">
        <f t="shared" si="81"/>
        <v>44197.004565191164</v>
      </c>
      <c r="V270" s="1">
        <f t="shared" si="82"/>
        <v>-166.96358349914669</v>
      </c>
      <c r="X270" s="1">
        <f t="shared" si="66"/>
        <v>-5586.7385435868582</v>
      </c>
      <c r="Y270" s="1">
        <f t="shared" si="67"/>
        <v>5580984.8414597725</v>
      </c>
      <c r="AA270" s="2">
        <f>+Bono!J270</f>
        <v>257689.23617582736</v>
      </c>
      <c r="AC270" s="10">
        <f t="shared" si="68"/>
        <v>20.583333333333332</v>
      </c>
      <c r="AD270" s="1">
        <f t="shared" si="69"/>
        <v>6296846.3760132445</v>
      </c>
    </row>
    <row r="271" spans="2:30">
      <c r="B271" s="1">
        <f t="shared" si="70"/>
        <v>248</v>
      </c>
      <c r="C271" s="2">
        <f t="shared" si="75"/>
        <v>20</v>
      </c>
      <c r="D271" s="2">
        <f t="shared" si="76"/>
        <v>8</v>
      </c>
      <c r="E271" s="2">
        <f t="shared" si="77"/>
        <v>49</v>
      </c>
      <c r="F271" s="1">
        <f t="shared" si="71"/>
        <v>458172.29837764456</v>
      </c>
      <c r="H271" s="1">
        <f t="shared" si="64"/>
        <v>3653.5302478969343</v>
      </c>
      <c r="I271" s="1">
        <v>0</v>
      </c>
      <c r="J271" s="1">
        <v>0</v>
      </c>
      <c r="K271" s="1">
        <f t="shared" si="72"/>
        <v>-461.82582862554148</v>
      </c>
      <c r="L271" s="1">
        <f t="shared" si="65"/>
        <v>461364.00279691594</v>
      </c>
      <c r="N271" s="1">
        <f t="shared" si="73"/>
        <v>248</v>
      </c>
      <c r="O271" s="2">
        <f t="shared" si="78"/>
        <v>20</v>
      </c>
      <c r="P271" s="2">
        <f t="shared" si="79"/>
        <v>8</v>
      </c>
      <c r="Q271" s="2">
        <f t="shared" si="80"/>
        <v>20</v>
      </c>
      <c r="R271" s="1">
        <f t="shared" si="74"/>
        <v>5580984.8414597725</v>
      </c>
      <c r="S271" s="4">
        <f>IF($G$4="mensual",S270,0)</f>
        <v>10000</v>
      </c>
      <c r="U271" s="1">
        <f t="shared" si="81"/>
        <v>44583.298261672477</v>
      </c>
      <c r="V271" s="1">
        <f t="shared" si="82"/>
        <v>-166.96358349914669</v>
      </c>
      <c r="X271" s="1">
        <f t="shared" si="66"/>
        <v>-5635.5681397214448</v>
      </c>
      <c r="Y271" s="1">
        <f t="shared" si="67"/>
        <v>5629765.607998224</v>
      </c>
      <c r="AA271" s="2">
        <f>+Bono!J271</f>
        <v>259286.93933021883</v>
      </c>
      <c r="AC271" s="10">
        <f t="shared" si="68"/>
        <v>20.666666666666668</v>
      </c>
      <c r="AD271" s="1">
        <f t="shared" si="69"/>
        <v>6350416.5501253586</v>
      </c>
    </row>
    <row r="272" spans="2:30">
      <c r="B272" s="1">
        <f t="shared" si="70"/>
        <v>249</v>
      </c>
      <c r="C272" s="2">
        <f t="shared" si="75"/>
        <v>20</v>
      </c>
      <c r="D272" s="2">
        <f t="shared" si="76"/>
        <v>9</v>
      </c>
      <c r="E272" s="2">
        <f t="shared" si="77"/>
        <v>49</v>
      </c>
      <c r="F272" s="1">
        <f t="shared" si="71"/>
        <v>461364.00279691594</v>
      </c>
      <c r="H272" s="1">
        <f t="shared" si="64"/>
        <v>3678.9813471437569</v>
      </c>
      <c r="I272" s="1">
        <v>0</v>
      </c>
      <c r="J272" s="69">
        <f>-SUM(F272:H272)*$J$21</f>
        <v>-4185.3868572965375</v>
      </c>
      <c r="K272" s="1">
        <f t="shared" si="72"/>
        <v>-460.85759728676322</v>
      </c>
      <c r="L272" s="1">
        <f t="shared" si="65"/>
        <v>460396.73968947644</v>
      </c>
      <c r="N272" s="1">
        <f t="shared" si="73"/>
        <v>249</v>
      </c>
      <c r="O272" s="2">
        <f t="shared" si="78"/>
        <v>20</v>
      </c>
      <c r="P272" s="2">
        <f t="shared" si="79"/>
        <v>9</v>
      </c>
      <c r="Q272" s="2">
        <f t="shared" si="80"/>
        <v>20</v>
      </c>
      <c r="R272" s="1">
        <f t="shared" si="74"/>
        <v>5629765.607998224</v>
      </c>
      <c r="S272" s="4">
        <f>IF($G$4="mensual",S271,0)</f>
        <v>10000</v>
      </c>
      <c r="U272" s="1">
        <f t="shared" si="81"/>
        <v>44972.282944279657</v>
      </c>
      <c r="V272" s="1">
        <f t="shared" si="82"/>
        <v>-166.96358349914669</v>
      </c>
      <c r="X272" s="1">
        <f t="shared" si="66"/>
        <v>-5684.7378909425042</v>
      </c>
      <c r="Y272" s="1">
        <f t="shared" si="67"/>
        <v>5678886.1894680616</v>
      </c>
      <c r="AA272" s="2">
        <f>+Bono!J272</f>
        <v>258544.14709228702</v>
      </c>
      <c r="AC272" s="10">
        <f t="shared" si="68"/>
        <v>20.75</v>
      </c>
      <c r="AD272" s="1">
        <f t="shared" si="69"/>
        <v>6397827.0762498258</v>
      </c>
    </row>
    <row r="273" spans="2:30">
      <c r="B273" s="1">
        <f t="shared" si="70"/>
        <v>250</v>
      </c>
      <c r="C273" s="2">
        <f t="shared" si="75"/>
        <v>20</v>
      </c>
      <c r="D273" s="2">
        <f t="shared" si="76"/>
        <v>10</v>
      </c>
      <c r="E273" s="2">
        <f t="shared" si="77"/>
        <v>49</v>
      </c>
      <c r="F273" s="1">
        <f t="shared" si="71"/>
        <v>460396.73968947644</v>
      </c>
      <c r="H273" s="1">
        <f t="shared" si="64"/>
        <v>3671.2682552933366</v>
      </c>
      <c r="I273" s="1">
        <v>0</v>
      </c>
      <c r="J273" s="1">
        <v>0</v>
      </c>
      <c r="K273" s="1">
        <f t="shared" si="72"/>
        <v>-464.06800794476976</v>
      </c>
      <c r="L273" s="1">
        <f t="shared" si="65"/>
        <v>463603.93993682496</v>
      </c>
      <c r="N273" s="1">
        <f t="shared" si="73"/>
        <v>250</v>
      </c>
      <c r="O273" s="2">
        <f t="shared" si="78"/>
        <v>20</v>
      </c>
      <c r="P273" s="2">
        <f t="shared" si="79"/>
        <v>10</v>
      </c>
      <c r="Q273" s="2">
        <f t="shared" si="80"/>
        <v>20</v>
      </c>
      <c r="R273" s="1">
        <f t="shared" si="74"/>
        <v>5678886.1894680616</v>
      </c>
      <c r="S273" s="4">
        <f>IF($G$4="mensual",S264,IF($G$4="trimestral",S264,0))</f>
        <v>10000</v>
      </c>
      <c r="U273" s="1">
        <f t="shared" si="81"/>
        <v>45363.977358869546</v>
      </c>
      <c r="V273" s="1">
        <f t="shared" si="82"/>
        <v>-166.96358349914669</v>
      </c>
      <c r="X273" s="1">
        <f t="shared" si="66"/>
        <v>-5734.2501668269306</v>
      </c>
      <c r="Y273" s="1">
        <f t="shared" si="67"/>
        <v>5728348.9530766048</v>
      </c>
      <c r="AA273" s="2">
        <f>+Bono!J273</f>
        <v>260147.15079352408</v>
      </c>
      <c r="AC273" s="10">
        <f t="shared" si="68"/>
        <v>20.833333333333332</v>
      </c>
      <c r="AD273" s="1">
        <f t="shared" si="69"/>
        <v>6452100.0438069543</v>
      </c>
    </row>
    <row r="274" spans="2:30">
      <c r="B274" s="1">
        <f t="shared" si="70"/>
        <v>251</v>
      </c>
      <c r="C274" s="2">
        <f t="shared" si="75"/>
        <v>20</v>
      </c>
      <c r="D274" s="2">
        <f t="shared" si="76"/>
        <v>11</v>
      </c>
      <c r="E274" s="2">
        <f t="shared" si="77"/>
        <v>49</v>
      </c>
      <c r="F274" s="1">
        <f t="shared" si="71"/>
        <v>463603.93993682496</v>
      </c>
      <c r="H274" s="1">
        <f t="shared" si="64"/>
        <v>3696.8429204493082</v>
      </c>
      <c r="I274" s="1">
        <v>0</v>
      </c>
      <c r="J274" s="1">
        <v>0</v>
      </c>
      <c r="K274" s="1">
        <f t="shared" si="72"/>
        <v>-467.30078285727427</v>
      </c>
      <c r="L274" s="1">
        <f t="shared" si="65"/>
        <v>466833.482074417</v>
      </c>
      <c r="N274" s="1">
        <f t="shared" si="73"/>
        <v>251</v>
      </c>
      <c r="O274" s="2">
        <f t="shared" si="78"/>
        <v>20</v>
      </c>
      <c r="P274" s="2">
        <f t="shared" si="79"/>
        <v>11</v>
      </c>
      <c r="Q274" s="2">
        <f t="shared" si="80"/>
        <v>20</v>
      </c>
      <c r="R274" s="1">
        <f t="shared" si="74"/>
        <v>5728348.9530766048</v>
      </c>
      <c r="S274" s="1">
        <f>IF($G$17="si",S262*(1+$G$20),S262)</f>
        <v>10000</v>
      </c>
      <c r="U274" s="1">
        <f t="shared" si="81"/>
        <v>45758.400381885745</v>
      </c>
      <c r="V274" s="1">
        <f t="shared" si="82"/>
        <v>-166.96358349914669</v>
      </c>
      <c r="X274" s="1">
        <f t="shared" si="66"/>
        <v>-5784.1073534584903</v>
      </c>
      <c r="Y274" s="1">
        <f t="shared" si="67"/>
        <v>5778156.2825215328</v>
      </c>
      <c r="AA274" s="2">
        <f>+Bono!J274</f>
        <v>261760.09330364573</v>
      </c>
      <c r="AC274" s="10">
        <f t="shared" si="68"/>
        <v>20.916666666666668</v>
      </c>
      <c r="AD274" s="1">
        <f t="shared" si="69"/>
        <v>6506749.857899596</v>
      </c>
    </row>
    <row r="275" spans="2:30">
      <c r="B275" s="1">
        <f t="shared" si="70"/>
        <v>252</v>
      </c>
      <c r="C275" s="2">
        <f t="shared" si="75"/>
        <v>20</v>
      </c>
      <c r="D275" s="2">
        <f t="shared" si="76"/>
        <v>12</v>
      </c>
      <c r="E275" s="2">
        <f t="shared" si="77"/>
        <v>49</v>
      </c>
      <c r="F275" s="1">
        <f t="shared" si="71"/>
        <v>466833.482074417</v>
      </c>
      <c r="H275" s="1">
        <f t="shared" si="64"/>
        <v>3722.5957429755294</v>
      </c>
      <c r="I275" s="1">
        <v>0</v>
      </c>
      <c r="J275" s="69">
        <f>-SUM(F275:H275)*$J$21</f>
        <v>-4235.0047003565332</v>
      </c>
      <c r="K275" s="1">
        <f t="shared" si="72"/>
        <v>-466.32107311703601</v>
      </c>
      <c r="L275" s="1">
        <f t="shared" si="65"/>
        <v>465854.752043919</v>
      </c>
      <c r="N275" s="1">
        <f t="shared" si="73"/>
        <v>252</v>
      </c>
      <c r="O275" s="2">
        <f t="shared" si="78"/>
        <v>20</v>
      </c>
      <c r="P275" s="2">
        <f t="shared" si="79"/>
        <v>12</v>
      </c>
      <c r="Q275" s="2">
        <f t="shared" si="80"/>
        <v>20</v>
      </c>
      <c r="R275" s="1">
        <f t="shared" si="74"/>
        <v>5778156.2825215328</v>
      </c>
      <c r="S275" s="4">
        <f>IF($G$4="mensual",S274,0)</f>
        <v>10000</v>
      </c>
      <c r="U275" s="1">
        <f t="shared" si="81"/>
        <v>46155.571021268275</v>
      </c>
      <c r="V275" s="1">
        <f t="shared" si="82"/>
        <v>-166.96358349914669</v>
      </c>
      <c r="X275" s="1">
        <f t="shared" si="66"/>
        <v>-5834.3118535428011</v>
      </c>
      <c r="Y275" s="1">
        <f t="shared" si="67"/>
        <v>5828310.5781057589</v>
      </c>
      <c r="AA275" s="2">
        <f>+Bono!J275</f>
        <v>261010.21609807372</v>
      </c>
      <c r="AC275" s="10">
        <f t="shared" si="68"/>
        <v>21</v>
      </c>
      <c r="AD275" s="1">
        <f t="shared" si="69"/>
        <v>6555175.5462477515</v>
      </c>
    </row>
    <row r="276" spans="2:30">
      <c r="B276" s="1">
        <f t="shared" si="70"/>
        <v>253</v>
      </c>
      <c r="C276" s="2">
        <f t="shared" si="75"/>
        <v>21</v>
      </c>
      <c r="D276" s="2">
        <f t="shared" si="76"/>
        <v>1</v>
      </c>
      <c r="E276" s="2">
        <f t="shared" si="77"/>
        <v>50</v>
      </c>
      <c r="F276" s="1">
        <f t="shared" si="71"/>
        <v>465854.752043919</v>
      </c>
      <c r="H276" s="1">
        <f t="shared" si="64"/>
        <v>3714.7912122703528</v>
      </c>
      <c r="I276" s="1">
        <v>0</v>
      </c>
      <c r="J276" s="1">
        <v>0</v>
      </c>
      <c r="K276" s="1">
        <f t="shared" si="72"/>
        <v>-469.56954325618932</v>
      </c>
      <c r="L276" s="1">
        <f t="shared" si="65"/>
        <v>469099.97371293313</v>
      </c>
      <c r="N276" s="1">
        <f t="shared" si="73"/>
        <v>253</v>
      </c>
      <c r="O276" s="2">
        <f t="shared" si="78"/>
        <v>21</v>
      </c>
      <c r="P276" s="2">
        <f t="shared" si="79"/>
        <v>1</v>
      </c>
      <c r="Q276" s="2">
        <f t="shared" si="80"/>
        <v>21</v>
      </c>
      <c r="R276" s="1">
        <f t="shared" si="74"/>
        <v>5828310.5781057589</v>
      </c>
      <c r="S276" s="1">
        <f>IF($G$17="si",S264*(1+$G$20),S264)</f>
        <v>10000</v>
      </c>
      <c r="U276" s="1">
        <f t="shared" si="81"/>
        <v>46555.508417369638</v>
      </c>
      <c r="V276" s="1">
        <f>V275*(1+$G$18)</f>
        <v>-173.64212683911256</v>
      </c>
      <c r="X276" s="1">
        <f t="shared" si="66"/>
        <v>-5884.8660865231286</v>
      </c>
      <c r="Y276" s="1">
        <f t="shared" si="67"/>
        <v>5878807.5783097669</v>
      </c>
      <c r="AA276" s="2">
        <f>+Bono!J276</f>
        <v>262628.50971319294</v>
      </c>
      <c r="AC276" s="10">
        <f t="shared" si="68"/>
        <v>21.083333333333332</v>
      </c>
      <c r="AD276" s="1">
        <f t="shared" si="69"/>
        <v>6610536.0617358936</v>
      </c>
    </row>
    <row r="277" spans="2:30">
      <c r="B277" s="1">
        <f t="shared" si="70"/>
        <v>254</v>
      </c>
      <c r="C277" s="2">
        <f t="shared" si="75"/>
        <v>21</v>
      </c>
      <c r="D277" s="2">
        <f t="shared" si="76"/>
        <v>2</v>
      </c>
      <c r="E277" s="2">
        <f t="shared" si="77"/>
        <v>50</v>
      </c>
      <c r="F277" s="1">
        <f t="shared" si="71"/>
        <v>469099.97371293313</v>
      </c>
      <c r="H277" s="1">
        <f t="shared" si="64"/>
        <v>3740.669065581993</v>
      </c>
      <c r="I277" s="1">
        <v>0</v>
      </c>
      <c r="J277" s="1">
        <v>0</v>
      </c>
      <c r="K277" s="1">
        <f t="shared" si="72"/>
        <v>-472.84064277851513</v>
      </c>
      <c r="L277" s="1">
        <f t="shared" si="65"/>
        <v>472367.80213573662</v>
      </c>
      <c r="N277" s="1">
        <f t="shared" si="73"/>
        <v>254</v>
      </c>
      <c r="O277" s="2">
        <f t="shared" si="78"/>
        <v>21</v>
      </c>
      <c r="P277" s="2">
        <f t="shared" si="79"/>
        <v>2</v>
      </c>
      <c r="Q277" s="2">
        <f t="shared" si="80"/>
        <v>21</v>
      </c>
      <c r="R277" s="1">
        <f t="shared" si="74"/>
        <v>5878807.5783097669</v>
      </c>
      <c r="S277" s="4">
        <f>IF($G$4="mensual",S276,0)</f>
        <v>10000</v>
      </c>
      <c r="U277" s="1">
        <f t="shared" si="81"/>
        <v>46958.178588234783</v>
      </c>
      <c r="V277" s="1">
        <f>V276</f>
        <v>-173.64212683911256</v>
      </c>
      <c r="X277" s="1">
        <f t="shared" si="66"/>
        <v>-5935.7657568980021</v>
      </c>
      <c r="Y277" s="1">
        <f t="shared" si="67"/>
        <v>5929656.3490142655</v>
      </c>
      <c r="AA277" s="2">
        <f>+Bono!J277</f>
        <v>264256.83693643636</v>
      </c>
      <c r="AC277" s="10">
        <f t="shared" si="68"/>
        <v>21.166666666666668</v>
      </c>
      <c r="AD277" s="1">
        <f t="shared" si="69"/>
        <v>6666280.9880864387</v>
      </c>
    </row>
    <row r="278" spans="2:30">
      <c r="B278" s="1">
        <f t="shared" si="70"/>
        <v>255</v>
      </c>
      <c r="C278" s="2">
        <f t="shared" si="75"/>
        <v>21</v>
      </c>
      <c r="D278" s="2">
        <f t="shared" si="76"/>
        <v>3</v>
      </c>
      <c r="E278" s="2">
        <f t="shared" si="77"/>
        <v>50</v>
      </c>
      <c r="F278" s="1">
        <f t="shared" si="71"/>
        <v>472367.80213573662</v>
      </c>
      <c r="H278" s="1">
        <f t="shared" si="64"/>
        <v>3766.7271883229914</v>
      </c>
      <c r="I278" s="1">
        <v>0</v>
      </c>
      <c r="J278" s="69">
        <f>-SUM(F278:H278)*$J$21</f>
        <v>-4285.210763916537</v>
      </c>
      <c r="K278" s="1">
        <f t="shared" si="72"/>
        <v>-471.84931856014305</v>
      </c>
      <c r="L278" s="1">
        <f t="shared" si="65"/>
        <v>471377.4692415829</v>
      </c>
      <c r="N278" s="1">
        <f t="shared" si="73"/>
        <v>255</v>
      </c>
      <c r="O278" s="2">
        <f t="shared" si="78"/>
        <v>21</v>
      </c>
      <c r="P278" s="2">
        <f t="shared" si="79"/>
        <v>3</v>
      </c>
      <c r="Q278" s="2">
        <f t="shared" si="80"/>
        <v>21</v>
      </c>
      <c r="R278" s="1">
        <f t="shared" si="74"/>
        <v>5929656.3490142655</v>
      </c>
      <c r="S278" s="4">
        <f>IF($G$4="mensual",S277,0)</f>
        <v>10000</v>
      </c>
      <c r="U278" s="1">
        <f t="shared" si="81"/>
        <v>47363.653826469585</v>
      </c>
      <c r="V278" s="1">
        <f t="shared" si="82"/>
        <v>-173.64212683911256</v>
      </c>
      <c r="X278" s="1">
        <f t="shared" si="66"/>
        <v>-5987.0200028407353</v>
      </c>
      <c r="Y278" s="1">
        <f t="shared" si="67"/>
        <v>5980859.3407110553</v>
      </c>
      <c r="AA278" s="2">
        <f>+Bono!J278</f>
        <v>263499.80718474952</v>
      </c>
      <c r="AC278" s="10">
        <f t="shared" si="68"/>
        <v>21.25</v>
      </c>
      <c r="AD278" s="1">
        <f t="shared" si="69"/>
        <v>6715736.6171373874</v>
      </c>
    </row>
    <row r="279" spans="2:30">
      <c r="B279" s="1">
        <f t="shared" si="70"/>
        <v>256</v>
      </c>
      <c r="C279" s="2">
        <f t="shared" si="75"/>
        <v>21</v>
      </c>
      <c r="D279" s="2">
        <f t="shared" si="76"/>
        <v>4</v>
      </c>
      <c r="E279" s="2">
        <f t="shared" si="77"/>
        <v>50</v>
      </c>
      <c r="F279" s="1">
        <f t="shared" si="71"/>
        <v>471377.4692415829</v>
      </c>
      <c r="H279" s="1">
        <f t="shared" si="64"/>
        <v>3758.8301347536467</v>
      </c>
      <c r="I279" s="1">
        <v>0</v>
      </c>
      <c r="J279" s="1">
        <v>0</v>
      </c>
      <c r="K279" s="1">
        <f t="shared" si="72"/>
        <v>-475.13629937633658</v>
      </c>
      <c r="L279" s="1">
        <f t="shared" si="65"/>
        <v>474661.16307696025</v>
      </c>
      <c r="N279" s="1">
        <f t="shared" si="73"/>
        <v>256</v>
      </c>
      <c r="O279" s="2">
        <f t="shared" si="78"/>
        <v>21</v>
      </c>
      <c r="P279" s="2">
        <f t="shared" si="79"/>
        <v>4</v>
      </c>
      <c r="Q279" s="2">
        <f t="shared" si="80"/>
        <v>21</v>
      </c>
      <c r="R279" s="1">
        <f t="shared" si="74"/>
        <v>5980859.3407110553</v>
      </c>
      <c r="S279" s="4">
        <f>IF($G$4="mensual",S276,IF($G$4="trimestral",S276,0))</f>
        <v>10000</v>
      </c>
      <c r="U279" s="1">
        <f t="shared" si="81"/>
        <v>47771.953672639778</v>
      </c>
      <c r="V279" s="1">
        <f t="shared" si="82"/>
        <v>-173.64212683911256</v>
      </c>
      <c r="X279" s="1">
        <f t="shared" si="66"/>
        <v>-6038.6312943836956</v>
      </c>
      <c r="Y279" s="1">
        <f t="shared" si="67"/>
        <v>6032419.020962473</v>
      </c>
      <c r="AA279" s="2">
        <f>+Bono!J279</f>
        <v>265133.53655338078</v>
      </c>
      <c r="AC279" s="10">
        <f t="shared" si="68"/>
        <v>21.333333333333332</v>
      </c>
      <c r="AD279" s="1">
        <f t="shared" si="69"/>
        <v>6772213.7205928145</v>
      </c>
    </row>
    <row r="280" spans="2:30">
      <c r="B280" s="1">
        <f t="shared" si="70"/>
        <v>257</v>
      </c>
      <c r="C280" s="2">
        <f t="shared" si="75"/>
        <v>21</v>
      </c>
      <c r="D280" s="2">
        <f t="shared" si="76"/>
        <v>5</v>
      </c>
      <c r="E280" s="2">
        <f t="shared" si="77"/>
        <v>50</v>
      </c>
      <c r="F280" s="1">
        <f t="shared" si="71"/>
        <v>474661.16307696025</v>
      </c>
      <c r="H280" s="1">
        <f t="shared" ref="H280:H343" si="83">SUM(F280:G280)*$G$8</f>
        <v>3785.0147705224713</v>
      </c>
      <c r="I280" s="1">
        <v>0</v>
      </c>
      <c r="J280" s="1">
        <v>0</v>
      </c>
      <c r="K280" s="1">
        <f t="shared" si="72"/>
        <v>-478.44617784748272</v>
      </c>
      <c r="L280" s="1">
        <f t="shared" ref="L280:L343" si="84">SUM(F280:K280)</f>
        <v>477967.73166963522</v>
      </c>
      <c r="N280" s="1">
        <f t="shared" si="73"/>
        <v>257</v>
      </c>
      <c r="O280" s="2">
        <f t="shared" si="78"/>
        <v>21</v>
      </c>
      <c r="P280" s="2">
        <f t="shared" si="79"/>
        <v>5</v>
      </c>
      <c r="Q280" s="2">
        <f t="shared" si="80"/>
        <v>21</v>
      </c>
      <c r="R280" s="1">
        <f t="shared" si="74"/>
        <v>6032419.020962473</v>
      </c>
      <c r="S280" s="4">
        <f>IF($G$4="mensual",S279,0)</f>
        <v>10000</v>
      </c>
      <c r="U280" s="1">
        <f t="shared" si="81"/>
        <v>48183.097803433957</v>
      </c>
      <c r="V280" s="1">
        <f t="shared" si="82"/>
        <v>-173.64212683911256</v>
      </c>
      <c r="X280" s="1">
        <f t="shared" ref="X280:X343" si="85">-SUM(R280:U280)*0.1%</f>
        <v>-6090.6021187659071</v>
      </c>
      <c r="Y280" s="1">
        <f t="shared" ref="Y280:Y343" si="86">SUM(R280:X280)</f>
        <v>6084337.8745203028</v>
      </c>
      <c r="AA280" s="2">
        <f>+Bono!J280</f>
        <v>266777.39523359848</v>
      </c>
      <c r="AC280" s="10">
        <f t="shared" ref="AC280:AC343" si="87">+B280/12</f>
        <v>21.416666666666668</v>
      </c>
      <c r="AD280" s="1">
        <f t="shared" ref="AD280:AD343" si="88">+AA280+Y280+L280</f>
        <v>6829083.0014235368</v>
      </c>
    </row>
    <row r="281" spans="2:30">
      <c r="B281" s="1">
        <f t="shared" ref="B281:B344" si="89">+B280+1</f>
        <v>258</v>
      </c>
      <c r="C281" s="2">
        <f t="shared" si="75"/>
        <v>21</v>
      </c>
      <c r="D281" s="2">
        <f t="shared" si="76"/>
        <v>6</v>
      </c>
      <c r="E281" s="2">
        <f t="shared" si="77"/>
        <v>50</v>
      </c>
      <c r="F281" s="1">
        <f t="shared" ref="F281:F344" si="90">L280</f>
        <v>477967.73166963522</v>
      </c>
      <c r="H281" s="1">
        <f t="shared" si="83"/>
        <v>3811.3818128182643</v>
      </c>
      <c r="I281" s="1">
        <v>0</v>
      </c>
      <c r="J281" s="69">
        <f>-SUM(F281:H281)*$J$21</f>
        <v>-4336.0120213420823</v>
      </c>
      <c r="K281" s="1">
        <f t="shared" ref="K281:K344" si="91">-SUM(F281:J281)*0.1%</f>
        <v>-477.44310146111144</v>
      </c>
      <c r="L281" s="1">
        <f t="shared" si="84"/>
        <v>476965.65835965035</v>
      </c>
      <c r="N281" s="1">
        <f t="shared" ref="N281:N344" si="92">+N280+1</f>
        <v>258</v>
      </c>
      <c r="O281" s="2">
        <f t="shared" si="78"/>
        <v>21</v>
      </c>
      <c r="P281" s="2">
        <f t="shared" si="79"/>
        <v>6</v>
      </c>
      <c r="Q281" s="2">
        <f t="shared" si="80"/>
        <v>21</v>
      </c>
      <c r="R281" s="1">
        <f t="shared" ref="R281:R344" si="93">Y280</f>
        <v>6084337.8745203028</v>
      </c>
      <c r="S281" s="4">
        <f>IF($G$4="mensual",S280,0)</f>
        <v>10000</v>
      </c>
      <c r="U281" s="1">
        <f t="shared" si="81"/>
        <v>48597.10603261178</v>
      </c>
      <c r="V281" s="1">
        <f t="shared" si="82"/>
        <v>-173.64212683911256</v>
      </c>
      <c r="X281" s="1">
        <f t="shared" si="85"/>
        <v>-6142.9349805529146</v>
      </c>
      <c r="Y281" s="1">
        <f t="shared" si="86"/>
        <v>6136618.4034455232</v>
      </c>
      <c r="AA281" s="2">
        <f>+Bono!J281</f>
        <v>266013.14471273898</v>
      </c>
      <c r="AC281" s="10">
        <f t="shared" si="87"/>
        <v>21.5</v>
      </c>
      <c r="AD281" s="1">
        <f t="shared" si="88"/>
        <v>6879597.2065179124</v>
      </c>
    </row>
    <row r="282" spans="2:30">
      <c r="B282" s="1">
        <f t="shared" si="89"/>
        <v>259</v>
      </c>
      <c r="C282" s="2">
        <f t="shared" si="75"/>
        <v>21</v>
      </c>
      <c r="D282" s="2">
        <f t="shared" si="76"/>
        <v>7</v>
      </c>
      <c r="E282" s="2">
        <f t="shared" si="77"/>
        <v>50</v>
      </c>
      <c r="F282" s="1">
        <f t="shared" si="90"/>
        <v>476965.65835965035</v>
      </c>
      <c r="H282" s="1">
        <f t="shared" si="83"/>
        <v>3803.3911395243886</v>
      </c>
      <c r="I282" s="1">
        <v>0</v>
      </c>
      <c r="J282" s="1">
        <v>0</v>
      </c>
      <c r="K282" s="1">
        <f t="shared" si="91"/>
        <v>-480.76904949917474</v>
      </c>
      <c r="L282" s="1">
        <f t="shared" si="84"/>
        <v>480288.28044967557</v>
      </c>
      <c r="N282" s="1">
        <f t="shared" si="92"/>
        <v>259</v>
      </c>
      <c r="O282" s="2">
        <f t="shared" si="78"/>
        <v>21</v>
      </c>
      <c r="P282" s="2">
        <f t="shared" si="79"/>
        <v>7</v>
      </c>
      <c r="Q282" s="2">
        <f t="shared" si="80"/>
        <v>21</v>
      </c>
      <c r="R282" s="1">
        <f t="shared" si="93"/>
        <v>6136618.4034455232</v>
      </c>
      <c r="S282" s="1">
        <f>+IF($G$4="mensual",S276,IF($G$4="trimestral",S276,IF($G$4="semestral",S276,0)))</f>
        <v>10000</v>
      </c>
      <c r="U282" s="1">
        <f t="shared" si="81"/>
        <v>49013.998311958858</v>
      </c>
      <c r="V282" s="1">
        <f t="shared" si="82"/>
        <v>-173.64212683911256</v>
      </c>
      <c r="X282" s="1">
        <f t="shared" si="85"/>
        <v>-6195.6324017574825</v>
      </c>
      <c r="Y282" s="1">
        <f t="shared" si="86"/>
        <v>6189263.1272288859</v>
      </c>
      <c r="AA282" s="2">
        <f>+Bono!J282</f>
        <v>267662.45706557296</v>
      </c>
      <c r="AC282" s="10">
        <f t="shared" si="87"/>
        <v>21.583333333333332</v>
      </c>
      <c r="AD282" s="1">
        <f t="shared" si="88"/>
        <v>6937213.8647441342</v>
      </c>
    </row>
    <row r="283" spans="2:30">
      <c r="B283" s="1">
        <f t="shared" si="89"/>
        <v>260</v>
      </c>
      <c r="C283" s="2">
        <f t="shared" si="75"/>
        <v>21</v>
      </c>
      <c r="D283" s="2">
        <f t="shared" si="76"/>
        <v>8</v>
      </c>
      <c r="E283" s="2">
        <f t="shared" si="77"/>
        <v>50</v>
      </c>
      <c r="F283" s="1">
        <f t="shared" si="90"/>
        <v>480288.28044967557</v>
      </c>
      <c r="H283" s="1">
        <f t="shared" si="83"/>
        <v>3829.8861946624274</v>
      </c>
      <c r="I283" s="1">
        <v>0</v>
      </c>
      <c r="J283" s="1">
        <v>0</v>
      </c>
      <c r="K283" s="1">
        <f t="shared" si="91"/>
        <v>-484.11816664433803</v>
      </c>
      <c r="L283" s="1">
        <f t="shared" si="84"/>
        <v>483634.04847769364</v>
      </c>
      <c r="N283" s="1">
        <f t="shared" si="92"/>
        <v>260</v>
      </c>
      <c r="O283" s="2">
        <f t="shared" si="78"/>
        <v>21</v>
      </c>
      <c r="P283" s="2">
        <f t="shared" si="79"/>
        <v>8</v>
      </c>
      <c r="Q283" s="2">
        <f t="shared" si="80"/>
        <v>21</v>
      </c>
      <c r="R283" s="1">
        <f t="shared" si="93"/>
        <v>6189263.1272288859</v>
      </c>
      <c r="S283" s="4">
        <f>IF($G$4="mensual",S282,0)</f>
        <v>10000</v>
      </c>
      <c r="U283" s="1">
        <f t="shared" si="81"/>
        <v>49433.794732248236</v>
      </c>
      <c r="V283" s="1">
        <f t="shared" si="82"/>
        <v>-173.64212683911256</v>
      </c>
      <c r="X283" s="1">
        <f t="shared" si="85"/>
        <v>-6248.6969219611346</v>
      </c>
      <c r="Y283" s="1">
        <f t="shared" si="86"/>
        <v>6242274.5829123342</v>
      </c>
      <c r="AA283" s="2">
        <f>+Bono!J283</f>
        <v>269321.99534630287</v>
      </c>
      <c r="AC283" s="10">
        <f t="shared" si="87"/>
        <v>21.666666666666668</v>
      </c>
      <c r="AD283" s="1">
        <f t="shared" si="88"/>
        <v>6995230.6267363308</v>
      </c>
    </row>
    <row r="284" spans="2:30">
      <c r="B284" s="1">
        <f t="shared" si="89"/>
        <v>261</v>
      </c>
      <c r="C284" s="2">
        <f t="shared" si="75"/>
        <v>21</v>
      </c>
      <c r="D284" s="2">
        <f t="shared" si="76"/>
        <v>9</v>
      </c>
      <c r="E284" s="2">
        <f t="shared" si="77"/>
        <v>50</v>
      </c>
      <c r="F284" s="1">
        <f t="shared" si="90"/>
        <v>483634.04847769364</v>
      </c>
      <c r="H284" s="1">
        <f t="shared" si="83"/>
        <v>3856.5658187603799</v>
      </c>
      <c r="I284" s="1">
        <v>0</v>
      </c>
      <c r="J284" s="69">
        <f>-SUM(F284:H284)*$J$21</f>
        <v>-4387.4155286680862</v>
      </c>
      <c r="K284" s="1">
        <f t="shared" si="91"/>
        <v>-483.1031987677859</v>
      </c>
      <c r="L284" s="1">
        <f t="shared" si="84"/>
        <v>482620.0955690181</v>
      </c>
      <c r="N284" s="1">
        <f t="shared" si="92"/>
        <v>261</v>
      </c>
      <c r="O284" s="2">
        <f t="shared" si="78"/>
        <v>21</v>
      </c>
      <c r="P284" s="2">
        <f t="shared" si="79"/>
        <v>9</v>
      </c>
      <c r="Q284" s="2">
        <f t="shared" si="80"/>
        <v>21</v>
      </c>
      <c r="R284" s="1">
        <f t="shared" si="93"/>
        <v>6242274.5829123342</v>
      </c>
      <c r="S284" s="4">
        <f>IF($G$4="mensual",S283,0)</f>
        <v>10000</v>
      </c>
      <c r="U284" s="1">
        <f t="shared" si="81"/>
        <v>49856.515524208662</v>
      </c>
      <c r="V284" s="1">
        <f t="shared" si="82"/>
        <v>-173.64212683911256</v>
      </c>
      <c r="X284" s="1">
        <f t="shared" si="85"/>
        <v>-6302.1310984365427</v>
      </c>
      <c r="Y284" s="1">
        <f t="shared" si="86"/>
        <v>6295655.3252112679</v>
      </c>
      <c r="AA284" s="2">
        <f>+Bono!J284</f>
        <v>268550.45518248167</v>
      </c>
      <c r="AC284" s="10">
        <f t="shared" si="87"/>
        <v>21.75</v>
      </c>
      <c r="AD284" s="1">
        <f t="shared" si="88"/>
        <v>7046825.8759627678</v>
      </c>
    </row>
    <row r="285" spans="2:30">
      <c r="B285" s="1">
        <f t="shared" si="89"/>
        <v>262</v>
      </c>
      <c r="C285" s="2">
        <f t="shared" si="75"/>
        <v>21</v>
      </c>
      <c r="D285" s="2">
        <f t="shared" si="76"/>
        <v>10</v>
      </c>
      <c r="E285" s="2">
        <f t="shared" si="77"/>
        <v>50</v>
      </c>
      <c r="F285" s="1">
        <f t="shared" si="90"/>
        <v>482620.0955690181</v>
      </c>
      <c r="H285" s="1">
        <f t="shared" si="83"/>
        <v>3848.4804158783058</v>
      </c>
      <c r="I285" s="1">
        <v>0</v>
      </c>
      <c r="J285" s="1">
        <v>0</v>
      </c>
      <c r="K285" s="1">
        <f t="shared" si="91"/>
        <v>-486.4685759848964</v>
      </c>
      <c r="L285" s="1">
        <f t="shared" si="84"/>
        <v>485982.10740891151</v>
      </c>
      <c r="N285" s="1">
        <f t="shared" si="92"/>
        <v>262</v>
      </c>
      <c r="O285" s="2">
        <f t="shared" si="78"/>
        <v>21</v>
      </c>
      <c r="P285" s="2">
        <f t="shared" si="79"/>
        <v>10</v>
      </c>
      <c r="Q285" s="2">
        <f t="shared" si="80"/>
        <v>21</v>
      </c>
      <c r="R285" s="1">
        <f t="shared" si="93"/>
        <v>6295655.3252112679</v>
      </c>
      <c r="S285" s="4">
        <f>IF($G$4="mensual",S276,IF($G$4="trimestral",S276,0))</f>
        <v>10000</v>
      </c>
      <c r="U285" s="1">
        <f t="shared" si="81"/>
        <v>50282.181059499482</v>
      </c>
      <c r="V285" s="1">
        <f t="shared" si="82"/>
        <v>-173.64212683911256</v>
      </c>
      <c r="X285" s="1">
        <f t="shared" si="85"/>
        <v>-6355.9375062707677</v>
      </c>
      <c r="Y285" s="1">
        <f t="shared" si="86"/>
        <v>6349407.9266376579</v>
      </c>
      <c r="AA285" s="2">
        <f>+Bono!J285</f>
        <v>270215.4991545378</v>
      </c>
      <c r="AC285" s="10">
        <f t="shared" si="87"/>
        <v>21.833333333333332</v>
      </c>
      <c r="AD285" s="1">
        <f t="shared" si="88"/>
        <v>7105605.5332011078</v>
      </c>
    </row>
    <row r="286" spans="2:30">
      <c r="B286" s="1">
        <f t="shared" si="89"/>
        <v>263</v>
      </c>
      <c r="C286" s="2">
        <f t="shared" si="75"/>
        <v>21</v>
      </c>
      <c r="D286" s="2">
        <f t="shared" si="76"/>
        <v>11</v>
      </c>
      <c r="E286" s="2">
        <f t="shared" si="77"/>
        <v>50</v>
      </c>
      <c r="F286" s="1">
        <f t="shared" si="90"/>
        <v>485982.10740891151</v>
      </c>
      <c r="H286" s="1">
        <f t="shared" si="83"/>
        <v>3875.2895704132529</v>
      </c>
      <c r="I286" s="1">
        <v>0</v>
      </c>
      <c r="J286" s="1">
        <v>0</v>
      </c>
      <c r="K286" s="1">
        <f t="shared" si="91"/>
        <v>-489.85739697932479</v>
      </c>
      <c r="L286" s="1">
        <f t="shared" si="84"/>
        <v>489367.5395823454</v>
      </c>
      <c r="N286" s="1">
        <f t="shared" si="92"/>
        <v>263</v>
      </c>
      <c r="O286" s="2">
        <f t="shared" si="78"/>
        <v>21</v>
      </c>
      <c r="P286" s="2">
        <f t="shared" si="79"/>
        <v>11</v>
      </c>
      <c r="Q286" s="2">
        <f t="shared" si="80"/>
        <v>21</v>
      </c>
      <c r="R286" s="1">
        <f t="shared" si="93"/>
        <v>6349407.9266376579</v>
      </c>
      <c r="S286" s="1">
        <f>IF($G$17="si",S274*(1+$G$20),S274)</f>
        <v>10000</v>
      </c>
      <c r="U286" s="1">
        <f t="shared" si="81"/>
        <v>50710.811851692415</v>
      </c>
      <c r="V286" s="1">
        <f t="shared" si="82"/>
        <v>-173.64212683911256</v>
      </c>
      <c r="X286" s="1">
        <f t="shared" si="85"/>
        <v>-6410.1187384893501</v>
      </c>
      <c r="Y286" s="1">
        <f t="shared" si="86"/>
        <v>6403534.9776240224</v>
      </c>
      <c r="AA286" s="2">
        <f>+Bono!J286</f>
        <v>271890.86659235385</v>
      </c>
      <c r="AC286" s="10">
        <f t="shared" si="87"/>
        <v>21.916666666666668</v>
      </c>
      <c r="AD286" s="1">
        <f t="shared" si="88"/>
        <v>7164793.3837987222</v>
      </c>
    </row>
    <row r="287" spans="2:30">
      <c r="B287" s="1">
        <f t="shared" si="89"/>
        <v>264</v>
      </c>
      <c r="C287" s="2">
        <f t="shared" si="75"/>
        <v>21</v>
      </c>
      <c r="D287" s="2">
        <f t="shared" si="76"/>
        <v>12</v>
      </c>
      <c r="E287" s="2">
        <f t="shared" si="77"/>
        <v>50</v>
      </c>
      <c r="F287" s="1">
        <f t="shared" si="90"/>
        <v>489367.5395823454</v>
      </c>
      <c r="H287" s="1">
        <f t="shared" si="83"/>
        <v>3902.2854819767435</v>
      </c>
      <c r="I287" s="1">
        <v>0</v>
      </c>
      <c r="J287" s="69">
        <f>-SUM(F287:H287)*$J$21</f>
        <v>-4439.4284255788998</v>
      </c>
      <c r="K287" s="1">
        <f t="shared" si="91"/>
        <v>-488.83039663874325</v>
      </c>
      <c r="L287" s="1">
        <f t="shared" si="84"/>
        <v>488341.56624210451</v>
      </c>
      <c r="N287" s="1">
        <f t="shared" si="92"/>
        <v>264</v>
      </c>
      <c r="O287" s="2">
        <f t="shared" si="78"/>
        <v>21</v>
      </c>
      <c r="P287" s="2">
        <f t="shared" si="79"/>
        <v>12</v>
      </c>
      <c r="Q287" s="2">
        <f t="shared" si="80"/>
        <v>21</v>
      </c>
      <c r="R287" s="1">
        <f t="shared" si="93"/>
        <v>6403534.9776240224</v>
      </c>
      <c r="S287" s="4">
        <f>IF($G$4="mensual",S286,0)</f>
        <v>10000</v>
      </c>
      <c r="U287" s="1">
        <f t="shared" si="81"/>
        <v>51142.428557260115</v>
      </c>
      <c r="V287" s="1">
        <f t="shared" si="82"/>
        <v>-173.64212683911256</v>
      </c>
      <c r="X287" s="1">
        <f t="shared" si="85"/>
        <v>-6464.6774061812821</v>
      </c>
      <c r="Y287" s="1">
        <f t="shared" si="86"/>
        <v>6458039.0866482621</v>
      </c>
      <c r="AA287" s="2">
        <f>+Bono!J287</f>
        <v>271111.96725484362</v>
      </c>
      <c r="AC287" s="10">
        <f t="shared" si="87"/>
        <v>22</v>
      </c>
      <c r="AD287" s="1">
        <f t="shared" si="88"/>
        <v>7217492.6201452101</v>
      </c>
    </row>
    <row r="288" spans="2:30">
      <c r="B288" s="1">
        <f t="shared" si="89"/>
        <v>265</v>
      </c>
      <c r="C288" s="2">
        <f t="shared" si="75"/>
        <v>22</v>
      </c>
      <c r="D288" s="2">
        <f t="shared" si="76"/>
        <v>1</v>
      </c>
      <c r="E288" s="2">
        <f t="shared" si="77"/>
        <v>51</v>
      </c>
      <c r="F288" s="1">
        <f t="shared" si="90"/>
        <v>488341.56624210451</v>
      </c>
      <c r="H288" s="1">
        <f t="shared" si="83"/>
        <v>3894.1042264853513</v>
      </c>
      <c r="I288" s="1">
        <v>0</v>
      </c>
      <c r="J288" s="1">
        <v>0</v>
      </c>
      <c r="K288" s="1">
        <f t="shared" si="91"/>
        <v>-492.23567046858989</v>
      </c>
      <c r="L288" s="1">
        <f t="shared" si="84"/>
        <v>491743.43479812128</v>
      </c>
      <c r="N288" s="1">
        <f t="shared" si="92"/>
        <v>265</v>
      </c>
      <c r="O288" s="2">
        <f t="shared" si="78"/>
        <v>22</v>
      </c>
      <c r="P288" s="2">
        <f t="shared" si="79"/>
        <v>1</v>
      </c>
      <c r="Q288" s="2">
        <f t="shared" si="80"/>
        <v>22</v>
      </c>
      <c r="R288" s="1">
        <f t="shared" si="93"/>
        <v>6458039.0866482621</v>
      </c>
      <c r="S288" s="1">
        <f>IF($G$17="si",S276*(1+$G$20),S276)</f>
        <v>10000</v>
      </c>
      <c r="U288" s="1">
        <f t="shared" si="81"/>
        <v>51577.051976571682</v>
      </c>
      <c r="V288" s="1">
        <f>V287*(1+$G$18)</f>
        <v>-180.58781191267707</v>
      </c>
      <c r="X288" s="1">
        <f t="shared" si="85"/>
        <v>-6519.6161386248341</v>
      </c>
      <c r="Y288" s="1">
        <f t="shared" si="86"/>
        <v>6512915.9346742965</v>
      </c>
      <c r="AA288" s="2">
        <f>+Bono!J288</f>
        <v>272792.89289886545</v>
      </c>
      <c r="AC288" s="10">
        <f t="shared" si="87"/>
        <v>22.083333333333332</v>
      </c>
      <c r="AD288" s="1">
        <f t="shared" si="88"/>
        <v>7277452.262371283</v>
      </c>
    </row>
    <row r="289" spans="2:30">
      <c r="B289" s="1">
        <f t="shared" si="89"/>
        <v>266</v>
      </c>
      <c r="C289" s="2">
        <f t="shared" si="75"/>
        <v>22</v>
      </c>
      <c r="D289" s="2">
        <f t="shared" si="76"/>
        <v>2</v>
      </c>
      <c r="E289" s="2">
        <f t="shared" si="77"/>
        <v>51</v>
      </c>
      <c r="F289" s="1">
        <f t="shared" si="90"/>
        <v>491743.43479812128</v>
      </c>
      <c r="H289" s="1">
        <f t="shared" si="83"/>
        <v>3921.2312040717011</v>
      </c>
      <c r="I289" s="1">
        <v>0</v>
      </c>
      <c r="J289" s="1">
        <v>0</v>
      </c>
      <c r="K289" s="1">
        <f t="shared" si="91"/>
        <v>-495.66466600219303</v>
      </c>
      <c r="L289" s="1">
        <f t="shared" si="84"/>
        <v>495169.00133619079</v>
      </c>
      <c r="N289" s="1">
        <f t="shared" si="92"/>
        <v>266</v>
      </c>
      <c r="O289" s="2">
        <f t="shared" si="78"/>
        <v>22</v>
      </c>
      <c r="P289" s="2">
        <f t="shared" si="79"/>
        <v>2</v>
      </c>
      <c r="Q289" s="2">
        <f t="shared" si="80"/>
        <v>22</v>
      </c>
      <c r="R289" s="1">
        <f t="shared" si="93"/>
        <v>6512915.9346742965</v>
      </c>
      <c r="S289" s="4">
        <f>IF($G$4="mensual",S288,0)</f>
        <v>10000</v>
      </c>
      <c r="U289" s="1">
        <f t="shared" si="81"/>
        <v>52014.64766902689</v>
      </c>
      <c r="V289" s="1">
        <f>V288</f>
        <v>-180.58781191267707</v>
      </c>
      <c r="X289" s="1">
        <f t="shared" si="85"/>
        <v>-6574.9305823433233</v>
      </c>
      <c r="Y289" s="1">
        <f t="shared" si="86"/>
        <v>6568175.0639490671</v>
      </c>
      <c r="AA289" s="2">
        <f>+Bono!J289</f>
        <v>274484.24047685548</v>
      </c>
      <c r="AC289" s="10">
        <f t="shared" si="87"/>
        <v>22.166666666666668</v>
      </c>
      <c r="AD289" s="1">
        <f t="shared" si="88"/>
        <v>7337828.3057621131</v>
      </c>
    </row>
    <row r="290" spans="2:30">
      <c r="B290" s="1">
        <f t="shared" si="89"/>
        <v>267</v>
      </c>
      <c r="C290" s="2">
        <f t="shared" si="75"/>
        <v>22</v>
      </c>
      <c r="D290" s="2">
        <f t="shared" si="76"/>
        <v>3</v>
      </c>
      <c r="E290" s="2">
        <f t="shared" si="77"/>
        <v>51</v>
      </c>
      <c r="F290" s="1">
        <f t="shared" si="90"/>
        <v>495169.00133619079</v>
      </c>
      <c r="H290" s="1">
        <f t="shared" si="83"/>
        <v>3948.5471526948209</v>
      </c>
      <c r="I290" s="1">
        <v>0</v>
      </c>
      <c r="J290" s="69">
        <f>-SUM(F290:H290)*$J$21</f>
        <v>-4492.0579363999714</v>
      </c>
      <c r="K290" s="1">
        <f t="shared" si="91"/>
        <v>-494.6254905524857</v>
      </c>
      <c r="L290" s="1">
        <f t="shared" si="84"/>
        <v>494130.86506193317</v>
      </c>
      <c r="N290" s="1">
        <f t="shared" si="92"/>
        <v>267</v>
      </c>
      <c r="O290" s="2">
        <f t="shared" si="78"/>
        <v>22</v>
      </c>
      <c r="P290" s="2">
        <f t="shared" si="79"/>
        <v>3</v>
      </c>
      <c r="Q290" s="2">
        <f t="shared" si="80"/>
        <v>22</v>
      </c>
      <c r="R290" s="1">
        <f t="shared" si="93"/>
        <v>6568175.0639490671</v>
      </c>
      <c r="S290" s="4">
        <f>IF($G$4="mensual",S289,0)</f>
        <v>10000</v>
      </c>
      <c r="U290" s="1">
        <f t="shared" si="81"/>
        <v>52455.291725842864</v>
      </c>
      <c r="V290" s="1">
        <f t="shared" si="82"/>
        <v>-180.58781191267707</v>
      </c>
      <c r="X290" s="1">
        <f t="shared" si="85"/>
        <v>-6630.6303556749108</v>
      </c>
      <c r="Y290" s="1">
        <f t="shared" si="86"/>
        <v>6623819.1375073232</v>
      </c>
      <c r="AA290" s="2">
        <f>+Bono!J290</f>
        <v>273697.91177172482</v>
      </c>
      <c r="AC290" s="10">
        <f t="shared" si="87"/>
        <v>22.25</v>
      </c>
      <c r="AD290" s="1">
        <f t="shared" si="88"/>
        <v>7391647.9143409813</v>
      </c>
    </row>
    <row r="291" spans="2:30">
      <c r="B291" s="1">
        <f t="shared" si="89"/>
        <v>268</v>
      </c>
      <c r="C291" s="2">
        <f t="shared" si="75"/>
        <v>22</v>
      </c>
      <c r="D291" s="2">
        <f t="shared" si="76"/>
        <v>4</v>
      </c>
      <c r="E291" s="2">
        <f t="shared" si="77"/>
        <v>51</v>
      </c>
      <c r="F291" s="1">
        <f t="shared" si="90"/>
        <v>494130.86506193317</v>
      </c>
      <c r="H291" s="1">
        <f t="shared" si="83"/>
        <v>3940.2689082595521</v>
      </c>
      <c r="I291" s="1">
        <v>0</v>
      </c>
      <c r="J291" s="1">
        <v>0</v>
      </c>
      <c r="K291" s="1">
        <f t="shared" si="91"/>
        <v>-498.07113397019276</v>
      </c>
      <c r="L291" s="1">
        <f t="shared" si="84"/>
        <v>497573.06283622258</v>
      </c>
      <c r="N291" s="1">
        <f t="shared" si="92"/>
        <v>268</v>
      </c>
      <c r="O291" s="2">
        <f t="shared" si="78"/>
        <v>22</v>
      </c>
      <c r="P291" s="2">
        <f t="shared" si="79"/>
        <v>4</v>
      </c>
      <c r="Q291" s="2">
        <f t="shared" si="80"/>
        <v>22</v>
      </c>
      <c r="R291" s="1">
        <f t="shared" si="93"/>
        <v>6623819.1375073232</v>
      </c>
      <c r="S291" s="4">
        <f>IF($G$4="mensual",S288,IF($G$4="trimestral",S288,0))</f>
        <v>10000</v>
      </c>
      <c r="U291" s="1">
        <f t="shared" si="81"/>
        <v>52899.005382432646</v>
      </c>
      <c r="V291" s="1">
        <f t="shared" si="82"/>
        <v>-180.58781191267707</v>
      </c>
      <c r="X291" s="1">
        <f t="shared" si="85"/>
        <v>-6686.7181428897557</v>
      </c>
      <c r="Y291" s="1">
        <f t="shared" si="86"/>
        <v>6679850.8369349539</v>
      </c>
      <c r="AA291" s="2">
        <f>+Bono!J291</f>
        <v>275394.87057170225</v>
      </c>
      <c r="AC291" s="10">
        <f t="shared" si="87"/>
        <v>22.333333333333332</v>
      </c>
      <c r="AD291" s="1">
        <f t="shared" si="88"/>
        <v>7452818.770342879</v>
      </c>
    </row>
    <row r="292" spans="2:30">
      <c r="B292" s="1">
        <f t="shared" si="89"/>
        <v>269</v>
      </c>
      <c r="C292" s="2">
        <f t="shared" ref="C292:C355" si="94">C280+1</f>
        <v>22</v>
      </c>
      <c r="D292" s="2">
        <f t="shared" ref="D292:D355" si="95">D280</f>
        <v>5</v>
      </c>
      <c r="E292" s="2">
        <f t="shared" ref="E292:E355" si="96">E280+1</f>
        <v>51</v>
      </c>
      <c r="F292" s="1">
        <f t="shared" si="90"/>
        <v>497573.06283622258</v>
      </c>
      <c r="H292" s="1">
        <f t="shared" si="83"/>
        <v>3967.7174766957955</v>
      </c>
      <c r="I292" s="1">
        <v>0</v>
      </c>
      <c r="J292" s="1">
        <v>0</v>
      </c>
      <c r="K292" s="1">
        <f t="shared" si="91"/>
        <v>-501.54078031291834</v>
      </c>
      <c r="L292" s="1">
        <f t="shared" si="84"/>
        <v>501039.23953260545</v>
      </c>
      <c r="N292" s="1">
        <f t="shared" si="92"/>
        <v>269</v>
      </c>
      <c r="O292" s="2">
        <f t="shared" ref="O292:O355" si="97">O280+1</f>
        <v>22</v>
      </c>
      <c r="P292" s="2">
        <f t="shared" ref="P292:P355" si="98">P280</f>
        <v>5</v>
      </c>
      <c r="Q292" s="2">
        <f t="shared" ref="Q292:Q355" si="99">Q280+1</f>
        <v>22</v>
      </c>
      <c r="R292" s="1">
        <f t="shared" si="93"/>
        <v>6679850.8369349539</v>
      </c>
      <c r="S292" s="4">
        <f>IF($G$4="mensual",S291,0)</f>
        <v>10000</v>
      </c>
      <c r="U292" s="1">
        <f t="shared" ref="U292:U355" si="100">SUM(R292:T292)*$G$8</f>
        <v>53345.810022138699</v>
      </c>
      <c r="V292" s="1">
        <f t="shared" si="82"/>
        <v>-180.58781191267707</v>
      </c>
      <c r="X292" s="1">
        <f t="shared" si="85"/>
        <v>-6743.1966469570934</v>
      </c>
      <c r="Y292" s="1">
        <f t="shared" si="86"/>
        <v>6736272.8624982238</v>
      </c>
      <c r="AA292" s="2">
        <f>+Bono!J292</f>
        <v>277102.35071307461</v>
      </c>
      <c r="AC292" s="10">
        <f t="shared" si="87"/>
        <v>22.416666666666668</v>
      </c>
      <c r="AD292" s="1">
        <f t="shared" si="88"/>
        <v>7514414.4527439037</v>
      </c>
    </row>
    <row r="293" spans="2:30">
      <c r="B293" s="1">
        <f t="shared" si="89"/>
        <v>270</v>
      </c>
      <c r="C293" s="2">
        <f t="shared" si="94"/>
        <v>22</v>
      </c>
      <c r="D293" s="2">
        <f t="shared" si="95"/>
        <v>6</v>
      </c>
      <c r="E293" s="2">
        <f t="shared" si="96"/>
        <v>51</v>
      </c>
      <c r="F293" s="1">
        <f t="shared" si="90"/>
        <v>501039.23953260545</v>
      </c>
      <c r="H293" s="1">
        <f t="shared" si="83"/>
        <v>3995.3572564241463</v>
      </c>
      <c r="I293" s="1">
        <v>0</v>
      </c>
      <c r="J293" s="69">
        <f>-SUM(F293:H293)*$J$21</f>
        <v>-4545.3113711012666</v>
      </c>
      <c r="K293" s="1">
        <f t="shared" si="91"/>
        <v>-500.48928541792839</v>
      </c>
      <c r="L293" s="1">
        <f t="shared" si="84"/>
        <v>499988.79613251041</v>
      </c>
      <c r="N293" s="1">
        <f t="shared" si="92"/>
        <v>270</v>
      </c>
      <c r="O293" s="2">
        <f t="shared" si="97"/>
        <v>22</v>
      </c>
      <c r="P293" s="2">
        <f t="shared" si="98"/>
        <v>6</v>
      </c>
      <c r="Q293" s="2">
        <f t="shared" si="99"/>
        <v>22</v>
      </c>
      <c r="R293" s="1">
        <f t="shared" si="93"/>
        <v>6736272.8624982238</v>
      </c>
      <c r="S293" s="4">
        <f>IF($G$4="mensual",S292,0)</f>
        <v>10000</v>
      </c>
      <c r="U293" s="1">
        <f t="shared" si="100"/>
        <v>53795.727177263412</v>
      </c>
      <c r="V293" s="1">
        <f t="shared" si="82"/>
        <v>-180.58781191267707</v>
      </c>
      <c r="X293" s="1">
        <f t="shared" si="85"/>
        <v>-6800.0685896754876</v>
      </c>
      <c r="Y293" s="1">
        <f t="shared" si="86"/>
        <v>6793087.9332738994</v>
      </c>
      <c r="AA293" s="2">
        <f>+Bono!J293</f>
        <v>276308.52177686204</v>
      </c>
      <c r="AC293" s="10">
        <f t="shared" si="87"/>
        <v>22.5</v>
      </c>
      <c r="AD293" s="1">
        <f t="shared" si="88"/>
        <v>7569385.2511832723</v>
      </c>
    </row>
    <row r="294" spans="2:30">
      <c r="B294" s="1">
        <f t="shared" si="89"/>
        <v>271</v>
      </c>
      <c r="C294" s="2">
        <f t="shared" si="94"/>
        <v>22</v>
      </c>
      <c r="D294" s="2">
        <f t="shared" si="95"/>
        <v>7</v>
      </c>
      <c r="E294" s="2">
        <f t="shared" si="96"/>
        <v>51</v>
      </c>
      <c r="F294" s="1">
        <f t="shared" si="90"/>
        <v>499988.79613251041</v>
      </c>
      <c r="H294" s="1">
        <f t="shared" si="83"/>
        <v>3986.9808732391734</v>
      </c>
      <c r="I294" s="1">
        <v>0</v>
      </c>
      <c r="J294" s="1">
        <v>0</v>
      </c>
      <c r="K294" s="1">
        <f t="shared" si="91"/>
        <v>-503.97577700574959</v>
      </c>
      <c r="L294" s="1">
        <f t="shared" si="84"/>
        <v>503471.8012287438</v>
      </c>
      <c r="N294" s="1">
        <f t="shared" si="92"/>
        <v>271</v>
      </c>
      <c r="O294" s="2">
        <f t="shared" si="97"/>
        <v>22</v>
      </c>
      <c r="P294" s="2">
        <f t="shared" si="98"/>
        <v>7</v>
      </c>
      <c r="Q294" s="2">
        <f t="shared" si="99"/>
        <v>22</v>
      </c>
      <c r="R294" s="1">
        <f t="shared" si="93"/>
        <v>6793087.9332738994</v>
      </c>
      <c r="S294" s="1">
        <f>+IF($G$4="mensual",S288,IF($G$4="trimestral",S288,IF($G$4="semestral",S288,0)))</f>
        <v>10000</v>
      </c>
      <c r="U294" s="1">
        <f t="shared" si="100"/>
        <v>54248.778530106756</v>
      </c>
      <c r="V294" s="1">
        <f t="shared" si="82"/>
        <v>-180.58781191267707</v>
      </c>
      <c r="X294" s="1">
        <f t="shared" si="85"/>
        <v>-6857.336711804006</v>
      </c>
      <c r="Y294" s="1">
        <f t="shared" si="86"/>
        <v>6850298.7872802895</v>
      </c>
      <c r="AA294" s="2">
        <f>+Bono!J294</f>
        <v>278021.66666168335</v>
      </c>
      <c r="AC294" s="10">
        <f t="shared" si="87"/>
        <v>22.583333333333332</v>
      </c>
      <c r="AD294" s="1">
        <f t="shared" si="88"/>
        <v>7631792.2551707169</v>
      </c>
    </row>
    <row r="295" spans="2:30">
      <c r="B295" s="1">
        <f t="shared" si="89"/>
        <v>272</v>
      </c>
      <c r="C295" s="2">
        <f t="shared" si="94"/>
        <v>22</v>
      </c>
      <c r="D295" s="2">
        <f t="shared" si="95"/>
        <v>8</v>
      </c>
      <c r="E295" s="2">
        <f t="shared" si="96"/>
        <v>51</v>
      </c>
      <c r="F295" s="1">
        <f t="shared" si="90"/>
        <v>503471.8012287438</v>
      </c>
      <c r="H295" s="1">
        <f t="shared" si="83"/>
        <v>4014.754844991126</v>
      </c>
      <c r="I295" s="1">
        <v>0</v>
      </c>
      <c r="J295" s="1">
        <v>0</v>
      </c>
      <c r="K295" s="1">
        <f t="shared" si="91"/>
        <v>-507.48655607373496</v>
      </c>
      <c r="L295" s="1">
        <f t="shared" si="84"/>
        <v>506979.06951766124</v>
      </c>
      <c r="N295" s="1">
        <f t="shared" si="92"/>
        <v>272</v>
      </c>
      <c r="O295" s="2">
        <f t="shared" si="97"/>
        <v>22</v>
      </c>
      <c r="P295" s="2">
        <f t="shared" si="98"/>
        <v>8</v>
      </c>
      <c r="Q295" s="2">
        <f t="shared" si="99"/>
        <v>22</v>
      </c>
      <c r="R295" s="1">
        <f t="shared" si="93"/>
        <v>6850298.7872802895</v>
      </c>
      <c r="S295" s="4">
        <f>IF($G$4="mensual",S294,0)</f>
        <v>10000</v>
      </c>
      <c r="U295" s="1">
        <f t="shared" si="100"/>
        <v>54704.985914011224</v>
      </c>
      <c r="V295" s="1">
        <f t="shared" si="82"/>
        <v>-180.58781191267707</v>
      </c>
      <c r="X295" s="1">
        <f t="shared" si="85"/>
        <v>-6915.0037731943012</v>
      </c>
      <c r="Y295" s="1">
        <f t="shared" si="86"/>
        <v>6907908.1816091938</v>
      </c>
      <c r="AA295" s="2">
        <f>+Bono!J295</f>
        <v>279745.4332435031</v>
      </c>
      <c r="AC295" s="10">
        <f t="shared" si="87"/>
        <v>22.666666666666668</v>
      </c>
      <c r="AD295" s="1">
        <f t="shared" si="88"/>
        <v>7694632.6843703575</v>
      </c>
    </row>
    <row r="296" spans="2:30">
      <c r="B296" s="1">
        <f t="shared" si="89"/>
        <v>273</v>
      </c>
      <c r="C296" s="2">
        <f t="shared" si="94"/>
        <v>22</v>
      </c>
      <c r="D296" s="2">
        <f t="shared" si="95"/>
        <v>9</v>
      </c>
      <c r="E296" s="2">
        <f t="shared" si="96"/>
        <v>51</v>
      </c>
      <c r="F296" s="1">
        <f t="shared" si="90"/>
        <v>506979.06951766124</v>
      </c>
      <c r="H296" s="1">
        <f t="shared" si="83"/>
        <v>4042.7222948487947</v>
      </c>
      <c r="I296" s="1">
        <v>0</v>
      </c>
      <c r="J296" s="69">
        <f>-SUM(F296:H296)*$J$21</f>
        <v>-4599.1961263125913</v>
      </c>
      <c r="K296" s="1">
        <f t="shared" si="91"/>
        <v>-506.42259568619744</v>
      </c>
      <c r="L296" s="1">
        <f t="shared" si="84"/>
        <v>505916.17309051123</v>
      </c>
      <c r="N296" s="1">
        <f t="shared" si="92"/>
        <v>273</v>
      </c>
      <c r="O296" s="2">
        <f t="shared" si="97"/>
        <v>22</v>
      </c>
      <c r="P296" s="2">
        <f t="shared" si="98"/>
        <v>9</v>
      </c>
      <c r="Q296" s="2">
        <f t="shared" si="99"/>
        <v>22</v>
      </c>
      <c r="R296" s="1">
        <f t="shared" si="93"/>
        <v>6907908.1816091938</v>
      </c>
      <c r="S296" s="4">
        <f>IF($G$4="mensual",S295,0)</f>
        <v>10000</v>
      </c>
      <c r="U296" s="1">
        <f t="shared" si="100"/>
        <v>55164.371314413998</v>
      </c>
      <c r="V296" s="1">
        <f t="shared" si="82"/>
        <v>-180.58781191267707</v>
      </c>
      <c r="X296" s="1">
        <f t="shared" si="85"/>
        <v>-6973.0725529236079</v>
      </c>
      <c r="Y296" s="1">
        <f t="shared" si="86"/>
        <v>6965918.8925587712</v>
      </c>
      <c r="AA296" s="2">
        <f>+Bono!J296</f>
        <v>278944.03253683069</v>
      </c>
      <c r="AC296" s="10">
        <f t="shared" si="87"/>
        <v>22.75</v>
      </c>
      <c r="AD296" s="1">
        <f t="shared" si="88"/>
        <v>7750779.0981861129</v>
      </c>
    </row>
    <row r="297" spans="2:30">
      <c r="B297" s="1">
        <f t="shared" si="89"/>
        <v>274</v>
      </c>
      <c r="C297" s="2">
        <f t="shared" si="94"/>
        <v>22</v>
      </c>
      <c r="D297" s="2">
        <f t="shared" si="95"/>
        <v>10</v>
      </c>
      <c r="E297" s="2">
        <f t="shared" si="96"/>
        <v>51</v>
      </c>
      <c r="F297" s="1">
        <f t="shared" si="90"/>
        <v>505916.17309051123</v>
      </c>
      <c r="H297" s="1">
        <f t="shared" si="83"/>
        <v>4034.2466094773204</v>
      </c>
      <c r="I297" s="1">
        <v>0</v>
      </c>
      <c r="J297" s="1">
        <v>0</v>
      </c>
      <c r="K297" s="1">
        <f t="shared" si="91"/>
        <v>-509.95041969998857</v>
      </c>
      <c r="L297" s="1">
        <f t="shared" si="84"/>
        <v>509440.46928028855</v>
      </c>
      <c r="N297" s="1">
        <f t="shared" si="92"/>
        <v>274</v>
      </c>
      <c r="O297" s="2">
        <f t="shared" si="97"/>
        <v>22</v>
      </c>
      <c r="P297" s="2">
        <f t="shared" si="98"/>
        <v>10</v>
      </c>
      <c r="Q297" s="2">
        <f t="shared" si="99"/>
        <v>22</v>
      </c>
      <c r="R297" s="1">
        <f t="shared" si="93"/>
        <v>6965918.8925587712</v>
      </c>
      <c r="S297" s="4">
        <f>IF($G$4="mensual",S288,IF($G$4="trimestral",S288,0))</f>
        <v>10000</v>
      </c>
      <c r="U297" s="1">
        <f t="shared" si="100"/>
        <v>55626.956869906469</v>
      </c>
      <c r="V297" s="1">
        <f t="shared" si="82"/>
        <v>-180.58781191267707</v>
      </c>
      <c r="X297" s="1">
        <f t="shared" si="85"/>
        <v>-7031.5458494286777</v>
      </c>
      <c r="Y297" s="1">
        <f t="shared" si="86"/>
        <v>7024333.715767337</v>
      </c>
      <c r="AA297" s="2">
        <f>+Bono!J297</f>
        <v>280673.51789406419</v>
      </c>
      <c r="AC297" s="10">
        <f t="shared" si="87"/>
        <v>22.833333333333332</v>
      </c>
      <c r="AD297" s="1">
        <f t="shared" si="88"/>
        <v>7814447.7029416896</v>
      </c>
    </row>
    <row r="298" spans="2:30">
      <c r="B298" s="1">
        <f t="shared" si="89"/>
        <v>275</v>
      </c>
      <c r="C298" s="2">
        <f t="shared" si="94"/>
        <v>22</v>
      </c>
      <c r="D298" s="2">
        <f t="shared" si="95"/>
        <v>11</v>
      </c>
      <c r="E298" s="2">
        <f t="shared" si="96"/>
        <v>51</v>
      </c>
      <c r="F298" s="1">
        <f t="shared" si="90"/>
        <v>509440.46928028855</v>
      </c>
      <c r="H298" s="1">
        <f t="shared" si="83"/>
        <v>4062.349842207655</v>
      </c>
      <c r="I298" s="1">
        <v>0</v>
      </c>
      <c r="J298" s="1">
        <v>0</v>
      </c>
      <c r="K298" s="1">
        <f t="shared" si="91"/>
        <v>-513.50281912249625</v>
      </c>
      <c r="L298" s="1">
        <f t="shared" si="84"/>
        <v>512989.31630337372</v>
      </c>
      <c r="N298" s="1">
        <f t="shared" si="92"/>
        <v>275</v>
      </c>
      <c r="O298" s="2">
        <f t="shared" si="97"/>
        <v>22</v>
      </c>
      <c r="P298" s="2">
        <f t="shared" si="98"/>
        <v>11</v>
      </c>
      <c r="Q298" s="2">
        <f t="shared" si="99"/>
        <v>22</v>
      </c>
      <c r="R298" s="1">
        <f t="shared" si="93"/>
        <v>7024333.715767337</v>
      </c>
      <c r="S298" s="1">
        <f>IF($G$17="si",S286*(1+$G$20),S286)</f>
        <v>10000</v>
      </c>
      <c r="U298" s="1">
        <f t="shared" si="100"/>
        <v>56092.764873301159</v>
      </c>
      <c r="V298" s="1">
        <f t="shared" si="82"/>
        <v>-180.58781191267707</v>
      </c>
      <c r="X298" s="1">
        <f t="shared" si="85"/>
        <v>-7090.4264806406391</v>
      </c>
      <c r="Y298" s="1">
        <f t="shared" si="86"/>
        <v>7083155.4663480856</v>
      </c>
      <c r="AA298" s="2">
        <f>+Bono!J298</f>
        <v>282413.72626112035</v>
      </c>
      <c r="AC298" s="10">
        <f t="shared" si="87"/>
        <v>22.916666666666668</v>
      </c>
      <c r="AD298" s="1">
        <f t="shared" si="88"/>
        <v>7878558.5089125792</v>
      </c>
    </row>
    <row r="299" spans="2:30">
      <c r="B299" s="1">
        <f t="shared" si="89"/>
        <v>276</v>
      </c>
      <c r="C299" s="2">
        <f t="shared" si="94"/>
        <v>22</v>
      </c>
      <c r="D299" s="2">
        <f t="shared" si="95"/>
        <v>12</v>
      </c>
      <c r="E299" s="2">
        <f t="shared" si="96"/>
        <v>51</v>
      </c>
      <c r="F299" s="1">
        <f t="shared" si="90"/>
        <v>512989.31630337372</v>
      </c>
      <c r="H299" s="1">
        <f t="shared" si="83"/>
        <v>4090.6488467304334</v>
      </c>
      <c r="I299" s="1">
        <v>0</v>
      </c>
      <c r="J299" s="69">
        <f>-SUM(F299:H299)*$J$21</f>
        <v>-4653.719686350938</v>
      </c>
      <c r="K299" s="1">
        <f t="shared" si="91"/>
        <v>-512.42624546375316</v>
      </c>
      <c r="L299" s="1">
        <f t="shared" si="84"/>
        <v>511913.8192182894</v>
      </c>
      <c r="N299" s="1">
        <f t="shared" si="92"/>
        <v>276</v>
      </c>
      <c r="O299" s="2">
        <f t="shared" si="97"/>
        <v>22</v>
      </c>
      <c r="P299" s="2">
        <f t="shared" si="98"/>
        <v>12</v>
      </c>
      <c r="Q299" s="2">
        <f t="shared" si="99"/>
        <v>22</v>
      </c>
      <c r="R299" s="1">
        <f t="shared" si="93"/>
        <v>7083155.4663480856</v>
      </c>
      <c r="S299" s="4">
        <f>IF($G$4="mensual",S298,0)</f>
        <v>10000</v>
      </c>
      <c r="U299" s="1">
        <f t="shared" si="100"/>
        <v>56561.817772706003</v>
      </c>
      <c r="V299" s="1">
        <f t="shared" si="82"/>
        <v>-180.58781191267707</v>
      </c>
      <c r="X299" s="1">
        <f t="shared" si="85"/>
        <v>-7149.7172841207921</v>
      </c>
      <c r="Y299" s="1">
        <f t="shared" si="86"/>
        <v>7142386.9790247586</v>
      </c>
      <c r="AA299" s="2">
        <f>+Bono!J299</f>
        <v>281604.68156224722</v>
      </c>
      <c r="AC299" s="10">
        <f t="shared" si="87"/>
        <v>23</v>
      </c>
      <c r="AD299" s="1">
        <f t="shared" si="88"/>
        <v>7935905.4798052944</v>
      </c>
    </row>
    <row r="300" spans="2:30">
      <c r="B300" s="1">
        <f t="shared" si="89"/>
        <v>277</v>
      </c>
      <c r="C300" s="2">
        <f t="shared" si="94"/>
        <v>23</v>
      </c>
      <c r="D300" s="2">
        <f t="shared" si="95"/>
        <v>1</v>
      </c>
      <c r="E300" s="2">
        <f t="shared" si="96"/>
        <v>52</v>
      </c>
      <c r="F300" s="1">
        <f t="shared" si="90"/>
        <v>511913.8192182894</v>
      </c>
      <c r="H300" s="1">
        <f t="shared" si="83"/>
        <v>4082.0726819430943</v>
      </c>
      <c r="I300" s="1">
        <v>0</v>
      </c>
      <c r="J300" s="1">
        <v>0</v>
      </c>
      <c r="K300" s="1">
        <f t="shared" si="91"/>
        <v>-515.99589190023244</v>
      </c>
      <c r="L300" s="1">
        <f t="shared" si="84"/>
        <v>515479.89600833226</v>
      </c>
      <c r="N300" s="1">
        <f t="shared" si="92"/>
        <v>277</v>
      </c>
      <c r="O300" s="2">
        <f t="shared" si="97"/>
        <v>23</v>
      </c>
      <c r="P300" s="2">
        <f t="shared" si="98"/>
        <v>1</v>
      </c>
      <c r="Q300" s="2">
        <f t="shared" si="99"/>
        <v>23</v>
      </c>
      <c r="R300" s="1">
        <f t="shared" si="93"/>
        <v>7142386.9790247586</v>
      </c>
      <c r="S300" s="1">
        <f>IF($G$17="si",S288*(1+$G$20),S288)</f>
        <v>10000</v>
      </c>
      <c r="U300" s="1">
        <f t="shared" si="100"/>
        <v>57034.138172606188</v>
      </c>
      <c r="V300" s="1">
        <f>V299*(1+$G$18)</f>
        <v>-187.81132438918416</v>
      </c>
      <c r="X300" s="1">
        <f t="shared" si="85"/>
        <v>-7209.4211171973648</v>
      </c>
      <c r="Y300" s="1">
        <f t="shared" si="86"/>
        <v>7202023.8847557781</v>
      </c>
      <c r="AA300" s="2">
        <f>+Bono!J300</f>
        <v>283350.66325205448</v>
      </c>
      <c r="AC300" s="10">
        <f t="shared" si="87"/>
        <v>23.083333333333332</v>
      </c>
      <c r="AD300" s="1">
        <f t="shared" si="88"/>
        <v>8000854.4440161651</v>
      </c>
    </row>
    <row r="301" spans="2:30">
      <c r="B301" s="1">
        <f t="shared" si="89"/>
        <v>278</v>
      </c>
      <c r="C301" s="2">
        <f t="shared" si="94"/>
        <v>23</v>
      </c>
      <c r="D301" s="2">
        <f t="shared" si="95"/>
        <v>2</v>
      </c>
      <c r="E301" s="2">
        <f t="shared" si="96"/>
        <v>52</v>
      </c>
      <c r="F301" s="1">
        <f t="shared" si="90"/>
        <v>515479.89600833226</v>
      </c>
      <c r="H301" s="1">
        <f t="shared" si="83"/>
        <v>4110.5090790471504</v>
      </c>
      <c r="I301" s="1">
        <v>0</v>
      </c>
      <c r="J301" s="1">
        <v>0</v>
      </c>
      <c r="K301" s="1">
        <f t="shared" si="91"/>
        <v>-519.59040508737939</v>
      </c>
      <c r="L301" s="1">
        <f t="shared" si="84"/>
        <v>519070.814682292</v>
      </c>
      <c r="N301" s="1">
        <f t="shared" si="92"/>
        <v>278</v>
      </c>
      <c r="O301" s="2">
        <f t="shared" si="97"/>
        <v>23</v>
      </c>
      <c r="P301" s="2">
        <f t="shared" si="98"/>
        <v>2</v>
      </c>
      <c r="Q301" s="2">
        <f t="shared" si="99"/>
        <v>23</v>
      </c>
      <c r="R301" s="1">
        <f t="shared" si="93"/>
        <v>7202023.8847557781</v>
      </c>
      <c r="S301" s="4">
        <f>IF($G$4="mensual",S300,0)</f>
        <v>10000</v>
      </c>
      <c r="U301" s="1">
        <f t="shared" si="100"/>
        <v>57509.691233650636</v>
      </c>
      <c r="V301" s="1">
        <f>V300</f>
        <v>-187.81132438918416</v>
      </c>
      <c r="X301" s="1">
        <f t="shared" si="85"/>
        <v>-7269.5335759894288</v>
      </c>
      <c r="Y301" s="1">
        <f t="shared" si="86"/>
        <v>7262076.2310890509</v>
      </c>
      <c r="AA301" s="2">
        <f>+Bono!J301</f>
        <v>285107.47023085988</v>
      </c>
      <c r="AC301" s="10">
        <f t="shared" si="87"/>
        <v>23.166666666666668</v>
      </c>
      <c r="AD301" s="1">
        <f t="shared" si="88"/>
        <v>8066254.5160022024</v>
      </c>
    </row>
    <row r="302" spans="2:30">
      <c r="B302" s="1">
        <f t="shared" si="89"/>
        <v>279</v>
      </c>
      <c r="C302" s="2">
        <f t="shared" si="94"/>
        <v>23</v>
      </c>
      <c r="D302" s="2">
        <f t="shared" si="95"/>
        <v>3</v>
      </c>
      <c r="E302" s="2">
        <f t="shared" si="96"/>
        <v>52</v>
      </c>
      <c r="F302" s="1">
        <f t="shared" si="90"/>
        <v>519070.814682292</v>
      </c>
      <c r="H302" s="1">
        <f t="shared" si="83"/>
        <v>4139.1435688220781</v>
      </c>
      <c r="I302" s="1">
        <v>0</v>
      </c>
      <c r="J302" s="69">
        <f>-SUM(F302:H302)*$J$21</f>
        <v>-4708.8896242600267</v>
      </c>
      <c r="K302" s="1">
        <f t="shared" si="91"/>
        <v>-518.50106862685402</v>
      </c>
      <c r="L302" s="1">
        <f t="shared" si="84"/>
        <v>517982.56755822717</v>
      </c>
      <c r="N302" s="1">
        <f t="shared" si="92"/>
        <v>279</v>
      </c>
      <c r="O302" s="2">
        <f t="shared" si="97"/>
        <v>23</v>
      </c>
      <c r="P302" s="2">
        <f t="shared" si="98"/>
        <v>3</v>
      </c>
      <c r="Q302" s="2">
        <f t="shared" si="99"/>
        <v>23</v>
      </c>
      <c r="R302" s="1">
        <f t="shared" si="93"/>
        <v>7262076.2310890509</v>
      </c>
      <c r="S302" s="4">
        <f>IF($G$4="mensual",S301,0)</f>
        <v>10000</v>
      </c>
      <c r="U302" s="1">
        <f t="shared" si="100"/>
        <v>57988.557076397316</v>
      </c>
      <c r="V302" s="1">
        <f t="shared" si="82"/>
        <v>-187.81132438918416</v>
      </c>
      <c r="X302" s="1">
        <f t="shared" si="85"/>
        <v>-7330.0647881654486</v>
      </c>
      <c r="Y302" s="1">
        <f t="shared" si="86"/>
        <v>7322546.912052894</v>
      </c>
      <c r="AA302" s="2">
        <f>+Bono!J302</f>
        <v>284290.70862917294</v>
      </c>
      <c r="AC302" s="10">
        <f t="shared" si="87"/>
        <v>23.25</v>
      </c>
      <c r="AD302" s="1">
        <f t="shared" si="88"/>
        <v>8124820.1882402943</v>
      </c>
    </row>
    <row r="303" spans="2:30">
      <c r="B303" s="1">
        <f t="shared" si="89"/>
        <v>280</v>
      </c>
      <c r="C303" s="2">
        <f t="shared" si="94"/>
        <v>23</v>
      </c>
      <c r="D303" s="2">
        <f t="shared" si="95"/>
        <v>4</v>
      </c>
      <c r="E303" s="2">
        <f t="shared" si="96"/>
        <v>52</v>
      </c>
      <c r="F303" s="1">
        <f t="shared" si="90"/>
        <v>517982.56755822717</v>
      </c>
      <c r="H303" s="1">
        <f t="shared" si="83"/>
        <v>4130.4657334334343</v>
      </c>
      <c r="I303" s="1">
        <v>0</v>
      </c>
      <c r="J303" s="1">
        <v>0</v>
      </c>
      <c r="K303" s="1">
        <f t="shared" si="91"/>
        <v>-522.1130332916606</v>
      </c>
      <c r="L303" s="1">
        <f t="shared" si="84"/>
        <v>521590.92025836895</v>
      </c>
      <c r="N303" s="1">
        <f t="shared" si="92"/>
        <v>280</v>
      </c>
      <c r="O303" s="2">
        <f t="shared" si="97"/>
        <v>23</v>
      </c>
      <c r="P303" s="2">
        <f t="shared" si="98"/>
        <v>4</v>
      </c>
      <c r="Q303" s="2">
        <f t="shared" si="99"/>
        <v>23</v>
      </c>
      <c r="R303" s="1">
        <f t="shared" si="93"/>
        <v>7322546.912052894</v>
      </c>
      <c r="S303" s="4">
        <f>IF($G$4="mensual",S300,IF($G$4="trimestral",S300,0))</f>
        <v>10000</v>
      </c>
      <c r="U303" s="1">
        <f t="shared" si="100"/>
        <v>58470.758778234434</v>
      </c>
      <c r="V303" s="1">
        <f t="shared" si="82"/>
        <v>-187.81132438918416</v>
      </c>
      <c r="X303" s="1">
        <f t="shared" si="85"/>
        <v>-7391.0176708311283</v>
      </c>
      <c r="Y303" s="1">
        <f t="shared" si="86"/>
        <v>7383438.8418359086</v>
      </c>
      <c r="AA303" s="2">
        <f>+Bono!J303</f>
        <v>286053.34399835498</v>
      </c>
      <c r="AC303" s="10">
        <f t="shared" si="87"/>
        <v>23.333333333333332</v>
      </c>
      <c r="AD303" s="1">
        <f t="shared" si="88"/>
        <v>8191083.1060926327</v>
      </c>
    </row>
    <row r="304" spans="2:30">
      <c r="B304" s="1">
        <f t="shared" si="89"/>
        <v>281</v>
      </c>
      <c r="C304" s="2">
        <f t="shared" si="94"/>
        <v>23</v>
      </c>
      <c r="D304" s="2">
        <f t="shared" si="95"/>
        <v>5</v>
      </c>
      <c r="E304" s="2">
        <f t="shared" si="96"/>
        <v>52</v>
      </c>
      <c r="F304" s="1">
        <f t="shared" si="90"/>
        <v>521590.92025836895</v>
      </c>
      <c r="H304" s="1">
        <f t="shared" si="83"/>
        <v>4159.2392445813794</v>
      </c>
      <c r="I304" s="1">
        <v>0</v>
      </c>
      <c r="J304" s="1">
        <v>0</v>
      </c>
      <c r="K304" s="1">
        <f t="shared" si="91"/>
        <v>-525.7501595029504</v>
      </c>
      <c r="L304" s="1">
        <f t="shared" si="84"/>
        <v>525224.40934344742</v>
      </c>
      <c r="N304" s="1">
        <f t="shared" si="92"/>
        <v>281</v>
      </c>
      <c r="O304" s="2">
        <f t="shared" si="97"/>
        <v>23</v>
      </c>
      <c r="P304" s="2">
        <f t="shared" si="98"/>
        <v>5</v>
      </c>
      <c r="Q304" s="2">
        <f t="shared" si="99"/>
        <v>23</v>
      </c>
      <c r="R304" s="1">
        <f t="shared" si="93"/>
        <v>7383438.8418359086</v>
      </c>
      <c r="S304" s="4">
        <f>IF($G$4="mensual",S303,0)</f>
        <v>10000</v>
      </c>
      <c r="U304" s="1">
        <f t="shared" si="100"/>
        <v>58956.319577311144</v>
      </c>
      <c r="V304" s="1">
        <f t="shared" si="82"/>
        <v>-187.81132438918416</v>
      </c>
      <c r="X304" s="1">
        <f t="shared" si="85"/>
        <v>-7452.3951614132202</v>
      </c>
      <c r="Y304" s="1">
        <f t="shared" si="86"/>
        <v>7444754.9549274174</v>
      </c>
      <c r="AA304" s="2">
        <f>+Bono!J304</f>
        <v>287826.90791127901</v>
      </c>
      <c r="AC304" s="10">
        <f t="shared" si="87"/>
        <v>23.416666666666668</v>
      </c>
      <c r="AD304" s="1">
        <f t="shared" si="88"/>
        <v>8257806.2721821442</v>
      </c>
    </row>
    <row r="305" spans="2:30">
      <c r="B305" s="1">
        <f t="shared" si="89"/>
        <v>282</v>
      </c>
      <c r="C305" s="2">
        <f t="shared" si="94"/>
        <v>23</v>
      </c>
      <c r="D305" s="2">
        <f t="shared" si="95"/>
        <v>6</v>
      </c>
      <c r="E305" s="2">
        <f t="shared" si="96"/>
        <v>52</v>
      </c>
      <c r="F305" s="1">
        <f t="shared" si="90"/>
        <v>525224.40934344742</v>
      </c>
      <c r="H305" s="1">
        <f t="shared" si="83"/>
        <v>4188.2131967926844</v>
      </c>
      <c r="I305" s="1">
        <v>0</v>
      </c>
      <c r="J305" s="69">
        <f>-SUM(F305:H305)*$J$21</f>
        <v>-4764.7136028621608</v>
      </c>
      <c r="K305" s="1">
        <f t="shared" si="91"/>
        <v>-524.64790893737791</v>
      </c>
      <c r="L305" s="1">
        <f t="shared" si="84"/>
        <v>524123.26102844049</v>
      </c>
      <c r="N305" s="1">
        <f t="shared" si="92"/>
        <v>282</v>
      </c>
      <c r="O305" s="2">
        <f t="shared" si="97"/>
        <v>23</v>
      </c>
      <c r="P305" s="2">
        <f t="shared" si="98"/>
        <v>6</v>
      </c>
      <c r="Q305" s="2">
        <f t="shared" si="99"/>
        <v>23</v>
      </c>
      <c r="R305" s="1">
        <f t="shared" si="93"/>
        <v>7444754.9549274174</v>
      </c>
      <c r="S305" s="4">
        <f>IF($G$4="mensual",S304,0)</f>
        <v>10000</v>
      </c>
      <c r="U305" s="1">
        <f t="shared" si="100"/>
        <v>59445.262873657375</v>
      </c>
      <c r="V305" s="1">
        <f t="shared" si="82"/>
        <v>-187.81132438918416</v>
      </c>
      <c r="X305" s="1">
        <f t="shared" si="85"/>
        <v>-7514.2002178010744</v>
      </c>
      <c r="Y305" s="1">
        <f t="shared" si="86"/>
        <v>7506498.2062588846</v>
      </c>
      <c r="AA305" s="2">
        <f>+Bono!J305</f>
        <v>287002.35580072273</v>
      </c>
      <c r="AC305" s="10">
        <f t="shared" si="87"/>
        <v>23.5</v>
      </c>
      <c r="AD305" s="1">
        <f t="shared" si="88"/>
        <v>8317623.823088048</v>
      </c>
    </row>
    <row r="306" spans="2:30">
      <c r="B306" s="1">
        <f t="shared" si="89"/>
        <v>283</v>
      </c>
      <c r="C306" s="2">
        <f t="shared" si="94"/>
        <v>23</v>
      </c>
      <c r="D306" s="2">
        <f t="shared" si="95"/>
        <v>7</v>
      </c>
      <c r="E306" s="2">
        <f t="shared" si="96"/>
        <v>52</v>
      </c>
      <c r="F306" s="1">
        <f t="shared" si="90"/>
        <v>524123.26102844049</v>
      </c>
      <c r="H306" s="1">
        <f t="shared" si="83"/>
        <v>4179.4324854957677</v>
      </c>
      <c r="I306" s="1">
        <v>0</v>
      </c>
      <c r="J306" s="1">
        <v>0</v>
      </c>
      <c r="K306" s="1">
        <f t="shared" si="91"/>
        <v>-528.30269351393622</v>
      </c>
      <c r="L306" s="1">
        <f t="shared" si="84"/>
        <v>527774.39082042233</v>
      </c>
      <c r="N306" s="1">
        <f t="shared" si="92"/>
        <v>283</v>
      </c>
      <c r="O306" s="2">
        <f t="shared" si="97"/>
        <v>23</v>
      </c>
      <c r="P306" s="2">
        <f t="shared" si="98"/>
        <v>7</v>
      </c>
      <c r="Q306" s="2">
        <f t="shared" si="99"/>
        <v>23</v>
      </c>
      <c r="R306" s="1">
        <f t="shared" si="93"/>
        <v>7506498.2062588846</v>
      </c>
      <c r="S306" s="1">
        <f>+IF($G$4="mensual",S300,IF($G$4="trimestral",S300,IF($G$4="semestral",S300,0)))</f>
        <v>10000</v>
      </c>
      <c r="U306" s="1">
        <f t="shared" si="100"/>
        <v>59937.612230311599</v>
      </c>
      <c r="V306" s="1">
        <f t="shared" si="82"/>
        <v>-187.81132438918416</v>
      </c>
      <c r="X306" s="1">
        <f t="shared" si="85"/>
        <v>-7576.4358184891962</v>
      </c>
      <c r="Y306" s="1">
        <f t="shared" si="86"/>
        <v>7568671.5713463174</v>
      </c>
      <c r="AA306" s="2">
        <f>+Bono!J306</f>
        <v>288781.80369689997</v>
      </c>
      <c r="AC306" s="10">
        <f t="shared" si="87"/>
        <v>23.583333333333332</v>
      </c>
      <c r="AD306" s="1">
        <f t="shared" si="88"/>
        <v>8385227.7658636393</v>
      </c>
    </row>
    <row r="307" spans="2:30">
      <c r="B307" s="1">
        <f t="shared" si="89"/>
        <v>284</v>
      </c>
      <c r="C307" s="2">
        <f t="shared" si="94"/>
        <v>23</v>
      </c>
      <c r="D307" s="2">
        <f t="shared" si="95"/>
        <v>8</v>
      </c>
      <c r="E307" s="2">
        <f t="shared" si="96"/>
        <v>52</v>
      </c>
      <c r="F307" s="1">
        <f t="shared" si="90"/>
        <v>527774.39082042233</v>
      </c>
      <c r="H307" s="1">
        <f t="shared" si="83"/>
        <v>4208.5471071811853</v>
      </c>
      <c r="I307" s="1">
        <v>0</v>
      </c>
      <c r="J307" s="1">
        <v>0</v>
      </c>
      <c r="K307" s="1">
        <f t="shared" si="91"/>
        <v>-531.98293792760353</v>
      </c>
      <c r="L307" s="1">
        <f t="shared" si="84"/>
        <v>531450.9549896759</v>
      </c>
      <c r="N307" s="1">
        <f t="shared" si="92"/>
        <v>284</v>
      </c>
      <c r="O307" s="2">
        <f t="shared" si="97"/>
        <v>23</v>
      </c>
      <c r="P307" s="2">
        <f t="shared" si="98"/>
        <v>8</v>
      </c>
      <c r="Q307" s="2">
        <f t="shared" si="99"/>
        <v>23</v>
      </c>
      <c r="R307" s="1">
        <f t="shared" si="93"/>
        <v>7568671.5713463174</v>
      </c>
      <c r="S307" s="4">
        <f>IF($G$4="mensual",S306,0)</f>
        <v>10000</v>
      </c>
      <c r="U307" s="1">
        <f t="shared" si="100"/>
        <v>60433.391374456289</v>
      </c>
      <c r="V307" s="1">
        <f t="shared" si="82"/>
        <v>-187.81132438918416</v>
      </c>
      <c r="X307" s="1">
        <f t="shared" si="85"/>
        <v>-7639.104962720774</v>
      </c>
      <c r="Y307" s="1">
        <f t="shared" si="86"/>
        <v>7631278.0464336649</v>
      </c>
      <c r="AA307" s="2">
        <f>+Bono!J307</f>
        <v>290572.28437643667</v>
      </c>
      <c r="AC307" s="10">
        <f t="shared" si="87"/>
        <v>23.666666666666668</v>
      </c>
      <c r="AD307" s="1">
        <f t="shared" si="88"/>
        <v>8453301.2857997771</v>
      </c>
    </row>
    <row r="308" spans="2:30">
      <c r="B308" s="1">
        <f t="shared" si="89"/>
        <v>285</v>
      </c>
      <c r="C308" s="2">
        <f t="shared" si="94"/>
        <v>23</v>
      </c>
      <c r="D308" s="2">
        <f t="shared" si="95"/>
        <v>9</v>
      </c>
      <c r="E308" s="2">
        <f t="shared" si="96"/>
        <v>52</v>
      </c>
      <c r="F308" s="1">
        <f t="shared" si="90"/>
        <v>531450.9549896759</v>
      </c>
      <c r="H308" s="1">
        <f t="shared" si="83"/>
        <v>4237.8645461626893</v>
      </c>
      <c r="I308" s="1">
        <v>0</v>
      </c>
      <c r="J308" s="69">
        <f>-SUM(F308:H308)*$J$21</f>
        <v>-4821.1993758225472</v>
      </c>
      <c r="K308" s="1">
        <f t="shared" si="91"/>
        <v>-530.86762016001603</v>
      </c>
      <c r="L308" s="1">
        <f t="shared" si="84"/>
        <v>530336.75253985601</v>
      </c>
      <c r="N308" s="1">
        <f t="shared" si="92"/>
        <v>285</v>
      </c>
      <c r="O308" s="2">
        <f t="shared" si="97"/>
        <v>23</v>
      </c>
      <c r="P308" s="2">
        <f t="shared" si="98"/>
        <v>9</v>
      </c>
      <c r="Q308" s="2">
        <f t="shared" si="99"/>
        <v>23</v>
      </c>
      <c r="R308" s="1">
        <f t="shared" si="93"/>
        <v>7631278.0464336649</v>
      </c>
      <c r="S308" s="4">
        <f>IF($G$4="mensual",S307,0)</f>
        <v>10000</v>
      </c>
      <c r="U308" s="1">
        <f t="shared" si="100"/>
        <v>60932.624198561462</v>
      </c>
      <c r="V308" s="1">
        <f t="shared" si="82"/>
        <v>-187.81132438918416</v>
      </c>
      <c r="X308" s="1">
        <f t="shared" si="85"/>
        <v>-7702.2106706322265</v>
      </c>
      <c r="Y308" s="1">
        <f t="shared" si="86"/>
        <v>7694320.6486372054</v>
      </c>
      <c r="AA308" s="2">
        <f>+Bono!J308</f>
        <v>289739.86744887958</v>
      </c>
      <c r="AC308" s="10">
        <f t="shared" si="87"/>
        <v>23.75</v>
      </c>
      <c r="AD308" s="1">
        <f t="shared" si="88"/>
        <v>8514397.2686259411</v>
      </c>
    </row>
    <row r="309" spans="2:30">
      <c r="B309" s="1">
        <f t="shared" si="89"/>
        <v>286</v>
      </c>
      <c r="C309" s="2">
        <f t="shared" si="94"/>
        <v>23</v>
      </c>
      <c r="D309" s="2">
        <f t="shared" si="95"/>
        <v>10</v>
      </c>
      <c r="E309" s="2">
        <f t="shared" si="96"/>
        <v>52</v>
      </c>
      <c r="F309" s="1">
        <f t="shared" si="90"/>
        <v>530336.75253985601</v>
      </c>
      <c r="H309" s="1">
        <f t="shared" si="83"/>
        <v>4228.9797393615972</v>
      </c>
      <c r="I309" s="1">
        <v>0</v>
      </c>
      <c r="J309" s="1">
        <v>0</v>
      </c>
      <c r="K309" s="1">
        <f t="shared" si="91"/>
        <v>-534.56573227921763</v>
      </c>
      <c r="L309" s="1">
        <f t="shared" si="84"/>
        <v>534031.16654693836</v>
      </c>
      <c r="N309" s="1">
        <f t="shared" si="92"/>
        <v>286</v>
      </c>
      <c r="O309" s="2">
        <f t="shared" si="97"/>
        <v>23</v>
      </c>
      <c r="P309" s="2">
        <f t="shared" si="98"/>
        <v>10</v>
      </c>
      <c r="Q309" s="2">
        <f t="shared" si="99"/>
        <v>23</v>
      </c>
      <c r="R309" s="1">
        <f t="shared" si="93"/>
        <v>7694320.6486372054</v>
      </c>
      <c r="S309" s="4">
        <f>IF($G$4="mensual",S300,IF($G$4="trimestral",S300,0))</f>
        <v>10000</v>
      </c>
      <c r="U309" s="1">
        <f t="shared" si="100"/>
        <v>61435.334761536011</v>
      </c>
      <c r="V309" s="1">
        <f t="shared" si="82"/>
        <v>-187.81132438918416</v>
      </c>
      <c r="X309" s="1">
        <f t="shared" si="85"/>
        <v>-7765.7559833987416</v>
      </c>
      <c r="Y309" s="1">
        <f t="shared" si="86"/>
        <v>7757802.4160909541</v>
      </c>
      <c r="AA309" s="2">
        <f>+Bono!J309</f>
        <v>291536.28823480709</v>
      </c>
      <c r="AC309" s="10">
        <f t="shared" si="87"/>
        <v>23.833333333333332</v>
      </c>
      <c r="AD309" s="1">
        <f t="shared" si="88"/>
        <v>8583369.8708727006</v>
      </c>
    </row>
    <row r="310" spans="2:30">
      <c r="B310" s="1">
        <f t="shared" si="89"/>
        <v>287</v>
      </c>
      <c r="C310" s="2">
        <f t="shared" si="94"/>
        <v>23</v>
      </c>
      <c r="D310" s="2">
        <f t="shared" si="95"/>
        <v>11</v>
      </c>
      <c r="E310" s="2">
        <f t="shared" si="96"/>
        <v>52</v>
      </c>
      <c r="F310" s="1">
        <f t="shared" si="90"/>
        <v>534031.16654693836</v>
      </c>
      <c r="H310" s="1">
        <f t="shared" si="83"/>
        <v>4258.4395154565809</v>
      </c>
      <c r="I310" s="1">
        <v>0</v>
      </c>
      <c r="J310" s="1">
        <v>0</v>
      </c>
      <c r="K310" s="1">
        <f t="shared" si="91"/>
        <v>-538.28960606239491</v>
      </c>
      <c r="L310" s="1">
        <f t="shared" si="84"/>
        <v>537751.31645633257</v>
      </c>
      <c r="N310" s="1">
        <f t="shared" si="92"/>
        <v>287</v>
      </c>
      <c r="O310" s="2">
        <f t="shared" si="97"/>
        <v>23</v>
      </c>
      <c r="P310" s="2">
        <f t="shared" si="98"/>
        <v>11</v>
      </c>
      <c r="Q310" s="2">
        <f t="shared" si="99"/>
        <v>23</v>
      </c>
      <c r="R310" s="1">
        <f t="shared" si="93"/>
        <v>7757802.4160909541</v>
      </c>
      <c r="S310" s="1">
        <f>IF($G$17="si",S298*(1+$G$20),S298)</f>
        <v>10000</v>
      </c>
      <c r="U310" s="1">
        <f t="shared" si="100"/>
        <v>61941.547289887218</v>
      </c>
      <c r="V310" s="1">
        <f t="shared" si="82"/>
        <v>-187.81132438918416</v>
      </c>
      <c r="X310" s="1">
        <f t="shared" si="85"/>
        <v>-7829.7439633808417</v>
      </c>
      <c r="Y310" s="1">
        <f t="shared" si="86"/>
        <v>7821726.4080930715</v>
      </c>
      <c r="AA310" s="2">
        <f>+Bono!J310</f>
        <v>293343.84703797929</v>
      </c>
      <c r="AC310" s="10">
        <f t="shared" si="87"/>
        <v>23.916666666666668</v>
      </c>
      <c r="AD310" s="1">
        <f t="shared" si="88"/>
        <v>8652821.5715873837</v>
      </c>
    </row>
    <row r="311" spans="2:30">
      <c r="B311" s="1">
        <f t="shared" si="89"/>
        <v>288</v>
      </c>
      <c r="C311" s="2">
        <f t="shared" si="94"/>
        <v>23</v>
      </c>
      <c r="D311" s="2">
        <f t="shared" si="95"/>
        <v>12</v>
      </c>
      <c r="E311" s="2">
        <f t="shared" si="96"/>
        <v>52</v>
      </c>
      <c r="F311" s="1">
        <f t="shared" si="90"/>
        <v>537751.31645633257</v>
      </c>
      <c r="H311" s="1">
        <f t="shared" si="83"/>
        <v>4288.1045132506633</v>
      </c>
      <c r="I311" s="1">
        <v>0</v>
      </c>
      <c r="J311" s="69">
        <f>-SUM(F311:H311)*$J$21</f>
        <v>-4878.3547887262494</v>
      </c>
      <c r="K311" s="1">
        <f t="shared" si="91"/>
        <v>-537.16106618085701</v>
      </c>
      <c r="L311" s="1">
        <f t="shared" si="84"/>
        <v>536623.9051146761</v>
      </c>
      <c r="N311" s="1">
        <f t="shared" si="92"/>
        <v>288</v>
      </c>
      <c r="O311" s="2">
        <f t="shared" si="97"/>
        <v>23</v>
      </c>
      <c r="P311" s="2">
        <f t="shared" si="98"/>
        <v>12</v>
      </c>
      <c r="Q311" s="2">
        <f t="shared" si="99"/>
        <v>23</v>
      </c>
      <c r="R311" s="1">
        <f t="shared" si="93"/>
        <v>7821726.4080930715</v>
      </c>
      <c r="S311" s="4">
        <f>IF($G$4="mensual",S310,0)</f>
        <v>10000</v>
      </c>
      <c r="U311" s="1">
        <f t="shared" si="100"/>
        <v>62451.286178888222</v>
      </c>
      <c r="V311" s="1">
        <f t="shared" si="82"/>
        <v>-187.81132438918416</v>
      </c>
      <c r="X311" s="1">
        <f t="shared" si="85"/>
        <v>-7894.1776942719598</v>
      </c>
      <c r="Y311" s="1">
        <f t="shared" si="86"/>
        <v>7886095.7052532984</v>
      </c>
      <c r="AA311" s="2">
        <f>+Bono!J311</f>
        <v>292503.49027651758</v>
      </c>
      <c r="AC311" s="10">
        <f t="shared" si="87"/>
        <v>24</v>
      </c>
      <c r="AD311" s="1">
        <f t="shared" si="88"/>
        <v>8715223.1006444916</v>
      </c>
    </row>
    <row r="312" spans="2:30">
      <c r="B312" s="1">
        <f t="shared" si="89"/>
        <v>289</v>
      </c>
      <c r="C312" s="2">
        <f t="shared" si="94"/>
        <v>24</v>
      </c>
      <c r="D312" s="2">
        <f t="shared" si="95"/>
        <v>1</v>
      </c>
      <c r="E312" s="2">
        <f t="shared" si="96"/>
        <v>53</v>
      </c>
      <c r="F312" s="1">
        <f t="shared" si="90"/>
        <v>536623.9051146761</v>
      </c>
      <c r="H312" s="1">
        <f t="shared" si="83"/>
        <v>4279.1143768911561</v>
      </c>
      <c r="I312" s="1">
        <v>0</v>
      </c>
      <c r="J312" s="1">
        <v>0</v>
      </c>
      <c r="K312" s="1">
        <f t="shared" si="91"/>
        <v>-540.90301949156731</v>
      </c>
      <c r="L312" s="1">
        <f t="shared" si="84"/>
        <v>540362.11647207569</v>
      </c>
      <c r="N312" s="1">
        <f t="shared" si="92"/>
        <v>289</v>
      </c>
      <c r="O312" s="2">
        <f t="shared" si="97"/>
        <v>24</v>
      </c>
      <c r="P312" s="2">
        <f t="shared" si="98"/>
        <v>1</v>
      </c>
      <c r="Q312" s="2">
        <f t="shared" si="99"/>
        <v>24</v>
      </c>
      <c r="R312" s="1">
        <f t="shared" si="93"/>
        <v>7886095.7052532984</v>
      </c>
      <c r="S312" s="1">
        <f>IF($G$17="si",S300*(1+$G$20),S300)</f>
        <v>10000</v>
      </c>
      <c r="U312" s="1">
        <f t="shared" si="100"/>
        <v>62964.575993753708</v>
      </c>
      <c r="V312" s="1">
        <f>V311*(1+$G$18)</f>
        <v>-195.32377736475155</v>
      </c>
      <c r="X312" s="1">
        <f t="shared" si="85"/>
        <v>-7959.0602812470524</v>
      </c>
      <c r="Y312" s="1">
        <f t="shared" si="86"/>
        <v>7950905.8971884409</v>
      </c>
      <c r="AA312" s="2">
        <f>+Bono!J312</f>
        <v>294317.04584453686</v>
      </c>
      <c r="AC312" s="10">
        <f t="shared" si="87"/>
        <v>24.083333333333332</v>
      </c>
      <c r="AD312" s="1">
        <f t="shared" si="88"/>
        <v>8785585.0595050529</v>
      </c>
    </row>
    <row r="313" spans="2:30">
      <c r="B313" s="1">
        <f t="shared" si="89"/>
        <v>290</v>
      </c>
      <c r="C313" s="2">
        <f t="shared" si="94"/>
        <v>24</v>
      </c>
      <c r="D313" s="2">
        <f t="shared" si="95"/>
        <v>2</v>
      </c>
      <c r="E313" s="2">
        <f t="shared" si="96"/>
        <v>53</v>
      </c>
      <c r="F313" s="1">
        <f t="shared" si="90"/>
        <v>540362.11647207569</v>
      </c>
      <c r="H313" s="1">
        <f t="shared" si="83"/>
        <v>4308.9233992079835</v>
      </c>
      <c r="I313" s="1">
        <v>0</v>
      </c>
      <c r="J313" s="1">
        <v>0</v>
      </c>
      <c r="K313" s="1">
        <f t="shared" si="91"/>
        <v>-544.67103987128371</v>
      </c>
      <c r="L313" s="1">
        <f t="shared" si="84"/>
        <v>544126.3688314124</v>
      </c>
      <c r="N313" s="1">
        <f t="shared" si="92"/>
        <v>290</v>
      </c>
      <c r="O313" s="2">
        <f t="shared" si="97"/>
        <v>24</v>
      </c>
      <c r="P313" s="2">
        <f t="shared" si="98"/>
        <v>2</v>
      </c>
      <c r="Q313" s="2">
        <f t="shared" si="99"/>
        <v>24</v>
      </c>
      <c r="R313" s="1">
        <f t="shared" si="93"/>
        <v>7950905.8971884409</v>
      </c>
      <c r="S313" s="4">
        <f>IF($G$4="mensual",S312,0)</f>
        <v>10000</v>
      </c>
      <c r="U313" s="1">
        <f t="shared" si="100"/>
        <v>63481.381565468742</v>
      </c>
      <c r="V313" s="1">
        <f>V312</f>
        <v>-195.32377736475155</v>
      </c>
      <c r="X313" s="1">
        <f t="shared" si="85"/>
        <v>-8024.3872787539094</v>
      </c>
      <c r="Y313" s="1">
        <f t="shared" si="86"/>
        <v>8016167.5676977905</v>
      </c>
      <c r="AA313" s="2">
        <f>+Bono!J313</f>
        <v>296141.8456674373</v>
      </c>
      <c r="AC313" s="10">
        <f t="shared" si="87"/>
        <v>24.166666666666668</v>
      </c>
      <c r="AD313" s="1">
        <f t="shared" si="88"/>
        <v>8856435.782196641</v>
      </c>
    </row>
    <row r="314" spans="2:30">
      <c r="B314" s="1">
        <f t="shared" si="89"/>
        <v>291</v>
      </c>
      <c r="C314" s="2">
        <f t="shared" si="94"/>
        <v>24</v>
      </c>
      <c r="D314" s="2">
        <f t="shared" si="95"/>
        <v>3</v>
      </c>
      <c r="E314" s="2">
        <f t="shared" si="96"/>
        <v>53</v>
      </c>
      <c r="F314" s="1">
        <f t="shared" si="90"/>
        <v>544126.3688314124</v>
      </c>
      <c r="H314" s="1">
        <f t="shared" si="83"/>
        <v>4338.9400761311663</v>
      </c>
      <c r="I314" s="1">
        <v>0</v>
      </c>
      <c r="J314" s="69">
        <f>-SUM(F314:H314)*$J$21</f>
        <v>-4936.187780167892</v>
      </c>
      <c r="K314" s="1">
        <f t="shared" si="91"/>
        <v>-543.52912112737567</v>
      </c>
      <c r="L314" s="1">
        <f t="shared" si="84"/>
        <v>542985.59200624831</v>
      </c>
      <c r="N314" s="1">
        <f t="shared" si="92"/>
        <v>291</v>
      </c>
      <c r="O314" s="2">
        <f t="shared" si="97"/>
        <v>24</v>
      </c>
      <c r="P314" s="2">
        <f t="shared" si="98"/>
        <v>3</v>
      </c>
      <c r="Q314" s="2">
        <f t="shared" si="99"/>
        <v>24</v>
      </c>
      <c r="R314" s="1">
        <f t="shared" si="93"/>
        <v>8016167.5676977905</v>
      </c>
      <c r="S314" s="4">
        <f>IF($G$4="mensual",S313,0)</f>
        <v>10000</v>
      </c>
      <c r="U314" s="1">
        <f t="shared" si="100"/>
        <v>64001.787290735141</v>
      </c>
      <c r="V314" s="1">
        <f t="shared" si="82"/>
        <v>-195.32377736475155</v>
      </c>
      <c r="X314" s="1">
        <f t="shared" si="85"/>
        <v>-8090.1693549885258</v>
      </c>
      <c r="Y314" s="1">
        <f t="shared" si="86"/>
        <v>8081883.8618561728</v>
      </c>
      <c r="AA314" s="2">
        <f>+Bono!J314</f>
        <v>295293.47333963396</v>
      </c>
      <c r="AC314" s="10">
        <f t="shared" si="87"/>
        <v>24.25</v>
      </c>
      <c r="AD314" s="1">
        <f t="shared" si="88"/>
        <v>8920162.9272020552</v>
      </c>
    </row>
    <row r="315" spans="2:30">
      <c r="B315" s="1">
        <f t="shared" si="89"/>
        <v>292</v>
      </c>
      <c r="C315" s="2">
        <f t="shared" si="94"/>
        <v>24</v>
      </c>
      <c r="D315" s="2">
        <f t="shared" si="95"/>
        <v>4</v>
      </c>
      <c r="E315" s="2">
        <f t="shared" si="96"/>
        <v>53</v>
      </c>
      <c r="F315" s="1">
        <f t="shared" si="90"/>
        <v>542985.59200624831</v>
      </c>
      <c r="H315" s="1">
        <f t="shared" si="83"/>
        <v>4329.8433615292688</v>
      </c>
      <c r="I315" s="1">
        <v>0</v>
      </c>
      <c r="J315" s="1">
        <v>0</v>
      </c>
      <c r="K315" s="1">
        <f t="shared" si="91"/>
        <v>-547.31543536777758</v>
      </c>
      <c r="L315" s="1">
        <f t="shared" si="84"/>
        <v>546768.11993240984</v>
      </c>
      <c r="N315" s="1">
        <f t="shared" si="92"/>
        <v>292</v>
      </c>
      <c r="O315" s="2">
        <f t="shared" si="97"/>
        <v>24</v>
      </c>
      <c r="P315" s="2">
        <f t="shared" si="98"/>
        <v>4</v>
      </c>
      <c r="Q315" s="2">
        <f t="shared" si="99"/>
        <v>24</v>
      </c>
      <c r="R315" s="1">
        <f t="shared" si="93"/>
        <v>8081883.8618561728</v>
      </c>
      <c r="S315" s="4">
        <f>IF($G$4="mensual",S312,IF($G$4="trimestral",S312,0))</f>
        <v>10000</v>
      </c>
      <c r="U315" s="1">
        <f t="shared" si="100"/>
        <v>64525.818248821233</v>
      </c>
      <c r="V315" s="1">
        <f t="shared" si="82"/>
        <v>-195.32377736475155</v>
      </c>
      <c r="X315" s="1">
        <f t="shared" si="85"/>
        <v>-8156.4096801049945</v>
      </c>
      <c r="Y315" s="1">
        <f t="shared" si="86"/>
        <v>8148057.9466475248</v>
      </c>
      <c r="AA315" s="2">
        <f>+Bono!J315</f>
        <v>297124.32712626259</v>
      </c>
      <c r="AC315" s="10">
        <f t="shared" si="87"/>
        <v>24.333333333333332</v>
      </c>
      <c r="AD315" s="1">
        <f t="shared" si="88"/>
        <v>8991950.3937061969</v>
      </c>
    </row>
    <row r="316" spans="2:30">
      <c r="B316" s="1">
        <f t="shared" si="89"/>
        <v>293</v>
      </c>
      <c r="C316" s="2">
        <f t="shared" si="94"/>
        <v>24</v>
      </c>
      <c r="D316" s="2">
        <f t="shared" si="95"/>
        <v>5</v>
      </c>
      <c r="E316" s="2">
        <f t="shared" si="96"/>
        <v>53</v>
      </c>
      <c r="F316" s="1">
        <f t="shared" si="90"/>
        <v>546768.11993240984</v>
      </c>
      <c r="H316" s="1">
        <f t="shared" si="83"/>
        <v>4360.0057703887314</v>
      </c>
      <c r="I316" s="1">
        <v>0</v>
      </c>
      <c r="J316" s="1">
        <v>0</v>
      </c>
      <c r="K316" s="1">
        <f t="shared" si="91"/>
        <v>-551.12812570279857</v>
      </c>
      <c r="L316" s="1">
        <f t="shared" si="84"/>
        <v>550576.99757709575</v>
      </c>
      <c r="N316" s="1">
        <f t="shared" si="92"/>
        <v>293</v>
      </c>
      <c r="O316" s="2">
        <f t="shared" si="97"/>
        <v>24</v>
      </c>
      <c r="P316" s="2">
        <f t="shared" si="98"/>
        <v>5</v>
      </c>
      <c r="Q316" s="2">
        <f t="shared" si="99"/>
        <v>24</v>
      </c>
      <c r="R316" s="1">
        <f t="shared" si="93"/>
        <v>8148057.9466475248</v>
      </c>
      <c r="S316" s="4">
        <f>IF($G$4="mensual",S315,0)</f>
        <v>10000</v>
      </c>
      <c r="U316" s="1">
        <f t="shared" si="100"/>
        <v>65053.499693701655</v>
      </c>
      <c r="V316" s="1">
        <f t="shared" si="82"/>
        <v>-195.32377736475155</v>
      </c>
      <c r="X316" s="1">
        <f t="shared" si="85"/>
        <v>-8223.1114463412268</v>
      </c>
      <c r="Y316" s="1">
        <f t="shared" si="86"/>
        <v>8214693.0111175207</v>
      </c>
      <c r="AA316" s="2">
        <f>+Bono!J316</f>
        <v>298966.53241873416</v>
      </c>
      <c r="AC316" s="10">
        <f t="shared" si="87"/>
        <v>24.416666666666668</v>
      </c>
      <c r="AD316" s="1">
        <f t="shared" si="88"/>
        <v>9064236.5411133505</v>
      </c>
    </row>
    <row r="317" spans="2:30">
      <c r="B317" s="1">
        <f t="shared" si="89"/>
        <v>294</v>
      </c>
      <c r="C317" s="2">
        <f t="shared" si="94"/>
        <v>24</v>
      </c>
      <c r="D317" s="2">
        <f t="shared" si="95"/>
        <v>6</v>
      </c>
      <c r="E317" s="2">
        <f t="shared" si="96"/>
        <v>53</v>
      </c>
      <c r="F317" s="1">
        <f t="shared" si="90"/>
        <v>550576.99757709575</v>
      </c>
      <c r="H317" s="1">
        <f t="shared" si="83"/>
        <v>4390.3782956039695</v>
      </c>
      <c r="I317" s="1">
        <v>0</v>
      </c>
      <c r="J317" s="69">
        <f>-SUM(F317:H317)*$J$21</f>
        <v>-4994.7063828542987</v>
      </c>
      <c r="K317" s="1">
        <f t="shared" si="91"/>
        <v>-549.97266948984554</v>
      </c>
      <c r="L317" s="1">
        <f t="shared" si="84"/>
        <v>549422.69682035572</v>
      </c>
      <c r="N317" s="1">
        <f t="shared" si="92"/>
        <v>294</v>
      </c>
      <c r="O317" s="2">
        <f t="shared" si="97"/>
        <v>24</v>
      </c>
      <c r="P317" s="2">
        <f t="shared" si="98"/>
        <v>6</v>
      </c>
      <c r="Q317" s="2">
        <f t="shared" si="99"/>
        <v>24</v>
      </c>
      <c r="R317" s="1">
        <f t="shared" si="93"/>
        <v>8214693.0111175207</v>
      </c>
      <c r="S317" s="4">
        <f>IF($G$4="mensual",S316,0)</f>
        <v>10000</v>
      </c>
      <c r="U317" s="1">
        <f t="shared" si="100"/>
        <v>65584.857055274464</v>
      </c>
      <c r="V317" s="1">
        <f t="shared" ref="V317:V380" si="101">V316</f>
        <v>-195.32377736475155</v>
      </c>
      <c r="X317" s="1">
        <f t="shared" si="85"/>
        <v>-8290.2778681727959</v>
      </c>
      <c r="Y317" s="1">
        <f t="shared" si="86"/>
        <v>8281792.2665272579</v>
      </c>
      <c r="AA317" s="2">
        <f>+Bono!J317</f>
        <v>298110.06806979439</v>
      </c>
      <c r="AC317" s="10">
        <f t="shared" si="87"/>
        <v>24.5</v>
      </c>
      <c r="AD317" s="1">
        <f t="shared" si="88"/>
        <v>9129325.031417409</v>
      </c>
    </row>
    <row r="318" spans="2:30">
      <c r="B318" s="1">
        <f t="shared" si="89"/>
        <v>295</v>
      </c>
      <c r="C318" s="2">
        <f t="shared" si="94"/>
        <v>24</v>
      </c>
      <c r="D318" s="2">
        <f t="shared" si="95"/>
        <v>7</v>
      </c>
      <c r="E318" s="2">
        <f t="shared" si="96"/>
        <v>53</v>
      </c>
      <c r="F318" s="1">
        <f t="shared" si="90"/>
        <v>549422.69682035572</v>
      </c>
      <c r="H318" s="1">
        <f t="shared" si="83"/>
        <v>4381.1737392725345</v>
      </c>
      <c r="I318" s="1">
        <v>0</v>
      </c>
      <c r="J318" s="1">
        <v>0</v>
      </c>
      <c r="K318" s="1">
        <f t="shared" si="91"/>
        <v>-553.80387055962819</v>
      </c>
      <c r="L318" s="1">
        <f t="shared" si="84"/>
        <v>553250.06668906857</v>
      </c>
      <c r="N318" s="1">
        <f t="shared" si="92"/>
        <v>295</v>
      </c>
      <c r="O318" s="2">
        <f t="shared" si="97"/>
        <v>24</v>
      </c>
      <c r="P318" s="2">
        <f t="shared" si="98"/>
        <v>7</v>
      </c>
      <c r="Q318" s="2">
        <f t="shared" si="99"/>
        <v>24</v>
      </c>
      <c r="R318" s="1">
        <f t="shared" si="93"/>
        <v>8281792.2665272579</v>
      </c>
      <c r="S318" s="1">
        <f>+IF($G$4="mensual",S312,IF($G$4="trimestral",S312,IF($G$4="semestral",S312,0)))</f>
        <v>10000</v>
      </c>
      <c r="U318" s="1">
        <f t="shared" si="100"/>
        <v>66119.915940586579</v>
      </c>
      <c r="V318" s="1">
        <f t="shared" si="101"/>
        <v>-195.32377736475155</v>
      </c>
      <c r="X318" s="1">
        <f t="shared" si="85"/>
        <v>-8357.9121824678441</v>
      </c>
      <c r="Y318" s="1">
        <f t="shared" si="86"/>
        <v>8349358.9465080118</v>
      </c>
      <c r="AA318" s="2">
        <f>+Bono!J318</f>
        <v>299958.38507045474</v>
      </c>
      <c r="AC318" s="10">
        <f t="shared" si="87"/>
        <v>24.583333333333332</v>
      </c>
      <c r="AD318" s="1">
        <f t="shared" si="88"/>
        <v>9202567.3982675355</v>
      </c>
    </row>
    <row r="319" spans="2:30">
      <c r="B319" s="1">
        <f t="shared" si="89"/>
        <v>296</v>
      </c>
      <c r="C319" s="2">
        <f t="shared" si="94"/>
        <v>24</v>
      </c>
      <c r="D319" s="2">
        <f t="shared" si="95"/>
        <v>8</v>
      </c>
      <c r="E319" s="2">
        <f t="shared" si="96"/>
        <v>53</v>
      </c>
      <c r="F319" s="1">
        <f t="shared" si="90"/>
        <v>553250.06668906857</v>
      </c>
      <c r="H319" s="1">
        <f t="shared" si="83"/>
        <v>4411.6937240790057</v>
      </c>
      <c r="I319" s="1">
        <v>0</v>
      </c>
      <c r="J319" s="1">
        <v>0</v>
      </c>
      <c r="K319" s="1">
        <f t="shared" si="91"/>
        <v>-557.66176041314759</v>
      </c>
      <c r="L319" s="1">
        <f t="shared" si="84"/>
        <v>557104.09865273442</v>
      </c>
      <c r="N319" s="1">
        <f t="shared" si="92"/>
        <v>296</v>
      </c>
      <c r="O319" s="2">
        <f t="shared" si="97"/>
        <v>24</v>
      </c>
      <c r="P319" s="2">
        <f t="shared" si="98"/>
        <v>8</v>
      </c>
      <c r="Q319" s="2">
        <f t="shared" si="99"/>
        <v>24</v>
      </c>
      <c r="R319" s="1">
        <f t="shared" si="93"/>
        <v>8349358.9465080118</v>
      </c>
      <c r="S319" s="4">
        <f>IF($G$4="mensual",S318,0)</f>
        <v>10000</v>
      </c>
      <c r="U319" s="1">
        <f t="shared" si="100"/>
        <v>66658.702135067913</v>
      </c>
      <c r="V319" s="1">
        <f t="shared" si="101"/>
        <v>-195.32377736475155</v>
      </c>
      <c r="X319" s="1">
        <f t="shared" si="85"/>
        <v>-8426.017648643081</v>
      </c>
      <c r="Y319" s="1">
        <f t="shared" si="86"/>
        <v>8417396.3072170727</v>
      </c>
      <c r="AA319" s="2">
        <f>+Bono!J319</f>
        <v>301818.16185091069</v>
      </c>
      <c r="AC319" s="10">
        <f t="shared" si="87"/>
        <v>24.666666666666668</v>
      </c>
      <c r="AD319" s="1">
        <f t="shared" si="88"/>
        <v>9276318.5677207187</v>
      </c>
    </row>
    <row r="320" spans="2:30">
      <c r="B320" s="1">
        <f t="shared" si="89"/>
        <v>297</v>
      </c>
      <c r="C320" s="2">
        <f t="shared" si="94"/>
        <v>24</v>
      </c>
      <c r="D320" s="2">
        <f t="shared" si="95"/>
        <v>9</v>
      </c>
      <c r="E320" s="2">
        <f t="shared" si="96"/>
        <v>53</v>
      </c>
      <c r="F320" s="1">
        <f t="shared" si="90"/>
        <v>557104.09865273442</v>
      </c>
      <c r="H320" s="1">
        <f t="shared" si="83"/>
        <v>4442.4263161747604</v>
      </c>
      <c r="I320" s="1">
        <v>0</v>
      </c>
      <c r="J320" s="69">
        <f>-SUM(F320:H320)*$J$21</f>
        <v>-5053.9187247201835</v>
      </c>
      <c r="K320" s="1">
        <f t="shared" si="91"/>
        <v>-556.49260624418912</v>
      </c>
      <c r="L320" s="1">
        <f t="shared" si="84"/>
        <v>555936.11363794492</v>
      </c>
      <c r="N320" s="1">
        <f t="shared" si="92"/>
        <v>297</v>
      </c>
      <c r="O320" s="2">
        <f t="shared" si="97"/>
        <v>24</v>
      </c>
      <c r="P320" s="2">
        <f t="shared" si="98"/>
        <v>9</v>
      </c>
      <c r="Q320" s="2">
        <f t="shared" si="99"/>
        <v>24</v>
      </c>
      <c r="R320" s="1">
        <f t="shared" si="93"/>
        <v>8417396.3072170727</v>
      </c>
      <c r="S320" s="4">
        <f>IF($G$4="mensual",S319,0)</f>
        <v>10000</v>
      </c>
      <c r="U320" s="1">
        <f t="shared" si="100"/>
        <v>67201.241603773946</v>
      </c>
      <c r="V320" s="1">
        <f t="shared" si="101"/>
        <v>-195.32377736475155</v>
      </c>
      <c r="X320" s="1">
        <f t="shared" si="85"/>
        <v>-8494.597548820846</v>
      </c>
      <c r="Y320" s="1">
        <f t="shared" si="86"/>
        <v>8485907.6274946611</v>
      </c>
      <c r="AA320" s="2">
        <f>+Bono!J320</f>
        <v>300953.52829679172</v>
      </c>
      <c r="AC320" s="10">
        <f t="shared" si="87"/>
        <v>24.75</v>
      </c>
      <c r="AD320" s="1">
        <f t="shared" si="88"/>
        <v>9342797.2694293968</v>
      </c>
    </row>
    <row r="321" spans="2:30">
      <c r="B321" s="1">
        <f t="shared" si="89"/>
        <v>298</v>
      </c>
      <c r="C321" s="2">
        <f t="shared" si="94"/>
        <v>24</v>
      </c>
      <c r="D321" s="2">
        <f t="shared" si="95"/>
        <v>10</v>
      </c>
      <c r="E321" s="2">
        <f t="shared" si="96"/>
        <v>53</v>
      </c>
      <c r="F321" s="1">
        <f t="shared" si="90"/>
        <v>555936.11363794492</v>
      </c>
      <c r="H321" s="1">
        <f t="shared" si="83"/>
        <v>4433.112639647974</v>
      </c>
      <c r="I321" s="1">
        <v>0</v>
      </c>
      <c r="J321" s="1">
        <v>0</v>
      </c>
      <c r="K321" s="1">
        <f t="shared" si="91"/>
        <v>-560.36922627759293</v>
      </c>
      <c r="L321" s="1">
        <f t="shared" si="84"/>
        <v>559808.85705131537</v>
      </c>
      <c r="N321" s="1">
        <f t="shared" si="92"/>
        <v>298</v>
      </c>
      <c r="O321" s="2">
        <f t="shared" si="97"/>
        <v>24</v>
      </c>
      <c r="P321" s="2">
        <f t="shared" si="98"/>
        <v>10</v>
      </c>
      <c r="Q321" s="2">
        <f t="shared" si="99"/>
        <v>24</v>
      </c>
      <c r="R321" s="1">
        <f t="shared" si="93"/>
        <v>8485907.6274946611</v>
      </c>
      <c r="S321" s="4">
        <f>IF($G$4="mensual",S312,IF($G$4="trimestral",S312,0))</f>
        <v>10000</v>
      </c>
      <c r="U321" s="1">
        <f t="shared" si="100"/>
        <v>67747.560492637043</v>
      </c>
      <c r="V321" s="1">
        <f t="shared" si="101"/>
        <v>-195.32377736475155</v>
      </c>
      <c r="X321" s="1">
        <f t="shared" si="85"/>
        <v>-8563.6551879872986</v>
      </c>
      <c r="Y321" s="1">
        <f t="shared" si="86"/>
        <v>8554896.2090219464</v>
      </c>
      <c r="AA321" s="2">
        <f>+Bono!J321</f>
        <v>302819.47508068045</v>
      </c>
      <c r="AC321" s="10">
        <f t="shared" si="87"/>
        <v>24.833333333333332</v>
      </c>
      <c r="AD321" s="1">
        <f t="shared" si="88"/>
        <v>9417524.5411539413</v>
      </c>
    </row>
    <row r="322" spans="2:30">
      <c r="B322" s="1">
        <f t="shared" si="89"/>
        <v>299</v>
      </c>
      <c r="C322" s="2">
        <f t="shared" si="94"/>
        <v>24</v>
      </c>
      <c r="D322" s="2">
        <f t="shared" si="95"/>
        <v>11</v>
      </c>
      <c r="E322" s="2">
        <f t="shared" si="96"/>
        <v>53</v>
      </c>
      <c r="F322" s="1">
        <f t="shared" si="90"/>
        <v>559808.85705131537</v>
      </c>
      <c r="H322" s="1">
        <f t="shared" si="83"/>
        <v>4463.994439471302</v>
      </c>
      <c r="I322" s="1">
        <v>0</v>
      </c>
      <c r="J322" s="1">
        <v>0</v>
      </c>
      <c r="K322" s="1">
        <f t="shared" si="91"/>
        <v>-564.27285149078671</v>
      </c>
      <c r="L322" s="1">
        <f t="shared" si="84"/>
        <v>563708.57863929588</v>
      </c>
      <c r="N322" s="1">
        <f t="shared" si="92"/>
        <v>299</v>
      </c>
      <c r="O322" s="2">
        <f t="shared" si="97"/>
        <v>24</v>
      </c>
      <c r="P322" s="2">
        <f t="shared" si="98"/>
        <v>11</v>
      </c>
      <c r="Q322" s="2">
        <f t="shared" si="99"/>
        <v>24</v>
      </c>
      <c r="R322" s="1">
        <f t="shared" si="93"/>
        <v>8554896.2090219464</v>
      </c>
      <c r="S322" s="1">
        <f>IF($G$17="si",S310*(1+$G$20),S310)</f>
        <v>10000</v>
      </c>
      <c r="U322" s="1">
        <f t="shared" si="100"/>
        <v>68297.685129726495</v>
      </c>
      <c r="V322" s="1">
        <f t="shared" si="101"/>
        <v>-195.32377736475155</v>
      </c>
      <c r="X322" s="1">
        <f t="shared" si="85"/>
        <v>-8633.1938941516728</v>
      </c>
      <c r="Y322" s="1">
        <f t="shared" si="86"/>
        <v>8624365.3764801566</v>
      </c>
      <c r="AA322" s="2">
        <f>+Bono!J322</f>
        <v>304696.99095106573</v>
      </c>
      <c r="AC322" s="10">
        <f t="shared" si="87"/>
        <v>24.916666666666668</v>
      </c>
      <c r="AD322" s="1">
        <f t="shared" si="88"/>
        <v>9492770.9460705183</v>
      </c>
    </row>
    <row r="323" spans="2:30">
      <c r="B323" s="1">
        <f t="shared" si="89"/>
        <v>300</v>
      </c>
      <c r="C323" s="2">
        <f t="shared" si="94"/>
        <v>24</v>
      </c>
      <c r="D323" s="2">
        <f t="shared" si="95"/>
        <v>12</v>
      </c>
      <c r="E323" s="2">
        <f t="shared" si="96"/>
        <v>53</v>
      </c>
      <c r="F323" s="1">
        <f t="shared" si="90"/>
        <v>563708.57863929588</v>
      </c>
      <c r="H323" s="1">
        <f t="shared" si="83"/>
        <v>4495.0913670474865</v>
      </c>
      <c r="I323" s="1">
        <v>0</v>
      </c>
      <c r="J323" s="69">
        <f>-SUM(F323:H323)*$J$21</f>
        <v>-5113.8330300570915</v>
      </c>
      <c r="K323" s="1">
        <f t="shared" si="91"/>
        <v>-563.08983697628628</v>
      </c>
      <c r="L323" s="1">
        <f t="shared" si="84"/>
        <v>562526.74713931</v>
      </c>
      <c r="N323" s="1">
        <f t="shared" si="92"/>
        <v>300</v>
      </c>
      <c r="O323" s="2">
        <f t="shared" si="97"/>
        <v>24</v>
      </c>
      <c r="P323" s="2">
        <f t="shared" si="98"/>
        <v>12</v>
      </c>
      <c r="Q323" s="2">
        <f t="shared" si="99"/>
        <v>24</v>
      </c>
      <c r="R323" s="1">
        <f t="shared" si="93"/>
        <v>8624365.3764801566</v>
      </c>
      <c r="S323" s="4">
        <f>IF($G$4="mensual",S322,0)</f>
        <v>10000</v>
      </c>
      <c r="U323" s="1">
        <f t="shared" si="100"/>
        <v>68851.642026517293</v>
      </c>
      <c r="V323" s="1">
        <f t="shared" si="101"/>
        <v>-195.32377736475155</v>
      </c>
      <c r="X323" s="1">
        <f t="shared" si="85"/>
        <v>-8703.2170185066734</v>
      </c>
      <c r="Y323" s="1">
        <f t="shared" si="86"/>
        <v>8694318.4777108021</v>
      </c>
      <c r="AA323" s="2">
        <f>+Bono!J323</f>
        <v>303824.11027152103</v>
      </c>
      <c r="AC323" s="10">
        <f t="shared" si="87"/>
        <v>25</v>
      </c>
      <c r="AD323" s="1">
        <f t="shared" si="88"/>
        <v>9560669.3351216335</v>
      </c>
    </row>
    <row r="324" spans="2:30">
      <c r="B324" s="1">
        <f t="shared" si="89"/>
        <v>301</v>
      </c>
      <c r="C324" s="2">
        <f t="shared" si="94"/>
        <v>25</v>
      </c>
      <c r="D324" s="2">
        <f t="shared" si="95"/>
        <v>1</v>
      </c>
      <c r="E324" s="2">
        <f t="shared" si="96"/>
        <v>54</v>
      </c>
      <c r="F324" s="1">
        <f t="shared" si="90"/>
        <v>562526.74713931</v>
      </c>
      <c r="H324" s="1">
        <f t="shared" si="83"/>
        <v>4485.6672767032969</v>
      </c>
      <c r="I324" s="1">
        <v>0</v>
      </c>
      <c r="J324" s="1">
        <v>0</v>
      </c>
      <c r="K324" s="1">
        <f t="shared" si="91"/>
        <v>-567.01241441601326</v>
      </c>
      <c r="L324" s="1">
        <f t="shared" si="84"/>
        <v>566445.40200159722</v>
      </c>
      <c r="N324" s="1">
        <f t="shared" si="92"/>
        <v>301</v>
      </c>
      <c r="O324" s="2">
        <f t="shared" si="97"/>
        <v>25</v>
      </c>
      <c r="P324" s="2">
        <f t="shared" si="98"/>
        <v>1</v>
      </c>
      <c r="Q324" s="2">
        <f t="shared" si="99"/>
        <v>25</v>
      </c>
      <c r="R324" s="1">
        <f t="shared" si="93"/>
        <v>8694318.4777108021</v>
      </c>
      <c r="S324" s="1">
        <f>IF($G$17="si",S312*(1+$G$20),S312)</f>
        <v>10000</v>
      </c>
      <c r="U324" s="1">
        <f t="shared" si="100"/>
        <v>69409.457879167778</v>
      </c>
      <c r="V324" s="1">
        <f>V323*(1+$G$18)</f>
        <v>-203.13672845934161</v>
      </c>
      <c r="X324" s="1">
        <f t="shared" si="85"/>
        <v>-8773.72793558997</v>
      </c>
      <c r="Y324" s="1">
        <f t="shared" si="86"/>
        <v>8764751.0709259193</v>
      </c>
      <c r="AA324" s="2">
        <f>+Bono!J324</f>
        <v>305707.85499661998</v>
      </c>
      <c r="AC324" s="10">
        <f t="shared" si="87"/>
        <v>25.083333333333332</v>
      </c>
      <c r="AD324" s="1">
        <f t="shared" si="88"/>
        <v>9636904.3279241361</v>
      </c>
    </row>
    <row r="325" spans="2:30">
      <c r="B325" s="1">
        <f t="shared" si="89"/>
        <v>302</v>
      </c>
      <c r="C325" s="2">
        <f t="shared" si="94"/>
        <v>25</v>
      </c>
      <c r="D325" s="2">
        <f t="shared" si="95"/>
        <v>2</v>
      </c>
      <c r="E325" s="2">
        <f t="shared" si="96"/>
        <v>54</v>
      </c>
      <c r="F325" s="1">
        <f t="shared" si="90"/>
        <v>566445.40200159722</v>
      </c>
      <c r="H325" s="1">
        <f t="shared" si="83"/>
        <v>4516.9151808675815</v>
      </c>
      <c r="I325" s="1">
        <v>0</v>
      </c>
      <c r="J325" s="1">
        <v>0</v>
      </c>
      <c r="K325" s="1">
        <f t="shared" si="91"/>
        <v>-570.96231718246474</v>
      </c>
      <c r="L325" s="1">
        <f t="shared" si="84"/>
        <v>570391.35486528231</v>
      </c>
      <c r="N325" s="1">
        <f t="shared" si="92"/>
        <v>302</v>
      </c>
      <c r="O325" s="2">
        <f t="shared" si="97"/>
        <v>25</v>
      </c>
      <c r="P325" s="2">
        <f t="shared" si="98"/>
        <v>2</v>
      </c>
      <c r="Q325" s="2">
        <f t="shared" si="99"/>
        <v>25</v>
      </c>
      <c r="R325" s="1">
        <f t="shared" si="93"/>
        <v>8764751.0709259193</v>
      </c>
      <c r="S325" s="4">
        <f>IF($G$4="mensual",S324,0)</f>
        <v>10000</v>
      </c>
      <c r="U325" s="1">
        <f t="shared" si="100"/>
        <v>69971.097268236976</v>
      </c>
      <c r="V325" s="1">
        <f>V324</f>
        <v>-203.13672845934161</v>
      </c>
      <c r="X325" s="1">
        <f t="shared" si="85"/>
        <v>-8844.7221681941555</v>
      </c>
      <c r="Y325" s="1">
        <f t="shared" si="86"/>
        <v>8835674.309297502</v>
      </c>
      <c r="AA325" s="2">
        <f>+Bono!J325</f>
        <v>307603.27915751538</v>
      </c>
      <c r="AC325" s="10">
        <f t="shared" si="87"/>
        <v>25.166666666666668</v>
      </c>
      <c r="AD325" s="1">
        <f t="shared" si="88"/>
        <v>9713668.9433203004</v>
      </c>
    </row>
    <row r="326" spans="2:30">
      <c r="B326" s="1">
        <f t="shared" si="89"/>
        <v>303</v>
      </c>
      <c r="C326" s="2">
        <f t="shared" si="94"/>
        <v>25</v>
      </c>
      <c r="D326" s="2">
        <f t="shared" si="95"/>
        <v>3</v>
      </c>
      <c r="E326" s="2">
        <f t="shared" si="96"/>
        <v>54</v>
      </c>
      <c r="F326" s="1">
        <f t="shared" si="90"/>
        <v>570391.35486528231</v>
      </c>
      <c r="H326" s="1">
        <f t="shared" si="83"/>
        <v>4548.3807631284417</v>
      </c>
      <c r="I326" s="1">
        <v>0</v>
      </c>
      <c r="J326" s="69">
        <f>-SUM(F326:H326)*$J$21</f>
        <v>-5174.4576206556967</v>
      </c>
      <c r="K326" s="1">
        <f t="shared" si="91"/>
        <v>-569.76527800775511</v>
      </c>
      <c r="L326" s="1">
        <f t="shared" si="84"/>
        <v>569195.51272974734</v>
      </c>
      <c r="N326" s="1">
        <f t="shared" si="92"/>
        <v>303</v>
      </c>
      <c r="O326" s="2">
        <f t="shared" si="97"/>
        <v>25</v>
      </c>
      <c r="P326" s="2">
        <f t="shared" si="98"/>
        <v>3</v>
      </c>
      <c r="Q326" s="2">
        <f t="shared" si="99"/>
        <v>25</v>
      </c>
      <c r="R326" s="1">
        <f t="shared" si="93"/>
        <v>8835674.309297502</v>
      </c>
      <c r="S326" s="4">
        <f>IF($G$4="mensual",S325,0)</f>
        <v>10000</v>
      </c>
      <c r="U326" s="1">
        <f t="shared" si="100"/>
        <v>70536.649130684586</v>
      </c>
      <c r="V326" s="1">
        <f t="shared" si="101"/>
        <v>-203.13672845934161</v>
      </c>
      <c r="X326" s="1">
        <f t="shared" si="85"/>
        <v>-8916.210958428188</v>
      </c>
      <c r="Y326" s="1">
        <f t="shared" si="86"/>
        <v>8907091.6107412986</v>
      </c>
      <c r="AA326" s="2">
        <f>+Bono!J326</f>
        <v>306722.0726890724</v>
      </c>
      <c r="AC326" s="10">
        <f t="shared" si="87"/>
        <v>25.25</v>
      </c>
      <c r="AD326" s="1">
        <f t="shared" si="88"/>
        <v>9783009.196160119</v>
      </c>
    </row>
    <row r="327" spans="2:30">
      <c r="B327" s="1">
        <f t="shared" si="89"/>
        <v>304</v>
      </c>
      <c r="C327" s="2">
        <f t="shared" si="94"/>
        <v>25</v>
      </c>
      <c r="D327" s="2">
        <f t="shared" si="95"/>
        <v>4</v>
      </c>
      <c r="E327" s="2">
        <f t="shared" si="96"/>
        <v>54</v>
      </c>
      <c r="F327" s="1">
        <f t="shared" si="90"/>
        <v>569195.51272974734</v>
      </c>
      <c r="H327" s="1">
        <f t="shared" si="83"/>
        <v>4538.8449500088855</v>
      </c>
      <c r="I327" s="1">
        <v>0</v>
      </c>
      <c r="J327" s="1">
        <v>0</v>
      </c>
      <c r="K327" s="1">
        <f t="shared" si="91"/>
        <v>-573.73435767975627</v>
      </c>
      <c r="L327" s="1">
        <f t="shared" si="84"/>
        <v>573160.62332207651</v>
      </c>
      <c r="N327" s="1">
        <f t="shared" si="92"/>
        <v>304</v>
      </c>
      <c r="O327" s="2">
        <f t="shared" si="97"/>
        <v>25</v>
      </c>
      <c r="P327" s="2">
        <f t="shared" si="98"/>
        <v>4</v>
      </c>
      <c r="Q327" s="2">
        <f t="shared" si="99"/>
        <v>25</v>
      </c>
      <c r="R327" s="1">
        <f t="shared" si="93"/>
        <v>8907091.6107412986</v>
      </c>
      <c r="S327" s="4">
        <f>IF($G$4="mensual",S324,IF($G$4="trimestral",S324,0))</f>
        <v>10000</v>
      </c>
      <c r="U327" s="1">
        <f t="shared" si="100"/>
        <v>71106.140721450778</v>
      </c>
      <c r="V327" s="1">
        <f t="shared" si="101"/>
        <v>-203.13672845934161</v>
      </c>
      <c r="X327" s="1">
        <f t="shared" si="85"/>
        <v>-8988.1977514627506</v>
      </c>
      <c r="Y327" s="1">
        <f t="shared" si="86"/>
        <v>8979006.4169828277</v>
      </c>
      <c r="AA327" s="2">
        <f>+Bono!J327</f>
        <v>308623.78511730302</v>
      </c>
      <c r="AC327" s="10">
        <f t="shared" si="87"/>
        <v>25.333333333333332</v>
      </c>
      <c r="AD327" s="1">
        <f t="shared" si="88"/>
        <v>9860790.8254222088</v>
      </c>
    </row>
    <row r="328" spans="2:30">
      <c r="B328" s="1">
        <f t="shared" si="89"/>
        <v>305</v>
      </c>
      <c r="C328" s="2">
        <f t="shared" si="94"/>
        <v>25</v>
      </c>
      <c r="D328" s="2">
        <f t="shared" si="95"/>
        <v>5</v>
      </c>
      <c r="E328" s="2">
        <f t="shared" si="96"/>
        <v>54</v>
      </c>
      <c r="F328" s="1">
        <f t="shared" si="90"/>
        <v>573160.62332207651</v>
      </c>
      <c r="H328" s="1">
        <f t="shared" si="83"/>
        <v>4570.4632986882525</v>
      </c>
      <c r="I328" s="1">
        <v>0</v>
      </c>
      <c r="J328" s="1">
        <v>0</v>
      </c>
      <c r="K328" s="1">
        <f t="shared" si="91"/>
        <v>-577.73108662076481</v>
      </c>
      <c r="L328" s="1">
        <f t="shared" si="84"/>
        <v>577153.3555341441</v>
      </c>
      <c r="N328" s="1">
        <f t="shared" si="92"/>
        <v>305</v>
      </c>
      <c r="O328" s="2">
        <f t="shared" si="97"/>
        <v>25</v>
      </c>
      <c r="P328" s="2">
        <f t="shared" si="98"/>
        <v>5</v>
      </c>
      <c r="Q328" s="2">
        <f t="shared" si="99"/>
        <v>25</v>
      </c>
      <c r="R328" s="1">
        <f t="shared" si="93"/>
        <v>8979006.4169828277</v>
      </c>
      <c r="S328" s="4">
        <f>IF($G$4="mensual",S327,0)</f>
        <v>10000</v>
      </c>
      <c r="U328" s="1">
        <f t="shared" si="100"/>
        <v>71679.599485338142</v>
      </c>
      <c r="V328" s="1">
        <f t="shared" si="101"/>
        <v>-203.13672845934161</v>
      </c>
      <c r="X328" s="1">
        <f t="shared" si="85"/>
        <v>-9060.6860164681657</v>
      </c>
      <c r="Y328" s="1">
        <f t="shared" si="86"/>
        <v>9051422.1937232371</v>
      </c>
      <c r="AA328" s="2">
        <f>+Bono!J328</f>
        <v>310537.28838317358</v>
      </c>
      <c r="AC328" s="10">
        <f t="shared" si="87"/>
        <v>25.416666666666668</v>
      </c>
      <c r="AD328" s="1">
        <f t="shared" si="88"/>
        <v>9939112.8376405537</v>
      </c>
    </row>
    <row r="329" spans="2:30">
      <c r="B329" s="1">
        <f t="shared" si="89"/>
        <v>306</v>
      </c>
      <c r="C329" s="2">
        <f t="shared" si="94"/>
        <v>25</v>
      </c>
      <c r="D329" s="2">
        <f t="shared" si="95"/>
        <v>6</v>
      </c>
      <c r="E329" s="2">
        <f t="shared" si="96"/>
        <v>54</v>
      </c>
      <c r="F329" s="1">
        <f t="shared" si="90"/>
        <v>577153.3555341441</v>
      </c>
      <c r="H329" s="1">
        <f t="shared" si="83"/>
        <v>4602.3019060422866</v>
      </c>
      <c r="I329" s="1">
        <v>0</v>
      </c>
      <c r="J329" s="69">
        <f>-SUM(F329:H329)*$J$21</f>
        <v>-5235.800916961678</v>
      </c>
      <c r="K329" s="1">
        <f t="shared" si="91"/>
        <v>-576.5198565232248</v>
      </c>
      <c r="L329" s="1">
        <f t="shared" si="84"/>
        <v>575943.33666670148</v>
      </c>
      <c r="N329" s="1">
        <f t="shared" si="92"/>
        <v>306</v>
      </c>
      <c r="O329" s="2">
        <f t="shared" si="97"/>
        <v>25</v>
      </c>
      <c r="P329" s="2">
        <f t="shared" si="98"/>
        <v>6</v>
      </c>
      <c r="Q329" s="2">
        <f t="shared" si="99"/>
        <v>25</v>
      </c>
      <c r="R329" s="1">
        <f t="shared" si="93"/>
        <v>9051422.1937232371</v>
      </c>
      <c r="S329" s="4">
        <f>IF($G$4="mensual",S328,0)</f>
        <v>10000</v>
      </c>
      <c r="U329" s="1">
        <f t="shared" si="100"/>
        <v>72257.053058334306</v>
      </c>
      <c r="V329" s="1">
        <f t="shared" si="101"/>
        <v>-203.13672845934161</v>
      </c>
      <c r="X329" s="1">
        <f t="shared" si="85"/>
        <v>-9133.6792467815703</v>
      </c>
      <c r="Y329" s="1">
        <f t="shared" si="86"/>
        <v>9124342.4308063295</v>
      </c>
      <c r="AA329" s="2">
        <f>+Bono!J329</f>
        <v>309647.67671204481</v>
      </c>
      <c r="AC329" s="10">
        <f t="shared" si="87"/>
        <v>25.5</v>
      </c>
      <c r="AD329" s="1">
        <f t="shared" si="88"/>
        <v>10009933.444185076</v>
      </c>
    </row>
    <row r="330" spans="2:30">
      <c r="B330" s="1">
        <f t="shared" si="89"/>
        <v>307</v>
      </c>
      <c r="C330" s="2">
        <f t="shared" si="94"/>
        <v>25</v>
      </c>
      <c r="D330" s="2">
        <f t="shared" si="95"/>
        <v>7</v>
      </c>
      <c r="E330" s="2">
        <f t="shared" si="96"/>
        <v>54</v>
      </c>
      <c r="F330" s="1">
        <f t="shared" si="90"/>
        <v>575943.33666670148</v>
      </c>
      <c r="H330" s="1">
        <f t="shared" si="83"/>
        <v>4592.6530456716764</v>
      </c>
      <c r="I330" s="1">
        <v>0</v>
      </c>
      <c r="J330" s="1">
        <v>0</v>
      </c>
      <c r="K330" s="1">
        <f t="shared" si="91"/>
        <v>-580.53598971237318</v>
      </c>
      <c r="L330" s="1">
        <f t="shared" si="84"/>
        <v>579955.45372266078</v>
      </c>
      <c r="N330" s="1">
        <f t="shared" si="92"/>
        <v>307</v>
      </c>
      <c r="O330" s="2">
        <f t="shared" si="97"/>
        <v>25</v>
      </c>
      <c r="P330" s="2">
        <f t="shared" si="98"/>
        <v>7</v>
      </c>
      <c r="Q330" s="2">
        <f t="shared" si="99"/>
        <v>25</v>
      </c>
      <c r="R330" s="1">
        <f t="shared" si="93"/>
        <v>9124342.4308063295</v>
      </c>
      <c r="S330" s="1">
        <f>+IF($G$4="mensual",S324,IF($G$4="trimestral",S324,IF($G$4="semestral",S324,0)))</f>
        <v>10000</v>
      </c>
      <c r="U330" s="1">
        <f t="shared" si="100"/>
        <v>72838.529268943836</v>
      </c>
      <c r="V330" s="1">
        <f t="shared" si="101"/>
        <v>-203.13672845934161</v>
      </c>
      <c r="X330" s="1">
        <f t="shared" si="85"/>
        <v>-9207.1809600752749</v>
      </c>
      <c r="Y330" s="1">
        <f t="shared" si="86"/>
        <v>9197770.6423867382</v>
      </c>
      <c r="AA330" s="2">
        <f>+Bono!J330</f>
        <v>311567.52822456689</v>
      </c>
      <c r="AC330" s="10">
        <f t="shared" si="87"/>
        <v>25.583333333333332</v>
      </c>
      <c r="AD330" s="1">
        <f t="shared" si="88"/>
        <v>10089293.624333967</v>
      </c>
    </row>
    <row r="331" spans="2:30">
      <c r="B331" s="1">
        <f t="shared" si="89"/>
        <v>308</v>
      </c>
      <c r="C331" s="2">
        <f t="shared" si="94"/>
        <v>25</v>
      </c>
      <c r="D331" s="2">
        <f t="shared" si="95"/>
        <v>8</v>
      </c>
      <c r="E331" s="2">
        <f t="shared" si="96"/>
        <v>54</v>
      </c>
      <c r="F331" s="1">
        <f t="shared" si="90"/>
        <v>579955.45372266078</v>
      </c>
      <c r="H331" s="1">
        <f t="shared" si="83"/>
        <v>4624.6462304930956</v>
      </c>
      <c r="I331" s="1">
        <v>0</v>
      </c>
      <c r="J331" s="1">
        <v>0</v>
      </c>
      <c r="K331" s="1">
        <f t="shared" si="91"/>
        <v>-584.58009995315388</v>
      </c>
      <c r="L331" s="1">
        <f t="shared" si="84"/>
        <v>583995.51985320076</v>
      </c>
      <c r="N331" s="1">
        <f t="shared" si="92"/>
        <v>308</v>
      </c>
      <c r="O331" s="2">
        <f t="shared" si="97"/>
        <v>25</v>
      </c>
      <c r="P331" s="2">
        <f t="shared" si="98"/>
        <v>8</v>
      </c>
      <c r="Q331" s="2">
        <f t="shared" si="99"/>
        <v>25</v>
      </c>
      <c r="R331" s="1">
        <f t="shared" si="93"/>
        <v>9197770.6423867382</v>
      </c>
      <c r="S331" s="4">
        <f>IF($G$4="mensual",S330,0)</f>
        <v>10000</v>
      </c>
      <c r="U331" s="1">
        <f t="shared" si="100"/>
        <v>73424.056139529275</v>
      </c>
      <c r="V331" s="1">
        <f t="shared" si="101"/>
        <v>-203.13672845934161</v>
      </c>
      <c r="X331" s="1">
        <f t="shared" si="85"/>
        <v>-9281.1946985262675</v>
      </c>
      <c r="Y331" s="1">
        <f t="shared" si="86"/>
        <v>9271710.3670992814</v>
      </c>
      <c r="AA331" s="2">
        <f>+Bono!J331</f>
        <v>313499.28303915565</v>
      </c>
      <c r="AC331" s="10">
        <f t="shared" si="87"/>
        <v>25.666666666666668</v>
      </c>
      <c r="AD331" s="1">
        <f t="shared" si="88"/>
        <v>10169205.169991639</v>
      </c>
    </row>
    <row r="332" spans="2:30">
      <c r="B332" s="1">
        <f t="shared" si="89"/>
        <v>309</v>
      </c>
      <c r="C332" s="2">
        <f t="shared" si="94"/>
        <v>25</v>
      </c>
      <c r="D332" s="2">
        <f t="shared" si="95"/>
        <v>9</v>
      </c>
      <c r="E332" s="2">
        <f t="shared" si="96"/>
        <v>54</v>
      </c>
      <c r="F332" s="1">
        <f t="shared" si="90"/>
        <v>583995.51985320076</v>
      </c>
      <c r="H332" s="1">
        <f t="shared" si="83"/>
        <v>4656.8622851600794</v>
      </c>
      <c r="I332" s="1">
        <v>0</v>
      </c>
      <c r="J332" s="69">
        <f>-SUM(F332:H332)*$J$21</f>
        <v>-5297.8714392452484</v>
      </c>
      <c r="K332" s="1">
        <f t="shared" si="91"/>
        <v>-583.35451069911562</v>
      </c>
      <c r="L332" s="1">
        <f t="shared" si="84"/>
        <v>582771.15618841641</v>
      </c>
      <c r="N332" s="1">
        <f t="shared" si="92"/>
        <v>309</v>
      </c>
      <c r="O332" s="2">
        <f t="shared" si="97"/>
        <v>25</v>
      </c>
      <c r="P332" s="2">
        <f t="shared" si="98"/>
        <v>9</v>
      </c>
      <c r="Q332" s="2">
        <f t="shared" si="99"/>
        <v>25</v>
      </c>
      <c r="R332" s="1">
        <f t="shared" si="93"/>
        <v>9271710.3670992814</v>
      </c>
      <c r="S332" s="4">
        <f>IF($G$4="mensual",S331,0)</f>
        <v>10000</v>
      </c>
      <c r="U332" s="1">
        <f t="shared" si="100"/>
        <v>74013.661887661583</v>
      </c>
      <c r="V332" s="1">
        <f t="shared" si="101"/>
        <v>-203.13672845934161</v>
      </c>
      <c r="X332" s="1">
        <f t="shared" si="85"/>
        <v>-9355.7240289869442</v>
      </c>
      <c r="Y332" s="1">
        <f t="shared" si="86"/>
        <v>9346165.1682294961</v>
      </c>
      <c r="AA332" s="2">
        <f>+Bono!J332</f>
        <v>312601.1859940819</v>
      </c>
      <c r="AC332" s="10">
        <f t="shared" si="87"/>
        <v>25.75</v>
      </c>
      <c r="AD332" s="1">
        <f t="shared" si="88"/>
        <v>10241537.510411995</v>
      </c>
    </row>
    <row r="333" spans="2:30">
      <c r="B333" s="1">
        <f t="shared" si="89"/>
        <v>310</v>
      </c>
      <c r="C333" s="2">
        <f t="shared" si="94"/>
        <v>25</v>
      </c>
      <c r="D333" s="2">
        <f t="shared" si="95"/>
        <v>10</v>
      </c>
      <c r="E333" s="2">
        <f t="shared" si="96"/>
        <v>54</v>
      </c>
      <c r="F333" s="1">
        <f t="shared" si="90"/>
        <v>582771.15618841641</v>
      </c>
      <c r="H333" s="1">
        <f t="shared" si="83"/>
        <v>4647.0990373610412</v>
      </c>
      <c r="I333" s="1">
        <v>0</v>
      </c>
      <c r="J333" s="1">
        <v>0</v>
      </c>
      <c r="K333" s="1">
        <f t="shared" si="91"/>
        <v>-587.41825522577756</v>
      </c>
      <c r="L333" s="1">
        <f t="shared" si="84"/>
        <v>586830.83697055175</v>
      </c>
      <c r="N333" s="1">
        <f t="shared" si="92"/>
        <v>310</v>
      </c>
      <c r="O333" s="2">
        <f t="shared" si="97"/>
        <v>25</v>
      </c>
      <c r="P333" s="2">
        <f t="shared" si="98"/>
        <v>10</v>
      </c>
      <c r="Q333" s="2">
        <f t="shared" si="99"/>
        <v>25</v>
      </c>
      <c r="R333" s="1">
        <f t="shared" si="93"/>
        <v>9346165.1682294961</v>
      </c>
      <c r="S333" s="4">
        <f>IF($G$4="mensual",S324,IF($G$4="trimestral",S324,0))</f>
        <v>10000</v>
      </c>
      <c r="U333" s="1">
        <f t="shared" si="100"/>
        <v>74607.374927480021</v>
      </c>
      <c r="V333" s="1">
        <f t="shared" si="101"/>
        <v>-203.13672845934161</v>
      </c>
      <c r="X333" s="1">
        <f t="shared" si="85"/>
        <v>-9430.7725431569761</v>
      </c>
      <c r="Y333" s="1">
        <f t="shared" si="86"/>
        <v>9421138.6338853594</v>
      </c>
      <c r="AA333" s="2">
        <f>+Bono!J333</f>
        <v>314539.34960673848</v>
      </c>
      <c r="AC333" s="10">
        <f t="shared" si="87"/>
        <v>25.833333333333332</v>
      </c>
      <c r="AD333" s="1">
        <f t="shared" si="88"/>
        <v>10322508.82046265</v>
      </c>
    </row>
    <row r="334" spans="2:30">
      <c r="B334" s="1">
        <f t="shared" si="89"/>
        <v>311</v>
      </c>
      <c r="C334" s="2">
        <f t="shared" si="94"/>
        <v>25</v>
      </c>
      <c r="D334" s="2">
        <f t="shared" si="95"/>
        <v>11</v>
      </c>
      <c r="E334" s="2">
        <f t="shared" si="96"/>
        <v>54</v>
      </c>
      <c r="F334" s="1">
        <f t="shared" si="90"/>
        <v>586830.83697055175</v>
      </c>
      <c r="H334" s="1">
        <f t="shared" si="83"/>
        <v>4679.4715020143103</v>
      </c>
      <c r="I334" s="1">
        <v>0</v>
      </c>
      <c r="J334" s="1">
        <v>0</v>
      </c>
      <c r="K334" s="1">
        <f t="shared" si="91"/>
        <v>-591.51030847256607</v>
      </c>
      <c r="L334" s="1">
        <f t="shared" si="84"/>
        <v>590918.79816409352</v>
      </c>
      <c r="N334" s="1">
        <f t="shared" si="92"/>
        <v>311</v>
      </c>
      <c r="O334" s="2">
        <f t="shared" si="97"/>
        <v>25</v>
      </c>
      <c r="P334" s="2">
        <f t="shared" si="98"/>
        <v>11</v>
      </c>
      <c r="Q334" s="2">
        <f t="shared" si="99"/>
        <v>25</v>
      </c>
      <c r="R334" s="1">
        <f t="shared" si="93"/>
        <v>9421138.6338853594</v>
      </c>
      <c r="S334" s="1">
        <f>IF($G$17="si",S322*(1+$G$20),S322)</f>
        <v>10000</v>
      </c>
      <c r="U334" s="1">
        <f t="shared" si="100"/>
        <v>75205.223871061462</v>
      </c>
      <c r="V334" s="1">
        <f t="shared" si="101"/>
        <v>-203.13672845934161</v>
      </c>
      <c r="X334" s="1">
        <f t="shared" si="85"/>
        <v>-9506.3438577564211</v>
      </c>
      <c r="Y334" s="1">
        <f t="shared" si="86"/>
        <v>9496634.3771702051</v>
      </c>
      <c r="AA334" s="2">
        <f>+Bono!J334</f>
        <v>316489.53005860664</v>
      </c>
      <c r="AC334" s="10">
        <f t="shared" si="87"/>
        <v>25.916666666666668</v>
      </c>
      <c r="AD334" s="1">
        <f t="shared" si="88"/>
        <v>10404042.705392906</v>
      </c>
    </row>
    <row r="335" spans="2:30">
      <c r="B335" s="1">
        <f t="shared" si="89"/>
        <v>312</v>
      </c>
      <c r="C335" s="2">
        <f t="shared" si="94"/>
        <v>25</v>
      </c>
      <c r="D335" s="2">
        <f t="shared" si="95"/>
        <v>12</v>
      </c>
      <c r="E335" s="2">
        <f t="shared" si="96"/>
        <v>54</v>
      </c>
      <c r="F335" s="1">
        <f t="shared" si="90"/>
        <v>590918.79816409352</v>
      </c>
      <c r="H335" s="1">
        <f t="shared" si="83"/>
        <v>4712.0694786395215</v>
      </c>
      <c r="I335" s="1">
        <v>0</v>
      </c>
      <c r="J335" s="69">
        <f>-SUM(F335:H335)*$J$21</f>
        <v>-5360.6778087845978</v>
      </c>
      <c r="K335" s="1">
        <f t="shared" si="91"/>
        <v>-590.27018983394839</v>
      </c>
      <c r="L335" s="1">
        <f t="shared" si="84"/>
        <v>589679.91964411444</v>
      </c>
      <c r="N335" s="1">
        <f t="shared" si="92"/>
        <v>312</v>
      </c>
      <c r="O335" s="2">
        <f t="shared" si="97"/>
        <v>25</v>
      </c>
      <c r="P335" s="2">
        <f t="shared" si="98"/>
        <v>12</v>
      </c>
      <c r="Q335" s="2">
        <f t="shared" si="99"/>
        <v>25</v>
      </c>
      <c r="R335" s="1">
        <f t="shared" si="93"/>
        <v>9496634.3771702051</v>
      </c>
      <c r="S335" s="4">
        <f>IF($G$4="mensual",S334,0)</f>
        <v>10000</v>
      </c>
      <c r="U335" s="1">
        <f t="shared" si="100"/>
        <v>75807.237529799284</v>
      </c>
      <c r="V335" s="1">
        <f t="shared" si="101"/>
        <v>-203.13672845934161</v>
      </c>
      <c r="X335" s="1">
        <f t="shared" si="85"/>
        <v>-9582.4416147000047</v>
      </c>
      <c r="Y335" s="1">
        <f t="shared" si="86"/>
        <v>9572656.036356844</v>
      </c>
      <c r="AA335" s="2">
        <f>+Bono!J335</f>
        <v>315582.86670363211</v>
      </c>
      <c r="AC335" s="10">
        <f t="shared" si="87"/>
        <v>26</v>
      </c>
      <c r="AD335" s="1">
        <f t="shared" si="88"/>
        <v>10477918.822704589</v>
      </c>
    </row>
    <row r="336" spans="2:30">
      <c r="B336" s="1">
        <f t="shared" si="89"/>
        <v>313</v>
      </c>
      <c r="C336" s="2">
        <f t="shared" si="94"/>
        <v>26</v>
      </c>
      <c r="D336" s="2">
        <f t="shared" si="95"/>
        <v>1</v>
      </c>
      <c r="E336" s="2">
        <f t="shared" si="96"/>
        <v>55</v>
      </c>
      <c r="F336" s="1">
        <f t="shared" si="90"/>
        <v>589679.91964411444</v>
      </c>
      <c r="H336" s="1">
        <f t="shared" si="83"/>
        <v>4702.1904873468557</v>
      </c>
      <c r="I336" s="1">
        <v>0</v>
      </c>
      <c r="J336" s="1">
        <v>0</v>
      </c>
      <c r="K336" s="1">
        <f t="shared" si="91"/>
        <v>-594.38211013146133</v>
      </c>
      <c r="L336" s="1">
        <f t="shared" si="84"/>
        <v>593787.72802132985</v>
      </c>
      <c r="N336" s="1">
        <f t="shared" si="92"/>
        <v>313</v>
      </c>
      <c r="O336" s="2">
        <f t="shared" si="97"/>
        <v>26</v>
      </c>
      <c r="P336" s="2">
        <f t="shared" si="98"/>
        <v>1</v>
      </c>
      <c r="Q336" s="2">
        <f t="shared" si="99"/>
        <v>26</v>
      </c>
      <c r="R336" s="1">
        <f t="shared" si="93"/>
        <v>9572656.036356844</v>
      </c>
      <c r="S336" s="1">
        <f>IF($G$17="si",S324*(1+$G$20),S324)</f>
        <v>10000</v>
      </c>
      <c r="U336" s="1">
        <f t="shared" si="100"/>
        <v>76413.444915791813</v>
      </c>
      <c r="V336" s="1">
        <f>V335*(1+$G$18)</f>
        <v>-211.26219759771527</v>
      </c>
      <c r="X336" s="1">
        <f t="shared" si="85"/>
        <v>-9659.069481272636</v>
      </c>
      <c r="Y336" s="1">
        <f t="shared" si="86"/>
        <v>9649199.1495937668</v>
      </c>
      <c r="AA336" s="2">
        <f>+Bono!J336</f>
        <v>317539.51708254148</v>
      </c>
      <c r="AC336" s="10">
        <f t="shared" si="87"/>
        <v>26.083333333333332</v>
      </c>
      <c r="AD336" s="1">
        <f t="shared" si="88"/>
        <v>10560526.394697638</v>
      </c>
    </row>
    <row r="337" spans="2:30">
      <c r="B337" s="1">
        <f t="shared" si="89"/>
        <v>314</v>
      </c>
      <c r="C337" s="2">
        <f t="shared" si="94"/>
        <v>26</v>
      </c>
      <c r="D337" s="2">
        <f t="shared" si="95"/>
        <v>2</v>
      </c>
      <c r="E337" s="2">
        <f t="shared" si="96"/>
        <v>55</v>
      </c>
      <c r="F337" s="1">
        <f t="shared" si="90"/>
        <v>593787.72802132985</v>
      </c>
      <c r="H337" s="1">
        <f t="shared" si="83"/>
        <v>4734.9467282017986</v>
      </c>
      <c r="I337" s="1">
        <v>0</v>
      </c>
      <c r="J337" s="1">
        <v>0</v>
      </c>
      <c r="K337" s="1">
        <f t="shared" si="91"/>
        <v>-598.52267474953169</v>
      </c>
      <c r="L337" s="1">
        <f t="shared" si="84"/>
        <v>597924.15207478218</v>
      </c>
      <c r="N337" s="1">
        <f t="shared" si="92"/>
        <v>314</v>
      </c>
      <c r="O337" s="2">
        <f t="shared" si="97"/>
        <v>26</v>
      </c>
      <c r="P337" s="2">
        <f t="shared" si="98"/>
        <v>2</v>
      </c>
      <c r="Q337" s="2">
        <f t="shared" si="99"/>
        <v>26</v>
      </c>
      <c r="R337" s="1">
        <f t="shared" si="93"/>
        <v>9649199.1495937668</v>
      </c>
      <c r="S337" s="4">
        <f>IF($G$4="mensual",S336,0)</f>
        <v>10000</v>
      </c>
      <c r="U337" s="1">
        <f t="shared" si="100"/>
        <v>77023.810449608514</v>
      </c>
      <c r="V337" s="1">
        <f>V336</f>
        <v>-211.26219759771527</v>
      </c>
      <c r="X337" s="1">
        <f t="shared" si="85"/>
        <v>-9736.2229600433748</v>
      </c>
      <c r="Y337" s="1">
        <f t="shared" si="86"/>
        <v>9726275.4748857338</v>
      </c>
      <c r="AA337" s="2">
        <f>+Bono!J337</f>
        <v>319508.29892075749</v>
      </c>
      <c r="AC337" s="10">
        <f t="shared" si="87"/>
        <v>26.166666666666668</v>
      </c>
      <c r="AD337" s="1">
        <f t="shared" si="88"/>
        <v>10643707.925881274</v>
      </c>
    </row>
    <row r="338" spans="2:30">
      <c r="B338" s="1">
        <f t="shared" si="89"/>
        <v>315</v>
      </c>
      <c r="C338" s="2">
        <f t="shared" si="94"/>
        <v>26</v>
      </c>
      <c r="D338" s="2">
        <f t="shared" si="95"/>
        <v>3</v>
      </c>
      <c r="E338" s="2">
        <f t="shared" si="96"/>
        <v>55</v>
      </c>
      <c r="F338" s="1">
        <f t="shared" si="90"/>
        <v>597924.15207478218</v>
      </c>
      <c r="H338" s="1">
        <f t="shared" si="83"/>
        <v>4767.9311544775228</v>
      </c>
      <c r="I338" s="1">
        <v>0</v>
      </c>
      <c r="J338" s="69">
        <f>-SUM(F338:H338)*$J$21</f>
        <v>-5424.228749063338</v>
      </c>
      <c r="K338" s="1">
        <f t="shared" si="91"/>
        <v>-597.26785448019643</v>
      </c>
      <c r="L338" s="1">
        <f t="shared" si="84"/>
        <v>596670.58662571618</v>
      </c>
      <c r="N338" s="1">
        <f t="shared" si="92"/>
        <v>315</v>
      </c>
      <c r="O338" s="2">
        <f t="shared" si="97"/>
        <v>26</v>
      </c>
      <c r="P338" s="2">
        <f t="shared" si="98"/>
        <v>3</v>
      </c>
      <c r="Q338" s="2">
        <f t="shared" si="99"/>
        <v>26</v>
      </c>
      <c r="R338" s="1">
        <f t="shared" si="93"/>
        <v>9726275.4748857338</v>
      </c>
      <c r="S338" s="4">
        <f>IF($G$4="mensual",S337,0)</f>
        <v>10000</v>
      </c>
      <c r="U338" s="1">
        <f t="shared" si="100"/>
        <v>77638.427891230531</v>
      </c>
      <c r="V338" s="1">
        <f t="shared" si="101"/>
        <v>-211.26219759771527</v>
      </c>
      <c r="X338" s="1">
        <f t="shared" si="85"/>
        <v>-9813.9139027769634</v>
      </c>
      <c r="Y338" s="1">
        <f t="shared" si="86"/>
        <v>9803888.7266765907</v>
      </c>
      <c r="AA338" s="2">
        <f>+Bono!J338</f>
        <v>318592.98754793557</v>
      </c>
      <c r="AC338" s="10">
        <f t="shared" si="87"/>
        <v>26.25</v>
      </c>
      <c r="AD338" s="1">
        <f t="shared" si="88"/>
        <v>10719152.300850242</v>
      </c>
    </row>
    <row r="339" spans="2:30">
      <c r="B339" s="1">
        <f t="shared" si="89"/>
        <v>316</v>
      </c>
      <c r="C339" s="2">
        <f t="shared" si="94"/>
        <v>26</v>
      </c>
      <c r="D339" s="2">
        <f t="shared" si="95"/>
        <v>4</v>
      </c>
      <c r="E339" s="2">
        <f t="shared" si="96"/>
        <v>55</v>
      </c>
      <c r="F339" s="1">
        <f t="shared" si="90"/>
        <v>596670.58662571618</v>
      </c>
      <c r="H339" s="1">
        <f t="shared" si="83"/>
        <v>4757.9350475498495</v>
      </c>
      <c r="I339" s="1">
        <v>0</v>
      </c>
      <c r="J339" s="1">
        <v>0</v>
      </c>
      <c r="K339" s="1">
        <f t="shared" si="91"/>
        <v>-601.42852167326612</v>
      </c>
      <c r="L339" s="1">
        <f t="shared" si="84"/>
        <v>600827.09315159277</v>
      </c>
      <c r="N339" s="1">
        <f t="shared" si="92"/>
        <v>316</v>
      </c>
      <c r="O339" s="2">
        <f t="shared" si="97"/>
        <v>26</v>
      </c>
      <c r="P339" s="2">
        <f t="shared" si="98"/>
        <v>4</v>
      </c>
      <c r="Q339" s="2">
        <f t="shared" si="99"/>
        <v>26</v>
      </c>
      <c r="R339" s="1">
        <f t="shared" si="93"/>
        <v>9803888.7266765907</v>
      </c>
      <c r="S339" s="4">
        <f>IF($G$4="mensual",S336,IF($G$4="trimestral",S336,0))</f>
        <v>10000</v>
      </c>
      <c r="U339" s="1">
        <f t="shared" si="100"/>
        <v>78257.326860154688</v>
      </c>
      <c r="V339" s="1">
        <f t="shared" si="101"/>
        <v>-211.26219759771527</v>
      </c>
      <c r="X339" s="1">
        <f t="shared" si="85"/>
        <v>-9892.1460535367441</v>
      </c>
      <c r="Y339" s="1">
        <f t="shared" si="86"/>
        <v>9882042.645285612</v>
      </c>
      <c r="AA339" s="2">
        <f>+Bono!J339</f>
        <v>320568.30102523201</v>
      </c>
      <c r="AC339" s="10">
        <f t="shared" si="87"/>
        <v>26.333333333333332</v>
      </c>
      <c r="AD339" s="1">
        <f t="shared" si="88"/>
        <v>10803438.039462438</v>
      </c>
    </row>
    <row r="340" spans="2:30">
      <c r="B340" s="1">
        <f t="shared" si="89"/>
        <v>317</v>
      </c>
      <c r="C340" s="2">
        <f t="shared" si="94"/>
        <v>26</v>
      </c>
      <c r="D340" s="2">
        <f t="shared" si="95"/>
        <v>5</v>
      </c>
      <c r="E340" s="2">
        <f t="shared" si="96"/>
        <v>55</v>
      </c>
      <c r="F340" s="1">
        <f t="shared" si="90"/>
        <v>600827.09315159277</v>
      </c>
      <c r="H340" s="1">
        <f t="shared" si="83"/>
        <v>4791.079614280844</v>
      </c>
      <c r="I340" s="1">
        <v>0</v>
      </c>
      <c r="J340" s="1">
        <v>0</v>
      </c>
      <c r="K340" s="1">
        <f t="shared" si="91"/>
        <v>-605.61817276587362</v>
      </c>
      <c r="L340" s="1">
        <f t="shared" si="84"/>
        <v>605012.55459310778</v>
      </c>
      <c r="N340" s="1">
        <f t="shared" si="92"/>
        <v>317</v>
      </c>
      <c r="O340" s="2">
        <f t="shared" si="97"/>
        <v>26</v>
      </c>
      <c r="P340" s="2">
        <f t="shared" si="98"/>
        <v>5</v>
      </c>
      <c r="Q340" s="2">
        <f t="shared" si="99"/>
        <v>26</v>
      </c>
      <c r="R340" s="1">
        <f t="shared" si="93"/>
        <v>9882042.645285612</v>
      </c>
      <c r="S340" s="4">
        <f>IF($G$4="mensual",S339,0)</f>
        <v>10000</v>
      </c>
      <c r="U340" s="1">
        <f t="shared" si="100"/>
        <v>78880.537182212138</v>
      </c>
      <c r="V340" s="1">
        <f t="shared" si="101"/>
        <v>-211.26219759771527</v>
      </c>
      <c r="X340" s="1">
        <f t="shared" si="85"/>
        <v>-9970.9231824678245</v>
      </c>
      <c r="Y340" s="1">
        <f t="shared" si="86"/>
        <v>9960740.9970877599</v>
      </c>
      <c r="AA340" s="2">
        <f>+Bono!J340</f>
        <v>322555.86167520989</v>
      </c>
      <c r="AC340" s="10">
        <f t="shared" si="87"/>
        <v>26.416666666666668</v>
      </c>
      <c r="AD340" s="1">
        <f t="shared" si="88"/>
        <v>10888309.413356079</v>
      </c>
    </row>
    <row r="341" spans="2:30">
      <c r="B341" s="1">
        <f t="shared" si="89"/>
        <v>318</v>
      </c>
      <c r="C341" s="2">
        <f t="shared" si="94"/>
        <v>26</v>
      </c>
      <c r="D341" s="2">
        <f t="shared" si="95"/>
        <v>6</v>
      </c>
      <c r="E341" s="2">
        <f t="shared" si="96"/>
        <v>55</v>
      </c>
      <c r="F341" s="1">
        <f t="shared" si="90"/>
        <v>605012.55459310778</v>
      </c>
      <c r="H341" s="1">
        <f t="shared" si="83"/>
        <v>4824.4550715752466</v>
      </c>
      <c r="I341" s="1">
        <v>0</v>
      </c>
      <c r="J341" s="69">
        <f>-SUM(F341:H341)*$J$21</f>
        <v>-5488.5330869821482</v>
      </c>
      <c r="K341" s="1">
        <f t="shared" si="91"/>
        <v>-604.34847657770081</v>
      </c>
      <c r="L341" s="1">
        <f t="shared" si="84"/>
        <v>603744.12810112315</v>
      </c>
      <c r="N341" s="1">
        <f t="shared" si="92"/>
        <v>318</v>
      </c>
      <c r="O341" s="2">
        <f t="shared" si="97"/>
        <v>26</v>
      </c>
      <c r="P341" s="2">
        <f t="shared" si="98"/>
        <v>6</v>
      </c>
      <c r="Q341" s="2">
        <f t="shared" si="99"/>
        <v>26</v>
      </c>
      <c r="R341" s="1">
        <f t="shared" si="93"/>
        <v>9960740.9970877599</v>
      </c>
      <c r="S341" s="4">
        <f>IF($G$4="mensual",S340,0)</f>
        <v>10000</v>
      </c>
      <c r="U341" s="1">
        <f t="shared" si="100"/>
        <v>79508.08889100574</v>
      </c>
      <c r="V341" s="1">
        <f t="shared" si="101"/>
        <v>-211.26219759771527</v>
      </c>
      <c r="X341" s="1">
        <f t="shared" si="85"/>
        <v>-10050.249085978765</v>
      </c>
      <c r="Y341" s="1">
        <f t="shared" si="86"/>
        <v>10039987.574695189</v>
      </c>
      <c r="AA341" s="2">
        <f>+Bono!J341</f>
        <v>321631.81979724002</v>
      </c>
      <c r="AC341" s="10">
        <f t="shared" si="87"/>
        <v>26.5</v>
      </c>
      <c r="AD341" s="1">
        <f t="shared" si="88"/>
        <v>10965363.522593552</v>
      </c>
    </row>
    <row r="342" spans="2:30">
      <c r="B342" s="1">
        <f t="shared" si="89"/>
        <v>319</v>
      </c>
      <c r="C342" s="2">
        <f t="shared" si="94"/>
        <v>26</v>
      </c>
      <c r="D342" s="2">
        <f t="shared" si="95"/>
        <v>7</v>
      </c>
      <c r="E342" s="2">
        <f t="shared" si="96"/>
        <v>55</v>
      </c>
      <c r="F342" s="1">
        <f t="shared" si="90"/>
        <v>603744.12810112315</v>
      </c>
      <c r="H342" s="1">
        <f t="shared" si="83"/>
        <v>4814.3404606044196</v>
      </c>
      <c r="I342" s="1">
        <v>0</v>
      </c>
      <c r="J342" s="1">
        <v>0</v>
      </c>
      <c r="K342" s="1">
        <f t="shared" si="91"/>
        <v>-608.55846856172752</v>
      </c>
      <c r="L342" s="1">
        <f t="shared" si="84"/>
        <v>607949.91009316582</v>
      </c>
      <c r="N342" s="1">
        <f t="shared" si="92"/>
        <v>319</v>
      </c>
      <c r="O342" s="2">
        <f t="shared" si="97"/>
        <v>26</v>
      </c>
      <c r="P342" s="2">
        <f t="shared" si="98"/>
        <v>7</v>
      </c>
      <c r="Q342" s="2">
        <f t="shared" si="99"/>
        <v>26</v>
      </c>
      <c r="R342" s="1">
        <f t="shared" si="93"/>
        <v>10039987.574695189</v>
      </c>
      <c r="S342" s="1">
        <f>+IF($G$4="mensual",S336,IF($G$4="trimestral",S336,IF($G$4="semestral",S336,0)))</f>
        <v>10000</v>
      </c>
      <c r="U342" s="1">
        <f t="shared" si="100"/>
        <v>80140.012229357395</v>
      </c>
      <c r="V342" s="1">
        <f t="shared" si="101"/>
        <v>-211.26219759771527</v>
      </c>
      <c r="X342" s="1">
        <f t="shared" si="85"/>
        <v>-10130.127586924546</v>
      </c>
      <c r="Y342" s="1">
        <f t="shared" si="86"/>
        <v>10119786.197140023</v>
      </c>
      <c r="AA342" s="2">
        <f>+Bono!J342</f>
        <v>323625.97438696492</v>
      </c>
      <c r="AC342" s="10">
        <f t="shared" si="87"/>
        <v>26.583333333333332</v>
      </c>
      <c r="AD342" s="1">
        <f t="shared" si="88"/>
        <v>11051362.081620153</v>
      </c>
    </row>
    <row r="343" spans="2:30">
      <c r="B343" s="1">
        <f t="shared" si="89"/>
        <v>320</v>
      </c>
      <c r="C343" s="2">
        <f t="shared" si="94"/>
        <v>26</v>
      </c>
      <c r="D343" s="2">
        <f t="shared" si="95"/>
        <v>8</v>
      </c>
      <c r="E343" s="2">
        <f t="shared" si="96"/>
        <v>55</v>
      </c>
      <c r="F343" s="1">
        <f t="shared" si="90"/>
        <v>607949.91009316582</v>
      </c>
      <c r="H343" s="1">
        <f t="shared" si="83"/>
        <v>4847.8779568223226</v>
      </c>
      <c r="I343" s="1">
        <v>0</v>
      </c>
      <c r="J343" s="1">
        <v>0</v>
      </c>
      <c r="K343" s="1">
        <f t="shared" si="91"/>
        <v>-612.79778804998807</v>
      </c>
      <c r="L343" s="1">
        <f t="shared" si="84"/>
        <v>612184.99026193807</v>
      </c>
      <c r="N343" s="1">
        <f t="shared" si="92"/>
        <v>320</v>
      </c>
      <c r="O343" s="2">
        <f t="shared" si="97"/>
        <v>26</v>
      </c>
      <c r="P343" s="2">
        <f t="shared" si="98"/>
        <v>8</v>
      </c>
      <c r="Q343" s="2">
        <f t="shared" si="99"/>
        <v>26</v>
      </c>
      <c r="R343" s="1">
        <f t="shared" si="93"/>
        <v>10119786.197140023</v>
      </c>
      <c r="S343" s="4">
        <f>IF($G$4="mensual",S342,0)</f>
        <v>10000</v>
      </c>
      <c r="U343" s="1">
        <f t="shared" si="100"/>
        <v>80776.337650765578</v>
      </c>
      <c r="V343" s="1">
        <f t="shared" si="101"/>
        <v>-211.26219759771527</v>
      </c>
      <c r="X343" s="1">
        <f t="shared" si="85"/>
        <v>-10210.562534790788</v>
      </c>
      <c r="Y343" s="1">
        <f t="shared" si="86"/>
        <v>10200140.7100584</v>
      </c>
      <c r="AA343" s="2">
        <f>+Bono!J343</f>
        <v>325632.49296645372</v>
      </c>
      <c r="AC343" s="10">
        <f t="shared" si="87"/>
        <v>26.666666666666668</v>
      </c>
      <c r="AD343" s="1">
        <f t="shared" si="88"/>
        <v>11137958.193286793</v>
      </c>
    </row>
    <row r="344" spans="2:30">
      <c r="B344" s="1">
        <f t="shared" si="89"/>
        <v>321</v>
      </c>
      <c r="C344" s="2">
        <f t="shared" si="94"/>
        <v>26</v>
      </c>
      <c r="D344" s="2">
        <f t="shared" si="95"/>
        <v>9</v>
      </c>
      <c r="E344" s="2">
        <f t="shared" si="96"/>
        <v>55</v>
      </c>
      <c r="F344" s="1">
        <f t="shared" si="90"/>
        <v>612184.99026193807</v>
      </c>
      <c r="H344" s="1">
        <f t="shared" ref="H344:H407" si="102">SUM(F344:G344)*$G$8</f>
        <v>4881.6490808157778</v>
      </c>
      <c r="I344" s="1">
        <v>0</v>
      </c>
      <c r="J344" s="69">
        <f>-SUM(F344:H344)*$J$21</f>
        <v>-5553.5997540847848</v>
      </c>
      <c r="K344" s="1">
        <f t="shared" si="91"/>
        <v>-611.51303958866902</v>
      </c>
      <c r="L344" s="1">
        <f t="shared" ref="L344:L407" si="103">SUM(F344:K344)</f>
        <v>610901.52654908027</v>
      </c>
      <c r="N344" s="1">
        <f t="shared" si="92"/>
        <v>321</v>
      </c>
      <c r="O344" s="2">
        <f t="shared" si="97"/>
        <v>26</v>
      </c>
      <c r="P344" s="2">
        <f t="shared" si="98"/>
        <v>9</v>
      </c>
      <c r="Q344" s="2">
        <f t="shared" si="99"/>
        <v>26</v>
      </c>
      <c r="R344" s="1">
        <f t="shared" si="93"/>
        <v>10200140.7100584</v>
      </c>
      <c r="S344" s="4">
        <f>IF($G$4="mensual",S343,0)</f>
        <v>10000</v>
      </c>
      <c r="U344" s="1">
        <f t="shared" si="100"/>
        <v>81417.095820872884</v>
      </c>
      <c r="V344" s="1">
        <f t="shared" si="101"/>
        <v>-211.26219759771527</v>
      </c>
      <c r="X344" s="1">
        <f t="shared" ref="X344:X407" si="104">-SUM(R344:U344)*0.1%</f>
        <v>-10291.557805879273</v>
      </c>
      <c r="Y344" s="1">
        <f t="shared" ref="Y344:Y407" si="105">SUM(R344:X344)</f>
        <v>10281054.985875797</v>
      </c>
      <c r="AA344" s="2">
        <f>+Bono!J344</f>
        <v>324699.63730924757</v>
      </c>
      <c r="AC344" s="10">
        <f t="shared" ref="AC344:AC407" si="106">+B344/12</f>
        <v>26.75</v>
      </c>
      <c r="AD344" s="1">
        <f t="shared" ref="AD344:AD407" si="107">+AA344+Y344+L344</f>
        <v>11216656.149734125</v>
      </c>
    </row>
    <row r="345" spans="2:30">
      <c r="B345" s="1">
        <f t="shared" ref="B345:B408" si="108">+B344+1</f>
        <v>322</v>
      </c>
      <c r="C345" s="2">
        <f t="shared" si="94"/>
        <v>26</v>
      </c>
      <c r="D345" s="2">
        <f t="shared" si="95"/>
        <v>10</v>
      </c>
      <c r="E345" s="2">
        <f t="shared" si="96"/>
        <v>55</v>
      </c>
      <c r="F345" s="1">
        <f t="shared" ref="F345:F408" si="109">L344</f>
        <v>610901.52654908027</v>
      </c>
      <c r="H345" s="1">
        <f t="shared" si="102"/>
        <v>4871.4145609340476</v>
      </c>
      <c r="I345" s="1">
        <v>0</v>
      </c>
      <c r="J345" s="1">
        <v>0</v>
      </c>
      <c r="K345" s="1">
        <f t="shared" ref="K345:K408" si="110">-SUM(F345:J345)*0.1%</f>
        <v>-615.77294111001436</v>
      </c>
      <c r="L345" s="1">
        <f t="shared" si="103"/>
        <v>615157.16816890438</v>
      </c>
      <c r="N345" s="1">
        <f t="shared" ref="N345:N408" si="111">+N344+1</f>
        <v>322</v>
      </c>
      <c r="O345" s="2">
        <f t="shared" si="97"/>
        <v>26</v>
      </c>
      <c r="P345" s="2">
        <f t="shared" si="98"/>
        <v>10</v>
      </c>
      <c r="Q345" s="2">
        <f t="shared" si="99"/>
        <v>26</v>
      </c>
      <c r="R345" s="1">
        <f t="shared" ref="R345:R408" si="112">Y344</f>
        <v>10281054.985875797</v>
      </c>
      <c r="S345" s="4">
        <f>IF($G$4="mensual",S336,IF($G$4="trimestral",S336,0))</f>
        <v>10000</v>
      </c>
      <c r="U345" s="1">
        <f t="shared" si="100"/>
        <v>82062.317618943853</v>
      </c>
      <c r="V345" s="1">
        <f t="shared" si="101"/>
        <v>-211.26219759771527</v>
      </c>
      <c r="X345" s="1">
        <f t="shared" si="104"/>
        <v>-10373.117303494741</v>
      </c>
      <c r="Y345" s="1">
        <f t="shared" si="105"/>
        <v>10362532.923993649</v>
      </c>
      <c r="AA345" s="2">
        <f>+Bono!J345</f>
        <v>326712.81272339169</v>
      </c>
      <c r="AC345" s="10">
        <f t="shared" si="106"/>
        <v>26.833333333333332</v>
      </c>
      <c r="AD345" s="1">
        <f t="shared" si="107"/>
        <v>11304402.904885946</v>
      </c>
    </row>
    <row r="346" spans="2:30">
      <c r="B346" s="1">
        <f t="shared" si="108"/>
        <v>323</v>
      </c>
      <c r="C346" s="2">
        <f t="shared" si="94"/>
        <v>26</v>
      </c>
      <c r="D346" s="2">
        <f t="shared" si="95"/>
        <v>11</v>
      </c>
      <c r="E346" s="2">
        <f t="shared" si="96"/>
        <v>55</v>
      </c>
      <c r="F346" s="1">
        <f t="shared" si="109"/>
        <v>615157.16816890438</v>
      </c>
      <c r="H346" s="1">
        <f t="shared" si="102"/>
        <v>4905.3496448256119</v>
      </c>
      <c r="I346" s="1">
        <v>0</v>
      </c>
      <c r="J346" s="1">
        <v>0</v>
      </c>
      <c r="K346" s="1">
        <f t="shared" si="110"/>
        <v>-620.06251781372998</v>
      </c>
      <c r="L346" s="1">
        <f t="shared" si="103"/>
        <v>619442.45529591618</v>
      </c>
      <c r="N346" s="1">
        <f t="shared" si="111"/>
        <v>323</v>
      </c>
      <c r="O346" s="2">
        <f t="shared" si="97"/>
        <v>26</v>
      </c>
      <c r="P346" s="2">
        <f t="shared" si="98"/>
        <v>11</v>
      </c>
      <c r="Q346" s="2">
        <f t="shared" si="99"/>
        <v>26</v>
      </c>
      <c r="R346" s="1">
        <f t="shared" si="112"/>
        <v>10362532.923993649</v>
      </c>
      <c r="S346" s="1">
        <f>IF($G$17="si",S334*(1+$G$20),S334)</f>
        <v>10000</v>
      </c>
      <c r="U346" s="1">
        <f t="shared" si="100"/>
        <v>82712.034139353127</v>
      </c>
      <c r="V346" s="1">
        <f t="shared" si="101"/>
        <v>-211.26219759771527</v>
      </c>
      <c r="X346" s="1">
        <f t="shared" si="104"/>
        <v>-10455.244958133004</v>
      </c>
      <c r="Y346" s="1">
        <f t="shared" si="105"/>
        <v>10444578.450977273</v>
      </c>
      <c r="AA346" s="2">
        <f>+Bono!J346</f>
        <v>328738.47005861736</v>
      </c>
      <c r="AC346" s="10">
        <f t="shared" si="106"/>
        <v>26.916666666666668</v>
      </c>
      <c r="AD346" s="1">
        <f t="shared" si="107"/>
        <v>11392759.376331808</v>
      </c>
    </row>
    <row r="347" spans="2:30">
      <c r="B347" s="1">
        <f t="shared" si="108"/>
        <v>324</v>
      </c>
      <c r="C347" s="2">
        <f t="shared" si="94"/>
        <v>26</v>
      </c>
      <c r="D347" s="2">
        <f t="shared" si="95"/>
        <v>12</v>
      </c>
      <c r="E347" s="2">
        <f t="shared" si="96"/>
        <v>55</v>
      </c>
      <c r="F347" s="1">
        <f t="shared" si="109"/>
        <v>619442.45529591618</v>
      </c>
      <c r="H347" s="1">
        <f t="shared" si="102"/>
        <v>4939.5211261545783</v>
      </c>
      <c r="I347" s="1">
        <v>0</v>
      </c>
      <c r="J347" s="69">
        <f>-SUM(F347:H347)*$J$21</f>
        <v>-5619.4377877986371</v>
      </c>
      <c r="K347" s="1">
        <f t="shared" si="110"/>
        <v>-618.76253863427223</v>
      </c>
      <c r="L347" s="1">
        <f t="shared" si="103"/>
        <v>618143.77609563794</v>
      </c>
      <c r="N347" s="1">
        <f t="shared" si="111"/>
        <v>324</v>
      </c>
      <c r="O347" s="2">
        <f t="shared" si="97"/>
        <v>26</v>
      </c>
      <c r="P347" s="2">
        <f t="shared" si="98"/>
        <v>12</v>
      </c>
      <c r="Q347" s="2">
        <f t="shared" si="99"/>
        <v>26</v>
      </c>
      <c r="R347" s="1">
        <f t="shared" si="112"/>
        <v>10444578.450977273</v>
      </c>
      <c r="S347" s="4">
        <f>IF($G$4="mensual",S346,0)</f>
        <v>10000</v>
      </c>
      <c r="U347" s="1">
        <f t="shared" si="100"/>
        <v>83366.276693083972</v>
      </c>
      <c r="V347" s="1">
        <f t="shared" si="101"/>
        <v>-211.26219759771527</v>
      </c>
      <c r="X347" s="1">
        <f t="shared" si="104"/>
        <v>-10537.944727670358</v>
      </c>
      <c r="Y347" s="1">
        <f t="shared" si="105"/>
        <v>10527195.520745089</v>
      </c>
      <c r="AA347" s="2">
        <f>+Bono!J347</f>
        <v>327796.71655379416</v>
      </c>
      <c r="AC347" s="10">
        <f t="shared" si="106"/>
        <v>27</v>
      </c>
      <c r="AD347" s="1">
        <f t="shared" si="107"/>
        <v>11473136.013394522</v>
      </c>
    </row>
    <row r="348" spans="2:30">
      <c r="B348" s="1">
        <f t="shared" si="108"/>
        <v>325</v>
      </c>
      <c r="C348" s="2">
        <f t="shared" si="94"/>
        <v>27</v>
      </c>
      <c r="D348" s="2">
        <f t="shared" si="95"/>
        <v>1</v>
      </c>
      <c r="E348" s="2">
        <f t="shared" si="96"/>
        <v>56</v>
      </c>
      <c r="F348" s="1">
        <f t="shared" si="109"/>
        <v>618143.77609563794</v>
      </c>
      <c r="H348" s="1">
        <f t="shared" si="102"/>
        <v>4929.165275839463</v>
      </c>
      <c r="I348" s="1">
        <v>0</v>
      </c>
      <c r="J348" s="1">
        <v>0</v>
      </c>
      <c r="K348" s="1">
        <f t="shared" si="110"/>
        <v>-623.07294137147744</v>
      </c>
      <c r="L348" s="1">
        <f t="shared" si="103"/>
        <v>622449.86843010597</v>
      </c>
      <c r="N348" s="1">
        <f t="shared" si="111"/>
        <v>325</v>
      </c>
      <c r="O348" s="2">
        <f t="shared" si="97"/>
        <v>27</v>
      </c>
      <c r="P348" s="2">
        <f t="shared" si="98"/>
        <v>1</v>
      </c>
      <c r="Q348" s="2">
        <f t="shared" si="99"/>
        <v>27</v>
      </c>
      <c r="R348" s="1">
        <f t="shared" si="112"/>
        <v>10527195.520745089</v>
      </c>
      <c r="S348" s="1">
        <f>IF($G$17="si",S336*(1+$G$20),S336)</f>
        <v>10000</v>
      </c>
      <c r="U348" s="1">
        <f t="shared" si="100"/>
        <v>84025.076809237071</v>
      </c>
      <c r="V348" s="1">
        <f>V347*(1+$G$18)</f>
        <v>-219.71268550162389</v>
      </c>
      <c r="X348" s="1">
        <f t="shared" si="104"/>
        <v>-10621.220597554326</v>
      </c>
      <c r="Y348" s="1">
        <f t="shared" si="105"/>
        <v>10610379.664271271</v>
      </c>
      <c r="AA348" s="2">
        <f>+Bono!J348</f>
        <v>329829.09421849344</v>
      </c>
      <c r="AC348" s="10">
        <f t="shared" si="106"/>
        <v>27.083333333333332</v>
      </c>
      <c r="AD348" s="1">
        <f t="shared" si="107"/>
        <v>11562658.626919871</v>
      </c>
    </row>
    <row r="349" spans="2:30">
      <c r="B349" s="1">
        <f t="shared" si="108"/>
        <v>326</v>
      </c>
      <c r="C349" s="2">
        <f t="shared" si="94"/>
        <v>27</v>
      </c>
      <c r="D349" s="2">
        <f t="shared" si="95"/>
        <v>2</v>
      </c>
      <c r="E349" s="2">
        <f t="shared" si="96"/>
        <v>56</v>
      </c>
      <c r="F349" s="1">
        <f t="shared" si="109"/>
        <v>622449.86843010597</v>
      </c>
      <c r="H349" s="1">
        <f t="shared" si="102"/>
        <v>4963.5026608143371</v>
      </c>
      <c r="I349" s="1">
        <v>0</v>
      </c>
      <c r="J349" s="1">
        <v>0</v>
      </c>
      <c r="K349" s="1">
        <f t="shared" si="110"/>
        <v>-627.41337109092035</v>
      </c>
      <c r="L349" s="1">
        <f t="shared" si="103"/>
        <v>626785.9577198294</v>
      </c>
      <c r="N349" s="1">
        <f t="shared" si="111"/>
        <v>326</v>
      </c>
      <c r="O349" s="2">
        <f t="shared" si="97"/>
        <v>27</v>
      </c>
      <c r="P349" s="2">
        <f t="shared" si="98"/>
        <v>2</v>
      </c>
      <c r="Q349" s="2">
        <f t="shared" si="99"/>
        <v>27</v>
      </c>
      <c r="R349" s="1">
        <f t="shared" si="112"/>
        <v>10610379.664271271</v>
      </c>
      <c r="S349" s="4">
        <f>IF($G$4="mensual",S348,0)</f>
        <v>10000</v>
      </c>
      <c r="U349" s="1">
        <f t="shared" si="100"/>
        <v>84688.398851172926</v>
      </c>
      <c r="V349" s="1">
        <f>V348</f>
        <v>-219.71268550162389</v>
      </c>
      <c r="X349" s="1">
        <f t="shared" si="104"/>
        <v>-10705.068063122444</v>
      </c>
      <c r="Y349" s="1">
        <f t="shared" si="105"/>
        <v>10694143.28237382</v>
      </c>
      <c r="AA349" s="2">
        <f>+Bono!J349</f>
        <v>331874.07286045502</v>
      </c>
      <c r="AC349" s="10">
        <f t="shared" si="106"/>
        <v>27.166666666666668</v>
      </c>
      <c r="AD349" s="1">
        <f t="shared" si="107"/>
        <v>11652803.312954104</v>
      </c>
    </row>
    <row r="350" spans="2:30">
      <c r="B350" s="1">
        <f t="shared" si="108"/>
        <v>327</v>
      </c>
      <c r="C350" s="2">
        <f t="shared" si="94"/>
        <v>27</v>
      </c>
      <c r="D350" s="2">
        <f t="shared" si="95"/>
        <v>3</v>
      </c>
      <c r="E350" s="2">
        <f t="shared" si="96"/>
        <v>56</v>
      </c>
      <c r="F350" s="1">
        <f t="shared" si="109"/>
        <v>626785.9577198294</v>
      </c>
      <c r="H350" s="1">
        <f t="shared" si="102"/>
        <v>4998.0792457228572</v>
      </c>
      <c r="I350" s="1">
        <v>0</v>
      </c>
      <c r="J350" s="69">
        <f>-SUM(F350:H350)*$J$21</f>
        <v>-5686.056332689971</v>
      </c>
      <c r="K350" s="1">
        <f t="shared" si="110"/>
        <v>-626.09798063286235</v>
      </c>
      <c r="L350" s="1">
        <f t="shared" si="103"/>
        <v>625471.8826522294</v>
      </c>
      <c r="N350" s="1">
        <f t="shared" si="111"/>
        <v>327</v>
      </c>
      <c r="O350" s="2">
        <f t="shared" si="97"/>
        <v>27</v>
      </c>
      <c r="P350" s="2">
        <f t="shared" si="98"/>
        <v>3</v>
      </c>
      <c r="Q350" s="2">
        <f t="shared" si="99"/>
        <v>27</v>
      </c>
      <c r="R350" s="1">
        <f t="shared" si="112"/>
        <v>10694143.28237382</v>
      </c>
      <c r="S350" s="4">
        <f>IF($G$4="mensual",S349,0)</f>
        <v>10000</v>
      </c>
      <c r="U350" s="1">
        <f t="shared" si="100"/>
        <v>85356.341704755716</v>
      </c>
      <c r="V350" s="1">
        <f t="shared" si="101"/>
        <v>-219.71268550162389</v>
      </c>
      <c r="X350" s="1">
        <f t="shared" si="104"/>
        <v>-10789.499624078575</v>
      </c>
      <c r="Y350" s="1">
        <f t="shared" si="105"/>
        <v>10778490.411768995</v>
      </c>
      <c r="AA350" s="2">
        <f>+Bono!J350</f>
        <v>330923.33663776534</v>
      </c>
      <c r="AC350" s="10">
        <f t="shared" si="106"/>
        <v>27.25</v>
      </c>
      <c r="AD350" s="1">
        <f t="shared" si="107"/>
        <v>11734885.631058989</v>
      </c>
    </row>
    <row r="351" spans="2:30">
      <c r="B351" s="1">
        <f t="shared" si="108"/>
        <v>328</v>
      </c>
      <c r="C351" s="2">
        <f t="shared" si="94"/>
        <v>27</v>
      </c>
      <c r="D351" s="2">
        <f t="shared" si="95"/>
        <v>4</v>
      </c>
      <c r="E351" s="2">
        <f t="shared" si="96"/>
        <v>56</v>
      </c>
      <c r="F351" s="1">
        <f t="shared" si="109"/>
        <v>625471.8826522294</v>
      </c>
      <c r="H351" s="1">
        <f t="shared" si="102"/>
        <v>4987.6006265996939</v>
      </c>
      <c r="I351" s="1">
        <v>0</v>
      </c>
      <c r="J351" s="1">
        <v>0</v>
      </c>
      <c r="K351" s="1">
        <f t="shared" si="110"/>
        <v>-630.45948327882911</v>
      </c>
      <c r="L351" s="1">
        <f t="shared" si="103"/>
        <v>629829.02379555034</v>
      </c>
      <c r="N351" s="1">
        <f t="shared" si="111"/>
        <v>328</v>
      </c>
      <c r="O351" s="2">
        <f t="shared" si="97"/>
        <v>27</v>
      </c>
      <c r="P351" s="2">
        <f t="shared" si="98"/>
        <v>4</v>
      </c>
      <c r="Q351" s="2">
        <f t="shared" si="99"/>
        <v>27</v>
      </c>
      <c r="R351" s="1">
        <f t="shared" si="112"/>
        <v>10778490.411768995</v>
      </c>
      <c r="S351" s="4">
        <f>IF($G$4="mensual",S348,IF($G$4="trimestral",S348,0))</f>
        <v>10000</v>
      </c>
      <c r="U351" s="1">
        <f t="shared" si="100"/>
        <v>86028.937559327765</v>
      </c>
      <c r="V351" s="1">
        <f t="shared" si="101"/>
        <v>-219.71268550162389</v>
      </c>
      <c r="X351" s="1">
        <f t="shared" si="104"/>
        <v>-10874.519349328322</v>
      </c>
      <c r="Y351" s="1">
        <f t="shared" si="105"/>
        <v>10863425.117293492</v>
      </c>
      <c r="AA351" s="2">
        <f>+Bono!J351</f>
        <v>332975.09970965068</v>
      </c>
      <c r="AC351" s="10">
        <f t="shared" si="106"/>
        <v>27.333333333333332</v>
      </c>
      <c r="AD351" s="1">
        <f t="shared" si="107"/>
        <v>11826229.240798693</v>
      </c>
    </row>
    <row r="352" spans="2:30">
      <c r="B352" s="1">
        <f t="shared" si="108"/>
        <v>329</v>
      </c>
      <c r="C352" s="2">
        <f t="shared" si="94"/>
        <v>27</v>
      </c>
      <c r="D352" s="2">
        <f t="shared" si="95"/>
        <v>5</v>
      </c>
      <c r="E352" s="2">
        <f t="shared" si="96"/>
        <v>56</v>
      </c>
      <c r="F352" s="1">
        <f t="shared" si="109"/>
        <v>629829.02379555034</v>
      </c>
      <c r="H352" s="1">
        <f t="shared" si="102"/>
        <v>5022.3450819450891</v>
      </c>
      <c r="I352" s="1">
        <v>0</v>
      </c>
      <c r="J352" s="1">
        <v>0</v>
      </c>
      <c r="K352" s="1">
        <f t="shared" si="110"/>
        <v>-634.85136887749547</v>
      </c>
      <c r="L352" s="1">
        <f t="shared" si="103"/>
        <v>634216.51750861795</v>
      </c>
      <c r="N352" s="1">
        <f t="shared" si="111"/>
        <v>329</v>
      </c>
      <c r="O352" s="2">
        <f t="shared" si="97"/>
        <v>27</v>
      </c>
      <c r="P352" s="2">
        <f t="shared" si="98"/>
        <v>5</v>
      </c>
      <c r="Q352" s="2">
        <f t="shared" si="99"/>
        <v>27</v>
      </c>
      <c r="R352" s="1">
        <f t="shared" si="112"/>
        <v>10863425.117293492</v>
      </c>
      <c r="S352" s="4">
        <f>IF($G$4="mensual",S351,0)</f>
        <v>10000</v>
      </c>
      <c r="U352" s="1">
        <f t="shared" si="100"/>
        <v>86706.218828467696</v>
      </c>
      <c r="V352" s="1">
        <f t="shared" si="101"/>
        <v>-219.71268550162389</v>
      </c>
      <c r="X352" s="1">
        <f t="shared" si="104"/>
        <v>-10960.13133612196</v>
      </c>
      <c r="Y352" s="1">
        <f t="shared" si="105"/>
        <v>10948951.492100336</v>
      </c>
      <c r="AA352" s="2">
        <f>+Bono!J352</f>
        <v>335039.58395057154</v>
      </c>
      <c r="AC352" s="10">
        <f t="shared" si="106"/>
        <v>27.416666666666668</v>
      </c>
      <c r="AD352" s="1">
        <f t="shared" si="107"/>
        <v>11918207.593559526</v>
      </c>
    </row>
    <row r="353" spans="2:30">
      <c r="B353" s="1">
        <f t="shared" si="108"/>
        <v>330</v>
      </c>
      <c r="C353" s="2">
        <f t="shared" si="94"/>
        <v>27</v>
      </c>
      <c r="D353" s="2">
        <f t="shared" si="95"/>
        <v>6</v>
      </c>
      <c r="E353" s="2">
        <f t="shared" si="96"/>
        <v>56</v>
      </c>
      <c r="F353" s="1">
        <f t="shared" si="109"/>
        <v>634216.51750861795</v>
      </c>
      <c r="H353" s="1">
        <f t="shared" si="102"/>
        <v>5057.3315729440228</v>
      </c>
      <c r="I353" s="1">
        <v>0</v>
      </c>
      <c r="J353" s="69">
        <f>-SUM(F353:H353)*$J$21</f>
        <v>-5753.4646417340591</v>
      </c>
      <c r="K353" s="1">
        <f t="shared" si="110"/>
        <v>-633.52038443982804</v>
      </c>
      <c r="L353" s="1">
        <f t="shared" si="103"/>
        <v>632886.86405538814</v>
      </c>
      <c r="N353" s="1">
        <f t="shared" si="111"/>
        <v>330</v>
      </c>
      <c r="O353" s="2">
        <f t="shared" si="97"/>
        <v>27</v>
      </c>
      <c r="P353" s="2">
        <f t="shared" si="98"/>
        <v>6</v>
      </c>
      <c r="Q353" s="2">
        <f t="shared" si="99"/>
        <v>27</v>
      </c>
      <c r="R353" s="1">
        <f t="shared" si="112"/>
        <v>10948951.492100336</v>
      </c>
      <c r="S353" s="4">
        <f>IF($G$4="mensual",S352,0)</f>
        <v>10000</v>
      </c>
      <c r="U353" s="1">
        <f t="shared" si="100"/>
        <v>87388.218151552515</v>
      </c>
      <c r="V353" s="1">
        <f t="shared" si="101"/>
        <v>-219.71268550162389</v>
      </c>
      <c r="X353" s="1">
        <f t="shared" si="104"/>
        <v>-11046.339710251888</v>
      </c>
      <c r="Y353" s="1">
        <f t="shared" si="105"/>
        <v>11035073.657856135</v>
      </c>
      <c r="AA353" s="2">
        <f>+Bono!J353</f>
        <v>334079.77933024918</v>
      </c>
      <c r="AC353" s="10">
        <f t="shared" si="106"/>
        <v>27.5</v>
      </c>
      <c r="AD353" s="1">
        <f t="shared" si="107"/>
        <v>12002040.301241772</v>
      </c>
    </row>
    <row r="354" spans="2:30">
      <c r="B354" s="1">
        <f t="shared" si="108"/>
        <v>331</v>
      </c>
      <c r="C354" s="2">
        <f t="shared" si="94"/>
        <v>27</v>
      </c>
      <c r="D354" s="2">
        <f t="shared" si="95"/>
        <v>7</v>
      </c>
      <c r="E354" s="2">
        <f t="shared" si="96"/>
        <v>56</v>
      </c>
      <c r="F354" s="1">
        <f t="shared" si="109"/>
        <v>632886.86405538814</v>
      </c>
      <c r="H354" s="1">
        <f t="shared" si="102"/>
        <v>5046.7287295861915</v>
      </c>
      <c r="I354" s="1">
        <v>0</v>
      </c>
      <c r="J354" s="1">
        <v>0</v>
      </c>
      <c r="K354" s="1">
        <f t="shared" si="110"/>
        <v>-637.93359278497439</v>
      </c>
      <c r="L354" s="1">
        <f t="shared" si="103"/>
        <v>637295.65919218946</v>
      </c>
      <c r="N354" s="1">
        <f t="shared" si="111"/>
        <v>331</v>
      </c>
      <c r="O354" s="2">
        <f t="shared" si="97"/>
        <v>27</v>
      </c>
      <c r="P354" s="2">
        <f t="shared" si="98"/>
        <v>7</v>
      </c>
      <c r="Q354" s="2">
        <f t="shared" si="99"/>
        <v>27</v>
      </c>
      <c r="R354" s="1">
        <f t="shared" si="112"/>
        <v>11035073.657856135</v>
      </c>
      <c r="S354" s="1">
        <f>+IF($G$4="mensual",S348,IF($G$4="trimestral",S348,IF($G$4="semestral",S348,0)))</f>
        <v>10000</v>
      </c>
      <c r="U354" s="1">
        <f t="shared" si="100"/>
        <v>88074.968395330579</v>
      </c>
      <c r="V354" s="1">
        <f t="shared" si="101"/>
        <v>-219.71268550162389</v>
      </c>
      <c r="X354" s="1">
        <f t="shared" si="104"/>
        <v>-11133.148626251465</v>
      </c>
      <c r="Y354" s="1">
        <f t="shared" si="105"/>
        <v>11121795.764939712</v>
      </c>
      <c r="AA354" s="2">
        <f>+Bono!J354</f>
        <v>336151.1127129526</v>
      </c>
      <c r="AC354" s="10">
        <f t="shared" si="106"/>
        <v>27.583333333333332</v>
      </c>
      <c r="AD354" s="1">
        <f t="shared" si="107"/>
        <v>12095242.536844855</v>
      </c>
    </row>
    <row r="355" spans="2:30">
      <c r="B355" s="1">
        <f t="shared" si="108"/>
        <v>332</v>
      </c>
      <c r="C355" s="2">
        <f t="shared" si="94"/>
        <v>27</v>
      </c>
      <c r="D355" s="2">
        <f t="shared" si="95"/>
        <v>8</v>
      </c>
      <c r="E355" s="2">
        <f t="shared" si="96"/>
        <v>56</v>
      </c>
      <c r="F355" s="1">
        <f t="shared" si="109"/>
        <v>637295.65919218946</v>
      </c>
      <c r="H355" s="1">
        <f t="shared" si="102"/>
        <v>5081.8850811293132</v>
      </c>
      <c r="I355" s="1">
        <v>0</v>
      </c>
      <c r="J355" s="1">
        <v>0</v>
      </c>
      <c r="K355" s="1">
        <f t="shared" si="110"/>
        <v>-642.37754427331879</v>
      </c>
      <c r="L355" s="1">
        <f t="shared" si="103"/>
        <v>641735.16672904545</v>
      </c>
      <c r="N355" s="1">
        <f t="shared" si="111"/>
        <v>332</v>
      </c>
      <c r="O355" s="2">
        <f t="shared" si="97"/>
        <v>27</v>
      </c>
      <c r="P355" s="2">
        <f t="shared" si="98"/>
        <v>8</v>
      </c>
      <c r="Q355" s="2">
        <f t="shared" si="99"/>
        <v>27</v>
      </c>
      <c r="R355" s="1">
        <f t="shared" si="112"/>
        <v>11121795.764939712</v>
      </c>
      <c r="S355" s="4">
        <f>IF($G$4="mensual",S354,0)</f>
        <v>10000</v>
      </c>
      <c r="U355" s="1">
        <f t="shared" si="100"/>
        <v>88766.502655505465</v>
      </c>
      <c r="V355" s="1">
        <f t="shared" si="101"/>
        <v>-219.71268550162389</v>
      </c>
      <c r="X355" s="1">
        <f t="shared" si="104"/>
        <v>-11220.562267595218</v>
      </c>
      <c r="Y355" s="1">
        <f t="shared" si="105"/>
        <v>11209121.992642121</v>
      </c>
      <c r="AA355" s="2">
        <f>+Bono!J355</f>
        <v>338235.28860288864</v>
      </c>
      <c r="AC355" s="10">
        <f t="shared" si="106"/>
        <v>27.666666666666668</v>
      </c>
      <c r="AD355" s="1">
        <f t="shared" si="107"/>
        <v>12189092.447974056</v>
      </c>
    </row>
    <row r="356" spans="2:30">
      <c r="B356" s="1">
        <f t="shared" si="108"/>
        <v>333</v>
      </c>
      <c r="C356" s="2">
        <f t="shared" ref="C356:C419" si="113">C344+1</f>
        <v>27</v>
      </c>
      <c r="D356" s="2">
        <f t="shared" ref="D356:D419" si="114">D344</f>
        <v>9</v>
      </c>
      <c r="E356" s="2">
        <f t="shared" ref="E356:E419" si="115">E344+1</f>
        <v>56</v>
      </c>
      <c r="F356" s="1">
        <f t="shared" si="109"/>
        <v>641735.16672904545</v>
      </c>
      <c r="H356" s="1">
        <f t="shared" si="102"/>
        <v>5117.2863376633795</v>
      </c>
      <c r="I356" s="1">
        <v>0</v>
      </c>
      <c r="J356" s="69">
        <f>-SUM(F356:H356)*$J$21</f>
        <v>-5821.6720776003804</v>
      </c>
      <c r="K356" s="1">
        <f t="shared" si="110"/>
        <v>-641.03078098910851</v>
      </c>
      <c r="L356" s="1">
        <f t="shared" si="103"/>
        <v>640389.7502081194</v>
      </c>
      <c r="N356" s="1">
        <f t="shared" si="111"/>
        <v>333</v>
      </c>
      <c r="O356" s="2">
        <f t="shared" ref="O356:O419" si="116">O344+1</f>
        <v>27</v>
      </c>
      <c r="P356" s="2">
        <f t="shared" ref="P356:P419" si="117">P344</f>
        <v>9</v>
      </c>
      <c r="Q356" s="2">
        <f t="shared" ref="Q356:Q419" si="118">Q344+1</f>
        <v>27</v>
      </c>
      <c r="R356" s="1">
        <f t="shared" si="112"/>
        <v>11209121.992642121</v>
      </c>
      <c r="S356" s="4">
        <f>IF($G$4="mensual",S355,0)</f>
        <v>10000</v>
      </c>
      <c r="U356" s="1">
        <f t="shared" ref="U356:U419" si="119">SUM(R356:T356)*$G$8</f>
        <v>89462.854258330903</v>
      </c>
      <c r="V356" s="1">
        <f t="shared" si="101"/>
        <v>-219.71268550162389</v>
      </c>
      <c r="X356" s="1">
        <f t="shared" si="104"/>
        <v>-11308.584846900452</v>
      </c>
      <c r="Y356" s="1">
        <f t="shared" si="105"/>
        <v>11297056.54936805</v>
      </c>
      <c r="AA356" s="2">
        <f>+Bono!J356</f>
        <v>337266.32908792875</v>
      </c>
      <c r="AC356" s="10">
        <f t="shared" si="106"/>
        <v>27.75</v>
      </c>
      <c r="AD356" s="1">
        <f t="shared" si="107"/>
        <v>12274712.628664097</v>
      </c>
    </row>
    <row r="357" spans="2:30">
      <c r="B357" s="1">
        <f t="shared" si="108"/>
        <v>334</v>
      </c>
      <c r="C357" s="2">
        <f t="shared" si="113"/>
        <v>27</v>
      </c>
      <c r="D357" s="2">
        <f t="shared" si="114"/>
        <v>10</v>
      </c>
      <c r="E357" s="2">
        <f t="shared" si="115"/>
        <v>56</v>
      </c>
      <c r="F357" s="1">
        <f t="shared" si="109"/>
        <v>640389.7502081194</v>
      </c>
      <c r="H357" s="1">
        <f t="shared" si="102"/>
        <v>5106.5577973901472</v>
      </c>
      <c r="I357" s="1">
        <v>0</v>
      </c>
      <c r="J357" s="1">
        <v>0</v>
      </c>
      <c r="K357" s="1">
        <f t="shared" si="110"/>
        <v>-645.4963080055096</v>
      </c>
      <c r="L357" s="1">
        <f t="shared" si="103"/>
        <v>644850.81169750402</v>
      </c>
      <c r="N357" s="1">
        <f t="shared" si="111"/>
        <v>334</v>
      </c>
      <c r="O357" s="2">
        <f t="shared" si="116"/>
        <v>27</v>
      </c>
      <c r="P357" s="2">
        <f t="shared" si="117"/>
        <v>10</v>
      </c>
      <c r="Q357" s="2">
        <f t="shared" si="118"/>
        <v>27</v>
      </c>
      <c r="R357" s="1">
        <f t="shared" si="112"/>
        <v>11297056.54936805</v>
      </c>
      <c r="S357" s="4">
        <f>IF($G$4="mensual",S348,IF($G$4="trimestral",S348,0))</f>
        <v>10000</v>
      </c>
      <c r="U357" s="1">
        <f t="shared" si="119"/>
        <v>90164.05676221686</v>
      </c>
      <c r="V357" s="1">
        <f t="shared" si="101"/>
        <v>-219.71268550162389</v>
      </c>
      <c r="X357" s="1">
        <f t="shared" si="104"/>
        <v>-11397.220606130268</v>
      </c>
      <c r="Y357" s="1">
        <f t="shared" si="105"/>
        <v>11385603.672838636</v>
      </c>
      <c r="AA357" s="2">
        <f>+Bono!J357</f>
        <v>339357.41944874672</v>
      </c>
      <c r="AC357" s="10">
        <f t="shared" si="106"/>
        <v>27.833333333333332</v>
      </c>
      <c r="AD357" s="1">
        <f t="shared" si="107"/>
        <v>12369811.903984886</v>
      </c>
    </row>
    <row r="358" spans="2:30">
      <c r="B358" s="1">
        <f t="shared" si="108"/>
        <v>335</v>
      </c>
      <c r="C358" s="2">
        <f t="shared" si="113"/>
        <v>27</v>
      </c>
      <c r="D358" s="2">
        <f t="shared" si="114"/>
        <v>11</v>
      </c>
      <c r="E358" s="2">
        <f t="shared" si="115"/>
        <v>56</v>
      </c>
      <c r="F358" s="1">
        <f t="shared" si="109"/>
        <v>644850.81169750402</v>
      </c>
      <c r="H358" s="1">
        <f t="shared" si="102"/>
        <v>5142.1309281684753</v>
      </c>
      <c r="I358" s="1">
        <v>0</v>
      </c>
      <c r="J358" s="1">
        <v>0</v>
      </c>
      <c r="K358" s="1">
        <f t="shared" si="110"/>
        <v>-649.99294262567241</v>
      </c>
      <c r="L358" s="1">
        <f t="shared" si="103"/>
        <v>649342.94968304678</v>
      </c>
      <c r="N358" s="1">
        <f t="shared" si="111"/>
        <v>335</v>
      </c>
      <c r="O358" s="2">
        <f t="shared" si="116"/>
        <v>27</v>
      </c>
      <c r="P358" s="2">
        <f t="shared" si="117"/>
        <v>11</v>
      </c>
      <c r="Q358" s="2">
        <f t="shared" si="118"/>
        <v>27</v>
      </c>
      <c r="R358" s="1">
        <f t="shared" si="112"/>
        <v>11385603.672838636</v>
      </c>
      <c r="S358" s="1">
        <f>IF($G$17="si",S346*(1+$G$20),S346)</f>
        <v>10000</v>
      </c>
      <c r="U358" s="1">
        <f t="shared" si="119"/>
        <v>90870.143959346795</v>
      </c>
      <c r="V358" s="1">
        <f t="shared" si="101"/>
        <v>-219.71268550162389</v>
      </c>
      <c r="X358" s="1">
        <f t="shared" si="104"/>
        <v>-11486.473816797983</v>
      </c>
      <c r="Y358" s="1">
        <f t="shared" si="105"/>
        <v>11474767.630295685</v>
      </c>
      <c r="AA358" s="2">
        <f>+Bono!J358</f>
        <v>341461.4748123532</v>
      </c>
      <c r="AC358" s="10">
        <f t="shared" si="106"/>
        <v>27.916666666666668</v>
      </c>
      <c r="AD358" s="1">
        <f t="shared" si="107"/>
        <v>12465572.054791084</v>
      </c>
    </row>
    <row r="359" spans="2:30">
      <c r="B359" s="1">
        <f t="shared" si="108"/>
        <v>336</v>
      </c>
      <c r="C359" s="2">
        <f t="shared" si="113"/>
        <v>27</v>
      </c>
      <c r="D359" s="2">
        <f t="shared" si="114"/>
        <v>12</v>
      </c>
      <c r="E359" s="2">
        <f t="shared" si="115"/>
        <v>56</v>
      </c>
      <c r="F359" s="1">
        <f t="shared" si="109"/>
        <v>649342.94968304678</v>
      </c>
      <c r="H359" s="1">
        <f t="shared" si="102"/>
        <v>5177.9518672912063</v>
      </c>
      <c r="I359" s="1">
        <v>0</v>
      </c>
      <c r="J359" s="69">
        <f>-SUM(F359:H359)*$J$21</f>
        <v>-5890.6881139530433</v>
      </c>
      <c r="K359" s="1">
        <f t="shared" si="110"/>
        <v>-648.63021343638502</v>
      </c>
      <c r="L359" s="1">
        <f t="shared" si="103"/>
        <v>647981.5832229486</v>
      </c>
      <c r="N359" s="1">
        <f t="shared" si="111"/>
        <v>336</v>
      </c>
      <c r="O359" s="2">
        <f t="shared" si="116"/>
        <v>27</v>
      </c>
      <c r="P359" s="2">
        <f t="shared" si="117"/>
        <v>12</v>
      </c>
      <c r="Q359" s="2">
        <f t="shared" si="118"/>
        <v>27</v>
      </c>
      <c r="R359" s="1">
        <f t="shared" si="112"/>
        <v>11474767.630295685</v>
      </c>
      <c r="S359" s="4">
        <f>IF($G$4="mensual",S358,0)</f>
        <v>10000</v>
      </c>
      <c r="U359" s="1">
        <f t="shared" si="119"/>
        <v>91581.149877306103</v>
      </c>
      <c r="V359" s="1">
        <f t="shared" si="101"/>
        <v>-219.71268550162389</v>
      </c>
      <c r="X359" s="1">
        <f t="shared" si="104"/>
        <v>-11576.348780172992</v>
      </c>
      <c r="Y359" s="1">
        <f t="shared" si="105"/>
        <v>11564552.718707316</v>
      </c>
      <c r="AA359" s="2">
        <f>+Bono!J359</f>
        <v>340483.27308071742</v>
      </c>
      <c r="AC359" s="10">
        <f t="shared" si="106"/>
        <v>28</v>
      </c>
      <c r="AD359" s="1">
        <f t="shared" si="107"/>
        <v>12553017.575010981</v>
      </c>
    </row>
    <row r="360" spans="2:30">
      <c r="B360" s="1">
        <f t="shared" si="108"/>
        <v>337</v>
      </c>
      <c r="C360" s="2">
        <f t="shared" si="113"/>
        <v>28</v>
      </c>
      <c r="D360" s="2">
        <f t="shared" si="114"/>
        <v>1</v>
      </c>
      <c r="E360" s="2">
        <f t="shared" si="115"/>
        <v>57</v>
      </c>
      <c r="F360" s="1">
        <f t="shared" si="109"/>
        <v>647981.5832229486</v>
      </c>
      <c r="H360" s="1">
        <f t="shared" si="102"/>
        <v>5167.0961399631833</v>
      </c>
      <c r="I360" s="1">
        <v>0</v>
      </c>
      <c r="J360" s="1">
        <v>0</v>
      </c>
      <c r="K360" s="1">
        <f t="shared" si="110"/>
        <v>-653.14867936291171</v>
      </c>
      <c r="L360" s="1">
        <f t="shared" si="103"/>
        <v>652495.53068354877</v>
      </c>
      <c r="N360" s="1">
        <f t="shared" si="111"/>
        <v>337</v>
      </c>
      <c r="O360" s="2">
        <f t="shared" si="116"/>
        <v>28</v>
      </c>
      <c r="P360" s="2">
        <f t="shared" si="117"/>
        <v>1</v>
      </c>
      <c r="Q360" s="2">
        <f t="shared" si="118"/>
        <v>28</v>
      </c>
      <c r="R360" s="1">
        <f t="shared" si="112"/>
        <v>11564552.718707316</v>
      </c>
      <c r="S360" s="1">
        <f>IF($G$17="si",S348*(1+$G$20),S348)</f>
        <v>10000</v>
      </c>
      <c r="U360" s="1">
        <f t="shared" si="119"/>
        <v>92297.108780721988</v>
      </c>
      <c r="V360" s="1">
        <f>V359*(1+$G$18)</f>
        <v>-228.50119292168887</v>
      </c>
      <c r="X360" s="1">
        <f t="shared" si="104"/>
        <v>-11666.849827488037</v>
      </c>
      <c r="Y360" s="1">
        <f t="shared" si="105"/>
        <v>11654954.476467626</v>
      </c>
      <c r="AA360" s="2">
        <f>+Bono!J360</f>
        <v>342594.30886743305</v>
      </c>
      <c r="AC360" s="10">
        <f t="shared" si="106"/>
        <v>28.083333333333332</v>
      </c>
      <c r="AD360" s="1">
        <f t="shared" si="107"/>
        <v>12650044.316018607</v>
      </c>
    </row>
    <row r="361" spans="2:30">
      <c r="B361" s="1">
        <f t="shared" si="108"/>
        <v>338</v>
      </c>
      <c r="C361" s="2">
        <f t="shared" si="113"/>
        <v>28</v>
      </c>
      <c r="D361" s="2">
        <f t="shared" si="114"/>
        <v>2</v>
      </c>
      <c r="E361" s="2">
        <f t="shared" si="115"/>
        <v>57</v>
      </c>
      <c r="F361" s="1">
        <f t="shared" si="109"/>
        <v>652495.53068354877</v>
      </c>
      <c r="H361" s="1">
        <f t="shared" si="102"/>
        <v>5203.0909909027032</v>
      </c>
      <c r="I361" s="1">
        <v>0</v>
      </c>
      <c r="J361" s="1">
        <v>0</v>
      </c>
      <c r="K361" s="1">
        <f t="shared" si="110"/>
        <v>-657.69862167445149</v>
      </c>
      <c r="L361" s="1">
        <f t="shared" si="103"/>
        <v>657040.92305277707</v>
      </c>
      <c r="N361" s="1">
        <f t="shared" si="111"/>
        <v>338</v>
      </c>
      <c r="O361" s="2">
        <f t="shared" si="116"/>
        <v>28</v>
      </c>
      <c r="P361" s="2">
        <f t="shared" si="117"/>
        <v>2</v>
      </c>
      <c r="Q361" s="2">
        <f t="shared" si="118"/>
        <v>28</v>
      </c>
      <c r="R361" s="1">
        <f t="shared" si="112"/>
        <v>11654954.476467626</v>
      </c>
      <c r="S361" s="4">
        <f>IF($G$4="mensual",S360,0)</f>
        <v>10000</v>
      </c>
      <c r="U361" s="1">
        <f t="shared" si="119"/>
        <v>93017.985092122442</v>
      </c>
      <c r="V361" s="1">
        <f>V360</f>
        <v>-228.50119292168887</v>
      </c>
      <c r="X361" s="1">
        <f t="shared" si="104"/>
        <v>-11757.972461559748</v>
      </c>
      <c r="Y361" s="1">
        <f t="shared" si="105"/>
        <v>11745985.987905268</v>
      </c>
      <c r="AA361" s="2">
        <f>+Bono!J361</f>
        <v>344718.43332089134</v>
      </c>
      <c r="AC361" s="10">
        <f t="shared" si="106"/>
        <v>28.166666666666668</v>
      </c>
      <c r="AD361" s="1">
        <f t="shared" si="107"/>
        <v>12747745.344278935</v>
      </c>
    </row>
    <row r="362" spans="2:30">
      <c r="B362" s="1">
        <f t="shared" si="108"/>
        <v>339</v>
      </c>
      <c r="C362" s="2">
        <f t="shared" si="113"/>
        <v>28</v>
      </c>
      <c r="D362" s="2">
        <f t="shared" si="114"/>
        <v>3</v>
      </c>
      <c r="E362" s="2">
        <f t="shared" si="115"/>
        <v>57</v>
      </c>
      <c r="F362" s="1">
        <f t="shared" si="109"/>
        <v>657040.92305277707</v>
      </c>
      <c r="H362" s="1">
        <f t="shared" si="102"/>
        <v>5239.3365879593966</v>
      </c>
      <c r="I362" s="1">
        <v>0</v>
      </c>
      <c r="J362" s="69">
        <f>-SUM(F362:H362)*$J$21</f>
        <v>-5960.5223367666295</v>
      </c>
      <c r="K362" s="1">
        <f t="shared" si="110"/>
        <v>-656.31973730396987</v>
      </c>
      <c r="L362" s="1">
        <f t="shared" si="103"/>
        <v>655663.41756666591</v>
      </c>
      <c r="N362" s="1">
        <f t="shared" si="111"/>
        <v>339</v>
      </c>
      <c r="O362" s="2">
        <f t="shared" si="116"/>
        <v>28</v>
      </c>
      <c r="P362" s="2">
        <f t="shared" si="117"/>
        <v>3</v>
      </c>
      <c r="Q362" s="2">
        <f t="shared" si="118"/>
        <v>28</v>
      </c>
      <c r="R362" s="1">
        <f t="shared" si="112"/>
        <v>11745985.987905268</v>
      </c>
      <c r="S362" s="4">
        <f>IF($G$4="mensual",S361,0)</f>
        <v>10000</v>
      </c>
      <c r="U362" s="1">
        <f t="shared" si="119"/>
        <v>93743.883147781555</v>
      </c>
      <c r="V362" s="1">
        <f t="shared" si="101"/>
        <v>-228.50119292168887</v>
      </c>
      <c r="X362" s="1">
        <f t="shared" si="104"/>
        <v>-11849.72987105305</v>
      </c>
      <c r="Y362" s="1">
        <f t="shared" si="105"/>
        <v>11837651.639989074</v>
      </c>
      <c r="AA362" s="2">
        <f>+Bono!J362</f>
        <v>343730.90121763846</v>
      </c>
      <c r="AC362" s="10">
        <f t="shared" si="106"/>
        <v>28.25</v>
      </c>
      <c r="AD362" s="1">
        <f t="shared" si="107"/>
        <v>12837045.958773378</v>
      </c>
    </row>
    <row r="363" spans="2:30">
      <c r="B363" s="1">
        <f t="shared" si="108"/>
        <v>340</v>
      </c>
      <c r="C363" s="2">
        <f t="shared" si="113"/>
        <v>28</v>
      </c>
      <c r="D363" s="2">
        <f t="shared" si="114"/>
        <v>4</v>
      </c>
      <c r="E363" s="2">
        <f t="shared" si="115"/>
        <v>57</v>
      </c>
      <c r="F363" s="1">
        <f t="shared" si="109"/>
        <v>655663.41756666591</v>
      </c>
      <c r="H363" s="1">
        <f t="shared" si="102"/>
        <v>5228.352165771561</v>
      </c>
      <c r="I363" s="1">
        <v>0</v>
      </c>
      <c r="J363" s="1">
        <v>0</v>
      </c>
      <c r="K363" s="1">
        <f t="shared" si="110"/>
        <v>-660.89176973243741</v>
      </c>
      <c r="L363" s="1">
        <f t="shared" si="103"/>
        <v>660230.87796270498</v>
      </c>
      <c r="N363" s="1">
        <f t="shared" si="111"/>
        <v>340</v>
      </c>
      <c r="O363" s="2">
        <f t="shared" si="116"/>
        <v>28</v>
      </c>
      <c r="P363" s="2">
        <f t="shared" si="117"/>
        <v>4</v>
      </c>
      <c r="Q363" s="2">
        <f t="shared" si="118"/>
        <v>28</v>
      </c>
      <c r="R363" s="1">
        <f t="shared" si="112"/>
        <v>11837651.639989074</v>
      </c>
      <c r="S363" s="4">
        <f>IF($G$4="mensual",S360,IF($G$4="trimestral",S360,0))</f>
        <v>10000</v>
      </c>
      <c r="U363" s="1">
        <f t="shared" si="119"/>
        <v>94474.837930004869</v>
      </c>
      <c r="V363" s="1">
        <f t="shared" si="101"/>
        <v>-228.50119292168887</v>
      </c>
      <c r="X363" s="1">
        <f t="shared" si="104"/>
        <v>-11942.126477919079</v>
      </c>
      <c r="Y363" s="1">
        <f t="shared" si="105"/>
        <v>11929955.850248238</v>
      </c>
      <c r="AA363" s="2">
        <f>+Bono!J363</f>
        <v>345862.07267550455</v>
      </c>
      <c r="AC363" s="10">
        <f t="shared" si="106"/>
        <v>28.333333333333332</v>
      </c>
      <c r="AD363" s="1">
        <f t="shared" si="107"/>
        <v>12936048.800886447</v>
      </c>
    </row>
    <row r="364" spans="2:30">
      <c r="B364" s="1">
        <f t="shared" si="108"/>
        <v>341</v>
      </c>
      <c r="C364" s="2">
        <f t="shared" si="113"/>
        <v>28</v>
      </c>
      <c r="D364" s="2">
        <f t="shared" si="114"/>
        <v>5</v>
      </c>
      <c r="E364" s="2">
        <f t="shared" si="115"/>
        <v>57</v>
      </c>
      <c r="F364" s="1">
        <f t="shared" si="109"/>
        <v>660230.87796270498</v>
      </c>
      <c r="H364" s="1">
        <f t="shared" si="102"/>
        <v>5264.773736373033</v>
      </c>
      <c r="I364" s="1">
        <v>0</v>
      </c>
      <c r="J364" s="1">
        <v>0</v>
      </c>
      <c r="K364" s="1">
        <f t="shared" si="110"/>
        <v>-665.49565169907805</v>
      </c>
      <c r="L364" s="1">
        <f t="shared" si="103"/>
        <v>664830.15604737902</v>
      </c>
      <c r="N364" s="1">
        <f t="shared" si="111"/>
        <v>341</v>
      </c>
      <c r="O364" s="2">
        <f t="shared" si="116"/>
        <v>28</v>
      </c>
      <c r="P364" s="2">
        <f t="shared" si="117"/>
        <v>5</v>
      </c>
      <c r="Q364" s="2">
        <f t="shared" si="118"/>
        <v>28</v>
      </c>
      <c r="R364" s="1">
        <f t="shared" si="112"/>
        <v>11929955.850248238</v>
      </c>
      <c r="S364" s="4">
        <f>IF($G$4="mensual",S363,0)</f>
        <v>10000</v>
      </c>
      <c r="U364" s="1">
        <f t="shared" si="119"/>
        <v>95210.884664790501</v>
      </c>
      <c r="V364" s="1">
        <f t="shared" si="101"/>
        <v>-228.50119292168887</v>
      </c>
      <c r="X364" s="1">
        <f t="shared" si="104"/>
        <v>-12035.166734913029</v>
      </c>
      <c r="Y364" s="1">
        <f t="shared" si="105"/>
        <v>12022903.066985194</v>
      </c>
      <c r="AA364" s="2">
        <f>+Bono!J364</f>
        <v>348006.45764361002</v>
      </c>
      <c r="AC364" s="10">
        <f t="shared" si="106"/>
        <v>28.416666666666668</v>
      </c>
      <c r="AD364" s="1">
        <f t="shared" si="107"/>
        <v>13035739.680676183</v>
      </c>
    </row>
    <row r="365" spans="2:30">
      <c r="B365" s="1">
        <f t="shared" si="108"/>
        <v>342</v>
      </c>
      <c r="C365" s="2">
        <f t="shared" si="113"/>
        <v>28</v>
      </c>
      <c r="D365" s="2">
        <f t="shared" si="114"/>
        <v>6</v>
      </c>
      <c r="E365" s="2">
        <f t="shared" si="115"/>
        <v>57</v>
      </c>
      <c r="F365" s="1">
        <f t="shared" si="109"/>
        <v>664830.15604737902</v>
      </c>
      <c r="H365" s="1">
        <f t="shared" si="102"/>
        <v>5301.4490256918034</v>
      </c>
      <c r="I365" s="1">
        <v>0</v>
      </c>
      <c r="J365" s="69">
        <f>-SUM(F365:H365)*$J$21</f>
        <v>-6031.1844456576382</v>
      </c>
      <c r="K365" s="1">
        <f t="shared" si="110"/>
        <v>-664.1004206274132</v>
      </c>
      <c r="L365" s="1">
        <f t="shared" si="103"/>
        <v>663436.32020678581</v>
      </c>
      <c r="N365" s="1">
        <f t="shared" si="111"/>
        <v>342</v>
      </c>
      <c r="O365" s="2">
        <f t="shared" si="116"/>
        <v>28</v>
      </c>
      <c r="P365" s="2">
        <f t="shared" si="117"/>
        <v>6</v>
      </c>
      <c r="Q365" s="2">
        <f t="shared" si="118"/>
        <v>28</v>
      </c>
      <c r="R365" s="1">
        <f t="shared" si="112"/>
        <v>12022903.066985194</v>
      </c>
      <c r="S365" s="4">
        <f>IF($G$4="mensual",S364,0)</f>
        <v>10000</v>
      </c>
      <c r="U365" s="1">
        <f t="shared" si="119"/>
        <v>95952.058823526735</v>
      </c>
      <c r="V365" s="1">
        <f t="shared" si="101"/>
        <v>-228.50119292168887</v>
      </c>
      <c r="X365" s="1">
        <f t="shared" si="104"/>
        <v>-12128.855125808719</v>
      </c>
      <c r="Y365" s="1">
        <f t="shared" si="105"/>
        <v>12116497.769489989</v>
      </c>
      <c r="AA365" s="2">
        <f>+Bono!J365</f>
        <v>347009.50617295149</v>
      </c>
      <c r="AC365" s="10">
        <f t="shared" si="106"/>
        <v>28.5</v>
      </c>
      <c r="AD365" s="1">
        <f t="shared" si="107"/>
        <v>13126943.595869726</v>
      </c>
    </row>
    <row r="366" spans="2:30">
      <c r="B366" s="1">
        <f t="shared" si="108"/>
        <v>343</v>
      </c>
      <c r="C366" s="2">
        <f t="shared" si="113"/>
        <v>28</v>
      </c>
      <c r="D366" s="2">
        <f t="shared" si="114"/>
        <v>7</v>
      </c>
      <c r="E366" s="2">
        <f t="shared" si="115"/>
        <v>57</v>
      </c>
      <c r="F366" s="1">
        <f t="shared" si="109"/>
        <v>663436.32020678581</v>
      </c>
      <c r="H366" s="1">
        <f t="shared" si="102"/>
        <v>5290.3343829640744</v>
      </c>
      <c r="I366" s="1">
        <v>0</v>
      </c>
      <c r="J366" s="1">
        <v>0</v>
      </c>
      <c r="K366" s="1">
        <f t="shared" si="110"/>
        <v>-668.72665458974984</v>
      </c>
      <c r="L366" s="1">
        <f t="shared" si="103"/>
        <v>668057.92793516011</v>
      </c>
      <c r="N366" s="1">
        <f t="shared" si="111"/>
        <v>343</v>
      </c>
      <c r="O366" s="2">
        <f t="shared" si="116"/>
        <v>28</v>
      </c>
      <c r="P366" s="2">
        <f t="shared" si="117"/>
        <v>7</v>
      </c>
      <c r="Q366" s="2">
        <f t="shared" si="118"/>
        <v>28</v>
      </c>
      <c r="R366" s="1">
        <f t="shared" si="112"/>
        <v>12116497.769489989</v>
      </c>
      <c r="S366" s="1">
        <f>+IF($G$4="mensual",S360,IF($G$4="trimestral",S360,IF($G$4="semestral",S360,0)))</f>
        <v>10000</v>
      </c>
      <c r="U366" s="1">
        <f t="shared" si="119"/>
        <v>96698.396124701438</v>
      </c>
      <c r="V366" s="1">
        <f t="shared" si="101"/>
        <v>-228.50119292168887</v>
      </c>
      <c r="X366" s="1">
        <f t="shared" si="104"/>
        <v>-12223.19616561469</v>
      </c>
      <c r="Y366" s="1">
        <f t="shared" si="105"/>
        <v>12210744.468256155</v>
      </c>
      <c r="AA366" s="2">
        <f>+Bono!J366</f>
        <v>349161.00536183518</v>
      </c>
      <c r="AC366" s="10">
        <f t="shared" si="106"/>
        <v>28.583333333333332</v>
      </c>
      <c r="AD366" s="1">
        <f t="shared" si="107"/>
        <v>13227963.40155315</v>
      </c>
    </row>
    <row r="367" spans="2:30">
      <c r="B367" s="1">
        <f t="shared" si="108"/>
        <v>344</v>
      </c>
      <c r="C367" s="2">
        <f t="shared" si="113"/>
        <v>28</v>
      </c>
      <c r="D367" s="2">
        <f t="shared" si="114"/>
        <v>8</v>
      </c>
      <c r="E367" s="2">
        <f t="shared" si="115"/>
        <v>57</v>
      </c>
      <c r="F367" s="1">
        <f t="shared" si="109"/>
        <v>668057.92793516011</v>
      </c>
      <c r="H367" s="1">
        <f t="shared" si="102"/>
        <v>5327.1877319974374</v>
      </c>
      <c r="I367" s="1">
        <v>0</v>
      </c>
      <c r="J367" s="1">
        <v>0</v>
      </c>
      <c r="K367" s="1">
        <f t="shared" si="110"/>
        <v>-673.38511566715761</v>
      </c>
      <c r="L367" s="1">
        <f t="shared" si="103"/>
        <v>672711.73055149044</v>
      </c>
      <c r="N367" s="1">
        <f t="shared" si="111"/>
        <v>344</v>
      </c>
      <c r="O367" s="2">
        <f t="shared" si="116"/>
        <v>28</v>
      </c>
      <c r="P367" s="2">
        <f t="shared" si="117"/>
        <v>8</v>
      </c>
      <c r="Q367" s="2">
        <f t="shared" si="118"/>
        <v>28</v>
      </c>
      <c r="R367" s="1">
        <f t="shared" si="112"/>
        <v>12210744.468256155</v>
      </c>
      <c r="S367" s="4">
        <f>IF($G$4="mensual",S366,0)</f>
        <v>10000</v>
      </c>
      <c r="U367" s="1">
        <f t="shared" si="119"/>
        <v>97449.932535623448</v>
      </c>
      <c r="V367" s="1">
        <f t="shared" si="101"/>
        <v>-228.50119292168887</v>
      </c>
      <c r="X367" s="1">
        <f t="shared" si="104"/>
        <v>-12318.194400791779</v>
      </c>
      <c r="Y367" s="1">
        <f t="shared" si="105"/>
        <v>12305647.705198066</v>
      </c>
      <c r="AA367" s="2">
        <f>+Bono!J367</f>
        <v>351325.84409524844</v>
      </c>
      <c r="AC367" s="10">
        <f t="shared" si="106"/>
        <v>28.666666666666668</v>
      </c>
      <c r="AD367" s="1">
        <f t="shared" si="107"/>
        <v>13329685.279844806</v>
      </c>
    </row>
    <row r="368" spans="2:30">
      <c r="B368" s="1">
        <f t="shared" si="108"/>
        <v>345</v>
      </c>
      <c r="C368" s="2">
        <f t="shared" si="113"/>
        <v>28</v>
      </c>
      <c r="D368" s="2">
        <f t="shared" si="114"/>
        <v>9</v>
      </c>
      <c r="E368" s="2">
        <f t="shared" si="115"/>
        <v>57</v>
      </c>
      <c r="F368" s="1">
        <f t="shared" si="109"/>
        <v>672711.73055149044</v>
      </c>
      <c r="H368" s="1">
        <f t="shared" si="102"/>
        <v>5364.2978075884557</v>
      </c>
      <c r="I368" s="1">
        <v>0</v>
      </c>
      <c r="J368" s="69">
        <f>-SUM(F368:H368)*$J$21</f>
        <v>-6102.6842552317112</v>
      </c>
      <c r="K368" s="1">
        <f t="shared" si="110"/>
        <v>-671.97334410384713</v>
      </c>
      <c r="L368" s="1">
        <f t="shared" si="103"/>
        <v>671301.37075974327</v>
      </c>
      <c r="N368" s="1">
        <f t="shared" si="111"/>
        <v>345</v>
      </c>
      <c r="O368" s="2">
        <f t="shared" si="116"/>
        <v>28</v>
      </c>
      <c r="P368" s="2">
        <f t="shared" si="117"/>
        <v>9</v>
      </c>
      <c r="Q368" s="2">
        <f t="shared" si="118"/>
        <v>28</v>
      </c>
      <c r="R368" s="1">
        <f t="shared" si="112"/>
        <v>12305647.705198066</v>
      </c>
      <c r="S368" s="4">
        <f>IF($G$4="mensual",S367,0)</f>
        <v>10000</v>
      </c>
      <c r="U368" s="1">
        <f t="shared" si="119"/>
        <v>98206.704274155767</v>
      </c>
      <c r="V368" s="1">
        <f t="shared" si="101"/>
        <v>-228.50119292168887</v>
      </c>
      <c r="X368" s="1">
        <f t="shared" si="104"/>
        <v>-12413.854409472222</v>
      </c>
      <c r="Y368" s="1">
        <f t="shared" si="105"/>
        <v>12401212.053869827</v>
      </c>
      <c r="AA368" s="2">
        <f>+Bono!J368</f>
        <v>350319.38341252797</v>
      </c>
      <c r="AC368" s="10">
        <f t="shared" si="106"/>
        <v>28.75</v>
      </c>
      <c r="AD368" s="1">
        <f t="shared" si="107"/>
        <v>13422832.808042098</v>
      </c>
    </row>
    <row r="369" spans="2:30">
      <c r="B369" s="1">
        <f t="shared" si="108"/>
        <v>346</v>
      </c>
      <c r="C369" s="2">
        <f t="shared" si="113"/>
        <v>28</v>
      </c>
      <c r="D369" s="2">
        <f t="shared" si="114"/>
        <v>10</v>
      </c>
      <c r="E369" s="2">
        <f t="shared" si="115"/>
        <v>57</v>
      </c>
      <c r="F369" s="1">
        <f t="shared" si="109"/>
        <v>671301.37075974327</v>
      </c>
      <c r="H369" s="1">
        <f t="shared" si="102"/>
        <v>5353.0514005537843</v>
      </c>
      <c r="I369" s="1">
        <v>0</v>
      </c>
      <c r="J369" s="1">
        <v>0</v>
      </c>
      <c r="K369" s="1">
        <f t="shared" si="110"/>
        <v>-676.65442216029703</v>
      </c>
      <c r="L369" s="1">
        <f t="shared" si="103"/>
        <v>675977.7677381367</v>
      </c>
      <c r="N369" s="1">
        <f t="shared" si="111"/>
        <v>346</v>
      </c>
      <c r="O369" s="2">
        <f t="shared" si="116"/>
        <v>28</v>
      </c>
      <c r="P369" s="2">
        <f t="shared" si="117"/>
        <v>10</v>
      </c>
      <c r="Q369" s="2">
        <f t="shared" si="118"/>
        <v>28</v>
      </c>
      <c r="R369" s="1">
        <f t="shared" si="112"/>
        <v>12401212.053869827</v>
      </c>
      <c r="S369" s="4">
        <f>IF($G$4="mensual",S360,IF($G$4="trimestral",S360,0))</f>
        <v>10000</v>
      </c>
      <c r="U369" s="1">
        <f t="shared" si="119"/>
        <v>98968.747810461107</v>
      </c>
      <c r="V369" s="1">
        <f t="shared" si="101"/>
        <v>-228.50119292168887</v>
      </c>
      <c r="X369" s="1">
        <f t="shared" si="104"/>
        <v>-12510.180801680288</v>
      </c>
      <c r="Y369" s="1">
        <f t="shared" si="105"/>
        <v>12497442.119685685</v>
      </c>
      <c r="AA369" s="2">
        <f>+Bono!J369</f>
        <v>352491.40422421903</v>
      </c>
      <c r="AC369" s="10">
        <f t="shared" si="106"/>
        <v>28.833333333333332</v>
      </c>
      <c r="AD369" s="1">
        <f t="shared" si="107"/>
        <v>13525911.291648041</v>
      </c>
    </row>
    <row r="370" spans="2:30">
      <c r="B370" s="1">
        <f t="shared" si="108"/>
        <v>347</v>
      </c>
      <c r="C370" s="2">
        <f t="shared" si="113"/>
        <v>28</v>
      </c>
      <c r="D370" s="2">
        <f t="shared" si="114"/>
        <v>11</v>
      </c>
      <c r="E370" s="2">
        <f t="shared" si="115"/>
        <v>57</v>
      </c>
      <c r="F370" s="1">
        <f t="shared" si="109"/>
        <v>675977.7677381367</v>
      </c>
      <c r="H370" s="1">
        <f t="shared" si="102"/>
        <v>5390.3416467607949</v>
      </c>
      <c r="I370" s="1">
        <v>0</v>
      </c>
      <c r="J370" s="1">
        <v>0</v>
      </c>
      <c r="K370" s="1">
        <f t="shared" si="110"/>
        <v>-681.36810938489748</v>
      </c>
      <c r="L370" s="1">
        <f t="shared" si="103"/>
        <v>680686.74127551261</v>
      </c>
      <c r="N370" s="1">
        <f t="shared" si="111"/>
        <v>347</v>
      </c>
      <c r="O370" s="2">
        <f t="shared" si="116"/>
        <v>28</v>
      </c>
      <c r="P370" s="2">
        <f t="shared" si="117"/>
        <v>11</v>
      </c>
      <c r="Q370" s="2">
        <f t="shared" si="118"/>
        <v>28</v>
      </c>
      <c r="R370" s="1">
        <f t="shared" si="112"/>
        <v>12497442.119685685</v>
      </c>
      <c r="S370" s="1">
        <f>IF($G$17="si",S358*(1+$G$20),S358)</f>
        <v>10000</v>
      </c>
      <c r="U370" s="1">
        <f t="shared" si="119"/>
        <v>99736.099868759411</v>
      </c>
      <c r="V370" s="1">
        <f t="shared" si="101"/>
        <v>-228.50119292168887</v>
      </c>
      <c r="X370" s="1">
        <f t="shared" si="104"/>
        <v>-12607.178219554446</v>
      </c>
      <c r="Y370" s="1">
        <f t="shared" si="105"/>
        <v>12594342.540141968</v>
      </c>
      <c r="AA370" s="2">
        <f>+Bono!J370</f>
        <v>354676.89181688137</v>
      </c>
      <c r="AC370" s="10">
        <f t="shared" si="106"/>
        <v>28.916666666666668</v>
      </c>
      <c r="AD370" s="1">
        <f t="shared" si="107"/>
        <v>13629706.173234362</v>
      </c>
    </row>
    <row r="371" spans="2:30">
      <c r="B371" s="1">
        <f t="shared" si="108"/>
        <v>348</v>
      </c>
      <c r="C371" s="2">
        <f t="shared" si="113"/>
        <v>28</v>
      </c>
      <c r="D371" s="2">
        <f t="shared" si="114"/>
        <v>12</v>
      </c>
      <c r="E371" s="2">
        <f t="shared" si="115"/>
        <v>57</v>
      </c>
      <c r="F371" s="1">
        <f t="shared" si="109"/>
        <v>680686.74127551261</v>
      </c>
      <c r="H371" s="1">
        <f t="shared" si="102"/>
        <v>5427.8916630238218</v>
      </c>
      <c r="I371" s="1">
        <v>0</v>
      </c>
      <c r="J371" s="69">
        <f>-SUM(F371:H371)*$J$21</f>
        <v>-6175.0316964468293</v>
      </c>
      <c r="K371" s="1">
        <f t="shared" si="110"/>
        <v>-679.93960124208968</v>
      </c>
      <c r="L371" s="1">
        <f t="shared" si="103"/>
        <v>679259.66164084757</v>
      </c>
      <c r="N371" s="1">
        <f t="shared" si="111"/>
        <v>348</v>
      </c>
      <c r="O371" s="2">
        <f t="shared" si="116"/>
        <v>28</v>
      </c>
      <c r="P371" s="2">
        <f t="shared" si="117"/>
        <v>12</v>
      </c>
      <c r="Q371" s="2">
        <f t="shared" si="118"/>
        <v>28</v>
      </c>
      <c r="R371" s="1">
        <f t="shared" si="112"/>
        <v>12594342.540141968</v>
      </c>
      <c r="S371" s="4">
        <f>IF($G$4="mensual",S370,0)</f>
        <v>10000</v>
      </c>
      <c r="U371" s="1">
        <f t="shared" si="119"/>
        <v>100508.79742909764</v>
      </c>
      <c r="V371" s="1">
        <f t="shared" si="101"/>
        <v>-228.50119292168887</v>
      </c>
      <c r="X371" s="1">
        <f t="shared" si="104"/>
        <v>-12704.851337571066</v>
      </c>
      <c r="Y371" s="1">
        <f t="shared" si="105"/>
        <v>12691917.985040573</v>
      </c>
      <c r="AA371" s="2">
        <f>+Bono!J371</f>
        <v>353660.83122047834</v>
      </c>
      <c r="AC371" s="10">
        <f t="shared" si="106"/>
        <v>29</v>
      </c>
      <c r="AD371" s="1">
        <f t="shared" si="107"/>
        <v>13724838.477901898</v>
      </c>
    </row>
    <row r="372" spans="2:30">
      <c r="B372" s="1">
        <f t="shared" si="108"/>
        <v>349</v>
      </c>
      <c r="C372" s="2">
        <f t="shared" si="113"/>
        <v>29</v>
      </c>
      <c r="D372" s="2">
        <f t="shared" si="114"/>
        <v>1</v>
      </c>
      <c r="E372" s="2">
        <f t="shared" si="115"/>
        <v>58</v>
      </c>
      <c r="F372" s="1">
        <f t="shared" si="109"/>
        <v>679259.66164084757</v>
      </c>
      <c r="H372" s="1">
        <f t="shared" si="102"/>
        <v>5416.5119296137736</v>
      </c>
      <c r="I372" s="1">
        <v>0</v>
      </c>
      <c r="J372" s="1">
        <v>0</v>
      </c>
      <c r="K372" s="1">
        <f t="shared" si="110"/>
        <v>-684.6761735704614</v>
      </c>
      <c r="L372" s="1">
        <f t="shared" si="103"/>
        <v>683991.49739689089</v>
      </c>
      <c r="N372" s="1">
        <f t="shared" si="111"/>
        <v>349</v>
      </c>
      <c r="O372" s="2">
        <f t="shared" si="116"/>
        <v>29</v>
      </c>
      <c r="P372" s="2">
        <f t="shared" si="117"/>
        <v>1</v>
      </c>
      <c r="Q372" s="2">
        <f t="shared" si="118"/>
        <v>29</v>
      </c>
      <c r="R372" s="1">
        <f t="shared" si="112"/>
        <v>12691917.985040573</v>
      </c>
      <c r="S372" s="1">
        <f>IF($G$17="si",S360*(1+$G$20),S360)</f>
        <v>10000</v>
      </c>
      <c r="U372" s="1">
        <f t="shared" si="119"/>
        <v>101286.87772913187</v>
      </c>
      <c r="V372" s="1">
        <f>V371*(1+$G$18)</f>
        <v>-237.64124063855644</v>
      </c>
      <c r="X372" s="1">
        <f t="shared" si="104"/>
        <v>-12803.204862769706</v>
      </c>
      <c r="Y372" s="1">
        <f t="shared" si="105"/>
        <v>12790164.016666299</v>
      </c>
      <c r="AA372" s="2">
        <f>+Bono!J372</f>
        <v>355853.56939616264</v>
      </c>
      <c r="AC372" s="10">
        <f t="shared" si="106"/>
        <v>29.083333333333332</v>
      </c>
      <c r="AD372" s="1">
        <f t="shared" si="107"/>
        <v>13830009.083459351</v>
      </c>
    </row>
    <row r="373" spans="2:30">
      <c r="B373" s="1">
        <f t="shared" si="108"/>
        <v>350</v>
      </c>
      <c r="C373" s="2">
        <f t="shared" si="113"/>
        <v>29</v>
      </c>
      <c r="D373" s="2">
        <f t="shared" si="114"/>
        <v>2</v>
      </c>
      <c r="E373" s="2">
        <f t="shared" si="115"/>
        <v>58</v>
      </c>
      <c r="F373" s="1">
        <f t="shared" si="109"/>
        <v>683991.49739689089</v>
      </c>
      <c r="H373" s="1">
        <f t="shared" si="102"/>
        <v>5454.2442524189719</v>
      </c>
      <c r="I373" s="1">
        <v>0</v>
      </c>
      <c r="J373" s="1">
        <v>0</v>
      </c>
      <c r="K373" s="1">
        <f t="shared" si="110"/>
        <v>-689.44574164930987</v>
      </c>
      <c r="L373" s="1">
        <f t="shared" si="103"/>
        <v>688756.2959076605</v>
      </c>
      <c r="N373" s="1">
        <f t="shared" si="111"/>
        <v>350</v>
      </c>
      <c r="O373" s="2">
        <f t="shared" si="116"/>
        <v>29</v>
      </c>
      <c r="P373" s="2">
        <f t="shared" si="117"/>
        <v>2</v>
      </c>
      <c r="Q373" s="2">
        <f t="shared" si="118"/>
        <v>29</v>
      </c>
      <c r="R373" s="1">
        <f t="shared" si="112"/>
        <v>12790164.016666299</v>
      </c>
      <c r="S373" s="4">
        <f>IF($G$4="mensual",S372,0)</f>
        <v>10000</v>
      </c>
      <c r="U373" s="1">
        <f t="shared" si="119"/>
        <v>102070.30538189792</v>
      </c>
      <c r="V373" s="1">
        <f>V372</f>
        <v>-237.64124063855644</v>
      </c>
      <c r="X373" s="1">
        <f t="shared" si="104"/>
        <v>-12902.234322048196</v>
      </c>
      <c r="Y373" s="1">
        <f t="shared" si="105"/>
        <v>12889094.44648551</v>
      </c>
      <c r="AA373" s="2">
        <f>+Bono!J373</f>
        <v>358059.90280287812</v>
      </c>
      <c r="AC373" s="10">
        <f t="shared" si="106"/>
        <v>29.166666666666668</v>
      </c>
      <c r="AD373" s="1">
        <f t="shared" si="107"/>
        <v>13935910.64519605</v>
      </c>
    </row>
    <row r="374" spans="2:30">
      <c r="B374" s="1">
        <f t="shared" si="108"/>
        <v>351</v>
      </c>
      <c r="C374" s="2">
        <f t="shared" si="113"/>
        <v>29</v>
      </c>
      <c r="D374" s="2">
        <f t="shared" si="114"/>
        <v>3</v>
      </c>
      <c r="E374" s="2">
        <f t="shared" si="115"/>
        <v>58</v>
      </c>
      <c r="F374" s="1">
        <f t="shared" si="109"/>
        <v>688756.2959076605</v>
      </c>
      <c r="H374" s="1">
        <f t="shared" si="102"/>
        <v>5492.23942485928</v>
      </c>
      <c r="I374" s="1">
        <v>0</v>
      </c>
      <c r="J374" s="69">
        <f>-SUM(F374:H374)*$J$21</f>
        <v>-6248.2368179926789</v>
      </c>
      <c r="K374" s="1">
        <f t="shared" si="110"/>
        <v>-688.00029851452712</v>
      </c>
      <c r="L374" s="1">
        <f t="shared" si="103"/>
        <v>687312.29821601266</v>
      </c>
      <c r="N374" s="1">
        <f t="shared" si="111"/>
        <v>351</v>
      </c>
      <c r="O374" s="2">
        <f t="shared" si="116"/>
        <v>29</v>
      </c>
      <c r="P374" s="2">
        <f t="shared" si="117"/>
        <v>3</v>
      </c>
      <c r="Q374" s="2">
        <f t="shared" si="118"/>
        <v>29</v>
      </c>
      <c r="R374" s="1">
        <f t="shared" si="112"/>
        <v>12889094.44648551</v>
      </c>
      <c r="S374" s="4">
        <f>IF($G$4="mensual",S373,0)</f>
        <v>10000</v>
      </c>
      <c r="U374" s="1">
        <f t="shared" si="119"/>
        <v>102859.19052196814</v>
      </c>
      <c r="V374" s="1">
        <f t="shared" si="101"/>
        <v>-237.64124063855644</v>
      </c>
      <c r="X374" s="1">
        <f t="shared" si="104"/>
        <v>-13001.953637007478</v>
      </c>
      <c r="Y374" s="1">
        <f t="shared" si="105"/>
        <v>12988714.042129833</v>
      </c>
      <c r="AA374" s="2">
        <f>+Bono!J374</f>
        <v>357034.15072603372</v>
      </c>
      <c r="AC374" s="10">
        <f t="shared" si="106"/>
        <v>29.25</v>
      </c>
      <c r="AD374" s="1">
        <f t="shared" si="107"/>
        <v>14033060.49107188</v>
      </c>
    </row>
    <row r="375" spans="2:30">
      <c r="B375" s="1">
        <f t="shared" si="108"/>
        <v>352</v>
      </c>
      <c r="C375" s="2">
        <f t="shared" si="113"/>
        <v>29</v>
      </c>
      <c r="D375" s="2">
        <f t="shared" si="114"/>
        <v>4</v>
      </c>
      <c r="E375" s="2">
        <f t="shared" si="115"/>
        <v>58</v>
      </c>
      <c r="F375" s="1">
        <f t="shared" si="109"/>
        <v>687312.29821601266</v>
      </c>
      <c r="H375" s="1">
        <f t="shared" si="102"/>
        <v>5480.7247844870672</v>
      </c>
      <c r="I375" s="1">
        <v>0</v>
      </c>
      <c r="J375" s="1">
        <v>0</v>
      </c>
      <c r="K375" s="1">
        <f t="shared" si="110"/>
        <v>-692.79302300049972</v>
      </c>
      <c r="L375" s="1">
        <f t="shared" si="103"/>
        <v>692100.22997749923</v>
      </c>
      <c r="N375" s="1">
        <f t="shared" si="111"/>
        <v>352</v>
      </c>
      <c r="O375" s="2">
        <f t="shared" si="116"/>
        <v>29</v>
      </c>
      <c r="P375" s="2">
        <f t="shared" si="117"/>
        <v>4</v>
      </c>
      <c r="Q375" s="2">
        <f t="shared" si="118"/>
        <v>29</v>
      </c>
      <c r="R375" s="1">
        <f t="shared" si="112"/>
        <v>12988714.042129833</v>
      </c>
      <c r="S375" s="4">
        <f>IF($G$4="mensual",S372,IF($G$4="trimestral",S372,0))</f>
        <v>10000</v>
      </c>
      <c r="U375" s="1">
        <f t="shared" si="119"/>
        <v>103653.57116710657</v>
      </c>
      <c r="V375" s="1">
        <f t="shared" si="101"/>
        <v>-237.64124063855644</v>
      </c>
      <c r="X375" s="1">
        <f t="shared" si="104"/>
        <v>-13102.367613296939</v>
      </c>
      <c r="Y375" s="1">
        <f t="shared" si="105"/>
        <v>13089027.604443004</v>
      </c>
      <c r="AA375" s="2">
        <f>+Bono!J375</f>
        <v>359247.80387393333</v>
      </c>
      <c r="AC375" s="10">
        <f t="shared" si="106"/>
        <v>29.333333333333332</v>
      </c>
      <c r="AD375" s="1">
        <f t="shared" si="107"/>
        <v>14140375.638294438</v>
      </c>
    </row>
    <row r="376" spans="2:30">
      <c r="B376" s="1">
        <f t="shared" si="108"/>
        <v>353</v>
      </c>
      <c r="C376" s="2">
        <f t="shared" si="113"/>
        <v>29</v>
      </c>
      <c r="D376" s="2">
        <f t="shared" si="114"/>
        <v>5</v>
      </c>
      <c r="E376" s="2">
        <f t="shared" si="115"/>
        <v>58</v>
      </c>
      <c r="F376" s="1">
        <f t="shared" si="109"/>
        <v>692100.22997749923</v>
      </c>
      <c r="H376" s="1">
        <f t="shared" si="102"/>
        <v>5518.9044247171696</v>
      </c>
      <c r="I376" s="1">
        <v>0</v>
      </c>
      <c r="J376" s="1">
        <v>0</v>
      </c>
      <c r="K376" s="1">
        <f t="shared" si="110"/>
        <v>-697.61913440221645</v>
      </c>
      <c r="L376" s="1">
        <f t="shared" si="103"/>
        <v>696921.51526781416</v>
      </c>
      <c r="N376" s="1">
        <f t="shared" si="111"/>
        <v>353</v>
      </c>
      <c r="O376" s="2">
        <f t="shared" si="116"/>
        <v>29</v>
      </c>
      <c r="P376" s="2">
        <f t="shared" si="117"/>
        <v>5</v>
      </c>
      <c r="Q376" s="2">
        <f t="shared" si="118"/>
        <v>29</v>
      </c>
      <c r="R376" s="1">
        <f t="shared" si="112"/>
        <v>13089027.604443004</v>
      </c>
      <c r="S376" s="4">
        <f>IF($G$4="mensual",S375,0)</f>
        <v>10000</v>
      </c>
      <c r="U376" s="1">
        <f t="shared" si="119"/>
        <v>104453.48559991538</v>
      </c>
      <c r="V376" s="1">
        <f t="shared" si="101"/>
        <v>-237.64124063855644</v>
      </c>
      <c r="X376" s="1">
        <f t="shared" si="104"/>
        <v>-13203.481090042918</v>
      </c>
      <c r="Y376" s="1">
        <f t="shared" si="105"/>
        <v>13190039.967712238</v>
      </c>
      <c r="AA376" s="2">
        <f>+Bono!J376</f>
        <v>361475.18192811776</v>
      </c>
      <c r="AC376" s="10">
        <f t="shared" si="106"/>
        <v>29.416666666666668</v>
      </c>
      <c r="AD376" s="1">
        <f t="shared" si="107"/>
        <v>14248436.664908169</v>
      </c>
    </row>
    <row r="377" spans="2:30">
      <c r="B377" s="1">
        <f t="shared" si="108"/>
        <v>354</v>
      </c>
      <c r="C377" s="2">
        <f t="shared" si="113"/>
        <v>29</v>
      </c>
      <c r="D377" s="2">
        <f t="shared" si="114"/>
        <v>6</v>
      </c>
      <c r="E377" s="2">
        <f t="shared" si="115"/>
        <v>58</v>
      </c>
      <c r="F377" s="1">
        <f t="shared" si="109"/>
        <v>696921.51526781416</v>
      </c>
      <c r="H377" s="1">
        <f t="shared" si="102"/>
        <v>5557.3500306699489</v>
      </c>
      <c r="I377" s="1">
        <v>0</v>
      </c>
      <c r="J377" s="69">
        <f>-SUM(F377:H377)*$J$21</f>
        <v>-6322.3097876863576</v>
      </c>
      <c r="K377" s="1">
        <f t="shared" si="110"/>
        <v>-696.15655551079783</v>
      </c>
      <c r="L377" s="1">
        <f t="shared" si="103"/>
        <v>695460.39895528695</v>
      </c>
      <c r="N377" s="1">
        <f t="shared" si="111"/>
        <v>354</v>
      </c>
      <c r="O377" s="2">
        <f t="shared" si="116"/>
        <v>29</v>
      </c>
      <c r="P377" s="2">
        <f t="shared" si="117"/>
        <v>6</v>
      </c>
      <c r="Q377" s="2">
        <f t="shared" si="118"/>
        <v>29</v>
      </c>
      <c r="R377" s="1">
        <f t="shared" si="112"/>
        <v>13190039.967712238</v>
      </c>
      <c r="S377" s="4">
        <f>IF($G$4="mensual",S376,0)</f>
        <v>10000</v>
      </c>
      <c r="U377" s="1">
        <f t="shared" si="119"/>
        <v>105258.9723696797</v>
      </c>
      <c r="V377" s="1">
        <f t="shared" si="101"/>
        <v>-237.64124063855644</v>
      </c>
      <c r="X377" s="1">
        <f t="shared" si="104"/>
        <v>-13305.298940081919</v>
      </c>
      <c r="Y377" s="1">
        <f t="shared" si="105"/>
        <v>13291755.9999012</v>
      </c>
      <c r="AA377" s="2">
        <f>+Bono!J377</f>
        <v>360439.64593068272</v>
      </c>
      <c r="AC377" s="10">
        <f t="shared" si="106"/>
        <v>29.5</v>
      </c>
      <c r="AD377" s="1">
        <f t="shared" si="107"/>
        <v>14347656.04478717</v>
      </c>
    </row>
    <row r="378" spans="2:30">
      <c r="B378" s="1">
        <f t="shared" si="108"/>
        <v>355</v>
      </c>
      <c r="C378" s="2">
        <f t="shared" si="113"/>
        <v>29</v>
      </c>
      <c r="D378" s="2">
        <f t="shared" si="114"/>
        <v>7</v>
      </c>
      <c r="E378" s="2">
        <f t="shared" si="115"/>
        <v>58</v>
      </c>
      <c r="F378" s="1">
        <f t="shared" si="109"/>
        <v>695460.39895528695</v>
      </c>
      <c r="H378" s="1">
        <f t="shared" si="102"/>
        <v>5545.6988840108952</v>
      </c>
      <c r="I378" s="1">
        <v>0</v>
      </c>
      <c r="J378" s="1">
        <v>0</v>
      </c>
      <c r="K378" s="1">
        <f t="shared" si="110"/>
        <v>-701.00609783929781</v>
      </c>
      <c r="L378" s="1">
        <f t="shared" si="103"/>
        <v>700305.09174145851</v>
      </c>
      <c r="N378" s="1">
        <f t="shared" si="111"/>
        <v>355</v>
      </c>
      <c r="O378" s="2">
        <f t="shared" si="116"/>
        <v>29</v>
      </c>
      <c r="P378" s="2">
        <f t="shared" si="117"/>
        <v>7</v>
      </c>
      <c r="Q378" s="2">
        <f t="shared" si="118"/>
        <v>29</v>
      </c>
      <c r="R378" s="1">
        <f t="shared" si="112"/>
        <v>13291755.9999012</v>
      </c>
      <c r="S378" s="1">
        <f>+IF($G$4="mensual",S372,IF($G$4="trimestral",S372,IF($G$4="semestral",S372,0)))</f>
        <v>10000</v>
      </c>
      <c r="U378" s="1">
        <f t="shared" si="119"/>
        <v>106070.07029422537</v>
      </c>
      <c r="V378" s="1">
        <f t="shared" si="101"/>
        <v>-237.64124063855644</v>
      </c>
      <c r="X378" s="1">
        <f t="shared" si="104"/>
        <v>-13407.826070195426</v>
      </c>
      <c r="Y378" s="1">
        <f t="shared" si="105"/>
        <v>13394180.602884592</v>
      </c>
      <c r="AA378" s="2">
        <f>+Bono!J378</f>
        <v>362674.41354386415</v>
      </c>
      <c r="AC378" s="10">
        <f t="shared" si="106"/>
        <v>29.583333333333332</v>
      </c>
      <c r="AD378" s="1">
        <f t="shared" si="107"/>
        <v>14457160.108169913</v>
      </c>
    </row>
    <row r="379" spans="2:30">
      <c r="B379" s="1">
        <f t="shared" si="108"/>
        <v>356</v>
      </c>
      <c r="C379" s="2">
        <f t="shared" si="113"/>
        <v>29</v>
      </c>
      <c r="D379" s="2">
        <f t="shared" si="114"/>
        <v>8</v>
      </c>
      <c r="E379" s="2">
        <f t="shared" si="115"/>
        <v>58</v>
      </c>
      <c r="F379" s="1">
        <f t="shared" si="109"/>
        <v>700305.09174145851</v>
      </c>
      <c r="H379" s="1">
        <f t="shared" si="102"/>
        <v>5584.3311446227244</v>
      </c>
      <c r="I379" s="1">
        <v>0</v>
      </c>
      <c r="J379" s="1">
        <v>0</v>
      </c>
      <c r="K379" s="1">
        <f t="shared" si="110"/>
        <v>-705.88942288608132</v>
      </c>
      <c r="L379" s="1">
        <f t="shared" si="103"/>
        <v>705183.5334631952</v>
      </c>
      <c r="N379" s="1">
        <f t="shared" si="111"/>
        <v>356</v>
      </c>
      <c r="O379" s="2">
        <f t="shared" si="116"/>
        <v>29</v>
      </c>
      <c r="P379" s="2">
        <f t="shared" si="117"/>
        <v>8</v>
      </c>
      <c r="Q379" s="2">
        <f t="shared" si="118"/>
        <v>29</v>
      </c>
      <c r="R379" s="1">
        <f t="shared" si="112"/>
        <v>13394180.602884592</v>
      </c>
      <c r="S379" s="4">
        <f>IF($G$4="mensual",S378,0)</f>
        <v>10000</v>
      </c>
      <c r="U379" s="1">
        <f t="shared" si="119"/>
        <v>106886.81846178966</v>
      </c>
      <c r="V379" s="1">
        <f t="shared" si="101"/>
        <v>-237.64124063855644</v>
      </c>
      <c r="X379" s="1">
        <f t="shared" si="104"/>
        <v>-13511.067421346381</v>
      </c>
      <c r="Y379" s="1">
        <f t="shared" si="105"/>
        <v>13497318.712684397</v>
      </c>
      <c r="AA379" s="2">
        <f>+Bono!J379</f>
        <v>364923.03697546426</v>
      </c>
      <c r="AC379" s="10">
        <f t="shared" si="106"/>
        <v>29.666666666666668</v>
      </c>
      <c r="AD379" s="1">
        <f t="shared" si="107"/>
        <v>14567425.283123055</v>
      </c>
    </row>
    <row r="380" spans="2:30">
      <c r="B380" s="1">
        <f t="shared" si="108"/>
        <v>357</v>
      </c>
      <c r="C380" s="2">
        <f t="shared" si="113"/>
        <v>29</v>
      </c>
      <c r="D380" s="2">
        <f t="shared" si="114"/>
        <v>9</v>
      </c>
      <c r="E380" s="2">
        <f t="shared" si="115"/>
        <v>58</v>
      </c>
      <c r="F380" s="1">
        <f t="shared" si="109"/>
        <v>705183.5334631952</v>
      </c>
      <c r="H380" s="1">
        <f t="shared" si="102"/>
        <v>5623.2325239860756</v>
      </c>
      <c r="I380" s="1">
        <v>0</v>
      </c>
      <c r="J380" s="69">
        <f>-SUM(F380:H380)*$J$21</f>
        <v>-6397.2608938846315</v>
      </c>
      <c r="K380" s="1">
        <f t="shared" si="110"/>
        <v>-704.40950509329662</v>
      </c>
      <c r="L380" s="1">
        <f t="shared" si="103"/>
        <v>703705.09558820329</v>
      </c>
      <c r="N380" s="1">
        <f t="shared" si="111"/>
        <v>357</v>
      </c>
      <c r="O380" s="2">
        <f t="shared" si="116"/>
        <v>29</v>
      </c>
      <c r="P380" s="2">
        <f t="shared" si="117"/>
        <v>9</v>
      </c>
      <c r="Q380" s="2">
        <f t="shared" si="118"/>
        <v>29</v>
      </c>
      <c r="R380" s="1">
        <f t="shared" si="112"/>
        <v>13497318.712684397</v>
      </c>
      <c r="S380" s="4">
        <f>IF($G$4="mensual",S379,0)</f>
        <v>10000</v>
      </c>
      <c r="U380" s="1">
        <f t="shared" si="119"/>
        <v>107709.256232905</v>
      </c>
      <c r="V380" s="1">
        <f t="shared" si="101"/>
        <v>-237.64124063855644</v>
      </c>
      <c r="X380" s="1">
        <f t="shared" si="104"/>
        <v>-13615.0279689173</v>
      </c>
      <c r="Y380" s="1">
        <f t="shared" si="105"/>
        <v>13601175.299707746</v>
      </c>
      <c r="AA380" s="2">
        <f>+Bono!J380</f>
        <v>363877.62373556837</v>
      </c>
      <c r="AC380" s="10">
        <f t="shared" si="106"/>
        <v>29.75</v>
      </c>
      <c r="AD380" s="1">
        <f t="shared" si="107"/>
        <v>14668758.019031517</v>
      </c>
    </row>
    <row r="381" spans="2:30">
      <c r="B381" s="1">
        <f t="shared" si="108"/>
        <v>358</v>
      </c>
      <c r="C381" s="2">
        <f t="shared" si="113"/>
        <v>29</v>
      </c>
      <c r="D381" s="2">
        <f t="shared" si="114"/>
        <v>10</v>
      </c>
      <c r="E381" s="2">
        <f t="shared" si="115"/>
        <v>58</v>
      </c>
      <c r="F381" s="1">
        <f t="shared" si="109"/>
        <v>703705.09558820329</v>
      </c>
      <c r="H381" s="1">
        <f t="shared" si="102"/>
        <v>5611.44325275548</v>
      </c>
      <c r="I381" s="1">
        <v>0</v>
      </c>
      <c r="J381" s="1">
        <v>0</v>
      </c>
      <c r="K381" s="1">
        <f t="shared" si="110"/>
        <v>-709.31653884095874</v>
      </c>
      <c r="L381" s="1">
        <f t="shared" si="103"/>
        <v>708607.22230211773</v>
      </c>
      <c r="N381" s="1">
        <f t="shared" si="111"/>
        <v>358</v>
      </c>
      <c r="O381" s="2">
        <f t="shared" si="116"/>
        <v>29</v>
      </c>
      <c r="P381" s="2">
        <f t="shared" si="117"/>
        <v>10</v>
      </c>
      <c r="Q381" s="2">
        <f t="shared" si="118"/>
        <v>29</v>
      </c>
      <c r="R381" s="1">
        <f t="shared" si="112"/>
        <v>13601175.299707746</v>
      </c>
      <c r="S381" s="4">
        <f>IF($G$4="mensual",S372,IF($G$4="trimestral",S372,0))</f>
        <v>10000</v>
      </c>
      <c r="U381" s="1">
        <f t="shared" si="119"/>
        <v>108537.42324229584</v>
      </c>
      <c r="V381" s="1">
        <f t="shared" ref="V381:V443" si="120">V380</f>
        <v>-237.64124063855644</v>
      </c>
      <c r="X381" s="1">
        <f t="shared" si="104"/>
        <v>-13719.712722950042</v>
      </c>
      <c r="Y381" s="1">
        <f t="shared" si="105"/>
        <v>13705755.368986454</v>
      </c>
      <c r="AA381" s="2">
        <f>+Bono!J381</f>
        <v>366133.7072099208</v>
      </c>
      <c r="AC381" s="10">
        <f t="shared" si="106"/>
        <v>29.833333333333332</v>
      </c>
      <c r="AD381" s="1">
        <f t="shared" si="107"/>
        <v>14780496.298498493</v>
      </c>
    </row>
    <row r="382" spans="2:30">
      <c r="B382" s="1">
        <f t="shared" si="108"/>
        <v>359</v>
      </c>
      <c r="C382" s="2">
        <f t="shared" si="113"/>
        <v>29</v>
      </c>
      <c r="D382" s="2">
        <f t="shared" si="114"/>
        <v>11</v>
      </c>
      <c r="E382" s="2">
        <f t="shared" si="115"/>
        <v>58</v>
      </c>
      <c r="F382" s="1">
        <f t="shared" si="109"/>
        <v>708607.22230211773</v>
      </c>
      <c r="H382" s="1">
        <f t="shared" si="102"/>
        <v>5650.5334995725143</v>
      </c>
      <c r="I382" s="1">
        <v>0</v>
      </c>
      <c r="J382" s="1">
        <v>0</v>
      </c>
      <c r="K382" s="1">
        <f t="shared" si="110"/>
        <v>-714.25775580169034</v>
      </c>
      <c r="L382" s="1">
        <f t="shared" si="103"/>
        <v>713543.49804588861</v>
      </c>
      <c r="N382" s="1">
        <f t="shared" si="111"/>
        <v>359</v>
      </c>
      <c r="O382" s="2">
        <f t="shared" si="116"/>
        <v>29</v>
      </c>
      <c r="P382" s="2">
        <f t="shared" si="117"/>
        <v>11</v>
      </c>
      <c r="Q382" s="2">
        <f t="shared" si="118"/>
        <v>29</v>
      </c>
      <c r="R382" s="1">
        <f t="shared" si="112"/>
        <v>13705755.368986454</v>
      </c>
      <c r="S382" s="1">
        <f>IF($G$17="si",S370*(1+$G$20),S370)</f>
        <v>10000</v>
      </c>
      <c r="U382" s="1">
        <f t="shared" si="119"/>
        <v>109371.35940078874</v>
      </c>
      <c r="V382" s="1">
        <f t="shared" si="120"/>
        <v>-237.64124063855644</v>
      </c>
      <c r="X382" s="1">
        <f t="shared" si="104"/>
        <v>-13825.126728387242</v>
      </c>
      <c r="Y382" s="1">
        <f t="shared" si="105"/>
        <v>13811063.960418217</v>
      </c>
      <c r="AA382" s="2">
        <f>+Bono!J382</f>
        <v>368403.7786635037</v>
      </c>
      <c r="AC382" s="10">
        <f t="shared" si="106"/>
        <v>29.916666666666668</v>
      </c>
      <c r="AD382" s="1">
        <f t="shared" si="107"/>
        <v>14893011.237127608</v>
      </c>
    </row>
    <row r="383" spans="2:30">
      <c r="B383" s="1">
        <f t="shared" si="108"/>
        <v>360</v>
      </c>
      <c r="C383" s="2">
        <f t="shared" si="113"/>
        <v>29</v>
      </c>
      <c r="D383" s="2">
        <f t="shared" si="114"/>
        <v>12</v>
      </c>
      <c r="E383" s="2">
        <f t="shared" si="115"/>
        <v>58</v>
      </c>
      <c r="F383" s="1">
        <f t="shared" si="109"/>
        <v>713543.49804588861</v>
      </c>
      <c r="H383" s="1">
        <f t="shared" si="102"/>
        <v>5689.8960555491349</v>
      </c>
      <c r="I383" s="1">
        <v>0</v>
      </c>
      <c r="J383" s="69">
        <f>-SUM(F383:H383)*$J$21</f>
        <v>-6473.1005469129404</v>
      </c>
      <c r="K383" s="1">
        <f t="shared" si="110"/>
        <v>-712.76029355452476</v>
      </c>
      <c r="L383" s="1">
        <f t="shared" si="103"/>
        <v>712047.53326097026</v>
      </c>
      <c r="N383" s="1">
        <f t="shared" si="111"/>
        <v>360</v>
      </c>
      <c r="O383" s="2">
        <f t="shared" si="116"/>
        <v>29</v>
      </c>
      <c r="P383" s="2">
        <f t="shared" si="117"/>
        <v>12</v>
      </c>
      <c r="Q383" s="2">
        <f t="shared" si="118"/>
        <v>29</v>
      </c>
      <c r="R383" s="1">
        <f t="shared" si="112"/>
        <v>13811063.960418217</v>
      </c>
      <c r="S383" s="4">
        <f>IF($G$4="mensual",S382,0)</f>
        <v>10000</v>
      </c>
      <c r="U383" s="1">
        <f t="shared" si="119"/>
        <v>110211.10489723568</v>
      </c>
      <c r="V383" s="1">
        <f t="shared" si="120"/>
        <v>-237.64124063855644</v>
      </c>
      <c r="X383" s="1">
        <f t="shared" si="104"/>
        <v>-13931.275065315454</v>
      </c>
      <c r="Y383" s="1">
        <f t="shared" si="105"/>
        <v>13917106.1490095</v>
      </c>
      <c r="AA383" s="2">
        <f>+Bono!J383</f>
        <v>367348.39396914584</v>
      </c>
      <c r="AC383" s="10">
        <f t="shared" si="106"/>
        <v>30</v>
      </c>
      <c r="AD383" s="1">
        <f t="shared" si="107"/>
        <v>14996502.076239616</v>
      </c>
    </row>
    <row r="384" spans="2:30">
      <c r="B384" s="1">
        <f t="shared" si="108"/>
        <v>361</v>
      </c>
      <c r="C384" s="2">
        <f t="shared" si="113"/>
        <v>30</v>
      </c>
      <c r="D384" s="2">
        <f t="shared" si="114"/>
        <v>1</v>
      </c>
      <c r="E384" s="2">
        <f t="shared" si="115"/>
        <v>59</v>
      </c>
      <c r="F384" s="1">
        <f t="shared" si="109"/>
        <v>712047.53326097026</v>
      </c>
      <c r="H384" s="1">
        <f t="shared" si="102"/>
        <v>5677.9670222775012</v>
      </c>
      <c r="I384" s="1">
        <v>0</v>
      </c>
      <c r="J384" s="1">
        <v>0</v>
      </c>
      <c r="K384" s="1">
        <f t="shared" si="110"/>
        <v>-717.72550028324781</v>
      </c>
      <c r="L384" s="1">
        <f t="shared" si="103"/>
        <v>717007.77478296449</v>
      </c>
      <c r="N384" s="1">
        <f t="shared" si="111"/>
        <v>361</v>
      </c>
      <c r="O384" s="2">
        <f t="shared" si="116"/>
        <v>30</v>
      </c>
      <c r="P384" s="2">
        <f t="shared" si="117"/>
        <v>1</v>
      </c>
      <c r="Q384" s="2">
        <f t="shared" si="118"/>
        <v>30</v>
      </c>
      <c r="R384" s="1">
        <f t="shared" si="112"/>
        <v>13917106.1490095</v>
      </c>
      <c r="S384" s="1">
        <f>IF($G$17="si",S372*(1+$G$20),S372)</f>
        <v>10000</v>
      </c>
      <c r="U384" s="1">
        <f t="shared" si="119"/>
        <v>111056.70020045087</v>
      </c>
      <c r="V384" s="1">
        <f>V383*(1+$G$18)</f>
        <v>-247.14689026409872</v>
      </c>
      <c r="X384" s="1">
        <f t="shared" si="104"/>
        <v>-14038.162849209952</v>
      </c>
      <c r="Y384" s="1">
        <f t="shared" si="105"/>
        <v>14023877.539470477</v>
      </c>
      <c r="AA384" s="2">
        <f>+Bono!J384</f>
        <v>369625.99662153091</v>
      </c>
      <c r="AC384" s="10">
        <f t="shared" si="106"/>
        <v>30.083333333333332</v>
      </c>
      <c r="AD384" s="1">
        <f t="shared" si="107"/>
        <v>15110511.310874972</v>
      </c>
    </row>
    <row r="385" spans="2:30">
      <c r="B385" s="1">
        <f t="shared" si="108"/>
        <v>362</v>
      </c>
      <c r="C385" s="2">
        <f t="shared" si="113"/>
        <v>30</v>
      </c>
      <c r="D385" s="2">
        <f t="shared" si="114"/>
        <v>2</v>
      </c>
      <c r="E385" s="2">
        <f t="shared" si="115"/>
        <v>59</v>
      </c>
      <c r="F385" s="1">
        <f t="shared" si="109"/>
        <v>717007.77478296449</v>
      </c>
      <c r="H385" s="1">
        <f t="shared" si="102"/>
        <v>5717.5206847351619</v>
      </c>
      <c r="I385" s="1">
        <v>0</v>
      </c>
      <c r="J385" s="1">
        <v>0</v>
      </c>
      <c r="K385" s="1">
        <f t="shared" si="110"/>
        <v>-722.72529546769965</v>
      </c>
      <c r="L385" s="1">
        <f t="shared" si="103"/>
        <v>722002.57017223199</v>
      </c>
      <c r="N385" s="1">
        <f t="shared" si="111"/>
        <v>362</v>
      </c>
      <c r="O385" s="2">
        <f t="shared" si="116"/>
        <v>30</v>
      </c>
      <c r="P385" s="2">
        <f t="shared" si="117"/>
        <v>2</v>
      </c>
      <c r="Q385" s="2">
        <f t="shared" si="118"/>
        <v>30</v>
      </c>
      <c r="R385" s="1">
        <f t="shared" si="112"/>
        <v>14023877.539470477</v>
      </c>
      <c r="S385" s="4">
        <f>IF($G$4="mensual",S384,0)</f>
        <v>10000</v>
      </c>
      <c r="U385" s="1">
        <f t="shared" si="119"/>
        <v>111908.11026177602</v>
      </c>
      <c r="V385" s="1">
        <f>V384</f>
        <v>-247.14689026409872</v>
      </c>
      <c r="X385" s="1">
        <f t="shared" si="104"/>
        <v>-14145.785649732254</v>
      </c>
      <c r="Y385" s="1">
        <f t="shared" si="105"/>
        <v>14131392.717192257</v>
      </c>
      <c r="AA385" s="2">
        <f>+Bono!J385</f>
        <v>371917.72067454632</v>
      </c>
      <c r="AC385" s="10">
        <f t="shared" si="106"/>
        <v>30.166666666666668</v>
      </c>
      <c r="AD385" s="1">
        <f t="shared" si="107"/>
        <v>15225313.008039035</v>
      </c>
    </row>
    <row r="386" spans="2:30">
      <c r="B386" s="1">
        <f t="shared" si="108"/>
        <v>363</v>
      </c>
      <c r="C386" s="2">
        <f t="shared" si="113"/>
        <v>30</v>
      </c>
      <c r="D386" s="2">
        <f t="shared" si="114"/>
        <v>3</v>
      </c>
      <c r="E386" s="2">
        <f t="shared" si="115"/>
        <v>59</v>
      </c>
      <c r="F386" s="1">
        <f t="shared" si="109"/>
        <v>722002.57017223199</v>
      </c>
      <c r="H386" s="1">
        <f t="shared" si="102"/>
        <v>5757.3498845828226</v>
      </c>
      <c r="I386" s="1">
        <v>0</v>
      </c>
      <c r="J386" s="69">
        <f>-SUM(F386:H386)*$J$21</f>
        <v>-6549.8392805113335</v>
      </c>
      <c r="K386" s="1">
        <f t="shared" si="110"/>
        <v>-721.21008077630347</v>
      </c>
      <c r="L386" s="1">
        <f t="shared" si="103"/>
        <v>720488.87069552718</v>
      </c>
      <c r="N386" s="1">
        <f t="shared" si="111"/>
        <v>363</v>
      </c>
      <c r="O386" s="2">
        <f t="shared" si="116"/>
        <v>30</v>
      </c>
      <c r="P386" s="2">
        <f t="shared" si="117"/>
        <v>3</v>
      </c>
      <c r="Q386" s="2">
        <f t="shared" si="118"/>
        <v>30</v>
      </c>
      <c r="R386" s="1">
        <f t="shared" si="112"/>
        <v>14131392.717192257</v>
      </c>
      <c r="S386" s="4">
        <f>IF($G$4="mensual",S385,0)</f>
        <v>10000</v>
      </c>
      <c r="U386" s="1">
        <f t="shared" si="119"/>
        <v>112765.45138716802</v>
      </c>
      <c r="V386" s="1">
        <f t="shared" si="120"/>
        <v>-247.14689026409872</v>
      </c>
      <c r="X386" s="1">
        <f t="shared" si="104"/>
        <v>-14254.158168579426</v>
      </c>
      <c r="Y386" s="1">
        <f t="shared" si="105"/>
        <v>14239656.863520583</v>
      </c>
      <c r="AA386" s="2">
        <f>+Bono!J386</f>
        <v>370852.26941510389</v>
      </c>
      <c r="AC386" s="10">
        <f t="shared" si="106"/>
        <v>30.25</v>
      </c>
      <c r="AD386" s="1">
        <f t="shared" si="107"/>
        <v>15330998.003631216</v>
      </c>
    </row>
    <row r="387" spans="2:30">
      <c r="B387" s="1">
        <f t="shared" si="108"/>
        <v>364</v>
      </c>
      <c r="C387" s="2">
        <f t="shared" si="113"/>
        <v>30</v>
      </c>
      <c r="D387" s="2">
        <f t="shared" si="114"/>
        <v>4</v>
      </c>
      <c r="E387" s="2">
        <f t="shared" si="115"/>
        <v>59</v>
      </c>
      <c r="F387" s="1">
        <f t="shared" si="109"/>
        <v>720488.87069552718</v>
      </c>
      <c r="H387" s="1">
        <f t="shared" si="102"/>
        <v>5745.27943238842</v>
      </c>
      <c r="I387" s="1">
        <v>0</v>
      </c>
      <c r="J387" s="1">
        <v>0</v>
      </c>
      <c r="K387" s="1">
        <f t="shared" si="110"/>
        <v>-726.23415012791554</v>
      </c>
      <c r="L387" s="1">
        <f t="shared" si="103"/>
        <v>725507.91597778758</v>
      </c>
      <c r="N387" s="1">
        <f t="shared" si="111"/>
        <v>364</v>
      </c>
      <c r="O387" s="2">
        <f t="shared" si="116"/>
        <v>30</v>
      </c>
      <c r="P387" s="2">
        <f t="shared" si="117"/>
        <v>4</v>
      </c>
      <c r="Q387" s="2">
        <f t="shared" si="118"/>
        <v>30</v>
      </c>
      <c r="R387" s="1">
        <f t="shared" si="112"/>
        <v>14239656.863520583</v>
      </c>
      <c r="S387" s="4">
        <f>IF($G$4="mensual",S384,IF($G$4="trimestral",S384,0))</f>
        <v>10000</v>
      </c>
      <c r="U387" s="1">
        <f t="shared" si="119"/>
        <v>113628.76489340549</v>
      </c>
      <c r="V387" s="1">
        <f t="shared" si="120"/>
        <v>-247.14689026409872</v>
      </c>
      <c r="X387" s="1">
        <f t="shared" si="104"/>
        <v>-14363.285628413989</v>
      </c>
      <c r="Y387" s="1">
        <f t="shared" si="105"/>
        <v>14348675.19589531</v>
      </c>
      <c r="AA387" s="2">
        <f>+Bono!J387</f>
        <v>373151.59650167829</v>
      </c>
      <c r="AC387" s="10">
        <f t="shared" si="106"/>
        <v>30.333333333333332</v>
      </c>
      <c r="AD387" s="1">
        <f t="shared" si="107"/>
        <v>15447334.708374776</v>
      </c>
    </row>
    <row r="388" spans="2:30">
      <c r="B388" s="1">
        <f t="shared" si="108"/>
        <v>365</v>
      </c>
      <c r="C388" s="2">
        <f t="shared" si="113"/>
        <v>30</v>
      </c>
      <c r="D388" s="2">
        <f t="shared" si="114"/>
        <v>5</v>
      </c>
      <c r="E388" s="2">
        <f t="shared" si="115"/>
        <v>59</v>
      </c>
      <c r="F388" s="1">
        <f t="shared" si="109"/>
        <v>725507.91597778758</v>
      </c>
      <c r="H388" s="1">
        <f t="shared" si="102"/>
        <v>5785.3020042881908</v>
      </c>
      <c r="I388" s="1">
        <v>0</v>
      </c>
      <c r="J388" s="1">
        <v>0</v>
      </c>
      <c r="K388" s="1">
        <f t="shared" si="110"/>
        <v>-731.29321798207582</v>
      </c>
      <c r="L388" s="1">
        <f t="shared" si="103"/>
        <v>730561.92476409371</v>
      </c>
      <c r="N388" s="1">
        <f t="shared" si="111"/>
        <v>365</v>
      </c>
      <c r="O388" s="2">
        <f t="shared" si="116"/>
        <v>30</v>
      </c>
      <c r="P388" s="2">
        <f t="shared" si="117"/>
        <v>5</v>
      </c>
      <c r="Q388" s="2">
        <f t="shared" si="118"/>
        <v>30</v>
      </c>
      <c r="R388" s="1">
        <f t="shared" si="112"/>
        <v>14348675.19589531</v>
      </c>
      <c r="S388" s="4">
        <f>IF($G$4="mensual",S387,0)</f>
        <v>10000</v>
      </c>
      <c r="U388" s="1">
        <f t="shared" si="119"/>
        <v>114498.09238508648</v>
      </c>
      <c r="V388" s="1">
        <f t="shared" si="120"/>
        <v>-247.14689026409872</v>
      </c>
      <c r="X388" s="1">
        <f t="shared" si="104"/>
        <v>-14473.173288280397</v>
      </c>
      <c r="Y388" s="1">
        <f t="shared" si="105"/>
        <v>14458452.968101854</v>
      </c>
      <c r="AA388" s="2">
        <f>+Bono!J388</f>
        <v>375465.17968289484</v>
      </c>
      <c r="AC388" s="10">
        <f t="shared" si="106"/>
        <v>30.416666666666668</v>
      </c>
      <c r="AD388" s="1">
        <f t="shared" si="107"/>
        <v>15564480.072548842</v>
      </c>
    </row>
    <row r="389" spans="2:30">
      <c r="B389" s="1">
        <f t="shared" si="108"/>
        <v>366</v>
      </c>
      <c r="C389" s="2">
        <f t="shared" si="113"/>
        <v>30</v>
      </c>
      <c r="D389" s="2">
        <f t="shared" si="114"/>
        <v>6</v>
      </c>
      <c r="E389" s="2">
        <f t="shared" si="115"/>
        <v>59</v>
      </c>
      <c r="F389" s="1">
        <f t="shared" si="109"/>
        <v>730561.92476409371</v>
      </c>
      <c r="H389" s="1">
        <f t="shared" si="102"/>
        <v>5825.6033800791101</v>
      </c>
      <c r="I389" s="1">
        <v>0</v>
      </c>
      <c r="J389" s="69">
        <f>-SUM(F389:H389)*$J$21</f>
        <v>-6627.4877532975561</v>
      </c>
      <c r="K389" s="1">
        <f t="shared" si="110"/>
        <v>-729.76004039087536</v>
      </c>
      <c r="L389" s="1">
        <f t="shared" si="103"/>
        <v>729030.28035048442</v>
      </c>
      <c r="N389" s="1">
        <f t="shared" si="111"/>
        <v>366</v>
      </c>
      <c r="O389" s="2">
        <f t="shared" si="116"/>
        <v>30</v>
      </c>
      <c r="P389" s="2">
        <f t="shared" si="117"/>
        <v>6</v>
      </c>
      <c r="Q389" s="2">
        <f t="shared" si="118"/>
        <v>30</v>
      </c>
      <c r="R389" s="1">
        <f t="shared" si="112"/>
        <v>14458452.968101854</v>
      </c>
      <c r="S389" s="4">
        <f>IF($G$4="mensual",S388,0)</f>
        <v>10000</v>
      </c>
      <c r="U389" s="1">
        <f t="shared" si="119"/>
        <v>115373.47575663365</v>
      </c>
      <c r="V389" s="1">
        <f t="shared" si="120"/>
        <v>-247.14689026409872</v>
      </c>
      <c r="X389" s="1">
        <f t="shared" si="104"/>
        <v>-14583.826443858488</v>
      </c>
      <c r="Y389" s="1">
        <f t="shared" si="105"/>
        <v>14568995.470524365</v>
      </c>
      <c r="AA389" s="2">
        <f>+Bono!J389</f>
        <v>374389.56584055262</v>
      </c>
      <c r="AC389" s="10">
        <f t="shared" si="106"/>
        <v>30.5</v>
      </c>
      <c r="AD389" s="1">
        <f t="shared" si="107"/>
        <v>15672415.316715403</v>
      </c>
    </row>
    <row r="390" spans="2:30">
      <c r="B390" s="1">
        <f t="shared" si="108"/>
        <v>367</v>
      </c>
      <c r="C390" s="2">
        <f t="shared" si="113"/>
        <v>30</v>
      </c>
      <c r="D390" s="2">
        <f t="shared" si="114"/>
        <v>7</v>
      </c>
      <c r="E390" s="2">
        <f t="shared" si="115"/>
        <v>59</v>
      </c>
      <c r="F390" s="1">
        <f t="shared" si="109"/>
        <v>729030.28035048442</v>
      </c>
      <c r="H390" s="1">
        <f t="shared" si="102"/>
        <v>5813.3898324378433</v>
      </c>
      <c r="I390" s="1">
        <v>0</v>
      </c>
      <c r="J390" s="1">
        <v>0</v>
      </c>
      <c r="K390" s="1">
        <f t="shared" si="110"/>
        <v>-734.84367018292232</v>
      </c>
      <c r="L390" s="1">
        <f t="shared" si="103"/>
        <v>734108.8265127393</v>
      </c>
      <c r="N390" s="1">
        <f t="shared" si="111"/>
        <v>367</v>
      </c>
      <c r="O390" s="2">
        <f t="shared" si="116"/>
        <v>30</v>
      </c>
      <c r="P390" s="2">
        <f t="shared" si="117"/>
        <v>7</v>
      </c>
      <c r="Q390" s="2">
        <f t="shared" si="118"/>
        <v>30</v>
      </c>
      <c r="R390" s="1">
        <f t="shared" si="112"/>
        <v>14568995.470524365</v>
      </c>
      <c r="S390" s="1">
        <f>+IF($G$4="mensual",S384,IF($G$4="trimestral",S384,IF($G$4="semestral",S384,0)))</f>
        <v>10000</v>
      </c>
      <c r="U390" s="1">
        <f t="shared" si="119"/>
        <v>116254.9571943132</v>
      </c>
      <c r="V390" s="1">
        <f t="shared" si="120"/>
        <v>-247.14689026409872</v>
      </c>
      <c r="X390" s="1">
        <f t="shared" si="104"/>
        <v>-14695.250427718678</v>
      </c>
      <c r="Y390" s="1">
        <f t="shared" si="105"/>
        <v>14680308.030400695</v>
      </c>
      <c r="AA390" s="2">
        <f>+Bono!J390</f>
        <v>376710.82457526581</v>
      </c>
      <c r="AC390" s="10">
        <f t="shared" si="106"/>
        <v>30.583333333333332</v>
      </c>
      <c r="AD390" s="1">
        <f t="shared" si="107"/>
        <v>15791127.6814887</v>
      </c>
    </row>
    <row r="391" spans="2:30">
      <c r="B391" s="1">
        <f t="shared" si="108"/>
        <v>368</v>
      </c>
      <c r="C391" s="2">
        <f t="shared" si="113"/>
        <v>30</v>
      </c>
      <c r="D391" s="2">
        <f t="shared" si="114"/>
        <v>8</v>
      </c>
      <c r="E391" s="2">
        <f t="shared" si="115"/>
        <v>59</v>
      </c>
      <c r="F391" s="1">
        <f t="shared" si="109"/>
        <v>734108.8265127393</v>
      </c>
      <c r="H391" s="1">
        <f t="shared" si="102"/>
        <v>5853.8868727103336</v>
      </c>
      <c r="I391" s="1">
        <v>0</v>
      </c>
      <c r="J391" s="1">
        <v>0</v>
      </c>
      <c r="K391" s="1">
        <f t="shared" si="110"/>
        <v>-739.96271338544966</v>
      </c>
      <c r="L391" s="1">
        <f t="shared" si="103"/>
        <v>739222.75067206414</v>
      </c>
      <c r="N391" s="1">
        <f t="shared" si="111"/>
        <v>368</v>
      </c>
      <c r="O391" s="2">
        <f t="shared" si="116"/>
        <v>30</v>
      </c>
      <c r="P391" s="2">
        <f t="shared" si="117"/>
        <v>8</v>
      </c>
      <c r="Q391" s="2">
        <f t="shared" si="118"/>
        <v>30</v>
      </c>
      <c r="R391" s="1">
        <f t="shared" si="112"/>
        <v>14680308.030400695</v>
      </c>
      <c r="S391" s="4">
        <f>IF($G$4="mensual",S390,0)</f>
        <v>10000</v>
      </c>
      <c r="U391" s="1">
        <f t="shared" si="119"/>
        <v>117142.57917826781</v>
      </c>
      <c r="V391" s="1">
        <f t="shared" si="120"/>
        <v>-247.14689026409872</v>
      </c>
      <c r="X391" s="1">
        <f t="shared" si="104"/>
        <v>-14807.450609578964</v>
      </c>
      <c r="Y391" s="1">
        <f t="shared" si="105"/>
        <v>14792396.01207912</v>
      </c>
      <c r="AA391" s="2">
        <f>+Bono!J391</f>
        <v>379046.47538338351</v>
      </c>
      <c r="AC391" s="10">
        <f t="shared" si="106"/>
        <v>30.666666666666668</v>
      </c>
      <c r="AD391" s="1">
        <f t="shared" si="107"/>
        <v>15910665.238134569</v>
      </c>
    </row>
    <row r="392" spans="2:30">
      <c r="B392" s="1">
        <f t="shared" si="108"/>
        <v>369</v>
      </c>
      <c r="C392" s="2">
        <f t="shared" si="113"/>
        <v>30</v>
      </c>
      <c r="D392" s="2">
        <f t="shared" si="114"/>
        <v>9</v>
      </c>
      <c r="E392" s="2">
        <f t="shared" si="115"/>
        <v>59</v>
      </c>
      <c r="F392" s="1">
        <f t="shared" si="109"/>
        <v>739222.75067206414</v>
      </c>
      <c r="H392" s="1">
        <f t="shared" si="102"/>
        <v>5894.6660220995536</v>
      </c>
      <c r="I392" s="1">
        <v>0</v>
      </c>
      <c r="J392" s="69">
        <f>-SUM(F392:H392)*$J$21</f>
        <v>-6706.0567502474742</v>
      </c>
      <c r="K392" s="1">
        <f t="shared" si="110"/>
        <v>-738.41135994391618</v>
      </c>
      <c r="L392" s="1">
        <f t="shared" si="103"/>
        <v>737672.94858397229</v>
      </c>
      <c r="N392" s="1">
        <f t="shared" si="111"/>
        <v>369</v>
      </c>
      <c r="O392" s="2">
        <f t="shared" si="116"/>
        <v>30</v>
      </c>
      <c r="P392" s="2">
        <f t="shared" si="117"/>
        <v>9</v>
      </c>
      <c r="Q392" s="2">
        <f t="shared" si="118"/>
        <v>30</v>
      </c>
      <c r="R392" s="1">
        <f t="shared" si="112"/>
        <v>14792396.01207912</v>
      </c>
      <c r="S392" s="4">
        <f>IF($G$4="mensual",S391,0)</f>
        <v>10000</v>
      </c>
      <c r="U392" s="1">
        <f t="shared" si="119"/>
        <v>118036.38448456397</v>
      </c>
      <c r="V392" s="1">
        <f t="shared" si="120"/>
        <v>-247.14689026409872</v>
      </c>
      <c r="X392" s="1">
        <f t="shared" si="104"/>
        <v>-14920.432396563685</v>
      </c>
      <c r="Y392" s="1">
        <f t="shared" si="105"/>
        <v>14905264.817276858</v>
      </c>
      <c r="AA392" s="2">
        <f>+Bono!J392</f>
        <v>377960.60202448047</v>
      </c>
      <c r="AC392" s="10">
        <f t="shared" si="106"/>
        <v>30.75</v>
      </c>
      <c r="AD392" s="1">
        <f t="shared" si="107"/>
        <v>16020898.36788531</v>
      </c>
    </row>
    <row r="393" spans="2:30">
      <c r="B393" s="1">
        <f t="shared" si="108"/>
        <v>370</v>
      </c>
      <c r="C393" s="2">
        <f t="shared" si="113"/>
        <v>30</v>
      </c>
      <c r="D393" s="2">
        <f t="shared" si="114"/>
        <v>10</v>
      </c>
      <c r="E393" s="2">
        <f t="shared" si="115"/>
        <v>59</v>
      </c>
      <c r="F393" s="1">
        <f t="shared" si="109"/>
        <v>737672.94858397229</v>
      </c>
      <c r="H393" s="1">
        <f t="shared" si="102"/>
        <v>5882.3076826121014</v>
      </c>
      <c r="I393" s="1">
        <v>0</v>
      </c>
      <c r="J393" s="1">
        <v>0</v>
      </c>
      <c r="K393" s="1">
        <f t="shared" si="110"/>
        <v>-743.55525626658437</v>
      </c>
      <c r="L393" s="1">
        <f t="shared" si="103"/>
        <v>742811.70101031777</v>
      </c>
      <c r="N393" s="1">
        <f t="shared" si="111"/>
        <v>370</v>
      </c>
      <c r="O393" s="2">
        <f t="shared" si="116"/>
        <v>30</v>
      </c>
      <c r="P393" s="2">
        <f t="shared" si="117"/>
        <v>10</v>
      </c>
      <c r="Q393" s="2">
        <f t="shared" si="118"/>
        <v>30</v>
      </c>
      <c r="R393" s="1">
        <f t="shared" si="112"/>
        <v>14905264.817276858</v>
      </c>
      <c r="S393" s="4">
        <f>IF($G$4="mensual",S384,IF($G$4="trimestral",S384,0))</f>
        <v>10000</v>
      </c>
      <c r="U393" s="1">
        <f t="shared" si="119"/>
        <v>118936.41618725332</v>
      </c>
      <c r="V393" s="1">
        <f t="shared" si="120"/>
        <v>-247.14689026409872</v>
      </c>
      <c r="X393" s="1">
        <f t="shared" si="104"/>
        <v>-15034.201233464111</v>
      </c>
      <c r="Y393" s="1">
        <f t="shared" si="105"/>
        <v>15018919.885340383</v>
      </c>
      <c r="AA393" s="2">
        <f>+Bono!J393</f>
        <v>380304.00159774855</v>
      </c>
      <c r="AC393" s="10">
        <f t="shared" si="106"/>
        <v>30.833333333333332</v>
      </c>
      <c r="AD393" s="1">
        <f t="shared" si="107"/>
        <v>16142035.587948451</v>
      </c>
    </row>
    <row r="394" spans="2:30">
      <c r="B394" s="1">
        <f t="shared" si="108"/>
        <v>371</v>
      </c>
      <c r="C394" s="2">
        <f t="shared" si="113"/>
        <v>30</v>
      </c>
      <c r="D394" s="2">
        <f t="shared" si="114"/>
        <v>11</v>
      </c>
      <c r="E394" s="2">
        <f t="shared" si="115"/>
        <v>59</v>
      </c>
      <c r="F394" s="1">
        <f t="shared" si="109"/>
        <v>742811.70101031777</v>
      </c>
      <c r="H394" s="1">
        <f t="shared" si="102"/>
        <v>5923.2848160891499</v>
      </c>
      <c r="I394" s="1">
        <v>0</v>
      </c>
      <c r="J394" s="1">
        <v>0</v>
      </c>
      <c r="K394" s="1">
        <f t="shared" si="110"/>
        <v>-748.73498582640696</v>
      </c>
      <c r="L394" s="1">
        <f t="shared" si="103"/>
        <v>747986.25084058056</v>
      </c>
      <c r="N394" s="1">
        <f t="shared" si="111"/>
        <v>371</v>
      </c>
      <c r="O394" s="2">
        <f t="shared" si="116"/>
        <v>30</v>
      </c>
      <c r="P394" s="2">
        <f t="shared" si="117"/>
        <v>11</v>
      </c>
      <c r="Q394" s="2">
        <f t="shared" si="118"/>
        <v>30</v>
      </c>
      <c r="R394" s="1">
        <f t="shared" si="112"/>
        <v>15018919.885340383</v>
      </c>
      <c r="S394" s="1">
        <f>IF($G$17="si",S382*(1+$G$20),S382)</f>
        <v>10000</v>
      </c>
      <c r="U394" s="1">
        <f t="shared" si="119"/>
        <v>119842.71766044847</v>
      </c>
      <c r="V394" s="1">
        <f t="shared" si="120"/>
        <v>-247.14689026409872</v>
      </c>
      <c r="X394" s="1">
        <f t="shared" si="104"/>
        <v>-15148.76260300083</v>
      </c>
      <c r="Y394" s="1">
        <f t="shared" si="105"/>
        <v>15133366.693507565</v>
      </c>
      <c r="AA394" s="2">
        <f>+Bono!J394</f>
        <v>382661.93052018841</v>
      </c>
      <c r="AC394" s="10">
        <f t="shared" si="106"/>
        <v>30.916666666666668</v>
      </c>
      <c r="AD394" s="1">
        <f t="shared" si="107"/>
        <v>16264014.874868333</v>
      </c>
    </row>
    <row r="395" spans="2:30">
      <c r="B395" s="1">
        <f t="shared" si="108"/>
        <v>372</v>
      </c>
      <c r="C395" s="2">
        <f t="shared" si="113"/>
        <v>30</v>
      </c>
      <c r="D395" s="2">
        <f t="shared" si="114"/>
        <v>12</v>
      </c>
      <c r="E395" s="2">
        <f t="shared" si="115"/>
        <v>59</v>
      </c>
      <c r="F395" s="1">
        <f t="shared" si="109"/>
        <v>747986.25084058056</v>
      </c>
      <c r="H395" s="1">
        <f t="shared" si="102"/>
        <v>5964.5474030920259</v>
      </c>
      <c r="I395" s="1">
        <v>0</v>
      </c>
      <c r="J395" s="69">
        <f>-SUM(F395:H395)*$J$21</f>
        <v>-6785.5571841930541</v>
      </c>
      <c r="K395" s="1">
        <f t="shared" si="110"/>
        <v>-747.16524105947951</v>
      </c>
      <c r="L395" s="1">
        <f t="shared" si="103"/>
        <v>746418.07581842004</v>
      </c>
      <c r="N395" s="1">
        <f t="shared" si="111"/>
        <v>372</v>
      </c>
      <c r="O395" s="2">
        <f t="shared" si="116"/>
        <v>30</v>
      </c>
      <c r="P395" s="2">
        <f t="shared" si="117"/>
        <v>12</v>
      </c>
      <c r="Q395" s="2">
        <f t="shared" si="118"/>
        <v>30</v>
      </c>
      <c r="R395" s="1">
        <f t="shared" si="112"/>
        <v>15133366.693507565</v>
      </c>
      <c r="S395" s="4">
        <f>IF($G$4="mensual",S394,0)</f>
        <v>10000</v>
      </c>
      <c r="U395" s="1">
        <f t="shared" si="119"/>
        <v>120755.33258041339</v>
      </c>
      <c r="V395" s="1">
        <f t="shared" si="120"/>
        <v>-247.14689026409872</v>
      </c>
      <c r="X395" s="1">
        <f t="shared" si="104"/>
        <v>-15264.12202608798</v>
      </c>
      <c r="Y395" s="1">
        <f t="shared" si="105"/>
        <v>15248610.757171627</v>
      </c>
      <c r="AA395" s="2">
        <f>+Bono!J395</f>
        <v>381565.6997864822</v>
      </c>
      <c r="AC395" s="10">
        <f t="shared" si="106"/>
        <v>31</v>
      </c>
      <c r="AD395" s="1">
        <f t="shared" si="107"/>
        <v>16376594.532776529</v>
      </c>
    </row>
    <row r="396" spans="2:30">
      <c r="B396" s="1">
        <f t="shared" si="108"/>
        <v>373</v>
      </c>
      <c r="C396" s="2">
        <f t="shared" si="113"/>
        <v>31</v>
      </c>
      <c r="D396" s="2">
        <f t="shared" si="114"/>
        <v>1</v>
      </c>
      <c r="E396" s="2">
        <f t="shared" si="115"/>
        <v>60</v>
      </c>
      <c r="F396" s="1">
        <f t="shared" si="109"/>
        <v>746418.07581842004</v>
      </c>
      <c r="H396" s="1">
        <f t="shared" si="102"/>
        <v>5952.0425552482184</v>
      </c>
      <c r="I396" s="1">
        <v>0</v>
      </c>
      <c r="J396" s="1">
        <v>0</v>
      </c>
      <c r="K396" s="1">
        <f t="shared" si="110"/>
        <v>-752.37011837366833</v>
      </c>
      <c r="L396" s="1">
        <f t="shared" si="103"/>
        <v>751617.74825529463</v>
      </c>
      <c r="N396" s="1">
        <f t="shared" si="111"/>
        <v>373</v>
      </c>
      <c r="O396" s="2">
        <f t="shared" si="116"/>
        <v>31</v>
      </c>
      <c r="P396" s="2">
        <f t="shared" si="117"/>
        <v>1</v>
      </c>
      <c r="Q396" s="2">
        <f t="shared" si="118"/>
        <v>31</v>
      </c>
      <c r="R396" s="1">
        <f t="shared" si="112"/>
        <v>15248610.757171627</v>
      </c>
      <c r="S396" s="1">
        <f>IF($G$17="si",S384*(1+$G$20),S384)</f>
        <v>10000</v>
      </c>
      <c r="U396" s="1">
        <f t="shared" si="119"/>
        <v>121674.30492766816</v>
      </c>
      <c r="V396" s="1">
        <f>V395*(1+$G$18)</f>
        <v>-257.03276587466269</v>
      </c>
      <c r="X396" s="1">
        <f t="shared" si="104"/>
        <v>-15380.285062099296</v>
      </c>
      <c r="Y396" s="1">
        <f t="shared" si="105"/>
        <v>15364647.744271321</v>
      </c>
      <c r="AA396" s="2">
        <f>+Bono!J396</f>
        <v>383931.45138404018</v>
      </c>
      <c r="AC396" s="10">
        <f t="shared" si="106"/>
        <v>31.083333333333332</v>
      </c>
      <c r="AD396" s="1">
        <f t="shared" si="107"/>
        <v>16500196.943910655</v>
      </c>
    </row>
    <row r="397" spans="2:30">
      <c r="B397" s="1">
        <f t="shared" si="108"/>
        <v>374</v>
      </c>
      <c r="C397" s="2">
        <f t="shared" si="113"/>
        <v>31</v>
      </c>
      <c r="D397" s="2">
        <f t="shared" si="114"/>
        <v>2</v>
      </c>
      <c r="E397" s="2">
        <f t="shared" si="115"/>
        <v>60</v>
      </c>
      <c r="F397" s="1">
        <f t="shared" si="109"/>
        <v>751617.74825529463</v>
      </c>
      <c r="H397" s="1">
        <f t="shared" si="102"/>
        <v>5993.5054734441565</v>
      </c>
      <c r="I397" s="1">
        <v>0</v>
      </c>
      <c r="J397" s="1">
        <v>0</v>
      </c>
      <c r="K397" s="1">
        <f t="shared" si="110"/>
        <v>-757.6112537287388</v>
      </c>
      <c r="L397" s="1">
        <f t="shared" si="103"/>
        <v>756853.64247501001</v>
      </c>
      <c r="N397" s="1">
        <f t="shared" si="111"/>
        <v>374</v>
      </c>
      <c r="O397" s="2">
        <f t="shared" si="116"/>
        <v>31</v>
      </c>
      <c r="P397" s="2">
        <f t="shared" si="117"/>
        <v>2</v>
      </c>
      <c r="Q397" s="2">
        <f t="shared" si="118"/>
        <v>31</v>
      </c>
      <c r="R397" s="1">
        <f t="shared" si="112"/>
        <v>15364647.744271321</v>
      </c>
      <c r="S397" s="4">
        <f>IF($G$4="mensual",S396,0)</f>
        <v>10000</v>
      </c>
      <c r="U397" s="1">
        <f t="shared" si="119"/>
        <v>122599.60015774801</v>
      </c>
      <c r="V397" s="1">
        <f>V396</f>
        <v>-257.03276587466269</v>
      </c>
      <c r="X397" s="1">
        <f t="shared" si="104"/>
        <v>-15497.24734442907</v>
      </c>
      <c r="Y397" s="1">
        <f t="shared" si="105"/>
        <v>15481493.064318767</v>
      </c>
      <c r="AA397" s="2">
        <f>+Bono!J397</f>
        <v>386311.8709159132</v>
      </c>
      <c r="AC397" s="10">
        <f t="shared" si="106"/>
        <v>31.166666666666668</v>
      </c>
      <c r="AD397" s="1">
        <f t="shared" si="107"/>
        <v>16624658.577709692</v>
      </c>
    </row>
    <row r="398" spans="2:30">
      <c r="B398" s="1">
        <f t="shared" si="108"/>
        <v>375</v>
      </c>
      <c r="C398" s="2">
        <f t="shared" si="113"/>
        <v>31</v>
      </c>
      <c r="D398" s="2">
        <f t="shared" si="114"/>
        <v>3</v>
      </c>
      <c r="E398" s="2">
        <f t="shared" si="115"/>
        <v>60</v>
      </c>
      <c r="F398" s="1">
        <f t="shared" si="109"/>
        <v>756853.64247501001</v>
      </c>
      <c r="H398" s="1">
        <f t="shared" si="102"/>
        <v>6035.2572292230525</v>
      </c>
      <c r="I398" s="1">
        <v>0</v>
      </c>
      <c r="J398" s="69">
        <f>-SUM(F398:H398)*$J$21</f>
        <v>-6866.0000973380984</v>
      </c>
      <c r="K398" s="1">
        <f t="shared" si="110"/>
        <v>-756.02289960689495</v>
      </c>
      <c r="L398" s="1">
        <f t="shared" si="103"/>
        <v>755266.87670728809</v>
      </c>
      <c r="N398" s="1">
        <f t="shared" si="111"/>
        <v>375</v>
      </c>
      <c r="O398" s="2">
        <f t="shared" si="116"/>
        <v>31</v>
      </c>
      <c r="P398" s="2">
        <f t="shared" si="117"/>
        <v>3</v>
      </c>
      <c r="Q398" s="2">
        <f t="shared" si="118"/>
        <v>31</v>
      </c>
      <c r="R398" s="1">
        <f t="shared" si="112"/>
        <v>15481493.064318767</v>
      </c>
      <c r="S398" s="4">
        <f>IF($G$4="mensual",S397,0)</f>
        <v>10000</v>
      </c>
      <c r="U398" s="1">
        <f t="shared" si="119"/>
        <v>123531.34114826654</v>
      </c>
      <c r="V398" s="1">
        <f t="shared" si="120"/>
        <v>-257.03276587466269</v>
      </c>
      <c r="X398" s="1">
        <f t="shared" si="104"/>
        <v>-15615.024405467033</v>
      </c>
      <c r="Y398" s="1">
        <f t="shared" si="105"/>
        <v>15599152.348295692</v>
      </c>
      <c r="AA398" s="2">
        <f>+Bono!J398</f>
        <v>385205.18401576125</v>
      </c>
      <c r="AC398" s="10">
        <f t="shared" si="106"/>
        <v>31.25</v>
      </c>
      <c r="AD398" s="1">
        <f t="shared" si="107"/>
        <v>16739624.409018742</v>
      </c>
    </row>
    <row r="399" spans="2:30">
      <c r="B399" s="1">
        <f t="shared" si="108"/>
        <v>376</v>
      </c>
      <c r="C399" s="2">
        <f t="shared" si="113"/>
        <v>31</v>
      </c>
      <c r="D399" s="2">
        <f t="shared" si="114"/>
        <v>4</v>
      </c>
      <c r="E399" s="2">
        <f t="shared" si="115"/>
        <v>60</v>
      </c>
      <c r="F399" s="1">
        <f t="shared" si="109"/>
        <v>755266.87670728809</v>
      </c>
      <c r="H399" s="1">
        <f t="shared" si="102"/>
        <v>6022.6041361634607</v>
      </c>
      <c r="I399" s="1">
        <v>0</v>
      </c>
      <c r="J399" s="1">
        <v>0</v>
      </c>
      <c r="K399" s="1">
        <f t="shared" si="110"/>
        <v>-761.28948084345154</v>
      </c>
      <c r="L399" s="1">
        <f t="shared" si="103"/>
        <v>760528.19136260811</v>
      </c>
      <c r="N399" s="1">
        <f t="shared" si="111"/>
        <v>376</v>
      </c>
      <c r="O399" s="2">
        <f t="shared" si="116"/>
        <v>31</v>
      </c>
      <c r="P399" s="2">
        <f t="shared" si="117"/>
        <v>4</v>
      </c>
      <c r="Q399" s="2">
        <f t="shared" si="118"/>
        <v>31</v>
      </c>
      <c r="R399" s="1">
        <f t="shared" si="112"/>
        <v>15599152.348295692</v>
      </c>
      <c r="S399" s="4">
        <f>IF($G$4="mensual",S396,IF($G$4="trimestral",S396,0))</f>
        <v>10000</v>
      </c>
      <c r="U399" s="1">
        <f t="shared" si="119"/>
        <v>124469.57280146281</v>
      </c>
      <c r="V399" s="1">
        <f t="shared" si="120"/>
        <v>-257.03276587466269</v>
      </c>
      <c r="X399" s="1">
        <f t="shared" si="104"/>
        <v>-15733.621921097156</v>
      </c>
      <c r="Y399" s="1">
        <f t="shared" si="105"/>
        <v>15717631.266410183</v>
      </c>
      <c r="AA399" s="2">
        <f>+Bono!J399</f>
        <v>387593.5008376948</v>
      </c>
      <c r="AC399" s="10">
        <f t="shared" si="106"/>
        <v>31.333333333333332</v>
      </c>
      <c r="AD399" s="1">
        <f t="shared" si="107"/>
        <v>16865752.958610486</v>
      </c>
    </row>
    <row r="400" spans="2:30">
      <c r="B400" s="1">
        <f t="shared" si="108"/>
        <v>377</v>
      </c>
      <c r="C400" s="2">
        <f t="shared" si="113"/>
        <v>31</v>
      </c>
      <c r="D400" s="2">
        <f t="shared" si="114"/>
        <v>5</v>
      </c>
      <c r="E400" s="2">
        <f t="shared" si="115"/>
        <v>60</v>
      </c>
      <c r="F400" s="1">
        <f t="shared" si="109"/>
        <v>760528.19136260811</v>
      </c>
      <c r="H400" s="1">
        <f t="shared" si="102"/>
        <v>6064.5585980656315</v>
      </c>
      <c r="I400" s="1">
        <v>0</v>
      </c>
      <c r="J400" s="1">
        <v>0</v>
      </c>
      <c r="K400" s="1">
        <f t="shared" si="110"/>
        <v>-766.5927499606737</v>
      </c>
      <c r="L400" s="1">
        <f t="shared" si="103"/>
        <v>765826.15721071302</v>
      </c>
      <c r="N400" s="1">
        <f t="shared" si="111"/>
        <v>377</v>
      </c>
      <c r="O400" s="2">
        <f t="shared" si="116"/>
        <v>31</v>
      </c>
      <c r="P400" s="2">
        <f t="shared" si="117"/>
        <v>5</v>
      </c>
      <c r="Q400" s="2">
        <f t="shared" si="118"/>
        <v>31</v>
      </c>
      <c r="R400" s="1">
        <f t="shared" si="112"/>
        <v>15717631.266410183</v>
      </c>
      <c r="S400" s="4">
        <f>IF($G$4="mensual",S399,0)</f>
        <v>10000</v>
      </c>
      <c r="U400" s="1">
        <f t="shared" si="119"/>
        <v>125414.34033237235</v>
      </c>
      <c r="V400" s="1">
        <f t="shared" si="120"/>
        <v>-257.03276587466269</v>
      </c>
      <c r="X400" s="1">
        <f t="shared" si="104"/>
        <v>-15853.045606742555</v>
      </c>
      <c r="Y400" s="1">
        <f t="shared" si="105"/>
        <v>15836935.528369939</v>
      </c>
      <c r="AA400" s="2">
        <f>+Bono!J400</f>
        <v>389996.62550095189</v>
      </c>
      <c r="AC400" s="10">
        <f t="shared" si="106"/>
        <v>31.416666666666668</v>
      </c>
      <c r="AD400" s="1">
        <f t="shared" si="107"/>
        <v>16992758.311081603</v>
      </c>
    </row>
    <row r="401" spans="2:30">
      <c r="B401" s="1">
        <f t="shared" si="108"/>
        <v>378</v>
      </c>
      <c r="C401" s="2">
        <f t="shared" si="113"/>
        <v>31</v>
      </c>
      <c r="D401" s="2">
        <f t="shared" si="114"/>
        <v>6</v>
      </c>
      <c r="E401" s="2">
        <f t="shared" si="115"/>
        <v>60</v>
      </c>
      <c r="F401" s="1">
        <f t="shared" si="109"/>
        <v>765826.15721071302</v>
      </c>
      <c r="H401" s="1">
        <f t="shared" si="102"/>
        <v>6106.8053217259567</v>
      </c>
      <c r="I401" s="1">
        <v>0</v>
      </c>
      <c r="J401" s="69">
        <f>-SUM(F401:H401)*$J$21</f>
        <v>-6947.3966627919508</v>
      </c>
      <c r="K401" s="1">
        <f t="shared" si="110"/>
        <v>-764.98556586964696</v>
      </c>
      <c r="L401" s="1">
        <f t="shared" si="103"/>
        <v>764220.58030377736</v>
      </c>
      <c r="N401" s="1">
        <f t="shared" si="111"/>
        <v>378</v>
      </c>
      <c r="O401" s="2">
        <f t="shared" si="116"/>
        <v>31</v>
      </c>
      <c r="P401" s="2">
        <f t="shared" si="117"/>
        <v>6</v>
      </c>
      <c r="Q401" s="2">
        <f t="shared" si="118"/>
        <v>31</v>
      </c>
      <c r="R401" s="1">
        <f t="shared" si="112"/>
        <v>15836935.528369939</v>
      </c>
      <c r="S401" s="4">
        <f>IF($G$4="mensual",S400,0)</f>
        <v>10000</v>
      </c>
      <c r="U401" s="1">
        <f t="shared" si="119"/>
        <v>126365.68927100617</v>
      </c>
      <c r="V401" s="1">
        <f t="shared" si="120"/>
        <v>-257.03276587466269</v>
      </c>
      <c r="X401" s="1">
        <f t="shared" si="104"/>
        <v>-15973.301217640947</v>
      </c>
      <c r="Y401" s="1">
        <f t="shared" si="105"/>
        <v>15957070.883657429</v>
      </c>
      <c r="AA401" s="2">
        <f>+Bono!J401</f>
        <v>388879.38270040817</v>
      </c>
      <c r="AC401" s="10">
        <f t="shared" si="106"/>
        <v>31.5</v>
      </c>
      <c r="AD401" s="1">
        <f t="shared" si="107"/>
        <v>17110170.846661616</v>
      </c>
    </row>
    <row r="402" spans="2:30">
      <c r="B402" s="1">
        <f t="shared" si="108"/>
        <v>379</v>
      </c>
      <c r="C402" s="2">
        <f t="shared" si="113"/>
        <v>31</v>
      </c>
      <c r="D402" s="2">
        <f t="shared" si="114"/>
        <v>7</v>
      </c>
      <c r="E402" s="2">
        <f t="shared" si="115"/>
        <v>60</v>
      </c>
      <c r="F402" s="1">
        <f t="shared" si="109"/>
        <v>764220.58030377736</v>
      </c>
      <c r="H402" s="1">
        <f t="shared" si="102"/>
        <v>6094.0022260006472</v>
      </c>
      <c r="I402" s="1">
        <v>0</v>
      </c>
      <c r="J402" s="1">
        <v>0</v>
      </c>
      <c r="K402" s="1">
        <f t="shared" si="110"/>
        <v>-770.31458252977802</v>
      </c>
      <c r="L402" s="1">
        <f t="shared" si="103"/>
        <v>769544.26794724818</v>
      </c>
      <c r="N402" s="1">
        <f t="shared" si="111"/>
        <v>379</v>
      </c>
      <c r="O402" s="2">
        <f t="shared" si="116"/>
        <v>31</v>
      </c>
      <c r="P402" s="2">
        <f t="shared" si="117"/>
        <v>7</v>
      </c>
      <c r="Q402" s="2">
        <f t="shared" si="118"/>
        <v>31</v>
      </c>
      <c r="R402" s="1">
        <f t="shared" si="112"/>
        <v>15957070.883657429</v>
      </c>
      <c r="S402" s="1">
        <f>+IF($G$4="mensual",S396,IF($G$4="trimestral",S396,IF($G$4="semestral",S396,0)))</f>
        <v>10000</v>
      </c>
      <c r="U402" s="1">
        <f t="shared" si="119"/>
        <v>127323.66546454486</v>
      </c>
      <c r="V402" s="1">
        <f t="shared" si="120"/>
        <v>-257.03276587466269</v>
      </c>
      <c r="X402" s="1">
        <f t="shared" si="104"/>
        <v>-16094.394549121975</v>
      </c>
      <c r="Y402" s="1">
        <f t="shared" si="105"/>
        <v>16078043.121806977</v>
      </c>
      <c r="AA402" s="2">
        <f>+Bono!J402</f>
        <v>391290.47998036712</v>
      </c>
      <c r="AC402" s="10">
        <f t="shared" si="106"/>
        <v>31.583333333333332</v>
      </c>
      <c r="AD402" s="1">
        <f t="shared" si="107"/>
        <v>17238877.869734593</v>
      </c>
    </row>
    <row r="403" spans="2:30">
      <c r="B403" s="1">
        <f t="shared" si="108"/>
        <v>380</v>
      </c>
      <c r="C403" s="2">
        <f t="shared" si="113"/>
        <v>31</v>
      </c>
      <c r="D403" s="2">
        <f t="shared" si="114"/>
        <v>8</v>
      </c>
      <c r="E403" s="2">
        <f t="shared" si="115"/>
        <v>60</v>
      </c>
      <c r="F403" s="1">
        <f t="shared" si="109"/>
        <v>769544.26794724818</v>
      </c>
      <c r="H403" s="1">
        <f t="shared" si="102"/>
        <v>6136.4540588693026</v>
      </c>
      <c r="I403" s="1">
        <v>0</v>
      </c>
      <c r="J403" s="1">
        <v>0</v>
      </c>
      <c r="K403" s="1">
        <f t="shared" si="110"/>
        <v>-775.68072200611743</v>
      </c>
      <c r="L403" s="1">
        <f t="shared" si="103"/>
        <v>774905.04128411133</v>
      </c>
      <c r="N403" s="1">
        <f t="shared" si="111"/>
        <v>380</v>
      </c>
      <c r="O403" s="2">
        <f t="shared" si="116"/>
        <v>31</v>
      </c>
      <c r="P403" s="2">
        <f t="shared" si="117"/>
        <v>8</v>
      </c>
      <c r="Q403" s="2">
        <f t="shared" si="118"/>
        <v>31</v>
      </c>
      <c r="R403" s="1">
        <f t="shared" si="112"/>
        <v>16078043.121806977</v>
      </c>
      <c r="S403" s="4">
        <f>IF($G$4="mensual",S402,0)</f>
        <v>10000</v>
      </c>
      <c r="U403" s="1">
        <f t="shared" si="119"/>
        <v>128288.31507954815</v>
      </c>
      <c r="V403" s="1">
        <f t="shared" si="120"/>
        <v>-257.03276587466269</v>
      </c>
      <c r="X403" s="1">
        <f t="shared" si="104"/>
        <v>-16216.331436886525</v>
      </c>
      <c r="Y403" s="1">
        <f t="shared" si="105"/>
        <v>16199858.072683763</v>
      </c>
      <c r="AA403" s="2">
        <f>+Bono!J403</f>
        <v>393716.52634313185</v>
      </c>
      <c r="AC403" s="10">
        <f t="shared" si="106"/>
        <v>31.666666666666668</v>
      </c>
      <c r="AD403" s="1">
        <f t="shared" si="107"/>
        <v>17368479.640311006</v>
      </c>
    </row>
    <row r="404" spans="2:30">
      <c r="B404" s="1">
        <f t="shared" si="108"/>
        <v>381</v>
      </c>
      <c r="C404" s="2">
        <f t="shared" si="113"/>
        <v>31</v>
      </c>
      <c r="D404" s="2">
        <f t="shared" si="114"/>
        <v>9</v>
      </c>
      <c r="E404" s="2">
        <f t="shared" si="115"/>
        <v>60</v>
      </c>
      <c r="F404" s="1">
        <f t="shared" si="109"/>
        <v>774905.04128411133</v>
      </c>
      <c r="H404" s="1">
        <f t="shared" si="102"/>
        <v>6179.2016182649722</v>
      </c>
      <c r="I404" s="1">
        <v>0</v>
      </c>
      <c r="J404" s="69">
        <f>-SUM(F404:H404)*$J$21</f>
        <v>-7029.7581861213876</v>
      </c>
      <c r="K404" s="1">
        <f t="shared" si="110"/>
        <v>-774.05448471625505</v>
      </c>
      <c r="L404" s="1">
        <f t="shared" si="103"/>
        <v>773280.43023153872</v>
      </c>
      <c r="N404" s="1">
        <f t="shared" si="111"/>
        <v>381</v>
      </c>
      <c r="O404" s="2">
        <f t="shared" si="116"/>
        <v>31</v>
      </c>
      <c r="P404" s="2">
        <f t="shared" si="117"/>
        <v>9</v>
      </c>
      <c r="Q404" s="2">
        <f t="shared" si="118"/>
        <v>31</v>
      </c>
      <c r="R404" s="1">
        <f t="shared" si="112"/>
        <v>16199858.072683763</v>
      </c>
      <c r="S404" s="4">
        <f>IF($G$4="mensual",S403,0)</f>
        <v>10000</v>
      </c>
      <c r="U404" s="1">
        <f t="shared" si="119"/>
        <v>129259.68460417965</v>
      </c>
      <c r="V404" s="1">
        <f t="shared" si="120"/>
        <v>-257.03276587466269</v>
      </c>
      <c r="X404" s="1">
        <f t="shared" si="104"/>
        <v>-16339.117757287942</v>
      </c>
      <c r="Y404" s="1">
        <f t="shared" si="105"/>
        <v>16322521.606764778</v>
      </c>
      <c r="AA404" s="2">
        <f>+Bono!J404</f>
        <v>392588.62695695914</v>
      </c>
      <c r="AC404" s="10">
        <f t="shared" si="106"/>
        <v>31.75</v>
      </c>
      <c r="AD404" s="1">
        <f t="shared" si="107"/>
        <v>17488390.663953274</v>
      </c>
    </row>
    <row r="405" spans="2:30">
      <c r="B405" s="1">
        <f t="shared" si="108"/>
        <v>382</v>
      </c>
      <c r="C405" s="2">
        <f t="shared" si="113"/>
        <v>31</v>
      </c>
      <c r="D405" s="2">
        <f t="shared" si="114"/>
        <v>10</v>
      </c>
      <c r="E405" s="2">
        <f t="shared" si="115"/>
        <v>60</v>
      </c>
      <c r="F405" s="1">
        <f t="shared" si="109"/>
        <v>773280.43023153872</v>
      </c>
      <c r="H405" s="1">
        <f t="shared" si="102"/>
        <v>6166.2467415894098</v>
      </c>
      <c r="I405" s="1">
        <v>0</v>
      </c>
      <c r="J405" s="1">
        <v>0</v>
      </c>
      <c r="K405" s="1">
        <f t="shared" si="110"/>
        <v>-779.44667697312809</v>
      </c>
      <c r="L405" s="1">
        <f t="shared" si="103"/>
        <v>778667.23029615497</v>
      </c>
      <c r="N405" s="1">
        <f t="shared" si="111"/>
        <v>382</v>
      </c>
      <c r="O405" s="2">
        <f t="shared" si="116"/>
        <v>31</v>
      </c>
      <c r="P405" s="2">
        <f t="shared" si="117"/>
        <v>10</v>
      </c>
      <c r="Q405" s="2">
        <f t="shared" si="118"/>
        <v>31</v>
      </c>
      <c r="R405" s="1">
        <f t="shared" si="112"/>
        <v>16322521.606764778</v>
      </c>
      <c r="S405" s="4">
        <f>IF($G$4="mensual",S396,IF($G$4="trimestral",S396,0))</f>
        <v>10000</v>
      </c>
      <c r="U405" s="1">
        <f t="shared" si="119"/>
        <v>130237.82085044729</v>
      </c>
      <c r="V405" s="1">
        <f t="shared" si="120"/>
        <v>-257.03276587466269</v>
      </c>
      <c r="X405" s="1">
        <f t="shared" si="104"/>
        <v>-16462.759427615227</v>
      </c>
      <c r="Y405" s="1">
        <f t="shared" si="105"/>
        <v>16446039.635421736</v>
      </c>
      <c r="AA405" s="2">
        <f>+Bono!J405</f>
        <v>395022.72198155447</v>
      </c>
      <c r="AC405" s="10">
        <f t="shared" si="106"/>
        <v>31.833333333333332</v>
      </c>
      <c r="AD405" s="1">
        <f t="shared" si="107"/>
        <v>17619729.587699443</v>
      </c>
    </row>
    <row r="406" spans="2:30">
      <c r="B406" s="1">
        <f t="shared" si="108"/>
        <v>383</v>
      </c>
      <c r="C406" s="2">
        <f t="shared" si="113"/>
        <v>31</v>
      </c>
      <c r="D406" s="2">
        <f t="shared" si="114"/>
        <v>11</v>
      </c>
      <c r="E406" s="2">
        <f t="shared" si="115"/>
        <v>60</v>
      </c>
      <c r="F406" s="1">
        <f t="shared" si="109"/>
        <v>778667.23029615497</v>
      </c>
      <c r="H406" s="1">
        <f t="shared" si="102"/>
        <v>6209.201841767087</v>
      </c>
      <c r="I406" s="1">
        <v>0</v>
      </c>
      <c r="J406" s="1">
        <v>0</v>
      </c>
      <c r="K406" s="1">
        <f t="shared" si="110"/>
        <v>-784.87643213792205</v>
      </c>
      <c r="L406" s="1">
        <f t="shared" si="103"/>
        <v>784091.55570578412</v>
      </c>
      <c r="N406" s="1">
        <f t="shared" si="111"/>
        <v>383</v>
      </c>
      <c r="O406" s="2">
        <f t="shared" si="116"/>
        <v>31</v>
      </c>
      <c r="P406" s="2">
        <f t="shared" si="117"/>
        <v>11</v>
      </c>
      <c r="Q406" s="2">
        <f t="shared" si="118"/>
        <v>31</v>
      </c>
      <c r="R406" s="1">
        <f t="shared" si="112"/>
        <v>16446039.635421736</v>
      </c>
      <c r="S406" s="1">
        <f>IF($G$17="si",S394*(1+$G$20),S394)</f>
        <v>10000</v>
      </c>
      <c r="U406" s="1">
        <f t="shared" si="119"/>
        <v>131222.77095645922</v>
      </c>
      <c r="V406" s="1">
        <f t="shared" si="120"/>
        <v>-257.03276587466269</v>
      </c>
      <c r="X406" s="1">
        <f t="shared" si="104"/>
        <v>-16587.262406378195</v>
      </c>
      <c r="Y406" s="1">
        <f t="shared" si="105"/>
        <v>16570418.111205941</v>
      </c>
      <c r="AA406" s="2">
        <f>+Bono!J406</f>
        <v>397471.90867763979</v>
      </c>
      <c r="AC406" s="10">
        <f t="shared" si="106"/>
        <v>31.916666666666668</v>
      </c>
      <c r="AD406" s="1">
        <f t="shared" si="107"/>
        <v>17751981.575589366</v>
      </c>
    </row>
    <row r="407" spans="2:30">
      <c r="B407" s="1">
        <f t="shared" si="108"/>
        <v>384</v>
      </c>
      <c r="C407" s="2">
        <f t="shared" si="113"/>
        <v>31</v>
      </c>
      <c r="D407" s="2">
        <f t="shared" si="114"/>
        <v>12</v>
      </c>
      <c r="E407" s="2">
        <f t="shared" si="115"/>
        <v>60</v>
      </c>
      <c r="F407" s="1">
        <f t="shared" si="109"/>
        <v>784091.55570578412</v>
      </c>
      <c r="H407" s="1">
        <f t="shared" si="102"/>
        <v>6252.4561743155409</v>
      </c>
      <c r="I407" s="1">
        <v>0</v>
      </c>
      <c r="J407" s="69">
        <f>-SUM(F407:H407)*$J$21</f>
        <v>-7113.0961069208979</v>
      </c>
      <c r="K407" s="1">
        <f t="shared" si="110"/>
        <v>-783.23091577317882</v>
      </c>
      <c r="L407" s="1">
        <f t="shared" si="103"/>
        <v>782447.68485740561</v>
      </c>
      <c r="N407" s="1">
        <f t="shared" si="111"/>
        <v>384</v>
      </c>
      <c r="O407" s="2">
        <f t="shared" si="116"/>
        <v>31</v>
      </c>
      <c r="P407" s="2">
        <f t="shared" si="117"/>
        <v>12</v>
      </c>
      <c r="Q407" s="2">
        <f t="shared" si="118"/>
        <v>31</v>
      </c>
      <c r="R407" s="1">
        <f t="shared" si="112"/>
        <v>16570418.111205941</v>
      </c>
      <c r="S407" s="4">
        <f>IF($G$4="mensual",S406,0)</f>
        <v>10000</v>
      </c>
      <c r="U407" s="1">
        <f t="shared" si="119"/>
        <v>132214.58238869547</v>
      </c>
      <c r="V407" s="1">
        <f t="shared" si="120"/>
        <v>-257.03276587466269</v>
      </c>
      <c r="X407" s="1">
        <f t="shared" si="104"/>
        <v>-16712.632693594638</v>
      </c>
      <c r="Y407" s="1">
        <f t="shared" si="105"/>
        <v>16695663.028135167</v>
      </c>
      <c r="AA407" s="2">
        <f>+Bono!J407</f>
        <v>396333.25106023595</v>
      </c>
      <c r="AC407" s="10">
        <f t="shared" si="106"/>
        <v>32</v>
      </c>
      <c r="AD407" s="1">
        <f t="shared" si="107"/>
        <v>17874443.964052808</v>
      </c>
    </row>
    <row r="408" spans="2:30">
      <c r="B408" s="1">
        <f t="shared" si="108"/>
        <v>385</v>
      </c>
      <c r="C408" s="2">
        <f t="shared" si="113"/>
        <v>32</v>
      </c>
      <c r="D408" s="2">
        <f t="shared" si="114"/>
        <v>1</v>
      </c>
      <c r="E408" s="2">
        <f t="shared" si="115"/>
        <v>61</v>
      </c>
      <c r="F408" s="1">
        <f t="shared" si="109"/>
        <v>782447.68485740561</v>
      </c>
      <c r="H408" s="1">
        <f t="shared" ref="H408:H471" si="121">SUM(F408:G408)*$G$8</f>
        <v>6239.3477173235897</v>
      </c>
      <c r="I408" s="1">
        <v>0</v>
      </c>
      <c r="J408" s="1">
        <v>0</v>
      </c>
      <c r="K408" s="1">
        <f t="shared" si="110"/>
        <v>-788.68703257472919</v>
      </c>
      <c r="L408" s="1">
        <f t="shared" ref="L408:L471" si="122">SUM(F408:K408)</f>
        <v>787898.34554215451</v>
      </c>
      <c r="N408" s="1">
        <f t="shared" si="111"/>
        <v>385</v>
      </c>
      <c r="O408" s="2">
        <f t="shared" si="116"/>
        <v>32</v>
      </c>
      <c r="P408" s="2">
        <f t="shared" si="117"/>
        <v>1</v>
      </c>
      <c r="Q408" s="2">
        <f t="shared" si="118"/>
        <v>32</v>
      </c>
      <c r="R408" s="1">
        <f t="shared" si="112"/>
        <v>16695663.028135167</v>
      </c>
      <c r="S408" s="1">
        <f>IF($G$17="si",S396*(1+$G$20),S396)</f>
        <v>10000</v>
      </c>
      <c r="U408" s="1">
        <f t="shared" si="119"/>
        <v>133213.30294429552</v>
      </c>
      <c r="V408" s="1">
        <f>V407*(1+$G$18)</f>
        <v>-267.31407650964923</v>
      </c>
      <c r="X408" s="1">
        <f t="shared" ref="X408:X471" si="123">-SUM(R408:U408)*0.1%</f>
        <v>-16838.876331079464</v>
      </c>
      <c r="Y408" s="1">
        <f t="shared" ref="Y408:Y471" si="124">SUM(R408:X408)</f>
        <v>16821770.140671875</v>
      </c>
      <c r="AA408" s="2">
        <f>+Bono!J408</f>
        <v>398790.56318862113</v>
      </c>
      <c r="AC408" s="10">
        <f t="shared" ref="AC408:AC471" si="125">+B408/12</f>
        <v>32.083333333333336</v>
      </c>
      <c r="AD408" s="1">
        <f t="shared" ref="AD408:AD471" si="126">+AA408+Y408+L408</f>
        <v>18008459.04940265</v>
      </c>
    </row>
    <row r="409" spans="2:30">
      <c r="B409" s="1">
        <f t="shared" ref="B409:B472" si="127">+B408+1</f>
        <v>386</v>
      </c>
      <c r="C409" s="2">
        <f t="shared" si="113"/>
        <v>32</v>
      </c>
      <c r="D409" s="2">
        <f t="shared" si="114"/>
        <v>2</v>
      </c>
      <c r="E409" s="2">
        <f t="shared" si="115"/>
        <v>61</v>
      </c>
      <c r="F409" s="1">
        <f t="shared" ref="F409:F472" si="128">L408</f>
        <v>787898.34554215451</v>
      </c>
      <c r="H409" s="1">
        <f t="shared" si="121"/>
        <v>6282.8120510540821</v>
      </c>
      <c r="I409" s="1">
        <v>0</v>
      </c>
      <c r="J409" s="1">
        <v>0</v>
      </c>
      <c r="K409" s="1">
        <f t="shared" ref="K409:K472" si="129">-SUM(F409:J409)*0.1%</f>
        <v>-794.18115759320858</v>
      </c>
      <c r="L409" s="1">
        <f t="shared" si="122"/>
        <v>793386.97643561533</v>
      </c>
      <c r="N409" s="1">
        <f t="shared" ref="N409:N472" si="130">+N408+1</f>
        <v>386</v>
      </c>
      <c r="O409" s="2">
        <f t="shared" si="116"/>
        <v>32</v>
      </c>
      <c r="P409" s="2">
        <f t="shared" si="117"/>
        <v>2</v>
      </c>
      <c r="Q409" s="2">
        <f t="shared" si="118"/>
        <v>32</v>
      </c>
      <c r="R409" s="1">
        <f t="shared" ref="R409:R472" si="131">Y408</f>
        <v>16821770.140671875</v>
      </c>
      <c r="S409" s="4">
        <f>IF($G$4="mensual",S408,0)</f>
        <v>10000</v>
      </c>
      <c r="U409" s="1">
        <f t="shared" si="119"/>
        <v>134218.89876874679</v>
      </c>
      <c r="V409" s="1">
        <f>V408</f>
        <v>-267.31407650964923</v>
      </c>
      <c r="X409" s="1">
        <f t="shared" si="123"/>
        <v>-16965.989039440621</v>
      </c>
      <c r="Y409" s="1">
        <f t="shared" si="124"/>
        <v>16948755.736324672</v>
      </c>
      <c r="AA409" s="2">
        <f>+Bono!J409</f>
        <v>401263.11093723285</v>
      </c>
      <c r="AC409" s="10">
        <f t="shared" si="125"/>
        <v>32.166666666666664</v>
      </c>
      <c r="AD409" s="1">
        <f t="shared" si="126"/>
        <v>18143405.823697522</v>
      </c>
    </row>
    <row r="410" spans="2:30">
      <c r="B410" s="1">
        <f t="shared" si="127"/>
        <v>387</v>
      </c>
      <c r="C410" s="2">
        <f t="shared" si="113"/>
        <v>32</v>
      </c>
      <c r="D410" s="2">
        <f t="shared" si="114"/>
        <v>3</v>
      </c>
      <c r="E410" s="2">
        <f t="shared" si="115"/>
        <v>61</v>
      </c>
      <c r="F410" s="1">
        <f t="shared" si="128"/>
        <v>793386.97643561533</v>
      </c>
      <c r="H410" s="1">
        <f t="shared" si="121"/>
        <v>6326.5791645609588</v>
      </c>
      <c r="I410" s="1">
        <v>0</v>
      </c>
      <c r="J410" s="69">
        <f>-SUM(F410:H410)*$J$21</f>
        <v>-7197.4220004015879</v>
      </c>
      <c r="K410" s="1">
        <f t="shared" si="129"/>
        <v>-792.51613359977478</v>
      </c>
      <c r="L410" s="1">
        <f t="shared" si="122"/>
        <v>791723.617466175</v>
      </c>
      <c r="N410" s="1">
        <f t="shared" si="130"/>
        <v>387</v>
      </c>
      <c r="O410" s="2">
        <f t="shared" si="116"/>
        <v>32</v>
      </c>
      <c r="P410" s="2">
        <f t="shared" si="117"/>
        <v>3</v>
      </c>
      <c r="Q410" s="2">
        <f t="shared" si="118"/>
        <v>32</v>
      </c>
      <c r="R410" s="1">
        <f t="shared" si="131"/>
        <v>16948755.736324672</v>
      </c>
      <c r="S410" s="4">
        <f>IF($G$4="mensual",S409,0)</f>
        <v>10000</v>
      </c>
      <c r="U410" s="1">
        <f t="shared" si="119"/>
        <v>135231.49974093019</v>
      </c>
      <c r="V410" s="1">
        <f t="shared" si="120"/>
        <v>-267.31407650964923</v>
      </c>
      <c r="X410" s="1">
        <f t="shared" si="123"/>
        <v>-17093.987236065601</v>
      </c>
      <c r="Y410" s="1">
        <f t="shared" si="124"/>
        <v>17076625.934753027</v>
      </c>
      <c r="AA410" s="2">
        <f>+Bono!J410</f>
        <v>400113.59247347037</v>
      </c>
      <c r="AC410" s="10">
        <f t="shared" si="125"/>
        <v>32.25</v>
      </c>
      <c r="AD410" s="1">
        <f t="shared" si="126"/>
        <v>18268463.144692671</v>
      </c>
    </row>
    <row r="411" spans="2:30">
      <c r="B411" s="1">
        <f t="shared" si="127"/>
        <v>388</v>
      </c>
      <c r="C411" s="2">
        <f t="shared" si="113"/>
        <v>32</v>
      </c>
      <c r="D411" s="2">
        <f t="shared" si="114"/>
        <v>4</v>
      </c>
      <c r="E411" s="2">
        <f t="shared" si="115"/>
        <v>61</v>
      </c>
      <c r="F411" s="1">
        <f t="shared" si="128"/>
        <v>791723.617466175</v>
      </c>
      <c r="H411" s="1">
        <f t="shared" si="121"/>
        <v>6313.3153065549641</v>
      </c>
      <c r="I411" s="1">
        <v>0</v>
      </c>
      <c r="J411" s="1">
        <v>0</v>
      </c>
      <c r="K411" s="1">
        <f t="shared" si="129"/>
        <v>-798.03693277272998</v>
      </c>
      <c r="L411" s="1">
        <f t="shared" si="122"/>
        <v>797238.89583995729</v>
      </c>
      <c r="N411" s="1">
        <f t="shared" si="130"/>
        <v>388</v>
      </c>
      <c r="O411" s="2">
        <f t="shared" si="116"/>
        <v>32</v>
      </c>
      <c r="P411" s="2">
        <f t="shared" si="117"/>
        <v>4</v>
      </c>
      <c r="Q411" s="2">
        <f t="shared" si="118"/>
        <v>32</v>
      </c>
      <c r="R411" s="1">
        <f t="shared" si="131"/>
        <v>17076625.934753027</v>
      </c>
      <c r="S411" s="4">
        <f>IF($G$4="mensual",S408,IF($G$4="trimestral",S408,0))</f>
        <v>10000</v>
      </c>
      <c r="U411" s="1">
        <f t="shared" si="119"/>
        <v>136251.15465986967</v>
      </c>
      <c r="V411" s="1">
        <f t="shared" si="120"/>
        <v>-267.31407650964923</v>
      </c>
      <c r="X411" s="1">
        <f t="shared" si="123"/>
        <v>-17222.877089412897</v>
      </c>
      <c r="Y411" s="1">
        <f t="shared" si="124"/>
        <v>17205386.898246974</v>
      </c>
      <c r="AA411" s="2">
        <f>+Bono!J411</f>
        <v>402594.34315711004</v>
      </c>
      <c r="AC411" s="10">
        <f t="shared" si="125"/>
        <v>32.333333333333336</v>
      </c>
      <c r="AD411" s="1">
        <f t="shared" si="126"/>
        <v>18405220.137244038</v>
      </c>
    </row>
    <row r="412" spans="2:30">
      <c r="B412" s="1">
        <f t="shared" si="127"/>
        <v>389</v>
      </c>
      <c r="C412" s="2">
        <f t="shared" si="113"/>
        <v>32</v>
      </c>
      <c r="D412" s="2">
        <f t="shared" si="114"/>
        <v>5</v>
      </c>
      <c r="E412" s="2">
        <f t="shared" si="115"/>
        <v>61</v>
      </c>
      <c r="F412" s="1">
        <f t="shared" si="128"/>
        <v>797238.89583995729</v>
      </c>
      <c r="H412" s="1">
        <f t="shared" si="121"/>
        <v>6357.2949108120001</v>
      </c>
      <c r="I412" s="1">
        <v>0</v>
      </c>
      <c r="J412" s="1">
        <v>0</v>
      </c>
      <c r="K412" s="1">
        <f t="shared" si="129"/>
        <v>-803.59619075076932</v>
      </c>
      <c r="L412" s="1">
        <f t="shared" si="122"/>
        <v>802792.59456001862</v>
      </c>
      <c r="N412" s="1">
        <f t="shared" si="130"/>
        <v>389</v>
      </c>
      <c r="O412" s="2">
        <f t="shared" si="116"/>
        <v>32</v>
      </c>
      <c r="P412" s="2">
        <f t="shared" si="117"/>
        <v>5</v>
      </c>
      <c r="Q412" s="2">
        <f t="shared" si="118"/>
        <v>32</v>
      </c>
      <c r="R412" s="1">
        <f t="shared" si="131"/>
        <v>17205386.898246974</v>
      </c>
      <c r="S412" s="4">
        <f>IF($G$4="mensual",S411,0)</f>
        <v>10000</v>
      </c>
      <c r="U412" s="1">
        <f t="shared" si="119"/>
        <v>137277.91266453138</v>
      </c>
      <c r="V412" s="1">
        <f t="shared" si="120"/>
        <v>-267.31407650964923</v>
      </c>
      <c r="X412" s="1">
        <f t="shared" si="123"/>
        <v>-17352.664810911509</v>
      </c>
      <c r="Y412" s="1">
        <f t="shared" si="124"/>
        <v>17335044.832024086</v>
      </c>
      <c r="AA412" s="2">
        <f>+Bono!J412</f>
        <v>405090.47478273755</v>
      </c>
      <c r="AC412" s="10">
        <f t="shared" si="125"/>
        <v>32.416666666666664</v>
      </c>
      <c r="AD412" s="1">
        <f t="shared" si="126"/>
        <v>18542927.901366845</v>
      </c>
    </row>
    <row r="413" spans="2:30">
      <c r="B413" s="1">
        <f t="shared" si="127"/>
        <v>390</v>
      </c>
      <c r="C413" s="2">
        <f t="shared" si="113"/>
        <v>32</v>
      </c>
      <c r="D413" s="2">
        <f t="shared" si="114"/>
        <v>6</v>
      </c>
      <c r="E413" s="2">
        <f t="shared" si="115"/>
        <v>61</v>
      </c>
      <c r="F413" s="1">
        <f t="shared" si="128"/>
        <v>802792.59456001862</v>
      </c>
      <c r="H413" s="1">
        <f t="shared" si="121"/>
        <v>6401.5808843055929</v>
      </c>
      <c r="I413" s="1">
        <v>0</v>
      </c>
      <c r="J413" s="69">
        <f>-SUM(F413:H413)*$J$21</f>
        <v>-7282.7475789989194</v>
      </c>
      <c r="K413" s="1">
        <f t="shared" si="129"/>
        <v>-801.91142786532532</v>
      </c>
      <c r="L413" s="1">
        <f t="shared" si="122"/>
        <v>801109.51643746009</v>
      </c>
      <c r="N413" s="1">
        <f t="shared" si="130"/>
        <v>390</v>
      </c>
      <c r="O413" s="2">
        <f t="shared" si="116"/>
        <v>32</v>
      </c>
      <c r="P413" s="2">
        <f t="shared" si="117"/>
        <v>6</v>
      </c>
      <c r="Q413" s="2">
        <f t="shared" si="118"/>
        <v>32</v>
      </c>
      <c r="R413" s="1">
        <f t="shared" si="131"/>
        <v>17335044.832024086</v>
      </c>
      <c r="S413" s="4">
        <f>IF($G$4="mensual",S412,0)</f>
        <v>10000</v>
      </c>
      <c r="U413" s="1">
        <f t="shared" si="119"/>
        <v>138311.82323619156</v>
      </c>
      <c r="V413" s="1">
        <f t="shared" si="120"/>
        <v>-267.31407650964923</v>
      </c>
      <c r="X413" s="1">
        <f t="shared" si="123"/>
        <v>-17483.356655260275</v>
      </c>
      <c r="Y413" s="1">
        <f t="shared" si="124"/>
        <v>17465605.984528508</v>
      </c>
      <c r="AA413" s="2">
        <f>+Bono!J413</f>
        <v>403929.99187871628</v>
      </c>
      <c r="AC413" s="10">
        <f t="shared" si="125"/>
        <v>32.5</v>
      </c>
      <c r="AD413" s="1">
        <f t="shared" si="126"/>
        <v>18670645.492844682</v>
      </c>
    </row>
    <row r="414" spans="2:30">
      <c r="B414" s="1">
        <f t="shared" si="127"/>
        <v>391</v>
      </c>
      <c r="C414" s="2">
        <f t="shared" si="113"/>
        <v>32</v>
      </c>
      <c r="D414" s="2">
        <f t="shared" si="114"/>
        <v>7</v>
      </c>
      <c r="E414" s="2">
        <f t="shared" si="115"/>
        <v>61</v>
      </c>
      <c r="F414" s="1">
        <f t="shared" si="128"/>
        <v>801109.51643746009</v>
      </c>
      <c r="H414" s="1">
        <f t="shared" si="121"/>
        <v>6388.1597830034952</v>
      </c>
      <c r="I414" s="1">
        <v>0</v>
      </c>
      <c r="J414" s="1">
        <v>0</v>
      </c>
      <c r="K414" s="1">
        <f t="shared" si="129"/>
        <v>-807.49767622046363</v>
      </c>
      <c r="L414" s="1">
        <f t="shared" si="122"/>
        <v>806690.1785442431</v>
      </c>
      <c r="N414" s="1">
        <f t="shared" si="130"/>
        <v>391</v>
      </c>
      <c r="O414" s="2">
        <f t="shared" si="116"/>
        <v>32</v>
      </c>
      <c r="P414" s="2">
        <f t="shared" si="117"/>
        <v>7</v>
      </c>
      <c r="Q414" s="2">
        <f t="shared" si="118"/>
        <v>32</v>
      </c>
      <c r="R414" s="1">
        <f t="shared" si="131"/>
        <v>17465605.984528508</v>
      </c>
      <c r="S414" s="1">
        <f>+IF($G$4="mensual",S408,IF($G$4="trimestral",S408,IF($G$4="semestral",S408,0)))</f>
        <v>10000</v>
      </c>
      <c r="U414" s="1">
        <f t="shared" si="119"/>
        <v>139352.93620082134</v>
      </c>
      <c r="V414" s="1">
        <f t="shared" si="120"/>
        <v>-267.31407650964923</v>
      </c>
      <c r="X414" s="1">
        <f t="shared" si="123"/>
        <v>-17614.958920729328</v>
      </c>
      <c r="Y414" s="1">
        <f t="shared" si="124"/>
        <v>17597076.64773209</v>
      </c>
      <c r="AA414" s="2">
        <f>+Bono!J414</f>
        <v>406434.40468134341</v>
      </c>
      <c r="AC414" s="10">
        <f t="shared" si="125"/>
        <v>32.583333333333336</v>
      </c>
      <c r="AD414" s="1">
        <f t="shared" si="126"/>
        <v>18810201.230957676</v>
      </c>
    </row>
    <row r="415" spans="2:30">
      <c r="B415" s="1">
        <f t="shared" si="127"/>
        <v>392</v>
      </c>
      <c r="C415" s="2">
        <f t="shared" si="113"/>
        <v>32</v>
      </c>
      <c r="D415" s="2">
        <f t="shared" si="114"/>
        <v>8</v>
      </c>
      <c r="E415" s="2">
        <f t="shared" si="115"/>
        <v>61</v>
      </c>
      <c r="F415" s="1">
        <f t="shared" si="128"/>
        <v>806690.1785442431</v>
      </c>
      <c r="H415" s="1">
        <f t="shared" si="121"/>
        <v>6432.6607663292452</v>
      </c>
      <c r="I415" s="1">
        <v>0</v>
      </c>
      <c r="J415" s="1">
        <v>0</v>
      </c>
      <c r="K415" s="1">
        <f t="shared" si="129"/>
        <v>-813.12283931057243</v>
      </c>
      <c r="L415" s="1">
        <f t="shared" si="122"/>
        <v>812309.71647126181</v>
      </c>
      <c r="N415" s="1">
        <f t="shared" si="130"/>
        <v>392</v>
      </c>
      <c r="O415" s="2">
        <f t="shared" si="116"/>
        <v>32</v>
      </c>
      <c r="P415" s="2">
        <f t="shared" si="117"/>
        <v>8</v>
      </c>
      <c r="Q415" s="2">
        <f t="shared" si="118"/>
        <v>32</v>
      </c>
      <c r="R415" s="1">
        <f t="shared" si="131"/>
        <v>17597076.64773209</v>
      </c>
      <c r="S415" s="4">
        <f>IF($G$4="mensual",S414,0)</f>
        <v>10000</v>
      </c>
      <c r="U415" s="1">
        <f t="shared" si="119"/>
        <v>140401.30173148782</v>
      </c>
      <c r="V415" s="1">
        <f t="shared" si="120"/>
        <v>-267.31407650964923</v>
      </c>
      <c r="X415" s="1">
        <f t="shared" si="123"/>
        <v>-17747.47794946358</v>
      </c>
      <c r="Y415" s="1">
        <f t="shared" si="124"/>
        <v>17729463.157437608</v>
      </c>
      <c r="AA415" s="2">
        <f>+Bono!J415</f>
        <v>408954.34513384075</v>
      </c>
      <c r="AC415" s="10">
        <f t="shared" si="125"/>
        <v>32.666666666666664</v>
      </c>
      <c r="AD415" s="1">
        <f t="shared" si="126"/>
        <v>18950727.219042711</v>
      </c>
    </row>
    <row r="416" spans="2:30">
      <c r="B416" s="1">
        <f t="shared" si="127"/>
        <v>393</v>
      </c>
      <c r="C416" s="2">
        <f t="shared" si="113"/>
        <v>32</v>
      </c>
      <c r="D416" s="2">
        <f t="shared" si="114"/>
        <v>9</v>
      </c>
      <c r="E416" s="2">
        <f t="shared" si="115"/>
        <v>61</v>
      </c>
      <c r="F416" s="1">
        <f t="shared" si="128"/>
        <v>812309.71647126181</v>
      </c>
      <c r="H416" s="1">
        <f t="shared" si="121"/>
        <v>6477.4717509048432</v>
      </c>
      <c r="I416" s="1">
        <v>0</v>
      </c>
      <c r="J416" s="69">
        <f>-SUM(F416:H416)*$J$21</f>
        <v>-7369.0846939995008</v>
      </c>
      <c r="K416" s="1">
        <f t="shared" si="129"/>
        <v>-811.41810352816719</v>
      </c>
      <c r="L416" s="1">
        <f t="shared" si="122"/>
        <v>810606.68542463891</v>
      </c>
      <c r="N416" s="1">
        <f t="shared" si="130"/>
        <v>393</v>
      </c>
      <c r="O416" s="2">
        <f t="shared" si="116"/>
        <v>32</v>
      </c>
      <c r="P416" s="2">
        <f t="shared" si="117"/>
        <v>9</v>
      </c>
      <c r="Q416" s="2">
        <f t="shared" si="118"/>
        <v>32</v>
      </c>
      <c r="R416" s="1">
        <f t="shared" si="131"/>
        <v>17729463.157437608</v>
      </c>
      <c r="S416" s="4">
        <f>IF($G$4="mensual",S415,0)</f>
        <v>10000</v>
      </c>
      <c r="U416" s="1">
        <f t="shared" si="119"/>
        <v>141456.97035077206</v>
      </c>
      <c r="V416" s="1">
        <f t="shared" si="120"/>
        <v>-267.31407650964923</v>
      </c>
      <c r="X416" s="1">
        <f t="shared" si="123"/>
        <v>-17880.92012778838</v>
      </c>
      <c r="Y416" s="1">
        <f t="shared" si="124"/>
        <v>17862771.893584084</v>
      </c>
      <c r="AA416" s="2">
        <f>+Bono!J416</f>
        <v>407782.7932075517</v>
      </c>
      <c r="AC416" s="10">
        <f t="shared" si="125"/>
        <v>32.75</v>
      </c>
      <c r="AD416" s="1">
        <f t="shared" si="126"/>
        <v>19081161.372216277</v>
      </c>
    </row>
    <row r="417" spans="2:30">
      <c r="B417" s="1">
        <f t="shared" si="127"/>
        <v>394</v>
      </c>
      <c r="C417" s="2">
        <f t="shared" si="113"/>
        <v>32</v>
      </c>
      <c r="D417" s="2">
        <f t="shared" si="114"/>
        <v>10</v>
      </c>
      <c r="E417" s="2">
        <f t="shared" si="115"/>
        <v>61</v>
      </c>
      <c r="F417" s="1">
        <f t="shared" si="128"/>
        <v>810606.68542463891</v>
      </c>
      <c r="H417" s="1">
        <f t="shared" si="121"/>
        <v>6463.8915421842885</v>
      </c>
      <c r="I417" s="1">
        <v>0</v>
      </c>
      <c r="J417" s="1">
        <v>0</v>
      </c>
      <c r="K417" s="1">
        <f t="shared" si="129"/>
        <v>-817.07057696682318</v>
      </c>
      <c r="L417" s="1">
        <f t="shared" si="122"/>
        <v>816253.50638985634</v>
      </c>
      <c r="N417" s="1">
        <f t="shared" si="130"/>
        <v>394</v>
      </c>
      <c r="O417" s="2">
        <f t="shared" si="116"/>
        <v>32</v>
      </c>
      <c r="P417" s="2">
        <f t="shared" si="117"/>
        <v>10</v>
      </c>
      <c r="Q417" s="2">
        <f t="shared" si="118"/>
        <v>32</v>
      </c>
      <c r="R417" s="1">
        <f t="shared" si="131"/>
        <v>17862771.893584084</v>
      </c>
      <c r="S417" s="4">
        <f>IF($G$4="mensual",S408,IF($G$4="trimestral",S408,0))</f>
        <v>10000</v>
      </c>
      <c r="U417" s="1">
        <f t="shared" si="119"/>
        <v>142519.99293320373</v>
      </c>
      <c r="V417" s="1">
        <f t="shared" si="120"/>
        <v>-267.31407650964923</v>
      </c>
      <c r="X417" s="1">
        <f t="shared" si="123"/>
        <v>-18015.291886517287</v>
      </c>
      <c r="Y417" s="1">
        <f t="shared" si="124"/>
        <v>17997009.280554261</v>
      </c>
      <c r="AA417" s="2">
        <f>+Bono!J417</f>
        <v>410311.09382531489</v>
      </c>
      <c r="AC417" s="10">
        <f t="shared" si="125"/>
        <v>32.833333333333336</v>
      </c>
      <c r="AD417" s="1">
        <f t="shared" si="126"/>
        <v>19223573.880769432</v>
      </c>
    </row>
    <row r="418" spans="2:30">
      <c r="B418" s="1">
        <f t="shared" si="127"/>
        <v>395</v>
      </c>
      <c r="C418" s="2">
        <f t="shared" si="113"/>
        <v>32</v>
      </c>
      <c r="D418" s="2">
        <f t="shared" si="114"/>
        <v>11</v>
      </c>
      <c r="E418" s="2">
        <f t="shared" si="115"/>
        <v>61</v>
      </c>
      <c r="F418" s="1">
        <f t="shared" si="128"/>
        <v>816253.50638985634</v>
      </c>
      <c r="H418" s="1">
        <f t="shared" si="121"/>
        <v>6508.9200855378103</v>
      </c>
      <c r="I418" s="1">
        <v>0</v>
      </c>
      <c r="J418" s="1">
        <v>0</v>
      </c>
      <c r="K418" s="1">
        <f t="shared" si="129"/>
        <v>-822.76242647539414</v>
      </c>
      <c r="L418" s="1">
        <f t="shared" si="122"/>
        <v>821939.66404891876</v>
      </c>
      <c r="N418" s="1">
        <f t="shared" si="130"/>
        <v>395</v>
      </c>
      <c r="O418" s="2">
        <f t="shared" si="116"/>
        <v>32</v>
      </c>
      <c r="P418" s="2">
        <f t="shared" si="117"/>
        <v>11</v>
      </c>
      <c r="Q418" s="2">
        <f t="shared" si="118"/>
        <v>32</v>
      </c>
      <c r="R418" s="1">
        <f t="shared" si="131"/>
        <v>17997009.280554261</v>
      </c>
      <c r="S418" s="1">
        <f>IF($G$17="si",S406*(1+$G$20),S406)</f>
        <v>10000</v>
      </c>
      <c r="U418" s="1">
        <f t="shared" si="119"/>
        <v>143590.42070771303</v>
      </c>
      <c r="V418" s="1">
        <f t="shared" si="120"/>
        <v>-267.31407650964923</v>
      </c>
      <c r="X418" s="1">
        <f t="shared" si="123"/>
        <v>-18150.599701261974</v>
      </c>
      <c r="Y418" s="1">
        <f t="shared" si="124"/>
        <v>18132181.787484203</v>
      </c>
      <c r="AA418" s="2">
        <f>+Bono!J418</f>
        <v>412855.07020017295</v>
      </c>
      <c r="AC418" s="10">
        <f t="shared" si="125"/>
        <v>32.916666666666664</v>
      </c>
      <c r="AD418" s="1">
        <f t="shared" si="126"/>
        <v>19366976.521733291</v>
      </c>
    </row>
    <row r="419" spans="2:30">
      <c r="B419" s="1">
        <f t="shared" si="127"/>
        <v>396</v>
      </c>
      <c r="C419" s="2">
        <f t="shared" si="113"/>
        <v>32</v>
      </c>
      <c r="D419" s="2">
        <f t="shared" si="114"/>
        <v>12</v>
      </c>
      <c r="E419" s="2">
        <f t="shared" si="115"/>
        <v>61</v>
      </c>
      <c r="F419" s="1">
        <f t="shared" si="128"/>
        <v>821939.66404891876</v>
      </c>
      <c r="H419" s="1">
        <f t="shared" si="121"/>
        <v>6554.2623052120607</v>
      </c>
      <c r="I419" s="1">
        <v>0</v>
      </c>
      <c r="J419" s="69">
        <f>-SUM(F419:H419)*$J$21</f>
        <v>-7456.4453371871787</v>
      </c>
      <c r="K419" s="1">
        <f t="shared" si="129"/>
        <v>-821.03748101694373</v>
      </c>
      <c r="L419" s="1">
        <f t="shared" si="122"/>
        <v>820216.44353592675</v>
      </c>
      <c r="N419" s="1">
        <f t="shared" si="130"/>
        <v>396</v>
      </c>
      <c r="O419" s="2">
        <f t="shared" si="116"/>
        <v>32</v>
      </c>
      <c r="P419" s="2">
        <f t="shared" si="117"/>
        <v>12</v>
      </c>
      <c r="Q419" s="2">
        <f t="shared" si="118"/>
        <v>32</v>
      </c>
      <c r="R419" s="1">
        <f t="shared" si="131"/>
        <v>18132181.787484203</v>
      </c>
      <c r="S419" s="4">
        <f>IF($G$4="mensual",S418,0)</f>
        <v>10000</v>
      </c>
      <c r="U419" s="1">
        <f t="shared" si="119"/>
        <v>144668.30526009935</v>
      </c>
      <c r="V419" s="1">
        <f t="shared" si="120"/>
        <v>-267.31407650964923</v>
      </c>
      <c r="X419" s="1">
        <f t="shared" si="123"/>
        <v>-18286.850092744302</v>
      </c>
      <c r="Y419" s="1">
        <f t="shared" si="124"/>
        <v>18268295.92857505</v>
      </c>
      <c r="AA419" s="2">
        <f>+Bono!J419</f>
        <v>411672.3436720738</v>
      </c>
      <c r="AC419" s="10">
        <f t="shared" si="125"/>
        <v>33</v>
      </c>
      <c r="AD419" s="1">
        <f t="shared" si="126"/>
        <v>19500184.715783052</v>
      </c>
    </row>
    <row r="420" spans="2:30">
      <c r="B420" s="1">
        <f t="shared" si="127"/>
        <v>397</v>
      </c>
      <c r="C420" s="2">
        <f t="shared" ref="C420:C483" si="132">C408+1</f>
        <v>33</v>
      </c>
      <c r="D420" s="2">
        <f t="shared" ref="D420:D483" si="133">D408</f>
        <v>1</v>
      </c>
      <c r="E420" s="2">
        <f t="shared" ref="E420:E483" si="134">E408+1</f>
        <v>62</v>
      </c>
      <c r="F420" s="1">
        <f t="shared" si="128"/>
        <v>820216.44353592675</v>
      </c>
      <c r="H420" s="1">
        <f t="shared" si="121"/>
        <v>6540.521102851495</v>
      </c>
      <c r="I420" s="1">
        <v>0</v>
      </c>
      <c r="J420" s="1">
        <v>0</v>
      </c>
      <c r="K420" s="1">
        <f t="shared" si="129"/>
        <v>-826.7569646387783</v>
      </c>
      <c r="L420" s="1">
        <f t="shared" si="122"/>
        <v>825930.20767413941</v>
      </c>
      <c r="N420" s="1">
        <f t="shared" si="130"/>
        <v>397</v>
      </c>
      <c r="O420" s="2">
        <f t="shared" ref="O420:O483" si="135">O408+1</f>
        <v>33</v>
      </c>
      <c r="P420" s="2">
        <f t="shared" ref="P420:P483" si="136">P408</f>
        <v>1</v>
      </c>
      <c r="Q420" s="2">
        <f t="shared" ref="Q420:Q483" si="137">Q408+1</f>
        <v>33</v>
      </c>
      <c r="R420" s="1">
        <f t="shared" si="131"/>
        <v>18268295.92857505</v>
      </c>
      <c r="S420" s="1">
        <f>IF($G$17="si",S408*(1+$G$20),S408)</f>
        <v>10000</v>
      </c>
      <c r="U420" s="1">
        <f t="shared" ref="U420:U483" si="138">SUM(R420:T420)*$G$8</f>
        <v>145753.69853551738</v>
      </c>
      <c r="V420" s="1">
        <f>V419*(1+$G$18)</f>
        <v>-278.00663957003519</v>
      </c>
      <c r="X420" s="1">
        <f t="shared" si="123"/>
        <v>-18424.049627110566</v>
      </c>
      <c r="Y420" s="1">
        <f t="shared" si="124"/>
        <v>18405347.570843887</v>
      </c>
      <c r="AA420" s="2">
        <f>+Bono!J420</f>
        <v>414224.75995387696</v>
      </c>
      <c r="AC420" s="10">
        <f t="shared" si="125"/>
        <v>33.083333333333336</v>
      </c>
      <c r="AD420" s="1">
        <f t="shared" si="126"/>
        <v>19645502.5384719</v>
      </c>
    </row>
    <row r="421" spans="2:30">
      <c r="B421" s="1">
        <f t="shared" si="127"/>
        <v>398</v>
      </c>
      <c r="C421" s="2">
        <f t="shared" si="132"/>
        <v>33</v>
      </c>
      <c r="D421" s="2">
        <f t="shared" si="133"/>
        <v>2</v>
      </c>
      <c r="E421" s="2">
        <f t="shared" si="134"/>
        <v>62</v>
      </c>
      <c r="F421" s="1">
        <f t="shared" si="128"/>
        <v>825930.20767413941</v>
      </c>
      <c r="H421" s="1">
        <f t="shared" si="121"/>
        <v>6586.0834604672373</v>
      </c>
      <c r="I421" s="1">
        <v>0</v>
      </c>
      <c r="J421" s="1">
        <v>0</v>
      </c>
      <c r="K421" s="1">
        <f t="shared" si="129"/>
        <v>-832.51629113460672</v>
      </c>
      <c r="L421" s="1">
        <f t="shared" si="122"/>
        <v>831683.77484347206</v>
      </c>
      <c r="N421" s="1">
        <f t="shared" si="130"/>
        <v>398</v>
      </c>
      <c r="O421" s="2">
        <f t="shared" si="135"/>
        <v>33</v>
      </c>
      <c r="P421" s="2">
        <f t="shared" si="136"/>
        <v>2</v>
      </c>
      <c r="Q421" s="2">
        <f t="shared" si="137"/>
        <v>33</v>
      </c>
      <c r="R421" s="1">
        <f t="shared" si="131"/>
        <v>18405347.570843887</v>
      </c>
      <c r="S421" s="4">
        <f>IF($G$4="mensual",S420,0)</f>
        <v>10000</v>
      </c>
      <c r="U421" s="1">
        <f t="shared" si="138"/>
        <v>146846.56757698097</v>
      </c>
      <c r="V421" s="1">
        <f>V420</f>
        <v>-278.00663957003519</v>
      </c>
      <c r="X421" s="1">
        <f t="shared" si="123"/>
        <v>-18562.194138420869</v>
      </c>
      <c r="Y421" s="1">
        <f t="shared" si="124"/>
        <v>18543353.937642876</v>
      </c>
      <c r="AA421" s="2">
        <f>+Bono!J421</f>
        <v>416793.00151268928</v>
      </c>
      <c r="AC421" s="10">
        <f t="shared" si="125"/>
        <v>33.166666666666664</v>
      </c>
      <c r="AD421" s="1">
        <f t="shared" si="126"/>
        <v>19791830.713999037</v>
      </c>
    </row>
    <row r="422" spans="2:30">
      <c r="B422" s="1">
        <f t="shared" si="127"/>
        <v>399</v>
      </c>
      <c r="C422" s="2">
        <f t="shared" si="132"/>
        <v>33</v>
      </c>
      <c r="D422" s="2">
        <f t="shared" si="133"/>
        <v>3</v>
      </c>
      <c r="E422" s="2">
        <f t="shared" si="134"/>
        <v>62</v>
      </c>
      <c r="F422" s="1">
        <f t="shared" si="128"/>
        <v>831683.77484347206</v>
      </c>
      <c r="H422" s="1">
        <f t="shared" si="121"/>
        <v>6631.9632130426262</v>
      </c>
      <c r="I422" s="1">
        <v>0</v>
      </c>
      <c r="J422" s="69">
        <f>-SUM(F422:H422)*$J$21</f>
        <v>-7544.8416425086325</v>
      </c>
      <c r="K422" s="1">
        <f t="shared" si="129"/>
        <v>-830.77089641400607</v>
      </c>
      <c r="L422" s="1">
        <f t="shared" si="122"/>
        <v>829940.12551759195</v>
      </c>
      <c r="N422" s="1">
        <f t="shared" si="130"/>
        <v>399</v>
      </c>
      <c r="O422" s="2">
        <f t="shared" si="135"/>
        <v>33</v>
      </c>
      <c r="P422" s="2">
        <f t="shared" si="136"/>
        <v>3</v>
      </c>
      <c r="Q422" s="2">
        <f t="shared" si="137"/>
        <v>33</v>
      </c>
      <c r="R422" s="1">
        <f t="shared" si="131"/>
        <v>18543353.937642876</v>
      </c>
      <c r="S422" s="4">
        <f>IF($G$4="mensual",S421,0)</f>
        <v>10000</v>
      </c>
      <c r="U422" s="1">
        <f t="shared" si="138"/>
        <v>147947.04972591891</v>
      </c>
      <c r="V422" s="1">
        <f t="shared" si="120"/>
        <v>-278.00663957003519</v>
      </c>
      <c r="X422" s="1">
        <f t="shared" si="123"/>
        <v>-18701.300987368795</v>
      </c>
      <c r="Y422" s="1">
        <f t="shared" si="124"/>
        <v>18682321.679741856</v>
      </c>
      <c r="AA422" s="2">
        <f>+Bono!J422</f>
        <v>415598.99379618937</v>
      </c>
      <c r="AC422" s="10">
        <f t="shared" si="125"/>
        <v>33.25</v>
      </c>
      <c r="AD422" s="1">
        <f t="shared" si="126"/>
        <v>19927860.799055636</v>
      </c>
    </row>
    <row r="423" spans="2:30">
      <c r="B423" s="1">
        <f t="shared" si="127"/>
        <v>400</v>
      </c>
      <c r="C423" s="2">
        <f t="shared" si="132"/>
        <v>33</v>
      </c>
      <c r="D423" s="2">
        <f t="shared" si="133"/>
        <v>4</v>
      </c>
      <c r="E423" s="2">
        <f t="shared" si="134"/>
        <v>62</v>
      </c>
      <c r="F423" s="1">
        <f t="shared" si="128"/>
        <v>829940.12551759195</v>
      </c>
      <c r="H423" s="1">
        <f t="shared" si="121"/>
        <v>6618.0591084592943</v>
      </c>
      <c r="I423" s="1">
        <v>0</v>
      </c>
      <c r="J423" s="1">
        <v>0</v>
      </c>
      <c r="K423" s="1">
        <f t="shared" si="129"/>
        <v>-836.55818462605123</v>
      </c>
      <c r="L423" s="1">
        <f t="shared" si="122"/>
        <v>835721.62644142518</v>
      </c>
      <c r="N423" s="1">
        <f t="shared" si="130"/>
        <v>400</v>
      </c>
      <c r="O423" s="2">
        <f t="shared" si="135"/>
        <v>33</v>
      </c>
      <c r="P423" s="2">
        <f t="shared" si="136"/>
        <v>4</v>
      </c>
      <c r="Q423" s="2">
        <f t="shared" si="137"/>
        <v>33</v>
      </c>
      <c r="R423" s="1">
        <f t="shared" si="131"/>
        <v>18682321.679741856</v>
      </c>
      <c r="S423" s="4">
        <f>IF($G$4="mensual",S420,IF($G$4="trimestral",S420,0))</f>
        <v>10000</v>
      </c>
      <c r="U423" s="1">
        <f t="shared" si="138"/>
        <v>149055.19801650385</v>
      </c>
      <c r="V423" s="1">
        <f t="shared" si="120"/>
        <v>-278.00663957003519</v>
      </c>
      <c r="X423" s="1">
        <f t="shared" si="123"/>
        <v>-18841.376877758361</v>
      </c>
      <c r="Y423" s="1">
        <f t="shared" si="124"/>
        <v>18822257.494241033</v>
      </c>
      <c r="AA423" s="2">
        <f>+Bono!J423</f>
        <v>418175.75576422527</v>
      </c>
      <c r="AC423" s="10">
        <f t="shared" si="125"/>
        <v>33.333333333333336</v>
      </c>
      <c r="AD423" s="1">
        <f t="shared" si="126"/>
        <v>20076154.876446683</v>
      </c>
    </row>
    <row r="424" spans="2:30">
      <c r="B424" s="1">
        <f t="shared" si="127"/>
        <v>401</v>
      </c>
      <c r="C424" s="2">
        <f t="shared" si="132"/>
        <v>33</v>
      </c>
      <c r="D424" s="2">
        <f t="shared" si="133"/>
        <v>5</v>
      </c>
      <c r="E424" s="2">
        <f t="shared" si="134"/>
        <v>62</v>
      </c>
      <c r="F424" s="1">
        <f t="shared" si="128"/>
        <v>835721.62644142518</v>
      </c>
      <c r="H424" s="1">
        <f t="shared" si="121"/>
        <v>6664.1616087157772</v>
      </c>
      <c r="I424" s="1">
        <v>0</v>
      </c>
      <c r="J424" s="1">
        <v>0</v>
      </c>
      <c r="K424" s="1">
        <f t="shared" si="129"/>
        <v>-842.38578805014095</v>
      </c>
      <c r="L424" s="1">
        <f t="shared" si="122"/>
        <v>841543.40226209082</v>
      </c>
      <c r="N424" s="1">
        <f t="shared" si="130"/>
        <v>401</v>
      </c>
      <c r="O424" s="2">
        <f t="shared" si="135"/>
        <v>33</v>
      </c>
      <c r="P424" s="2">
        <f t="shared" si="136"/>
        <v>5</v>
      </c>
      <c r="Q424" s="2">
        <f t="shared" si="137"/>
        <v>33</v>
      </c>
      <c r="R424" s="1">
        <f t="shared" si="131"/>
        <v>18822257.494241033</v>
      </c>
      <c r="S424" s="4">
        <f>IF($G$4="mensual",S423,0)</f>
        <v>10000</v>
      </c>
      <c r="U424" s="1">
        <f t="shared" si="138"/>
        <v>150171.06585235332</v>
      </c>
      <c r="V424" s="1">
        <f t="shared" si="120"/>
        <v>-278.00663957003519</v>
      </c>
      <c r="X424" s="1">
        <f t="shared" si="123"/>
        <v>-18982.428560093384</v>
      </c>
      <c r="Y424" s="1">
        <f t="shared" si="124"/>
        <v>18963168.124893721</v>
      </c>
      <c r="AA424" s="2">
        <f>+Bono!J424</f>
        <v>420768.49395534885</v>
      </c>
      <c r="AC424" s="10">
        <f t="shared" si="125"/>
        <v>33.416666666666664</v>
      </c>
      <c r="AD424" s="1">
        <f t="shared" si="126"/>
        <v>20225480.021111161</v>
      </c>
    </row>
    <row r="425" spans="2:30">
      <c r="B425" s="1">
        <f t="shared" si="127"/>
        <v>402</v>
      </c>
      <c r="C425" s="2">
        <f t="shared" si="132"/>
        <v>33</v>
      </c>
      <c r="D425" s="2">
        <f t="shared" si="133"/>
        <v>6</v>
      </c>
      <c r="E425" s="2">
        <f t="shared" si="134"/>
        <v>62</v>
      </c>
      <c r="F425" s="1">
        <f t="shared" si="128"/>
        <v>841543.40226209082</v>
      </c>
      <c r="H425" s="1">
        <f t="shared" si="121"/>
        <v>6710.5852666553619</v>
      </c>
      <c r="I425" s="1">
        <v>0</v>
      </c>
      <c r="J425" s="69">
        <f>-SUM(F425:H425)*$J$21</f>
        <v>-7634.2858877587159</v>
      </c>
      <c r="K425" s="1">
        <f t="shared" si="129"/>
        <v>-840.61970164098739</v>
      </c>
      <c r="L425" s="1">
        <f t="shared" si="122"/>
        <v>839779.08193934639</v>
      </c>
      <c r="N425" s="1">
        <f t="shared" si="130"/>
        <v>402</v>
      </c>
      <c r="O425" s="2">
        <f t="shared" si="135"/>
        <v>33</v>
      </c>
      <c r="P425" s="2">
        <f t="shared" si="136"/>
        <v>6</v>
      </c>
      <c r="Q425" s="2">
        <f t="shared" si="137"/>
        <v>33</v>
      </c>
      <c r="R425" s="1">
        <f t="shared" si="131"/>
        <v>18963168.124893721</v>
      </c>
      <c r="S425" s="4">
        <f>IF($G$4="mensual",S424,0)</f>
        <v>10000</v>
      </c>
      <c r="U425" s="1">
        <f t="shared" si="138"/>
        <v>151294.70700910324</v>
      </c>
      <c r="V425" s="1">
        <f t="shared" si="120"/>
        <v>-278.00663957003519</v>
      </c>
      <c r="X425" s="1">
        <f t="shared" si="123"/>
        <v>-19124.462831902823</v>
      </c>
      <c r="Y425" s="1">
        <f t="shared" si="124"/>
        <v>19105060.362431351</v>
      </c>
      <c r="AA425" s="2">
        <f>+Bono!J425</f>
        <v>419563.09744720371</v>
      </c>
      <c r="AC425" s="10">
        <f t="shared" si="125"/>
        <v>33.5</v>
      </c>
      <c r="AD425" s="1">
        <f t="shared" si="126"/>
        <v>20364402.541817904</v>
      </c>
    </row>
    <row r="426" spans="2:30">
      <c r="B426" s="1">
        <f t="shared" si="127"/>
        <v>403</v>
      </c>
      <c r="C426" s="2">
        <f t="shared" si="132"/>
        <v>33</v>
      </c>
      <c r="D426" s="2">
        <f t="shared" si="133"/>
        <v>7</v>
      </c>
      <c r="E426" s="2">
        <f t="shared" si="134"/>
        <v>62</v>
      </c>
      <c r="F426" s="1">
        <f t="shared" si="128"/>
        <v>839779.08193934639</v>
      </c>
      <c r="H426" s="1">
        <f t="shared" si="121"/>
        <v>6696.5163286402294</v>
      </c>
      <c r="I426" s="1">
        <v>0</v>
      </c>
      <c r="J426" s="1">
        <v>0</v>
      </c>
      <c r="K426" s="1">
        <f t="shared" si="129"/>
        <v>-846.4755982679867</v>
      </c>
      <c r="L426" s="1">
        <f t="shared" si="122"/>
        <v>845629.12266971869</v>
      </c>
      <c r="N426" s="1">
        <f t="shared" si="130"/>
        <v>403</v>
      </c>
      <c r="O426" s="2">
        <f t="shared" si="135"/>
        <v>33</v>
      </c>
      <c r="P426" s="2">
        <f t="shared" si="136"/>
        <v>7</v>
      </c>
      <c r="Q426" s="2">
        <f t="shared" si="137"/>
        <v>33</v>
      </c>
      <c r="R426" s="1">
        <f t="shared" si="131"/>
        <v>19105060.362431351</v>
      </c>
      <c r="S426" s="1">
        <f>+IF($G$4="mensual",S420,IF($G$4="trimestral",S420,IF($G$4="semestral",S420,0)))</f>
        <v>10000</v>
      </c>
      <c r="U426" s="1">
        <f t="shared" si="138"/>
        <v>152426.17563699969</v>
      </c>
      <c r="V426" s="1">
        <f t="shared" si="120"/>
        <v>-278.00663957003519</v>
      </c>
      <c r="X426" s="1">
        <f t="shared" si="123"/>
        <v>-19267.486538068351</v>
      </c>
      <c r="Y426" s="1">
        <f t="shared" si="124"/>
        <v>19247941.044890713</v>
      </c>
      <c r="AA426" s="2">
        <f>+Bono!J426</f>
        <v>422164.43731768342</v>
      </c>
      <c r="AC426" s="10">
        <f t="shared" si="125"/>
        <v>33.583333333333336</v>
      </c>
      <c r="AD426" s="1">
        <f t="shared" si="126"/>
        <v>20515734.604878116</v>
      </c>
    </row>
    <row r="427" spans="2:30">
      <c r="B427" s="1">
        <f t="shared" si="127"/>
        <v>404</v>
      </c>
      <c r="C427" s="2">
        <f t="shared" si="132"/>
        <v>33</v>
      </c>
      <c r="D427" s="2">
        <f t="shared" si="133"/>
        <v>8</v>
      </c>
      <c r="E427" s="2">
        <f t="shared" si="134"/>
        <v>62</v>
      </c>
      <c r="F427" s="1">
        <f t="shared" si="128"/>
        <v>845629.12266971869</v>
      </c>
      <c r="H427" s="1">
        <f t="shared" si="121"/>
        <v>6743.1653749390243</v>
      </c>
      <c r="I427" s="1">
        <v>0</v>
      </c>
      <c r="J427" s="1">
        <v>0</v>
      </c>
      <c r="K427" s="1">
        <f t="shared" si="129"/>
        <v>-852.37228804465769</v>
      </c>
      <c r="L427" s="1">
        <f t="shared" si="122"/>
        <v>851519.91575661302</v>
      </c>
      <c r="N427" s="1">
        <f t="shared" si="130"/>
        <v>404</v>
      </c>
      <c r="O427" s="2">
        <f t="shared" si="135"/>
        <v>33</v>
      </c>
      <c r="P427" s="2">
        <f t="shared" si="136"/>
        <v>8</v>
      </c>
      <c r="Q427" s="2">
        <f t="shared" si="137"/>
        <v>33</v>
      </c>
      <c r="R427" s="1">
        <f t="shared" si="131"/>
        <v>19247941.044890713</v>
      </c>
      <c r="S427" s="4">
        <f>IF($G$4="mensual",S426,0)</f>
        <v>10000</v>
      </c>
      <c r="U427" s="1">
        <f t="shared" si="138"/>
        <v>153565.52626350825</v>
      </c>
      <c r="V427" s="1">
        <f t="shared" si="120"/>
        <v>-278.00663957003519</v>
      </c>
      <c r="X427" s="1">
        <f t="shared" si="123"/>
        <v>-19411.506571154223</v>
      </c>
      <c r="Y427" s="1">
        <f t="shared" si="124"/>
        <v>19391817.057943497</v>
      </c>
      <c r="AA427" s="2">
        <f>+Bono!J427</f>
        <v>424781.9057970969</v>
      </c>
      <c r="AC427" s="10">
        <f t="shared" si="125"/>
        <v>33.666666666666664</v>
      </c>
      <c r="AD427" s="1">
        <f t="shared" si="126"/>
        <v>20668118.879497208</v>
      </c>
    </row>
    <row r="428" spans="2:30">
      <c r="B428" s="1">
        <f t="shared" si="127"/>
        <v>405</v>
      </c>
      <c r="C428" s="2">
        <f t="shared" si="132"/>
        <v>33</v>
      </c>
      <c r="D428" s="2">
        <f t="shared" si="133"/>
        <v>9</v>
      </c>
      <c r="E428" s="2">
        <f t="shared" si="134"/>
        <v>62</v>
      </c>
      <c r="F428" s="1">
        <f t="shared" si="128"/>
        <v>851519.91575661302</v>
      </c>
      <c r="H428" s="1">
        <f t="shared" si="121"/>
        <v>6790.1393862515351</v>
      </c>
      <c r="I428" s="1">
        <v>0</v>
      </c>
      <c r="J428" s="69">
        <f>-SUM(F428:H428)*$J$21</f>
        <v>-7724.790496285782</v>
      </c>
      <c r="K428" s="1">
        <f t="shared" si="129"/>
        <v>-850.58526464657882</v>
      </c>
      <c r="L428" s="1">
        <f t="shared" si="122"/>
        <v>849734.67938193225</v>
      </c>
      <c r="N428" s="1">
        <f t="shared" si="130"/>
        <v>405</v>
      </c>
      <c r="O428" s="2">
        <f t="shared" si="135"/>
        <v>33</v>
      </c>
      <c r="P428" s="2">
        <f t="shared" si="136"/>
        <v>9</v>
      </c>
      <c r="Q428" s="2">
        <f t="shared" si="137"/>
        <v>33</v>
      </c>
      <c r="R428" s="1">
        <f t="shared" si="131"/>
        <v>19391817.057943497</v>
      </c>
      <c r="S428" s="4">
        <f>IF($G$4="mensual",S427,0)</f>
        <v>10000</v>
      </c>
      <c r="U428" s="1">
        <f t="shared" si="138"/>
        <v>154712.81379594194</v>
      </c>
      <c r="V428" s="1">
        <f t="shared" si="120"/>
        <v>-278.00663957003519</v>
      </c>
      <c r="X428" s="1">
        <f t="shared" si="123"/>
        <v>-19556.52987173944</v>
      </c>
      <c r="Y428" s="1">
        <f t="shared" si="124"/>
        <v>19536695.33522813</v>
      </c>
      <c r="AA428" s="2">
        <f>+Bono!J428</f>
        <v>423565.01186771109</v>
      </c>
      <c r="AC428" s="10">
        <f t="shared" si="125"/>
        <v>33.75</v>
      </c>
      <c r="AD428" s="1">
        <f t="shared" si="126"/>
        <v>20809995.026477773</v>
      </c>
    </row>
    <row r="429" spans="2:30">
      <c r="B429" s="1">
        <f t="shared" si="127"/>
        <v>406</v>
      </c>
      <c r="C429" s="2">
        <f t="shared" si="132"/>
        <v>33</v>
      </c>
      <c r="D429" s="2">
        <f t="shared" si="133"/>
        <v>10</v>
      </c>
      <c r="E429" s="2">
        <f t="shared" si="134"/>
        <v>62</v>
      </c>
      <c r="F429" s="1">
        <f t="shared" si="128"/>
        <v>849734.67938193225</v>
      </c>
      <c r="H429" s="1">
        <f t="shared" si="121"/>
        <v>6775.9036607010439</v>
      </c>
      <c r="I429" s="1">
        <v>0</v>
      </c>
      <c r="J429" s="1">
        <v>0</v>
      </c>
      <c r="K429" s="1">
        <f t="shared" si="129"/>
        <v>-856.51058304263324</v>
      </c>
      <c r="L429" s="1">
        <f t="shared" si="122"/>
        <v>855654.07245959062</v>
      </c>
      <c r="N429" s="1">
        <f t="shared" si="130"/>
        <v>406</v>
      </c>
      <c r="O429" s="2">
        <f t="shared" si="135"/>
        <v>33</v>
      </c>
      <c r="P429" s="2">
        <f t="shared" si="136"/>
        <v>10</v>
      </c>
      <c r="Q429" s="2">
        <f t="shared" si="137"/>
        <v>33</v>
      </c>
      <c r="R429" s="1">
        <f t="shared" si="131"/>
        <v>19536695.33522813</v>
      </c>
      <c r="S429" s="4">
        <f>IF($G$4="mensual",S420,IF($G$4="trimestral",S420,0))</f>
        <v>10000</v>
      </c>
      <c r="U429" s="1">
        <f t="shared" si="138"/>
        <v>155868.09352410724</v>
      </c>
      <c r="V429" s="1">
        <f t="shared" si="120"/>
        <v>-278.00663957003519</v>
      </c>
      <c r="X429" s="1">
        <f t="shared" si="123"/>
        <v>-19702.563428752237</v>
      </c>
      <c r="Y429" s="1">
        <f t="shared" si="124"/>
        <v>19682582.858683914</v>
      </c>
      <c r="AA429" s="2">
        <f>+Bono!J429</f>
        <v>426191.16407179134</v>
      </c>
      <c r="AC429" s="10">
        <f t="shared" si="125"/>
        <v>33.833333333333336</v>
      </c>
      <c r="AD429" s="1">
        <f t="shared" si="126"/>
        <v>20964428.095215295</v>
      </c>
    </row>
    <row r="430" spans="2:30">
      <c r="B430" s="1">
        <f t="shared" si="127"/>
        <v>407</v>
      </c>
      <c r="C430" s="2">
        <f t="shared" si="132"/>
        <v>33</v>
      </c>
      <c r="D430" s="2">
        <f t="shared" si="133"/>
        <v>11</v>
      </c>
      <c r="E430" s="2">
        <f t="shared" si="134"/>
        <v>62</v>
      </c>
      <c r="F430" s="1">
        <f t="shared" si="128"/>
        <v>855654.07245959062</v>
      </c>
      <c r="H430" s="1">
        <f t="shared" si="121"/>
        <v>6823.1057323561727</v>
      </c>
      <c r="I430" s="1">
        <v>0</v>
      </c>
      <c r="J430" s="1">
        <v>0</v>
      </c>
      <c r="K430" s="1">
        <f t="shared" si="129"/>
        <v>-862.47717819194679</v>
      </c>
      <c r="L430" s="1">
        <f t="shared" si="122"/>
        <v>861614.70101375482</v>
      </c>
      <c r="N430" s="1">
        <f t="shared" si="130"/>
        <v>407</v>
      </c>
      <c r="O430" s="2">
        <f t="shared" si="135"/>
        <v>33</v>
      </c>
      <c r="P430" s="2">
        <f t="shared" si="136"/>
        <v>11</v>
      </c>
      <c r="Q430" s="2">
        <f t="shared" si="137"/>
        <v>33</v>
      </c>
      <c r="R430" s="1">
        <f t="shared" si="131"/>
        <v>19682582.858683914</v>
      </c>
      <c r="S430" s="1">
        <f>IF($G$17="si",S418*(1+$G$20),S418)</f>
        <v>10000</v>
      </c>
      <c r="U430" s="1">
        <f t="shared" si="138"/>
        <v>157031.42112296866</v>
      </c>
      <c r="V430" s="1">
        <f t="shared" si="120"/>
        <v>-278.00663957003519</v>
      </c>
      <c r="X430" s="1">
        <f t="shared" si="123"/>
        <v>-19849.614279806883</v>
      </c>
      <c r="Y430" s="1">
        <f t="shared" si="124"/>
        <v>19829486.658887506</v>
      </c>
      <c r="AA430" s="2">
        <f>+Bono!J430</f>
        <v>428833.59872415173</v>
      </c>
      <c r="AC430" s="10">
        <f t="shared" si="125"/>
        <v>33.916666666666664</v>
      </c>
      <c r="AD430" s="1">
        <f t="shared" si="126"/>
        <v>21119934.958625413</v>
      </c>
    </row>
    <row r="431" spans="2:30">
      <c r="B431" s="1">
        <f t="shared" si="127"/>
        <v>408</v>
      </c>
      <c r="C431" s="2">
        <f t="shared" si="132"/>
        <v>33</v>
      </c>
      <c r="D431" s="2">
        <f t="shared" si="133"/>
        <v>12</v>
      </c>
      <c r="E431" s="2">
        <f t="shared" si="134"/>
        <v>62</v>
      </c>
      <c r="F431" s="1">
        <f t="shared" si="128"/>
        <v>861614.70101375482</v>
      </c>
      <c r="H431" s="1">
        <f t="shared" si="121"/>
        <v>6870.6366214916115</v>
      </c>
      <c r="I431" s="1">
        <v>0</v>
      </c>
      <c r="J431" s="69">
        <f>-SUM(F431:H431)*$J$21</f>
        <v>-7816.368038717219</v>
      </c>
      <c r="K431" s="1">
        <f t="shared" si="129"/>
        <v>-860.66896959652934</v>
      </c>
      <c r="L431" s="1">
        <f t="shared" si="122"/>
        <v>859808.30062693276</v>
      </c>
      <c r="N431" s="1">
        <f t="shared" si="130"/>
        <v>408</v>
      </c>
      <c r="O431" s="2">
        <f t="shared" si="135"/>
        <v>33</v>
      </c>
      <c r="P431" s="2">
        <f t="shared" si="136"/>
        <v>12</v>
      </c>
      <c r="Q431" s="2">
        <f t="shared" si="137"/>
        <v>33</v>
      </c>
      <c r="R431" s="1">
        <f t="shared" si="131"/>
        <v>19829486.658887506</v>
      </c>
      <c r="S431" s="4">
        <f>IF($G$4="mensual",S430,0)</f>
        <v>10000</v>
      </c>
      <c r="U431" s="1">
        <f t="shared" si="138"/>
        <v>158202.85265533172</v>
      </c>
      <c r="V431" s="1">
        <f t="shared" si="120"/>
        <v>-278.00663957003519</v>
      </c>
      <c r="X431" s="1">
        <f t="shared" si="123"/>
        <v>-19997.689511542838</v>
      </c>
      <c r="Y431" s="1">
        <f t="shared" si="124"/>
        <v>19977413.815391727</v>
      </c>
      <c r="AA431" s="2">
        <f>+Bono!J431</f>
        <v>427605.09770778939</v>
      </c>
      <c r="AC431" s="10">
        <f t="shared" si="125"/>
        <v>34</v>
      </c>
      <c r="AD431" s="1">
        <f t="shared" si="126"/>
        <v>21264827.21372645</v>
      </c>
    </row>
    <row r="432" spans="2:30">
      <c r="B432" s="1">
        <f t="shared" si="127"/>
        <v>409</v>
      </c>
      <c r="C432" s="2">
        <f t="shared" si="132"/>
        <v>34</v>
      </c>
      <c r="D432" s="2">
        <f t="shared" si="133"/>
        <v>1</v>
      </c>
      <c r="E432" s="2">
        <f t="shared" si="134"/>
        <v>63</v>
      </c>
      <c r="F432" s="1">
        <f t="shared" si="128"/>
        <v>859808.30062693276</v>
      </c>
      <c r="H432" s="1">
        <f t="shared" si="121"/>
        <v>6856.2321311362666</v>
      </c>
      <c r="I432" s="1">
        <v>0</v>
      </c>
      <c r="J432" s="1">
        <v>0</v>
      </c>
      <c r="K432" s="1">
        <f t="shared" si="129"/>
        <v>-866.66453275806896</v>
      </c>
      <c r="L432" s="1">
        <f t="shared" si="122"/>
        <v>865797.86822531093</v>
      </c>
      <c r="N432" s="1">
        <f t="shared" si="130"/>
        <v>409</v>
      </c>
      <c r="O432" s="2">
        <f t="shared" si="135"/>
        <v>34</v>
      </c>
      <c r="P432" s="2">
        <f t="shared" si="136"/>
        <v>1</v>
      </c>
      <c r="Q432" s="2">
        <f t="shared" si="137"/>
        <v>34</v>
      </c>
      <c r="R432" s="1">
        <f t="shared" si="131"/>
        <v>19977413.815391727</v>
      </c>
      <c r="S432" s="1">
        <f>IF($G$17="si",S420*(1+$G$20),S420)</f>
        <v>10000</v>
      </c>
      <c r="U432" s="1">
        <f t="shared" si="138"/>
        <v>159382.44457454482</v>
      </c>
      <c r="V432" s="1">
        <f>V431*(1+$G$18)</f>
        <v>-289.12690515283663</v>
      </c>
      <c r="X432" s="1">
        <f t="shared" si="123"/>
        <v>-20146.796259966271</v>
      </c>
      <c r="Y432" s="1">
        <f t="shared" si="124"/>
        <v>20126360.336801153</v>
      </c>
      <c r="AA432" s="2">
        <f>+Bono!J432</f>
        <v>430256.29891269904</v>
      </c>
      <c r="AC432" s="10">
        <f t="shared" si="125"/>
        <v>34.083333333333336</v>
      </c>
      <c r="AD432" s="1">
        <f t="shared" si="126"/>
        <v>21422414.503939163</v>
      </c>
    </row>
    <row r="433" spans="2:30">
      <c r="B433" s="1">
        <f t="shared" si="127"/>
        <v>410</v>
      </c>
      <c r="C433" s="2">
        <f t="shared" si="132"/>
        <v>34</v>
      </c>
      <c r="D433" s="2">
        <f t="shared" si="133"/>
        <v>2</v>
      </c>
      <c r="E433" s="2">
        <f t="shared" si="134"/>
        <v>63</v>
      </c>
      <c r="F433" s="1">
        <f t="shared" si="128"/>
        <v>865797.86822531093</v>
      </c>
      <c r="H433" s="1">
        <f t="shared" si="121"/>
        <v>6903.9937842741456</v>
      </c>
      <c r="I433" s="1">
        <v>0</v>
      </c>
      <c r="J433" s="1">
        <v>0</v>
      </c>
      <c r="K433" s="1">
        <f t="shared" si="129"/>
        <v>-872.70186200958506</v>
      </c>
      <c r="L433" s="1">
        <f t="shared" si="122"/>
        <v>871829.16014757543</v>
      </c>
      <c r="N433" s="1">
        <f t="shared" si="130"/>
        <v>410</v>
      </c>
      <c r="O433" s="2">
        <f t="shared" si="135"/>
        <v>34</v>
      </c>
      <c r="P433" s="2">
        <f t="shared" si="136"/>
        <v>2</v>
      </c>
      <c r="Q433" s="2">
        <f t="shared" si="137"/>
        <v>34</v>
      </c>
      <c r="R433" s="1">
        <f t="shared" si="131"/>
        <v>20126360.336801153</v>
      </c>
      <c r="S433" s="4">
        <f>IF($G$4="mensual",S432,0)</f>
        <v>10000</v>
      </c>
      <c r="U433" s="1">
        <f t="shared" si="138"/>
        <v>160570.1650526603</v>
      </c>
      <c r="V433" s="1">
        <f>V432</f>
        <v>-289.12690515283663</v>
      </c>
      <c r="X433" s="1">
        <f t="shared" si="123"/>
        <v>-20296.930501853814</v>
      </c>
      <c r="Y433" s="1">
        <f t="shared" si="124"/>
        <v>20276344.444446806</v>
      </c>
      <c r="AA433" s="2">
        <f>+Bono!J433</f>
        <v>432923.93787259946</v>
      </c>
      <c r="AC433" s="10">
        <f t="shared" si="125"/>
        <v>34.166666666666664</v>
      </c>
      <c r="AD433" s="1">
        <f t="shared" si="126"/>
        <v>21581097.542466979</v>
      </c>
    </row>
    <row r="434" spans="2:30">
      <c r="B434" s="1">
        <f t="shared" si="127"/>
        <v>411</v>
      </c>
      <c r="C434" s="2">
        <f t="shared" si="132"/>
        <v>34</v>
      </c>
      <c r="D434" s="2">
        <f t="shared" si="133"/>
        <v>3</v>
      </c>
      <c r="E434" s="2">
        <f t="shared" si="134"/>
        <v>63</v>
      </c>
      <c r="F434" s="1">
        <f t="shared" si="128"/>
        <v>871829.16014757543</v>
      </c>
      <c r="H434" s="1">
        <f t="shared" si="121"/>
        <v>6952.0881530299957</v>
      </c>
      <c r="I434" s="1">
        <v>0</v>
      </c>
      <c r="J434" s="69">
        <f>-SUM(F434:H434)*$J$21</f>
        <v>-7909.0312347054496</v>
      </c>
      <c r="K434" s="1">
        <f t="shared" si="129"/>
        <v>-870.87221706590003</v>
      </c>
      <c r="L434" s="1">
        <f t="shared" si="122"/>
        <v>870001.34484883409</v>
      </c>
      <c r="N434" s="1">
        <f t="shared" si="130"/>
        <v>411</v>
      </c>
      <c r="O434" s="2">
        <f t="shared" si="135"/>
        <v>34</v>
      </c>
      <c r="P434" s="2">
        <f t="shared" si="136"/>
        <v>3</v>
      </c>
      <c r="Q434" s="2">
        <f t="shared" si="137"/>
        <v>34</v>
      </c>
      <c r="R434" s="1">
        <f t="shared" si="131"/>
        <v>20276344.444446806</v>
      </c>
      <c r="S434" s="4">
        <f>IF($G$4="mensual",S433,0)</f>
        <v>10000</v>
      </c>
      <c r="U434" s="1">
        <f t="shared" si="138"/>
        <v>161766.15938913054</v>
      </c>
      <c r="V434" s="1">
        <f t="shared" si="120"/>
        <v>-289.12690515283663</v>
      </c>
      <c r="X434" s="1">
        <f t="shared" si="123"/>
        <v>-20448.110603835936</v>
      </c>
      <c r="Y434" s="1">
        <f t="shared" si="124"/>
        <v>20427373.366326947</v>
      </c>
      <c r="AA434" s="2">
        <f>+Bono!J434</f>
        <v>431683.71905750094</v>
      </c>
      <c r="AC434" s="10">
        <f t="shared" si="125"/>
        <v>34.25</v>
      </c>
      <c r="AD434" s="1">
        <f t="shared" si="126"/>
        <v>21729058.430233281</v>
      </c>
    </row>
    <row r="435" spans="2:30">
      <c r="B435" s="1">
        <f t="shared" si="127"/>
        <v>412</v>
      </c>
      <c r="C435" s="2">
        <f t="shared" si="132"/>
        <v>34</v>
      </c>
      <c r="D435" s="2">
        <f t="shared" si="133"/>
        <v>4</v>
      </c>
      <c r="E435" s="2">
        <f t="shared" si="134"/>
        <v>63</v>
      </c>
      <c r="F435" s="1">
        <f t="shared" si="128"/>
        <v>870001.34484883409</v>
      </c>
      <c r="H435" s="1">
        <f t="shared" si="121"/>
        <v>6937.5128971597333</v>
      </c>
      <c r="I435" s="1">
        <v>0</v>
      </c>
      <c r="J435" s="1">
        <v>0</v>
      </c>
      <c r="K435" s="1">
        <f t="shared" si="129"/>
        <v>-876.93885774599391</v>
      </c>
      <c r="L435" s="1">
        <f t="shared" si="122"/>
        <v>876061.91888824792</v>
      </c>
      <c r="N435" s="1">
        <f t="shared" si="130"/>
        <v>412</v>
      </c>
      <c r="O435" s="2">
        <f t="shared" si="135"/>
        <v>34</v>
      </c>
      <c r="P435" s="2">
        <f t="shared" si="136"/>
        <v>4</v>
      </c>
      <c r="Q435" s="2">
        <f t="shared" si="137"/>
        <v>34</v>
      </c>
      <c r="R435" s="1">
        <f t="shared" si="131"/>
        <v>20427373.366326947</v>
      </c>
      <c r="S435" s="4">
        <f>IF($G$4="mensual",S432,IF($G$4="trimestral",S432,0))</f>
        <v>10000</v>
      </c>
      <c r="U435" s="1">
        <f t="shared" si="138"/>
        <v>162970.48522102874</v>
      </c>
      <c r="V435" s="1">
        <f t="shared" si="120"/>
        <v>-289.12690515283663</v>
      </c>
      <c r="X435" s="1">
        <f t="shared" si="123"/>
        <v>-20600.343851547976</v>
      </c>
      <c r="Y435" s="1">
        <f t="shared" si="124"/>
        <v>20579454.380791273</v>
      </c>
      <c r="AA435" s="2">
        <f>+Bono!J435</f>
        <v>434360.20818786963</v>
      </c>
      <c r="AC435" s="10">
        <f t="shared" si="125"/>
        <v>34.333333333333336</v>
      </c>
      <c r="AD435" s="1">
        <f t="shared" si="126"/>
        <v>21889876.507867392</v>
      </c>
    </row>
    <row r="436" spans="2:30">
      <c r="B436" s="1">
        <f t="shared" si="127"/>
        <v>413</v>
      </c>
      <c r="C436" s="2">
        <f t="shared" si="132"/>
        <v>34</v>
      </c>
      <c r="D436" s="2">
        <f t="shared" si="133"/>
        <v>5</v>
      </c>
      <c r="E436" s="2">
        <f t="shared" si="134"/>
        <v>63</v>
      </c>
      <c r="F436" s="1">
        <f t="shared" si="128"/>
        <v>876061.91888824792</v>
      </c>
      <c r="H436" s="1">
        <f t="shared" si="121"/>
        <v>6985.8407656297877</v>
      </c>
      <c r="I436" s="1">
        <v>0</v>
      </c>
      <c r="J436" s="1">
        <v>0</v>
      </c>
      <c r="K436" s="1">
        <f t="shared" si="129"/>
        <v>-883.04775965387773</v>
      </c>
      <c r="L436" s="1">
        <f t="shared" si="122"/>
        <v>882164.71189422382</v>
      </c>
      <c r="N436" s="1">
        <f t="shared" si="130"/>
        <v>413</v>
      </c>
      <c r="O436" s="2">
        <f t="shared" si="135"/>
        <v>34</v>
      </c>
      <c r="P436" s="2">
        <f t="shared" si="136"/>
        <v>5</v>
      </c>
      <c r="Q436" s="2">
        <f t="shared" si="137"/>
        <v>34</v>
      </c>
      <c r="R436" s="1">
        <f t="shared" si="131"/>
        <v>20579454.380791273</v>
      </c>
      <c r="S436" s="4">
        <f>IF($G$4="mensual",S435,0)</f>
        <v>10000</v>
      </c>
      <c r="U436" s="1">
        <f t="shared" si="138"/>
        <v>164183.2005869374</v>
      </c>
      <c r="V436" s="1">
        <f t="shared" si="120"/>
        <v>-289.12690515283663</v>
      </c>
      <c r="X436" s="1">
        <f t="shared" si="123"/>
        <v>-20753.637581378211</v>
      </c>
      <c r="Y436" s="1">
        <f t="shared" si="124"/>
        <v>20732594.816891678</v>
      </c>
      <c r="AA436" s="2">
        <f>+Bono!J436</f>
        <v>437053.29186130012</v>
      </c>
      <c r="AC436" s="10">
        <f t="shared" si="125"/>
        <v>34.416666666666664</v>
      </c>
      <c r="AD436" s="1">
        <f t="shared" si="126"/>
        <v>22051812.820647202</v>
      </c>
    </row>
    <row r="437" spans="2:30">
      <c r="B437" s="1">
        <f t="shared" si="127"/>
        <v>414</v>
      </c>
      <c r="C437" s="2">
        <f t="shared" si="132"/>
        <v>34</v>
      </c>
      <c r="D437" s="2">
        <f t="shared" si="133"/>
        <v>6</v>
      </c>
      <c r="E437" s="2">
        <f t="shared" si="134"/>
        <v>63</v>
      </c>
      <c r="F437" s="1">
        <f t="shared" si="128"/>
        <v>882164.71189422382</v>
      </c>
      <c r="H437" s="1">
        <f t="shared" si="121"/>
        <v>7034.5052940679716</v>
      </c>
      <c r="I437" s="1">
        <v>0</v>
      </c>
      <c r="J437" s="69">
        <f>-SUM(F437:H437)*$J$21</f>
        <v>-8002.792954694627</v>
      </c>
      <c r="K437" s="1">
        <f t="shared" si="129"/>
        <v>-881.19642423359721</v>
      </c>
      <c r="L437" s="1">
        <f t="shared" si="122"/>
        <v>880315.22780936363</v>
      </c>
      <c r="N437" s="1">
        <f t="shared" si="130"/>
        <v>414</v>
      </c>
      <c r="O437" s="2">
        <f t="shared" si="135"/>
        <v>34</v>
      </c>
      <c r="P437" s="2">
        <f t="shared" si="136"/>
        <v>6</v>
      </c>
      <c r="Q437" s="2">
        <f t="shared" si="137"/>
        <v>34</v>
      </c>
      <c r="R437" s="1">
        <f t="shared" si="131"/>
        <v>20732594.816891678</v>
      </c>
      <c r="S437" s="4">
        <f>IF($G$4="mensual",S436,0)</f>
        <v>10000</v>
      </c>
      <c r="U437" s="1">
        <f t="shared" si="138"/>
        <v>165404.3639297456</v>
      </c>
      <c r="V437" s="1">
        <f t="shared" si="120"/>
        <v>-289.12690515283663</v>
      </c>
      <c r="X437" s="1">
        <f t="shared" si="123"/>
        <v>-20907.999180821422</v>
      </c>
      <c r="Y437" s="1">
        <f t="shared" si="124"/>
        <v>20886802.054735448</v>
      </c>
      <c r="AA437" s="2">
        <f>+Bono!J437</f>
        <v>435801.24347970507</v>
      </c>
      <c r="AC437" s="10">
        <f t="shared" si="125"/>
        <v>34.5</v>
      </c>
      <c r="AD437" s="1">
        <f t="shared" si="126"/>
        <v>22202918.526024517</v>
      </c>
    </row>
    <row r="438" spans="2:30">
      <c r="B438" s="1">
        <f t="shared" si="127"/>
        <v>415</v>
      </c>
      <c r="C438" s="2">
        <f t="shared" si="132"/>
        <v>34</v>
      </c>
      <c r="D438" s="2">
        <f t="shared" si="133"/>
        <v>7</v>
      </c>
      <c r="E438" s="2">
        <f t="shared" si="134"/>
        <v>63</v>
      </c>
      <c r="F438" s="1">
        <f t="shared" si="128"/>
        <v>880315.22780936363</v>
      </c>
      <c r="H438" s="1">
        <f t="shared" si="121"/>
        <v>7019.7572482542737</v>
      </c>
      <c r="I438" s="1">
        <v>0</v>
      </c>
      <c r="J438" s="1">
        <v>0</v>
      </c>
      <c r="K438" s="1">
        <f t="shared" si="129"/>
        <v>-887.33498505761793</v>
      </c>
      <c r="L438" s="1">
        <f t="shared" si="122"/>
        <v>886447.6500725603</v>
      </c>
      <c r="N438" s="1">
        <f t="shared" si="130"/>
        <v>415</v>
      </c>
      <c r="O438" s="2">
        <f t="shared" si="135"/>
        <v>34</v>
      </c>
      <c r="P438" s="2">
        <f t="shared" si="136"/>
        <v>7</v>
      </c>
      <c r="Q438" s="2">
        <f t="shared" si="137"/>
        <v>34</v>
      </c>
      <c r="R438" s="1">
        <f t="shared" si="131"/>
        <v>20886802.054735448</v>
      </c>
      <c r="S438" s="1">
        <f>+IF($G$4="mensual",S432,IF($G$4="trimestral",S432,IF($G$4="semestral",S432,0)))</f>
        <v>10000</v>
      </c>
      <c r="U438" s="1">
        <f t="shared" si="138"/>
        <v>166634.03409946518</v>
      </c>
      <c r="V438" s="1">
        <f t="shared" si="120"/>
        <v>-289.12690515283663</v>
      </c>
      <c r="X438" s="1">
        <f t="shared" si="123"/>
        <v>-21063.436088834911</v>
      </c>
      <c r="Y438" s="1">
        <f t="shared" si="124"/>
        <v>21042083.525840923</v>
      </c>
      <c r="AA438" s="2">
        <f>+Bono!J438</f>
        <v>438503.26173909468</v>
      </c>
      <c r="AC438" s="10">
        <f t="shared" si="125"/>
        <v>34.583333333333336</v>
      </c>
      <c r="AD438" s="1">
        <f t="shared" si="126"/>
        <v>22367034.437652577</v>
      </c>
    </row>
    <row r="439" spans="2:30">
      <c r="B439" s="1">
        <f t="shared" si="127"/>
        <v>416</v>
      </c>
      <c r="C439" s="2">
        <f t="shared" si="132"/>
        <v>34</v>
      </c>
      <c r="D439" s="2">
        <f t="shared" si="133"/>
        <v>8</v>
      </c>
      <c r="E439" s="2">
        <f t="shared" si="134"/>
        <v>63</v>
      </c>
      <c r="F439" s="1">
        <f t="shared" si="128"/>
        <v>886447.6500725603</v>
      </c>
      <c r="H439" s="1">
        <f t="shared" si="121"/>
        <v>7068.6580445503396</v>
      </c>
      <c r="I439" s="1">
        <v>0</v>
      </c>
      <c r="J439" s="1">
        <v>0</v>
      </c>
      <c r="K439" s="1">
        <f t="shared" si="129"/>
        <v>-893.51630811711061</v>
      </c>
      <c r="L439" s="1">
        <f t="shared" si="122"/>
        <v>892622.79180899356</v>
      </c>
      <c r="N439" s="1">
        <f t="shared" si="130"/>
        <v>416</v>
      </c>
      <c r="O439" s="2">
        <f t="shared" si="135"/>
        <v>34</v>
      </c>
      <c r="P439" s="2">
        <f t="shared" si="136"/>
        <v>8</v>
      </c>
      <c r="Q439" s="2">
        <f t="shared" si="137"/>
        <v>34</v>
      </c>
      <c r="R439" s="1">
        <f t="shared" si="131"/>
        <v>21042083.525840923</v>
      </c>
      <c r="S439" s="4">
        <f>IF($G$4="mensual",S438,0)</f>
        <v>10000</v>
      </c>
      <c r="U439" s="1">
        <f t="shared" si="138"/>
        <v>167872.27035606702</v>
      </c>
      <c r="V439" s="1">
        <f t="shared" si="120"/>
        <v>-289.12690515283663</v>
      </c>
      <c r="X439" s="1">
        <f t="shared" si="123"/>
        <v>-21219.955796196991</v>
      </c>
      <c r="Y439" s="1">
        <f t="shared" si="124"/>
        <v>21198446.713495638</v>
      </c>
      <c r="AA439" s="2">
        <f>+Bono!J439</f>
        <v>441222.03282510728</v>
      </c>
      <c r="AC439" s="10">
        <f t="shared" si="125"/>
        <v>34.666666666666664</v>
      </c>
      <c r="AD439" s="1">
        <f t="shared" si="126"/>
        <v>22532291.538129739</v>
      </c>
    </row>
    <row r="440" spans="2:30">
      <c r="B440" s="1">
        <f t="shared" si="127"/>
        <v>417</v>
      </c>
      <c r="C440" s="2">
        <f t="shared" si="132"/>
        <v>34</v>
      </c>
      <c r="D440" s="2">
        <f t="shared" si="133"/>
        <v>9</v>
      </c>
      <c r="E440" s="2">
        <f t="shared" si="134"/>
        <v>63</v>
      </c>
      <c r="F440" s="1">
        <f t="shared" si="128"/>
        <v>892622.79180899356</v>
      </c>
      <c r="H440" s="1">
        <f t="shared" si="121"/>
        <v>7117.8994919250435</v>
      </c>
      <c r="I440" s="1">
        <v>0</v>
      </c>
      <c r="J440" s="69">
        <f>-SUM(F440:H440)*$J$21</f>
        <v>-8097.6662217082685</v>
      </c>
      <c r="K440" s="1">
        <f t="shared" si="129"/>
        <v>-891.64302507921036</v>
      </c>
      <c r="L440" s="1">
        <f t="shared" si="122"/>
        <v>890751.38205413113</v>
      </c>
      <c r="N440" s="1">
        <f t="shared" si="130"/>
        <v>417</v>
      </c>
      <c r="O440" s="2">
        <f t="shared" si="135"/>
        <v>34</v>
      </c>
      <c r="P440" s="2">
        <f t="shared" si="136"/>
        <v>9</v>
      </c>
      <c r="Q440" s="2">
        <f t="shared" si="137"/>
        <v>34</v>
      </c>
      <c r="R440" s="1">
        <f t="shared" si="131"/>
        <v>21198446.713495638</v>
      </c>
      <c r="S440" s="4">
        <f>IF($G$4="mensual",S439,0)</f>
        <v>10000</v>
      </c>
      <c r="U440" s="1">
        <f t="shared" si="138"/>
        <v>169119.13237233675</v>
      </c>
      <c r="V440" s="1">
        <f t="shared" si="120"/>
        <v>-289.12690515283663</v>
      </c>
      <c r="X440" s="1">
        <f t="shared" si="123"/>
        <v>-21377.565845867975</v>
      </c>
      <c r="Y440" s="1">
        <f t="shared" si="124"/>
        <v>21355899.153116953</v>
      </c>
      <c r="AA440" s="2">
        <f>+Bono!J440</f>
        <v>439958.04204318213</v>
      </c>
      <c r="AC440" s="10">
        <f t="shared" si="125"/>
        <v>34.75</v>
      </c>
      <c r="AD440" s="1">
        <f t="shared" si="126"/>
        <v>22686608.577214267</v>
      </c>
    </row>
    <row r="441" spans="2:30">
      <c r="B441" s="1">
        <f t="shared" si="127"/>
        <v>418</v>
      </c>
      <c r="C441" s="2">
        <f t="shared" si="132"/>
        <v>34</v>
      </c>
      <c r="D441" s="2">
        <f t="shared" si="133"/>
        <v>10</v>
      </c>
      <c r="E441" s="2">
        <f t="shared" si="134"/>
        <v>63</v>
      </c>
      <c r="F441" s="1">
        <f t="shared" si="128"/>
        <v>890751.38205413113</v>
      </c>
      <c r="H441" s="1">
        <f t="shared" si="121"/>
        <v>7102.9766077397499</v>
      </c>
      <c r="I441" s="1">
        <v>0</v>
      </c>
      <c r="J441" s="1">
        <v>0</v>
      </c>
      <c r="K441" s="1">
        <f t="shared" si="129"/>
        <v>-897.85435866187083</v>
      </c>
      <c r="L441" s="1">
        <f t="shared" si="122"/>
        <v>896956.5043032089</v>
      </c>
      <c r="N441" s="1">
        <f t="shared" si="130"/>
        <v>418</v>
      </c>
      <c r="O441" s="2">
        <f t="shared" si="135"/>
        <v>34</v>
      </c>
      <c r="P441" s="2">
        <f t="shared" si="136"/>
        <v>10</v>
      </c>
      <c r="Q441" s="2">
        <f t="shared" si="137"/>
        <v>34</v>
      </c>
      <c r="R441" s="1">
        <f t="shared" si="131"/>
        <v>21355899.153116953</v>
      </c>
      <c r="S441" s="4">
        <f>IF($G$4="mensual",S432,IF($G$4="trimestral",S432,0))</f>
        <v>10000</v>
      </c>
      <c r="U441" s="1">
        <f t="shared" si="138"/>
        <v>170374.6802367506</v>
      </c>
      <c r="V441" s="1">
        <f t="shared" si="120"/>
        <v>-289.12690515283663</v>
      </c>
      <c r="X441" s="1">
        <f t="shared" si="123"/>
        <v>-21536.273833353702</v>
      </c>
      <c r="Y441" s="1">
        <f t="shared" si="124"/>
        <v>21514448.432615194</v>
      </c>
      <c r="AA441" s="2">
        <f>+Bono!J441</f>
        <v>442685.83293582406</v>
      </c>
      <c r="AC441" s="10">
        <f t="shared" si="125"/>
        <v>34.833333333333336</v>
      </c>
      <c r="AD441" s="1">
        <f t="shared" si="126"/>
        <v>22854090.769854229</v>
      </c>
    </row>
    <row r="442" spans="2:30">
      <c r="B442" s="1">
        <f t="shared" si="127"/>
        <v>419</v>
      </c>
      <c r="C442" s="2">
        <f t="shared" si="132"/>
        <v>34</v>
      </c>
      <c r="D442" s="2">
        <f t="shared" si="133"/>
        <v>11</v>
      </c>
      <c r="E442" s="2">
        <f t="shared" si="134"/>
        <v>63</v>
      </c>
      <c r="F442" s="1">
        <f t="shared" si="128"/>
        <v>896956.5043032089</v>
      </c>
      <c r="H442" s="1">
        <f t="shared" si="121"/>
        <v>7152.4571239324114</v>
      </c>
      <c r="I442" s="1">
        <v>0</v>
      </c>
      <c r="J442" s="1">
        <v>0</v>
      </c>
      <c r="K442" s="1">
        <f t="shared" si="129"/>
        <v>-904.10896142714137</v>
      </c>
      <c r="L442" s="1">
        <f t="shared" si="122"/>
        <v>903204.85246571421</v>
      </c>
      <c r="N442" s="1">
        <f t="shared" si="130"/>
        <v>419</v>
      </c>
      <c r="O442" s="2">
        <f t="shared" si="135"/>
        <v>34</v>
      </c>
      <c r="P442" s="2">
        <f t="shared" si="136"/>
        <v>11</v>
      </c>
      <c r="Q442" s="2">
        <f t="shared" si="137"/>
        <v>34</v>
      </c>
      <c r="R442" s="1">
        <f t="shared" si="131"/>
        <v>21514448.432615194</v>
      </c>
      <c r="S442" s="1">
        <f>IF($G$17="si",S430*(1+$G$20),S430)</f>
        <v>10000</v>
      </c>
      <c r="U442" s="1">
        <f t="shared" si="138"/>
        <v>171638.97445637107</v>
      </c>
      <c r="V442" s="1">
        <f t="shared" si="120"/>
        <v>-289.12690515283663</v>
      </c>
      <c r="X442" s="1">
        <f t="shared" si="123"/>
        <v>-21696.087407071565</v>
      </c>
      <c r="Y442" s="1">
        <f t="shared" si="124"/>
        <v>21674102.192759339</v>
      </c>
      <c r="AA442" s="2">
        <f>+Bono!J442</f>
        <v>445430.53644840454</v>
      </c>
      <c r="AC442" s="10">
        <f t="shared" si="125"/>
        <v>34.916666666666664</v>
      </c>
      <c r="AD442" s="1">
        <f t="shared" si="126"/>
        <v>23022737.581673458</v>
      </c>
    </row>
    <row r="443" spans="2:30">
      <c r="B443" s="1">
        <f t="shared" si="127"/>
        <v>420</v>
      </c>
      <c r="C443" s="2">
        <f t="shared" si="132"/>
        <v>34</v>
      </c>
      <c r="D443" s="2">
        <f t="shared" si="133"/>
        <v>12</v>
      </c>
      <c r="E443" s="2">
        <f t="shared" si="134"/>
        <v>63</v>
      </c>
      <c r="F443" s="1">
        <f t="shared" si="128"/>
        <v>903204.85246571421</v>
      </c>
      <c r="H443" s="1">
        <f t="shared" si="121"/>
        <v>7202.2823296289116</v>
      </c>
      <c r="I443" s="1">
        <v>0</v>
      </c>
      <c r="J443" s="69">
        <f>-SUM(F443:H443)*$J$21</f>
        <v>-8193.6642131580902</v>
      </c>
      <c r="K443" s="1">
        <f t="shared" si="129"/>
        <v>-902.2134705821851</v>
      </c>
      <c r="L443" s="1">
        <f t="shared" si="122"/>
        <v>901311.25711160293</v>
      </c>
      <c r="N443" s="1">
        <f t="shared" si="130"/>
        <v>420</v>
      </c>
      <c r="O443" s="2">
        <f t="shared" si="135"/>
        <v>34</v>
      </c>
      <c r="P443" s="2">
        <f t="shared" si="136"/>
        <v>12</v>
      </c>
      <c r="Q443" s="2">
        <f t="shared" si="137"/>
        <v>34</v>
      </c>
      <c r="R443" s="1">
        <f t="shared" si="131"/>
        <v>21674102.192759339</v>
      </c>
      <c r="S443" s="4">
        <f>IF($G$4="mensual",S442,0)</f>
        <v>10000</v>
      </c>
      <c r="U443" s="1">
        <f t="shared" si="138"/>
        <v>172912.07595976299</v>
      </c>
      <c r="V443" s="1">
        <f t="shared" si="120"/>
        <v>-289.12690515283663</v>
      </c>
      <c r="X443" s="1">
        <f t="shared" si="123"/>
        <v>-21857.014268719104</v>
      </c>
      <c r="Y443" s="1">
        <f t="shared" si="124"/>
        <v>21834868.12754523</v>
      </c>
      <c r="AA443" s="2">
        <f>+Bono!J443</f>
        <v>444154.48935607373</v>
      </c>
      <c r="AC443" s="10">
        <f t="shared" si="125"/>
        <v>35</v>
      </c>
      <c r="AD443" s="1">
        <f t="shared" si="126"/>
        <v>23180333.874012906</v>
      </c>
    </row>
    <row r="444" spans="2:30">
      <c r="B444" s="1">
        <f t="shared" si="127"/>
        <v>421</v>
      </c>
      <c r="C444" s="2">
        <f t="shared" si="132"/>
        <v>35</v>
      </c>
      <c r="D444" s="2">
        <f t="shared" si="133"/>
        <v>1</v>
      </c>
      <c r="E444" s="2">
        <f t="shared" si="134"/>
        <v>64</v>
      </c>
      <c r="F444" s="1">
        <f t="shared" si="128"/>
        <v>901311.25711160293</v>
      </c>
      <c r="H444" s="1">
        <f t="shared" si="121"/>
        <v>7187.1825343597084</v>
      </c>
      <c r="I444" s="1">
        <v>0</v>
      </c>
      <c r="J444" s="1">
        <v>0</v>
      </c>
      <c r="K444" s="1">
        <f t="shared" si="129"/>
        <v>-908.49843964596266</v>
      </c>
      <c r="L444" s="1">
        <f t="shared" si="122"/>
        <v>907589.9412063167</v>
      </c>
      <c r="N444" s="1">
        <f t="shared" si="130"/>
        <v>421</v>
      </c>
      <c r="O444" s="2">
        <f t="shared" si="135"/>
        <v>35</v>
      </c>
      <c r="P444" s="2">
        <f t="shared" si="136"/>
        <v>1</v>
      </c>
      <c r="Q444" s="2">
        <f t="shared" si="137"/>
        <v>35</v>
      </c>
      <c r="R444" s="1">
        <f t="shared" si="131"/>
        <v>21834868.12754523</v>
      </c>
      <c r="S444" s="1">
        <f>IF($G$17="si",S432*(1+$G$20),S432)</f>
        <v>10000</v>
      </c>
      <c r="U444" s="1">
        <f t="shared" si="138"/>
        <v>174194.04609992969</v>
      </c>
      <c r="V444" s="1">
        <f>V443*(1+$G$18)</f>
        <v>-300.6919813589501</v>
      </c>
      <c r="X444" s="1">
        <f t="shared" si="123"/>
        <v>-22019.062173645161</v>
      </c>
      <c r="Y444" s="1">
        <f t="shared" si="124"/>
        <v>21996742.419490155</v>
      </c>
      <c r="AA444" s="2">
        <f>+Bono!J444</f>
        <v>446908.29870881338</v>
      </c>
      <c r="AC444" s="10">
        <f t="shared" si="125"/>
        <v>35.083333333333336</v>
      </c>
      <c r="AD444" s="1">
        <f t="shared" si="126"/>
        <v>23351240.659405287</v>
      </c>
    </row>
    <row r="445" spans="2:30">
      <c r="B445" s="1">
        <f t="shared" si="127"/>
        <v>422</v>
      </c>
      <c r="C445" s="2">
        <f t="shared" si="132"/>
        <v>35</v>
      </c>
      <c r="D445" s="2">
        <f t="shared" si="133"/>
        <v>2</v>
      </c>
      <c r="E445" s="2">
        <f t="shared" si="134"/>
        <v>64</v>
      </c>
      <c r="F445" s="1">
        <f t="shared" si="128"/>
        <v>907589.9412063167</v>
      </c>
      <c r="H445" s="1">
        <f t="shared" si="121"/>
        <v>7237.2496430396804</v>
      </c>
      <c r="I445" s="1">
        <v>0</v>
      </c>
      <c r="J445" s="1">
        <v>0</v>
      </c>
      <c r="K445" s="1">
        <f t="shared" si="129"/>
        <v>-914.82719084935638</v>
      </c>
      <c r="L445" s="1">
        <f t="shared" si="122"/>
        <v>913912.36365850701</v>
      </c>
      <c r="N445" s="1">
        <f t="shared" si="130"/>
        <v>422</v>
      </c>
      <c r="O445" s="2">
        <f t="shared" si="135"/>
        <v>35</v>
      </c>
      <c r="P445" s="2">
        <f t="shared" si="136"/>
        <v>2</v>
      </c>
      <c r="Q445" s="2">
        <f t="shared" si="137"/>
        <v>35</v>
      </c>
      <c r="R445" s="1">
        <f t="shared" si="131"/>
        <v>21996742.419490155</v>
      </c>
      <c r="S445" s="4">
        <f>IF($G$4="mensual",S444,0)</f>
        <v>10000</v>
      </c>
      <c r="U445" s="1">
        <f t="shared" si="138"/>
        <v>175484.85443572787</v>
      </c>
      <c r="V445" s="1">
        <f t="shared" ref="V445:V508" si="139">V444</f>
        <v>-300.6919813589501</v>
      </c>
      <c r="X445" s="1">
        <f t="shared" si="123"/>
        <v>-22182.227273925881</v>
      </c>
      <c r="Y445" s="1">
        <f t="shared" si="124"/>
        <v>22159744.354670595</v>
      </c>
      <c r="AA445" s="2">
        <f>+Bono!J445</f>
        <v>449679.18199896219</v>
      </c>
      <c r="AC445" s="10">
        <f t="shared" si="125"/>
        <v>35.166666666666664</v>
      </c>
      <c r="AD445" s="1">
        <f t="shared" si="126"/>
        <v>23523335.900328062</v>
      </c>
    </row>
    <row r="446" spans="2:30">
      <c r="B446" s="1">
        <f t="shared" si="127"/>
        <v>423</v>
      </c>
      <c r="C446" s="2">
        <f t="shared" si="132"/>
        <v>35</v>
      </c>
      <c r="D446" s="2">
        <f t="shared" si="133"/>
        <v>3</v>
      </c>
      <c r="E446" s="2">
        <f t="shared" si="134"/>
        <v>64</v>
      </c>
      <c r="F446" s="1">
        <f t="shared" si="128"/>
        <v>913912.36365850701</v>
      </c>
      <c r="H446" s="1">
        <f t="shared" si="121"/>
        <v>7287.6655275243002</v>
      </c>
      <c r="I446" s="1">
        <v>0</v>
      </c>
      <c r="J446" s="69">
        <f>-SUM(F446:H446)*$J$21</f>
        <v>-8290.8002626742837</v>
      </c>
      <c r="K446" s="1">
        <f t="shared" si="129"/>
        <v>-912.90922892335698</v>
      </c>
      <c r="L446" s="1">
        <f t="shared" si="122"/>
        <v>911996.31969443359</v>
      </c>
      <c r="N446" s="1">
        <f t="shared" si="130"/>
        <v>423</v>
      </c>
      <c r="O446" s="2">
        <f t="shared" si="135"/>
        <v>35</v>
      </c>
      <c r="P446" s="2">
        <f t="shared" si="136"/>
        <v>3</v>
      </c>
      <c r="Q446" s="2">
        <f t="shared" si="137"/>
        <v>35</v>
      </c>
      <c r="R446" s="1">
        <f t="shared" si="131"/>
        <v>22159744.354670595</v>
      </c>
      <c r="S446" s="4">
        <f>IF($G$4="mensual",S445,0)</f>
        <v>10000</v>
      </c>
      <c r="U446" s="1">
        <f t="shared" si="138"/>
        <v>176784.6547570398</v>
      </c>
      <c r="V446" s="1">
        <f t="shared" si="139"/>
        <v>-300.6919813589501</v>
      </c>
      <c r="X446" s="1">
        <f t="shared" si="123"/>
        <v>-22346.529009427639</v>
      </c>
      <c r="Y446" s="1">
        <f t="shared" si="124"/>
        <v>22323881.788436849</v>
      </c>
      <c r="AA446" s="2">
        <f>+Bono!J446</f>
        <v>448390.96359964291</v>
      </c>
      <c r="AC446" s="10">
        <f t="shared" si="125"/>
        <v>35.25</v>
      </c>
      <c r="AD446" s="1">
        <f t="shared" si="126"/>
        <v>23684269.071730927</v>
      </c>
    </row>
    <row r="447" spans="2:30">
      <c r="B447" s="1">
        <f t="shared" si="127"/>
        <v>424</v>
      </c>
      <c r="C447" s="2">
        <f t="shared" si="132"/>
        <v>35</v>
      </c>
      <c r="D447" s="2">
        <f t="shared" si="133"/>
        <v>4</v>
      </c>
      <c r="E447" s="2">
        <f t="shared" si="134"/>
        <v>64</v>
      </c>
      <c r="F447" s="1">
        <f t="shared" si="128"/>
        <v>911996.31969443359</v>
      </c>
      <c r="H447" s="1">
        <f t="shared" si="121"/>
        <v>7272.3867238868252</v>
      </c>
      <c r="I447" s="1">
        <v>0</v>
      </c>
      <c r="J447" s="1">
        <v>0</v>
      </c>
      <c r="K447" s="1">
        <f t="shared" si="129"/>
        <v>-919.26870641832045</v>
      </c>
      <c r="L447" s="1">
        <f t="shared" si="122"/>
        <v>918349.43771190208</v>
      </c>
      <c r="N447" s="1">
        <f t="shared" si="130"/>
        <v>424</v>
      </c>
      <c r="O447" s="2">
        <f t="shared" si="135"/>
        <v>35</v>
      </c>
      <c r="P447" s="2">
        <f t="shared" si="136"/>
        <v>4</v>
      </c>
      <c r="Q447" s="2">
        <f t="shared" si="137"/>
        <v>35</v>
      </c>
      <c r="R447" s="1">
        <f t="shared" si="131"/>
        <v>22323881.788436849</v>
      </c>
      <c r="S447" s="4">
        <f>IF($G$4="mensual",S444,IF($G$4="trimestral",S444,0))</f>
        <v>10000</v>
      </c>
      <c r="U447" s="1">
        <f t="shared" si="138"/>
        <v>178093.50970353177</v>
      </c>
      <c r="V447" s="1">
        <f t="shared" si="139"/>
        <v>-300.6919813589501</v>
      </c>
      <c r="X447" s="1">
        <f t="shared" si="123"/>
        <v>-22511.97529814038</v>
      </c>
      <c r="Y447" s="1">
        <f t="shared" si="124"/>
        <v>22489162.63086088</v>
      </c>
      <c r="AA447" s="2">
        <f>+Bono!J447</f>
        <v>451171.03958409326</v>
      </c>
      <c r="AC447" s="10">
        <f t="shared" si="125"/>
        <v>35.333333333333336</v>
      </c>
      <c r="AD447" s="1">
        <f t="shared" si="126"/>
        <v>23858683.108156875</v>
      </c>
    </row>
    <row r="448" spans="2:30">
      <c r="B448" s="1">
        <f t="shared" si="127"/>
        <v>425</v>
      </c>
      <c r="C448" s="2">
        <f t="shared" si="132"/>
        <v>35</v>
      </c>
      <c r="D448" s="2">
        <f t="shared" si="133"/>
        <v>5</v>
      </c>
      <c r="E448" s="2">
        <f t="shared" si="134"/>
        <v>64</v>
      </c>
      <c r="F448" s="1">
        <f t="shared" si="128"/>
        <v>918349.43771190208</v>
      </c>
      <c r="H448" s="1">
        <f t="shared" si="121"/>
        <v>7323.0473791195172</v>
      </c>
      <c r="I448" s="1">
        <v>0</v>
      </c>
      <c r="J448" s="1">
        <v>0</v>
      </c>
      <c r="K448" s="1">
        <f t="shared" si="129"/>
        <v>-925.6724850910216</v>
      </c>
      <c r="L448" s="1">
        <f t="shared" si="122"/>
        <v>924746.81260593061</v>
      </c>
      <c r="N448" s="1">
        <f t="shared" si="130"/>
        <v>425</v>
      </c>
      <c r="O448" s="2">
        <f t="shared" si="135"/>
        <v>35</v>
      </c>
      <c r="P448" s="2">
        <f t="shared" si="136"/>
        <v>5</v>
      </c>
      <c r="Q448" s="2">
        <f t="shared" si="137"/>
        <v>35</v>
      </c>
      <c r="R448" s="1">
        <f t="shared" si="131"/>
        <v>22489162.63086088</v>
      </c>
      <c r="S448" s="4">
        <f>IF($G$4="mensual",S447,0)</f>
        <v>10000</v>
      </c>
      <c r="U448" s="1">
        <f t="shared" si="138"/>
        <v>179411.48235122854</v>
      </c>
      <c r="V448" s="1">
        <f t="shared" si="139"/>
        <v>-300.6919813589501</v>
      </c>
      <c r="X448" s="1">
        <f t="shared" si="123"/>
        <v>-22678.574113212107</v>
      </c>
      <c r="Y448" s="1">
        <f t="shared" si="124"/>
        <v>22655594.847117536</v>
      </c>
      <c r="AA448" s="2">
        <f>+Bono!J448</f>
        <v>453968.3523621161</v>
      </c>
      <c r="AC448" s="10">
        <f t="shared" si="125"/>
        <v>35.416666666666664</v>
      </c>
      <c r="AD448" s="1">
        <f t="shared" si="126"/>
        <v>24034310.012085583</v>
      </c>
    </row>
    <row r="449" spans="2:30">
      <c r="B449" s="1">
        <f t="shared" si="127"/>
        <v>426</v>
      </c>
      <c r="C449" s="2">
        <f t="shared" si="132"/>
        <v>35</v>
      </c>
      <c r="D449" s="2">
        <f t="shared" si="133"/>
        <v>6</v>
      </c>
      <c r="E449" s="2">
        <f t="shared" si="134"/>
        <v>64</v>
      </c>
      <c r="F449" s="1">
        <f t="shared" si="128"/>
        <v>924746.81260593061</v>
      </c>
      <c r="H449" s="1">
        <f t="shared" si="121"/>
        <v>7374.0609449008443</v>
      </c>
      <c r="I449" s="1">
        <v>0</v>
      </c>
      <c r="J449" s="69">
        <f>-SUM(F449:H449)*$J$21</f>
        <v>-8389.0878619574833</v>
      </c>
      <c r="K449" s="1">
        <f t="shared" si="129"/>
        <v>-923.73178568887397</v>
      </c>
      <c r="L449" s="1">
        <f t="shared" si="122"/>
        <v>922808.05390318506</v>
      </c>
      <c r="N449" s="1">
        <f t="shared" si="130"/>
        <v>426</v>
      </c>
      <c r="O449" s="2">
        <f t="shared" si="135"/>
        <v>35</v>
      </c>
      <c r="P449" s="2">
        <f t="shared" si="136"/>
        <v>6</v>
      </c>
      <c r="Q449" s="2">
        <f t="shared" si="137"/>
        <v>35</v>
      </c>
      <c r="R449" s="1">
        <f t="shared" si="131"/>
        <v>22655594.847117536</v>
      </c>
      <c r="S449" s="4">
        <f>IF($G$4="mensual",S448,0)</f>
        <v>10000</v>
      </c>
      <c r="U449" s="1">
        <f t="shared" si="138"/>
        <v>180738.63621555277</v>
      </c>
      <c r="V449" s="1">
        <f t="shared" si="139"/>
        <v>-300.6919813589501</v>
      </c>
      <c r="X449" s="1">
        <f t="shared" si="123"/>
        <v>-22846.333483333088</v>
      </c>
      <c r="Y449" s="1">
        <f t="shared" si="124"/>
        <v>22823186.457868394</v>
      </c>
      <c r="AA449" s="2">
        <f>+Bono!J449</f>
        <v>452667.84656235494</v>
      </c>
      <c r="AC449" s="10">
        <f t="shared" si="125"/>
        <v>35.5</v>
      </c>
      <c r="AD449" s="1">
        <f t="shared" si="126"/>
        <v>24198662.358333934</v>
      </c>
    </row>
    <row r="450" spans="2:30">
      <c r="B450" s="1">
        <f t="shared" si="127"/>
        <v>427</v>
      </c>
      <c r="C450" s="2">
        <f t="shared" si="132"/>
        <v>35</v>
      </c>
      <c r="D450" s="2">
        <f t="shared" si="133"/>
        <v>7</v>
      </c>
      <c r="E450" s="2">
        <f t="shared" si="134"/>
        <v>64</v>
      </c>
      <c r="F450" s="1">
        <f t="shared" si="128"/>
        <v>922808.05390318506</v>
      </c>
      <c r="H450" s="1">
        <f t="shared" si="121"/>
        <v>7358.6010107473921</v>
      </c>
      <c r="I450" s="1">
        <v>0</v>
      </c>
      <c r="J450" s="1">
        <v>0</v>
      </c>
      <c r="K450" s="1">
        <f t="shared" si="129"/>
        <v>-930.16665491393246</v>
      </c>
      <c r="L450" s="1">
        <f t="shared" si="122"/>
        <v>929236.48825901852</v>
      </c>
      <c r="N450" s="1">
        <f t="shared" si="130"/>
        <v>427</v>
      </c>
      <c r="O450" s="2">
        <f t="shared" si="135"/>
        <v>35</v>
      </c>
      <c r="P450" s="2">
        <f t="shared" si="136"/>
        <v>7</v>
      </c>
      <c r="Q450" s="2">
        <f t="shared" si="137"/>
        <v>35</v>
      </c>
      <c r="R450" s="1">
        <f t="shared" si="131"/>
        <v>22823186.457868394</v>
      </c>
      <c r="S450" s="1">
        <f>+IF($G$4="mensual",S444,IF($G$4="trimestral",S444,IF($G$4="semestral",S444,0)))</f>
        <v>10000</v>
      </c>
      <c r="U450" s="1">
        <f t="shared" si="138"/>
        <v>182075.03525438628</v>
      </c>
      <c r="V450" s="1">
        <f t="shared" si="139"/>
        <v>-300.6919813589501</v>
      </c>
      <c r="X450" s="1">
        <f t="shared" si="123"/>
        <v>-23015.26149312278</v>
      </c>
      <c r="Y450" s="1">
        <f t="shared" si="124"/>
        <v>22991945.539648294</v>
      </c>
      <c r="AA450" s="2">
        <f>+Bono!J450</f>
        <v>455474.43971726188</v>
      </c>
      <c r="AC450" s="10">
        <f t="shared" si="125"/>
        <v>35.583333333333336</v>
      </c>
      <c r="AD450" s="1">
        <f t="shared" si="126"/>
        <v>24376656.467624575</v>
      </c>
    </row>
    <row r="451" spans="2:30">
      <c r="B451" s="1">
        <f t="shared" si="127"/>
        <v>428</v>
      </c>
      <c r="C451" s="2">
        <f t="shared" si="132"/>
        <v>35</v>
      </c>
      <c r="D451" s="2">
        <f t="shared" si="133"/>
        <v>8</v>
      </c>
      <c r="E451" s="2">
        <f t="shared" si="134"/>
        <v>64</v>
      </c>
      <c r="F451" s="1">
        <f t="shared" si="128"/>
        <v>929236.48825901852</v>
      </c>
      <c r="H451" s="1">
        <f t="shared" si="121"/>
        <v>7409.8622490387979</v>
      </c>
      <c r="I451" s="1">
        <v>0</v>
      </c>
      <c r="J451" s="1">
        <v>0</v>
      </c>
      <c r="K451" s="1">
        <f t="shared" si="129"/>
        <v>-936.64635050805725</v>
      </c>
      <c r="L451" s="1">
        <f t="shared" si="122"/>
        <v>935709.70415754919</v>
      </c>
      <c r="N451" s="1">
        <f t="shared" si="130"/>
        <v>428</v>
      </c>
      <c r="O451" s="2">
        <f t="shared" si="135"/>
        <v>35</v>
      </c>
      <c r="P451" s="2">
        <f t="shared" si="136"/>
        <v>8</v>
      </c>
      <c r="Q451" s="2">
        <f t="shared" si="137"/>
        <v>35</v>
      </c>
      <c r="R451" s="1">
        <f t="shared" si="131"/>
        <v>22991945.539648294</v>
      </c>
      <c r="S451" s="4">
        <f>IF($G$4="mensual",S450,0)</f>
        <v>10000</v>
      </c>
      <c r="U451" s="1">
        <f t="shared" si="138"/>
        <v>183420.74387115208</v>
      </c>
      <c r="V451" s="1">
        <f t="shared" si="139"/>
        <v>-300.6919813589501</v>
      </c>
      <c r="X451" s="1">
        <f t="shared" si="123"/>
        <v>-23185.366283519448</v>
      </c>
      <c r="Y451" s="1">
        <f t="shared" si="124"/>
        <v>23161880.225254565</v>
      </c>
      <c r="AA451" s="2">
        <f>+Bono!J451</f>
        <v>458298.43407527386</v>
      </c>
      <c r="AC451" s="10">
        <f t="shared" si="125"/>
        <v>35.666666666666664</v>
      </c>
      <c r="AD451" s="1">
        <f t="shared" si="126"/>
        <v>24555888.363487389</v>
      </c>
    </row>
    <row r="452" spans="2:30">
      <c r="B452" s="1">
        <f t="shared" si="127"/>
        <v>429</v>
      </c>
      <c r="C452" s="2">
        <f t="shared" si="132"/>
        <v>35</v>
      </c>
      <c r="D452" s="2">
        <f t="shared" si="133"/>
        <v>9</v>
      </c>
      <c r="E452" s="2">
        <f t="shared" si="134"/>
        <v>64</v>
      </c>
      <c r="F452" s="1">
        <f t="shared" si="128"/>
        <v>935709.70415754919</v>
      </c>
      <c r="H452" s="1">
        <f t="shared" si="121"/>
        <v>7461.4805816402941</v>
      </c>
      <c r="I452" s="1">
        <v>0</v>
      </c>
      <c r="J452" s="69">
        <f>-SUM(F452:H452)*$J$21</f>
        <v>-8488.5406626527056</v>
      </c>
      <c r="K452" s="1">
        <f t="shared" si="129"/>
        <v>-934.6826440765368</v>
      </c>
      <c r="L452" s="1">
        <f t="shared" si="122"/>
        <v>933747.96143246023</v>
      </c>
      <c r="N452" s="1">
        <f t="shared" si="130"/>
        <v>429</v>
      </c>
      <c r="O452" s="2">
        <f t="shared" si="135"/>
        <v>35</v>
      </c>
      <c r="P452" s="2">
        <f t="shared" si="136"/>
        <v>9</v>
      </c>
      <c r="Q452" s="2">
        <f t="shared" si="137"/>
        <v>35</v>
      </c>
      <c r="R452" s="1">
        <f t="shared" si="131"/>
        <v>23161880.225254565</v>
      </c>
      <c r="S452" s="4">
        <f>IF($G$4="mensual",S451,0)</f>
        <v>10000</v>
      </c>
      <c r="U452" s="1">
        <f t="shared" si="138"/>
        <v>184775.82691791811</v>
      </c>
      <c r="V452" s="1">
        <f t="shared" si="139"/>
        <v>-300.6919813589501</v>
      </c>
      <c r="X452" s="1">
        <f t="shared" si="123"/>
        <v>-23356.656052172482</v>
      </c>
      <c r="Y452" s="1">
        <f t="shared" si="124"/>
        <v>23332998.70413895</v>
      </c>
      <c r="AA452" s="2">
        <f>+Bono!J452</f>
        <v>456985.52367428417</v>
      </c>
      <c r="AC452" s="10">
        <f t="shared" si="125"/>
        <v>35.75</v>
      </c>
      <c r="AD452" s="1">
        <f t="shared" si="126"/>
        <v>24723732.189245693</v>
      </c>
    </row>
    <row r="453" spans="2:30">
      <c r="B453" s="1">
        <f t="shared" si="127"/>
        <v>430</v>
      </c>
      <c r="C453" s="2">
        <f t="shared" si="132"/>
        <v>35</v>
      </c>
      <c r="D453" s="2">
        <f t="shared" si="133"/>
        <v>10</v>
      </c>
      <c r="E453" s="2">
        <f t="shared" si="134"/>
        <v>64</v>
      </c>
      <c r="F453" s="1">
        <f t="shared" si="128"/>
        <v>933747.96143246023</v>
      </c>
      <c r="H453" s="1">
        <f t="shared" si="121"/>
        <v>7445.8373696650542</v>
      </c>
      <c r="I453" s="1">
        <v>0</v>
      </c>
      <c r="J453" s="1">
        <v>0</v>
      </c>
      <c r="K453" s="1">
        <f t="shared" si="129"/>
        <v>-941.19379880212534</v>
      </c>
      <c r="L453" s="1">
        <f t="shared" si="122"/>
        <v>940252.60500332317</v>
      </c>
      <c r="N453" s="1">
        <f t="shared" si="130"/>
        <v>430</v>
      </c>
      <c r="O453" s="2">
        <f t="shared" si="135"/>
        <v>35</v>
      </c>
      <c r="P453" s="2">
        <f t="shared" si="136"/>
        <v>10</v>
      </c>
      <c r="Q453" s="2">
        <f t="shared" si="137"/>
        <v>35</v>
      </c>
      <c r="R453" s="1">
        <f t="shared" si="131"/>
        <v>23332998.70413895</v>
      </c>
      <c r="S453" s="4">
        <f>IF($G$4="mensual",S444,IF($G$4="trimestral",S444,0))</f>
        <v>10000</v>
      </c>
      <c r="U453" s="1">
        <f t="shared" si="138"/>
        <v>186140.34969852256</v>
      </c>
      <c r="V453" s="1">
        <f t="shared" si="139"/>
        <v>-300.6919813589501</v>
      </c>
      <c r="X453" s="1">
        <f t="shared" si="123"/>
        <v>-23529.139053837473</v>
      </c>
      <c r="Y453" s="1">
        <f t="shared" si="124"/>
        <v>23505309.222802274</v>
      </c>
      <c r="AA453" s="2">
        <f>+Bono!J453</f>
        <v>459818.88692810456</v>
      </c>
      <c r="AC453" s="10">
        <f t="shared" si="125"/>
        <v>35.833333333333336</v>
      </c>
      <c r="AD453" s="1">
        <f t="shared" si="126"/>
        <v>24905380.714733701</v>
      </c>
    </row>
    <row r="454" spans="2:30">
      <c r="B454" s="1">
        <f t="shared" si="127"/>
        <v>431</v>
      </c>
      <c r="C454" s="2">
        <f t="shared" si="132"/>
        <v>35</v>
      </c>
      <c r="D454" s="2">
        <f t="shared" si="133"/>
        <v>11</v>
      </c>
      <c r="E454" s="2">
        <f t="shared" si="134"/>
        <v>64</v>
      </c>
      <c r="F454" s="1">
        <f t="shared" si="128"/>
        <v>940252.60500332317</v>
      </c>
      <c r="H454" s="1">
        <f t="shared" si="121"/>
        <v>7497.706310939081</v>
      </c>
      <c r="I454" s="1">
        <v>0</v>
      </c>
      <c r="J454" s="1">
        <v>0</v>
      </c>
      <c r="K454" s="1">
        <f t="shared" si="129"/>
        <v>-947.75031131426226</v>
      </c>
      <c r="L454" s="1">
        <f t="shared" si="122"/>
        <v>946802.56100294797</v>
      </c>
      <c r="N454" s="1">
        <f t="shared" si="130"/>
        <v>431</v>
      </c>
      <c r="O454" s="2">
        <f t="shared" si="135"/>
        <v>35</v>
      </c>
      <c r="P454" s="2">
        <f t="shared" si="136"/>
        <v>11</v>
      </c>
      <c r="Q454" s="2">
        <f t="shared" si="137"/>
        <v>35</v>
      </c>
      <c r="R454" s="1">
        <f t="shared" si="131"/>
        <v>23505309.222802274</v>
      </c>
      <c r="S454" s="1">
        <f>IF($G$17="si",S442*(1+$G$20),S442)</f>
        <v>10000</v>
      </c>
      <c r="U454" s="1">
        <f t="shared" si="138"/>
        <v>187514.37797172117</v>
      </c>
      <c r="V454" s="1">
        <f t="shared" si="139"/>
        <v>-300.6919813589501</v>
      </c>
      <c r="X454" s="1">
        <f t="shared" si="123"/>
        <v>-23702.823600773994</v>
      </c>
      <c r="Y454" s="1">
        <f t="shared" si="124"/>
        <v>23678820.085191861</v>
      </c>
      <c r="AA454" s="2">
        <f>+Bono!J454</f>
        <v>462669.81736274849</v>
      </c>
      <c r="AC454" s="10">
        <f t="shared" si="125"/>
        <v>35.916666666666664</v>
      </c>
      <c r="AD454" s="1">
        <f t="shared" si="126"/>
        <v>25088292.463557556</v>
      </c>
    </row>
    <row r="455" spans="2:30">
      <c r="B455" s="1">
        <f t="shared" si="127"/>
        <v>432</v>
      </c>
      <c r="C455" s="2">
        <f t="shared" si="132"/>
        <v>35</v>
      </c>
      <c r="D455" s="2">
        <f t="shared" si="133"/>
        <v>12</v>
      </c>
      <c r="E455" s="2">
        <f t="shared" si="134"/>
        <v>64</v>
      </c>
      <c r="F455" s="1">
        <f t="shared" si="128"/>
        <v>946802.56100294797</v>
      </c>
      <c r="H455" s="1">
        <f t="shared" si="121"/>
        <v>7549.9365798832296</v>
      </c>
      <c r="I455" s="1">
        <v>0</v>
      </c>
      <c r="J455" s="69">
        <f>-SUM(F455:H455)*$J$21</f>
        <v>-8589.1724782454821</v>
      </c>
      <c r="K455" s="1">
        <f t="shared" si="129"/>
        <v>-945.76332510458576</v>
      </c>
      <c r="L455" s="1">
        <f t="shared" si="122"/>
        <v>944817.56177948113</v>
      </c>
      <c r="N455" s="1">
        <f t="shared" si="130"/>
        <v>432</v>
      </c>
      <c r="O455" s="2">
        <f t="shared" si="135"/>
        <v>35</v>
      </c>
      <c r="P455" s="2">
        <f t="shared" si="136"/>
        <v>12</v>
      </c>
      <c r="Q455" s="2">
        <f t="shared" si="137"/>
        <v>35</v>
      </c>
      <c r="R455" s="1">
        <f t="shared" si="131"/>
        <v>23678820.085191861</v>
      </c>
      <c r="S455" s="4">
        <f>IF($G$4="mensual",S454,0)</f>
        <v>10000</v>
      </c>
      <c r="U455" s="1">
        <f t="shared" si="138"/>
        <v>188897.97795435594</v>
      </c>
      <c r="V455" s="1">
        <f t="shared" si="139"/>
        <v>-300.6919813589501</v>
      </c>
      <c r="X455" s="1">
        <f t="shared" si="123"/>
        <v>-23877.718063146214</v>
      </c>
      <c r="Y455" s="1">
        <f t="shared" si="124"/>
        <v>23853539.653101709</v>
      </c>
      <c r="AA455" s="2">
        <f>+Bono!J455</f>
        <v>461344.38404184877</v>
      </c>
      <c r="AC455" s="10">
        <f t="shared" si="125"/>
        <v>36</v>
      </c>
      <c r="AD455" s="1">
        <f t="shared" si="126"/>
        <v>25259701.598923039</v>
      </c>
    </row>
    <row r="456" spans="2:30">
      <c r="B456" s="1">
        <f t="shared" si="127"/>
        <v>433</v>
      </c>
      <c r="C456" s="2">
        <f t="shared" si="132"/>
        <v>36</v>
      </c>
      <c r="D456" s="2">
        <f t="shared" si="133"/>
        <v>1</v>
      </c>
      <c r="E456" s="2">
        <f t="shared" si="134"/>
        <v>65</v>
      </c>
      <c r="F456" s="1">
        <f t="shared" si="128"/>
        <v>944817.56177948113</v>
      </c>
      <c r="H456" s="1">
        <f t="shared" si="121"/>
        <v>7534.1079173240405</v>
      </c>
      <c r="I456" s="1">
        <v>0</v>
      </c>
      <c r="J456" s="1">
        <v>0</v>
      </c>
      <c r="K456" s="1">
        <f t="shared" si="129"/>
        <v>-952.35166969680517</v>
      </c>
      <c r="L456" s="1">
        <f t="shared" si="122"/>
        <v>951399.31802710833</v>
      </c>
      <c r="N456" s="1">
        <f t="shared" si="130"/>
        <v>433</v>
      </c>
      <c r="O456" s="2">
        <f t="shared" si="135"/>
        <v>36</v>
      </c>
      <c r="P456" s="2">
        <f t="shared" si="136"/>
        <v>1</v>
      </c>
      <c r="Q456" s="2">
        <f t="shared" si="137"/>
        <v>36</v>
      </c>
      <c r="R456" s="1">
        <f t="shared" si="131"/>
        <v>23853539.653101709</v>
      </c>
      <c r="S456" s="1">
        <f>IF($G$17="si",S444*(1+$G$20),S444)</f>
        <v>10000</v>
      </c>
      <c r="U456" s="1">
        <f t="shared" si="138"/>
        <v>190291.21632454643</v>
      </c>
      <c r="V456" s="1">
        <f>V455*(1+$G$18)</f>
        <v>-312.71966061330812</v>
      </c>
      <c r="X456" s="1">
        <f t="shared" si="123"/>
        <v>-24053.830869426256</v>
      </c>
      <c r="Y456" s="1">
        <f t="shared" si="124"/>
        <v>24029464.318896215</v>
      </c>
      <c r="AA456" s="2">
        <f>+Bono!J456</f>
        <v>464204.77273554454</v>
      </c>
      <c r="AC456" s="10">
        <f t="shared" si="125"/>
        <v>36.083333333333336</v>
      </c>
      <c r="AD456" s="1">
        <f t="shared" si="126"/>
        <v>25445068.409658868</v>
      </c>
    </row>
    <row r="457" spans="2:30">
      <c r="B457" s="1">
        <f t="shared" si="127"/>
        <v>434</v>
      </c>
      <c r="C457" s="2">
        <f t="shared" si="132"/>
        <v>36</v>
      </c>
      <c r="D457" s="2">
        <f t="shared" si="133"/>
        <v>2</v>
      </c>
      <c r="E457" s="2">
        <f t="shared" si="134"/>
        <v>65</v>
      </c>
      <c r="F457" s="1">
        <f t="shared" si="128"/>
        <v>951399.31802710833</v>
      </c>
      <c r="H457" s="1">
        <f t="shared" si="121"/>
        <v>7586.5917659114348</v>
      </c>
      <c r="I457" s="1">
        <v>0</v>
      </c>
      <c r="J457" s="1">
        <v>0</v>
      </c>
      <c r="K457" s="1">
        <f t="shared" si="129"/>
        <v>-958.9859097930198</v>
      </c>
      <c r="L457" s="1">
        <f t="shared" si="122"/>
        <v>958026.9238832267</v>
      </c>
      <c r="N457" s="1">
        <f t="shared" si="130"/>
        <v>434</v>
      </c>
      <c r="O457" s="2">
        <f t="shared" si="135"/>
        <v>36</v>
      </c>
      <c r="P457" s="2">
        <f t="shared" si="136"/>
        <v>2</v>
      </c>
      <c r="Q457" s="2">
        <f t="shared" si="137"/>
        <v>36</v>
      </c>
      <c r="R457" s="1">
        <f t="shared" si="131"/>
        <v>24029464.318896215</v>
      </c>
      <c r="S457" s="4">
        <f>IF($G$4="mensual",S456,0)</f>
        <v>10000</v>
      </c>
      <c r="U457" s="1">
        <f t="shared" si="138"/>
        <v>191694.06431449982</v>
      </c>
      <c r="V457" s="1">
        <f>V456</f>
        <v>-312.71966061330812</v>
      </c>
      <c r="X457" s="1">
        <f t="shared" si="123"/>
        <v>-24231.158383210717</v>
      </c>
      <c r="Y457" s="1">
        <f t="shared" si="124"/>
        <v>24206614.505166892</v>
      </c>
      <c r="AA457" s="2">
        <f>+Bono!J457</f>
        <v>467082.89617092581</v>
      </c>
      <c r="AC457" s="10">
        <f t="shared" si="125"/>
        <v>36.166666666666664</v>
      </c>
      <c r="AD457" s="1">
        <f t="shared" si="126"/>
        <v>25631724.325221043</v>
      </c>
    </row>
    <row r="458" spans="2:30">
      <c r="B458" s="1">
        <f t="shared" si="127"/>
        <v>435</v>
      </c>
      <c r="C458" s="2">
        <f t="shared" si="132"/>
        <v>36</v>
      </c>
      <c r="D458" s="2">
        <f t="shared" si="133"/>
        <v>3</v>
      </c>
      <c r="E458" s="2">
        <f t="shared" si="134"/>
        <v>65</v>
      </c>
      <c r="F458" s="1">
        <f t="shared" si="128"/>
        <v>958026.9238832267</v>
      </c>
      <c r="H458" s="1">
        <f t="shared" si="121"/>
        <v>7639.4412257155473</v>
      </c>
      <c r="I458" s="1">
        <v>0</v>
      </c>
      <c r="J458" s="69">
        <f>-SUM(F458:H458)*$J$21</f>
        <v>-8690.997285980482</v>
      </c>
      <c r="K458" s="1">
        <f t="shared" si="129"/>
        <v>-956.97536782296174</v>
      </c>
      <c r="L458" s="1">
        <f t="shared" si="122"/>
        <v>956018.39245513885</v>
      </c>
      <c r="N458" s="1">
        <f t="shared" si="130"/>
        <v>435</v>
      </c>
      <c r="O458" s="2">
        <f t="shared" si="135"/>
        <v>36</v>
      </c>
      <c r="P458" s="2">
        <f t="shared" si="136"/>
        <v>3</v>
      </c>
      <c r="Q458" s="2">
        <f t="shared" si="137"/>
        <v>36</v>
      </c>
      <c r="R458" s="1">
        <f t="shared" si="131"/>
        <v>24206614.505166892</v>
      </c>
      <c r="S458" s="4">
        <f>IF($G$4="mensual",S457,0)</f>
        <v>10000</v>
      </c>
      <c r="U458" s="1">
        <f t="shared" si="138"/>
        <v>193106.68477682865</v>
      </c>
      <c r="V458" s="1">
        <f t="shared" si="139"/>
        <v>-312.71966061330812</v>
      </c>
      <c r="X458" s="1">
        <f t="shared" si="123"/>
        <v>-24409.721189943721</v>
      </c>
      <c r="Y458" s="1">
        <f t="shared" si="124"/>
        <v>24384998.749093164</v>
      </c>
      <c r="AA458" s="2">
        <f>+Bono!J458</f>
        <v>465744.82048287656</v>
      </c>
      <c r="AC458" s="10">
        <f t="shared" si="125"/>
        <v>36.25</v>
      </c>
      <c r="AD458" s="1">
        <f t="shared" si="126"/>
        <v>25806761.962031178</v>
      </c>
    </row>
    <row r="459" spans="2:30">
      <c r="B459" s="1">
        <f t="shared" si="127"/>
        <v>436</v>
      </c>
      <c r="C459" s="2">
        <f t="shared" si="132"/>
        <v>36</v>
      </c>
      <c r="D459" s="2">
        <f t="shared" si="133"/>
        <v>4</v>
      </c>
      <c r="E459" s="2">
        <f t="shared" si="134"/>
        <v>65</v>
      </c>
      <c r="F459" s="1">
        <f t="shared" si="128"/>
        <v>956018.39245513885</v>
      </c>
      <c r="H459" s="1">
        <f t="shared" si="121"/>
        <v>7623.4249140521079</v>
      </c>
      <c r="I459" s="1">
        <v>0</v>
      </c>
      <c r="J459" s="1">
        <v>0</v>
      </c>
      <c r="K459" s="1">
        <f t="shared" si="129"/>
        <v>-963.64181736919102</v>
      </c>
      <c r="L459" s="1">
        <f t="shared" si="122"/>
        <v>962678.17555182183</v>
      </c>
      <c r="N459" s="1">
        <f t="shared" si="130"/>
        <v>436</v>
      </c>
      <c r="O459" s="2">
        <f t="shared" si="135"/>
        <v>36</v>
      </c>
      <c r="P459" s="2">
        <f t="shared" si="136"/>
        <v>4</v>
      </c>
      <c r="Q459" s="2">
        <f t="shared" si="137"/>
        <v>36</v>
      </c>
      <c r="R459" s="1">
        <f t="shared" si="131"/>
        <v>24384998.749093164</v>
      </c>
      <c r="S459" s="4">
        <f>IF($G$4="mensual",S456,IF($G$4="trimestral",S456,0))</f>
        <v>10000</v>
      </c>
      <c r="U459" s="1">
        <f t="shared" si="138"/>
        <v>194529.14578820055</v>
      </c>
      <c r="V459" s="1">
        <f t="shared" si="139"/>
        <v>-312.71966061330812</v>
      </c>
      <c r="X459" s="1">
        <f t="shared" si="123"/>
        <v>-24589.527894881365</v>
      </c>
      <c r="Y459" s="1">
        <f t="shared" si="124"/>
        <v>24564625.64732587</v>
      </c>
      <c r="AA459" s="2">
        <f>+Bono!J459</f>
        <v>468632.49239292578</v>
      </c>
      <c r="AC459" s="10">
        <f t="shared" si="125"/>
        <v>36.333333333333336</v>
      </c>
      <c r="AD459" s="1">
        <f t="shared" si="126"/>
        <v>25995936.315270618</v>
      </c>
    </row>
    <row r="460" spans="2:30">
      <c r="B460" s="1">
        <f t="shared" si="127"/>
        <v>437</v>
      </c>
      <c r="C460" s="2">
        <f t="shared" si="132"/>
        <v>36</v>
      </c>
      <c r="D460" s="2">
        <f t="shared" si="133"/>
        <v>5</v>
      </c>
      <c r="E460" s="2">
        <f t="shared" si="134"/>
        <v>65</v>
      </c>
      <c r="F460" s="1">
        <f t="shared" si="128"/>
        <v>962678.17555182183</v>
      </c>
      <c r="H460" s="1">
        <f t="shared" si="121"/>
        <v>7676.5309596910975</v>
      </c>
      <c r="I460" s="1">
        <v>0</v>
      </c>
      <c r="J460" s="1">
        <v>0</v>
      </c>
      <c r="K460" s="1">
        <f t="shared" si="129"/>
        <v>-970.35470651151297</v>
      </c>
      <c r="L460" s="1">
        <f t="shared" si="122"/>
        <v>969384.3518050015</v>
      </c>
      <c r="N460" s="1">
        <f t="shared" si="130"/>
        <v>437</v>
      </c>
      <c r="O460" s="2">
        <f t="shared" si="135"/>
        <v>36</v>
      </c>
      <c r="P460" s="2">
        <f t="shared" si="136"/>
        <v>5</v>
      </c>
      <c r="Q460" s="2">
        <f t="shared" si="137"/>
        <v>36</v>
      </c>
      <c r="R460" s="1">
        <f t="shared" si="131"/>
        <v>24564625.64732587</v>
      </c>
      <c r="S460" s="4">
        <f>IF($G$4="mensual",S459,0)</f>
        <v>10000</v>
      </c>
      <c r="U460" s="1">
        <f t="shared" si="138"/>
        <v>195961.51589951655</v>
      </c>
      <c r="V460" s="1">
        <f t="shared" si="139"/>
        <v>-312.71966061330812</v>
      </c>
      <c r="X460" s="1">
        <f t="shared" si="123"/>
        <v>-24770.587163225387</v>
      </c>
      <c r="Y460" s="1">
        <f t="shared" si="124"/>
        <v>24745503.856401548</v>
      </c>
      <c r="AA460" s="2">
        <f>+Bono!J460</f>
        <v>471538.06820376654</v>
      </c>
      <c r="AC460" s="10">
        <f t="shared" si="125"/>
        <v>36.416666666666664</v>
      </c>
      <c r="AD460" s="1">
        <f t="shared" si="126"/>
        <v>26186426.276410315</v>
      </c>
    </row>
    <row r="461" spans="2:30">
      <c r="B461" s="1">
        <f t="shared" si="127"/>
        <v>438</v>
      </c>
      <c r="C461" s="2">
        <f t="shared" si="132"/>
        <v>36</v>
      </c>
      <c r="D461" s="2">
        <f t="shared" si="133"/>
        <v>6</v>
      </c>
      <c r="E461" s="2">
        <f t="shared" si="134"/>
        <v>65</v>
      </c>
      <c r="F461" s="1">
        <f t="shared" si="128"/>
        <v>969384.3518050015</v>
      </c>
      <c r="H461" s="1">
        <f t="shared" si="121"/>
        <v>7730.006950874932</v>
      </c>
      <c r="I461" s="1">
        <v>0</v>
      </c>
      <c r="J461" s="69">
        <f>-SUM(F461:H461)*$J$21</f>
        <v>-8794.0292288028886</v>
      </c>
      <c r="K461" s="1">
        <f t="shared" si="129"/>
        <v>-968.32032952707357</v>
      </c>
      <c r="L461" s="1">
        <f t="shared" si="122"/>
        <v>967352.00919754652</v>
      </c>
      <c r="N461" s="1">
        <f t="shared" si="130"/>
        <v>438</v>
      </c>
      <c r="O461" s="2">
        <f t="shared" si="135"/>
        <v>36</v>
      </c>
      <c r="P461" s="2">
        <f t="shared" si="136"/>
        <v>6</v>
      </c>
      <c r="Q461" s="2">
        <f t="shared" si="137"/>
        <v>36</v>
      </c>
      <c r="R461" s="1">
        <f t="shared" si="131"/>
        <v>24745503.856401548</v>
      </c>
      <c r="S461" s="4">
        <f>IF($G$4="mensual",S460,0)</f>
        <v>10000</v>
      </c>
      <c r="U461" s="1">
        <f t="shared" si="138"/>
        <v>197403.86413921462</v>
      </c>
      <c r="V461" s="1">
        <f t="shared" si="139"/>
        <v>-312.71966061330812</v>
      </c>
      <c r="X461" s="1">
        <f t="shared" si="123"/>
        <v>-24952.907720540763</v>
      </c>
      <c r="Y461" s="1">
        <f t="shared" si="124"/>
        <v>24927642.093159609</v>
      </c>
      <c r="AA461" s="2">
        <f>+Bono!J461</f>
        <v>470187.22956200584</v>
      </c>
      <c r="AC461" s="10">
        <f t="shared" si="125"/>
        <v>36.5</v>
      </c>
      <c r="AD461" s="1">
        <f t="shared" si="126"/>
        <v>26365181.331919163</v>
      </c>
    </row>
    <row r="462" spans="2:30">
      <c r="B462" s="1">
        <f t="shared" si="127"/>
        <v>439</v>
      </c>
      <c r="C462" s="2">
        <f t="shared" si="132"/>
        <v>36</v>
      </c>
      <c r="D462" s="2">
        <f t="shared" si="133"/>
        <v>7</v>
      </c>
      <c r="E462" s="2">
        <f t="shared" si="134"/>
        <v>65</v>
      </c>
      <c r="F462" s="1">
        <f t="shared" si="128"/>
        <v>967352.00919754652</v>
      </c>
      <c r="H462" s="1">
        <f t="shared" si="121"/>
        <v>7713.8007655234414</v>
      </c>
      <c r="I462" s="1">
        <v>0</v>
      </c>
      <c r="J462" s="1">
        <v>0</v>
      </c>
      <c r="K462" s="1">
        <f t="shared" si="129"/>
        <v>-975.06580996307002</v>
      </c>
      <c r="L462" s="1">
        <f t="shared" si="122"/>
        <v>974090.74415310693</v>
      </c>
      <c r="N462" s="1">
        <f t="shared" si="130"/>
        <v>439</v>
      </c>
      <c r="O462" s="2">
        <f t="shared" si="135"/>
        <v>36</v>
      </c>
      <c r="P462" s="2">
        <f t="shared" si="136"/>
        <v>7</v>
      </c>
      <c r="Q462" s="2">
        <f t="shared" si="137"/>
        <v>36</v>
      </c>
      <c r="R462" s="1">
        <f t="shared" si="131"/>
        <v>24927642.093159609</v>
      </c>
      <c r="S462" s="1">
        <f>+IF($G$4="mensual",S456,IF($G$4="trimestral",S456,IF($G$4="semestral",S456,0)))</f>
        <v>10000</v>
      </c>
      <c r="U462" s="1">
        <f t="shared" si="138"/>
        <v>198856.26001659632</v>
      </c>
      <c r="V462" s="1">
        <f t="shared" si="139"/>
        <v>-312.71966061330812</v>
      </c>
      <c r="X462" s="1">
        <f t="shared" si="123"/>
        <v>-25136.498353176208</v>
      </c>
      <c r="Y462" s="1">
        <f t="shared" si="124"/>
        <v>25111049.135162417</v>
      </c>
      <c r="AA462" s="2">
        <f>+Bono!J462</f>
        <v>473102.44492363324</v>
      </c>
      <c r="AC462" s="10">
        <f t="shared" si="125"/>
        <v>36.583333333333336</v>
      </c>
      <c r="AD462" s="1">
        <f t="shared" si="126"/>
        <v>26558242.324239157</v>
      </c>
    </row>
    <row r="463" spans="2:30">
      <c r="B463" s="1">
        <f t="shared" si="127"/>
        <v>440</v>
      </c>
      <c r="C463" s="2">
        <f t="shared" si="132"/>
        <v>36</v>
      </c>
      <c r="D463" s="2">
        <f t="shared" si="133"/>
        <v>8</v>
      </c>
      <c r="E463" s="2">
        <f t="shared" si="134"/>
        <v>65</v>
      </c>
      <c r="F463" s="1">
        <f t="shared" si="128"/>
        <v>974090.74415310693</v>
      </c>
      <c r="H463" s="1">
        <f t="shared" si="121"/>
        <v>7767.5363843722434</v>
      </c>
      <c r="I463" s="1">
        <v>0</v>
      </c>
      <c r="J463" s="1">
        <v>0</v>
      </c>
      <c r="K463" s="1">
        <f t="shared" si="129"/>
        <v>-981.85828053747923</v>
      </c>
      <c r="L463" s="1">
        <f t="shared" si="122"/>
        <v>980876.42225694167</v>
      </c>
      <c r="N463" s="1">
        <f t="shared" si="130"/>
        <v>440</v>
      </c>
      <c r="O463" s="2">
        <f t="shared" si="135"/>
        <v>36</v>
      </c>
      <c r="P463" s="2">
        <f t="shared" si="136"/>
        <v>8</v>
      </c>
      <c r="Q463" s="2">
        <f t="shared" si="137"/>
        <v>36</v>
      </c>
      <c r="R463" s="1">
        <f t="shared" si="131"/>
        <v>25111049.135162417</v>
      </c>
      <c r="S463" s="4">
        <f>IF($G$4="mensual",S462,0)</f>
        <v>10000</v>
      </c>
      <c r="U463" s="1">
        <f t="shared" si="138"/>
        <v>200318.77352517657</v>
      </c>
      <c r="V463" s="1">
        <f t="shared" si="139"/>
        <v>-312.71966061330812</v>
      </c>
      <c r="X463" s="1">
        <f t="shared" si="123"/>
        <v>-25321.367908687593</v>
      </c>
      <c r="Y463" s="1">
        <f t="shared" si="124"/>
        <v>25295733.821118291</v>
      </c>
      <c r="AA463" s="2">
        <f>+Bono!J463</f>
        <v>476035.73495864682</v>
      </c>
      <c r="AC463" s="10">
        <f t="shared" si="125"/>
        <v>36.666666666666664</v>
      </c>
      <c r="AD463" s="1">
        <f t="shared" si="126"/>
        <v>26752645.978333879</v>
      </c>
    </row>
    <row r="464" spans="2:30">
      <c r="B464" s="1">
        <f t="shared" si="127"/>
        <v>441</v>
      </c>
      <c r="C464" s="2">
        <f t="shared" si="132"/>
        <v>36</v>
      </c>
      <c r="D464" s="2">
        <f t="shared" si="133"/>
        <v>9</v>
      </c>
      <c r="E464" s="2">
        <f t="shared" si="134"/>
        <v>65</v>
      </c>
      <c r="F464" s="1">
        <f t="shared" si="128"/>
        <v>980876.42225694167</v>
      </c>
      <c r="H464" s="1">
        <f t="shared" si="121"/>
        <v>7821.6463344775584</v>
      </c>
      <c r="I464" s="1">
        <v>0</v>
      </c>
      <c r="J464" s="69">
        <f>-SUM(F464:H464)*$J$21</f>
        <v>-8898.282617322775</v>
      </c>
      <c r="K464" s="1">
        <f t="shared" si="129"/>
        <v>-979.79978597409649</v>
      </c>
      <c r="L464" s="1">
        <f t="shared" si="122"/>
        <v>978819.98618812242</v>
      </c>
      <c r="N464" s="1">
        <f t="shared" si="130"/>
        <v>441</v>
      </c>
      <c r="O464" s="2">
        <f t="shared" si="135"/>
        <v>36</v>
      </c>
      <c r="P464" s="2">
        <f t="shared" si="136"/>
        <v>9</v>
      </c>
      <c r="Q464" s="2">
        <f t="shared" si="137"/>
        <v>36</v>
      </c>
      <c r="R464" s="1">
        <f t="shared" si="131"/>
        <v>25295733.821118291</v>
      </c>
      <c r="S464" s="4">
        <f>IF($G$4="mensual",S463,0)</f>
        <v>10000</v>
      </c>
      <c r="U464" s="1">
        <f t="shared" si="138"/>
        <v>201791.47514605671</v>
      </c>
      <c r="V464" s="1">
        <f t="shared" si="139"/>
        <v>-312.71966061330812</v>
      </c>
      <c r="X464" s="1">
        <f t="shared" si="123"/>
        <v>-25507.525296264346</v>
      </c>
      <c r="Y464" s="1">
        <f t="shared" si="124"/>
        <v>25481705.05130747</v>
      </c>
      <c r="AA464" s="2">
        <f>+Bono!J464</f>
        <v>474672.01162642328</v>
      </c>
      <c r="AC464" s="10">
        <f t="shared" si="125"/>
        <v>36.75</v>
      </c>
      <c r="AD464" s="1">
        <f t="shared" si="126"/>
        <v>26935197.049122013</v>
      </c>
    </row>
    <row r="465" spans="2:30">
      <c r="B465" s="1">
        <f t="shared" si="127"/>
        <v>442</v>
      </c>
      <c r="C465" s="2">
        <f t="shared" si="132"/>
        <v>36</v>
      </c>
      <c r="D465" s="2">
        <f t="shared" si="133"/>
        <v>10</v>
      </c>
      <c r="E465" s="2">
        <f t="shared" si="134"/>
        <v>65</v>
      </c>
      <c r="F465" s="1">
        <f t="shared" si="128"/>
        <v>978819.98618812242</v>
      </c>
      <c r="H465" s="1">
        <f t="shared" si="121"/>
        <v>7805.2480244817316</v>
      </c>
      <c r="I465" s="1">
        <v>0</v>
      </c>
      <c r="J465" s="1">
        <v>0</v>
      </c>
      <c r="K465" s="1">
        <f t="shared" si="129"/>
        <v>-986.62523421260414</v>
      </c>
      <c r="L465" s="1">
        <f t="shared" si="122"/>
        <v>985638.60897839151</v>
      </c>
      <c r="N465" s="1">
        <f t="shared" si="130"/>
        <v>442</v>
      </c>
      <c r="O465" s="2">
        <f t="shared" si="135"/>
        <v>36</v>
      </c>
      <c r="P465" s="2">
        <f t="shared" si="136"/>
        <v>10</v>
      </c>
      <c r="Q465" s="2">
        <f t="shared" si="137"/>
        <v>36</v>
      </c>
      <c r="R465" s="1">
        <f t="shared" si="131"/>
        <v>25481705.05130747</v>
      </c>
      <c r="S465" s="4">
        <f>IF($G$4="mensual",S456,IF($G$4="trimestral",S456,0))</f>
        <v>10000</v>
      </c>
      <c r="U465" s="1">
        <f t="shared" si="138"/>
        <v>203274.43585132121</v>
      </c>
      <c r="V465" s="1">
        <f t="shared" si="139"/>
        <v>-312.71966061330812</v>
      </c>
      <c r="X465" s="1">
        <f t="shared" si="123"/>
        <v>-25694.979487158791</v>
      </c>
      <c r="Y465" s="1">
        <f t="shared" si="124"/>
        <v>25668971.788011018</v>
      </c>
      <c r="AA465" s="2">
        <f>+Bono!J465</f>
        <v>477615.03315705259</v>
      </c>
      <c r="AC465" s="10">
        <f t="shared" si="125"/>
        <v>36.833333333333336</v>
      </c>
      <c r="AD465" s="1">
        <f t="shared" si="126"/>
        <v>27132225.430146463</v>
      </c>
    </row>
    <row r="466" spans="2:30">
      <c r="B466" s="1">
        <f t="shared" si="127"/>
        <v>443</v>
      </c>
      <c r="C466" s="2">
        <f t="shared" si="132"/>
        <v>36</v>
      </c>
      <c r="D466" s="2">
        <f t="shared" si="133"/>
        <v>11</v>
      </c>
      <c r="E466" s="2">
        <f t="shared" si="134"/>
        <v>65</v>
      </c>
      <c r="F466" s="1">
        <f t="shared" si="128"/>
        <v>985638.60897839151</v>
      </c>
      <c r="H466" s="1">
        <f t="shared" si="121"/>
        <v>7859.6206801430608</v>
      </c>
      <c r="I466" s="1">
        <v>0</v>
      </c>
      <c r="J466" s="1">
        <v>0</v>
      </c>
      <c r="K466" s="1">
        <f t="shared" si="129"/>
        <v>-993.49822965853457</v>
      </c>
      <c r="L466" s="1">
        <f t="shared" si="122"/>
        <v>992504.73142887594</v>
      </c>
      <c r="N466" s="1">
        <f t="shared" si="130"/>
        <v>443</v>
      </c>
      <c r="O466" s="2">
        <f t="shared" si="135"/>
        <v>36</v>
      </c>
      <c r="P466" s="2">
        <f t="shared" si="136"/>
        <v>11</v>
      </c>
      <c r="Q466" s="2">
        <f t="shared" si="137"/>
        <v>36</v>
      </c>
      <c r="R466" s="1">
        <f t="shared" si="131"/>
        <v>25668971.788011018</v>
      </c>
      <c r="S466" s="1">
        <f>IF($G$17="si",S454*(1+$G$20),S454)</f>
        <v>10000</v>
      </c>
      <c r="U466" s="1">
        <f t="shared" si="138"/>
        <v>204767.72710745785</v>
      </c>
      <c r="V466" s="1">
        <f t="shared" si="139"/>
        <v>-312.71966061330812</v>
      </c>
      <c r="X466" s="1">
        <f t="shared" si="123"/>
        <v>-25883.739515118476</v>
      </c>
      <c r="Y466" s="1">
        <f t="shared" si="124"/>
        <v>25857543.055942744</v>
      </c>
      <c r="AA466" s="2">
        <f>+Bono!J466</f>
        <v>480576.30176254112</v>
      </c>
      <c r="AC466" s="10">
        <f t="shared" si="125"/>
        <v>36.916666666666664</v>
      </c>
      <c r="AD466" s="1">
        <f t="shared" si="126"/>
        <v>27330624.08913416</v>
      </c>
    </row>
    <row r="467" spans="2:30">
      <c r="B467" s="1">
        <f t="shared" si="127"/>
        <v>444</v>
      </c>
      <c r="C467" s="2">
        <f t="shared" si="132"/>
        <v>36</v>
      </c>
      <c r="D467" s="2">
        <f t="shared" si="133"/>
        <v>12</v>
      </c>
      <c r="E467" s="2">
        <f t="shared" si="134"/>
        <v>65</v>
      </c>
      <c r="F467" s="1">
        <f t="shared" si="128"/>
        <v>992504.73142887594</v>
      </c>
      <c r="H467" s="1">
        <f t="shared" si="121"/>
        <v>7914.3721047652725</v>
      </c>
      <c r="I467" s="1">
        <v>0</v>
      </c>
      <c r="J467" s="69">
        <f>-SUM(F467:H467)*$J$21</f>
        <v>-9003.7719318027721</v>
      </c>
      <c r="K467" s="1">
        <f t="shared" si="129"/>
        <v>-991.41533160183849</v>
      </c>
      <c r="L467" s="1">
        <f t="shared" si="122"/>
        <v>990423.9162702366</v>
      </c>
      <c r="N467" s="1">
        <f t="shared" si="130"/>
        <v>444</v>
      </c>
      <c r="O467" s="2">
        <f t="shared" si="135"/>
        <v>36</v>
      </c>
      <c r="P467" s="2">
        <f t="shared" si="136"/>
        <v>12</v>
      </c>
      <c r="Q467" s="2">
        <f t="shared" si="137"/>
        <v>36</v>
      </c>
      <c r="R467" s="1">
        <f t="shared" si="131"/>
        <v>25857543.055942744</v>
      </c>
      <c r="S467" s="4">
        <f>IF($G$4="mensual",S466,0)</f>
        <v>10000</v>
      </c>
      <c r="U467" s="1">
        <f t="shared" si="138"/>
        <v>206271.42087880187</v>
      </c>
      <c r="V467" s="1">
        <f t="shared" si="139"/>
        <v>-312.71966061330812</v>
      </c>
      <c r="X467" s="1">
        <f t="shared" si="123"/>
        <v>-26073.814476821546</v>
      </c>
      <c r="Y467" s="1">
        <f t="shared" si="124"/>
        <v>26047427.94268411</v>
      </c>
      <c r="AA467" s="2">
        <f>+Bono!J467</f>
        <v>479199.5708419428</v>
      </c>
      <c r="AC467" s="10">
        <f t="shared" si="125"/>
        <v>37</v>
      </c>
      <c r="AD467" s="1">
        <f t="shared" si="126"/>
        <v>27517051.42979629</v>
      </c>
    </row>
    <row r="468" spans="2:30">
      <c r="B468" s="1">
        <f t="shared" si="127"/>
        <v>445</v>
      </c>
      <c r="C468" s="2">
        <f t="shared" si="132"/>
        <v>37</v>
      </c>
      <c r="D468" s="2">
        <f t="shared" si="133"/>
        <v>1</v>
      </c>
      <c r="E468" s="2">
        <f t="shared" si="134"/>
        <v>66</v>
      </c>
      <c r="F468" s="1">
        <f t="shared" si="128"/>
        <v>990423.9162702366</v>
      </c>
      <c r="H468" s="1">
        <f t="shared" si="121"/>
        <v>7897.7793924836906</v>
      </c>
      <c r="I468" s="1">
        <v>0</v>
      </c>
      <c r="J468" s="1">
        <v>0</v>
      </c>
      <c r="K468" s="1">
        <f t="shared" si="129"/>
        <v>-998.32169566272023</v>
      </c>
      <c r="L468" s="1">
        <f t="shared" si="122"/>
        <v>997323.37396705756</v>
      </c>
      <c r="N468" s="1">
        <f t="shared" si="130"/>
        <v>445</v>
      </c>
      <c r="O468" s="2">
        <f t="shared" si="135"/>
        <v>37</v>
      </c>
      <c r="P468" s="2">
        <f t="shared" si="136"/>
        <v>1</v>
      </c>
      <c r="Q468" s="2">
        <f t="shared" si="137"/>
        <v>37</v>
      </c>
      <c r="R468" s="1">
        <f t="shared" si="131"/>
        <v>26047427.94268411</v>
      </c>
      <c r="S468" s="1">
        <f>IF($G$17="si",S456*(1+$G$20),S456)</f>
        <v>10000</v>
      </c>
      <c r="U468" s="1">
        <f t="shared" si="138"/>
        <v>207785.589631004</v>
      </c>
      <c r="V468" s="1">
        <f>V467*(1+$G$18)</f>
        <v>-325.22844703784045</v>
      </c>
      <c r="X468" s="1">
        <f t="shared" si="123"/>
        <v>-26265.213532315112</v>
      </c>
      <c r="Y468" s="1">
        <f t="shared" si="124"/>
        <v>26238623.09033576</v>
      </c>
      <c r="AA468" s="2">
        <f>+Bono!J468</f>
        <v>482170.66376487265</v>
      </c>
      <c r="AC468" s="10">
        <f t="shared" si="125"/>
        <v>37.083333333333336</v>
      </c>
      <c r="AD468" s="1">
        <f t="shared" si="126"/>
        <v>27718117.128067691</v>
      </c>
    </row>
    <row r="469" spans="2:30">
      <c r="B469" s="1">
        <f t="shared" si="127"/>
        <v>446</v>
      </c>
      <c r="C469" s="2">
        <f t="shared" si="132"/>
        <v>37</v>
      </c>
      <c r="D469" s="2">
        <f t="shared" si="133"/>
        <v>2</v>
      </c>
      <c r="E469" s="2">
        <f t="shared" si="134"/>
        <v>66</v>
      </c>
      <c r="F469" s="1">
        <f t="shared" si="128"/>
        <v>997323.37396705756</v>
      </c>
      <c r="H469" s="1">
        <f t="shared" si="121"/>
        <v>7952.7966370414215</v>
      </c>
      <c r="I469" s="1">
        <v>0</v>
      </c>
      <c r="J469" s="1">
        <v>0</v>
      </c>
      <c r="K469" s="1">
        <f t="shared" si="129"/>
        <v>-1005.276170604099</v>
      </c>
      <c r="L469" s="1">
        <f t="shared" si="122"/>
        <v>1004270.8944334949</v>
      </c>
      <c r="N469" s="1">
        <f t="shared" si="130"/>
        <v>446</v>
      </c>
      <c r="O469" s="2">
        <f t="shared" si="135"/>
        <v>37</v>
      </c>
      <c r="P469" s="2">
        <f t="shared" si="136"/>
        <v>2</v>
      </c>
      <c r="Q469" s="2">
        <f t="shared" si="137"/>
        <v>37</v>
      </c>
      <c r="R469" s="1">
        <f t="shared" si="131"/>
        <v>26238623.09033576</v>
      </c>
      <c r="S469" s="4">
        <f>IF($G$4="mensual",S468,0)</f>
        <v>10000</v>
      </c>
      <c r="U469" s="1">
        <f t="shared" si="138"/>
        <v>209310.20658770326</v>
      </c>
      <c r="V469" s="1">
        <f>V468</f>
        <v>-325.22844703784045</v>
      </c>
      <c r="X469" s="1">
        <f t="shared" si="123"/>
        <v>-26457.933296923464</v>
      </c>
      <c r="Y469" s="1">
        <f t="shared" si="124"/>
        <v>26431150.135179501</v>
      </c>
      <c r="AA469" s="2">
        <f>+Bono!J469</f>
        <v>485160.17780855013</v>
      </c>
      <c r="AC469" s="10">
        <f t="shared" si="125"/>
        <v>37.166666666666664</v>
      </c>
      <c r="AD469" s="1">
        <f t="shared" si="126"/>
        <v>27920581.207421545</v>
      </c>
    </row>
    <row r="470" spans="2:30">
      <c r="B470" s="1">
        <f t="shared" si="127"/>
        <v>447</v>
      </c>
      <c r="C470" s="2">
        <f t="shared" si="132"/>
        <v>37</v>
      </c>
      <c r="D470" s="2">
        <f t="shared" si="133"/>
        <v>3</v>
      </c>
      <c r="E470" s="2">
        <f t="shared" si="134"/>
        <v>66</v>
      </c>
      <c r="F470" s="1">
        <f t="shared" si="128"/>
        <v>1004270.8944334949</v>
      </c>
      <c r="H470" s="1">
        <f t="shared" si="121"/>
        <v>8008.1971408734762</v>
      </c>
      <c r="I470" s="1">
        <v>0</v>
      </c>
      <c r="J470" s="69">
        <f>-SUM(F470:H470)*$J$21</f>
        <v>-9110.5118241693162</v>
      </c>
      <c r="K470" s="1">
        <f t="shared" si="129"/>
        <v>-1003.1685797501991</v>
      </c>
      <c r="L470" s="1">
        <f t="shared" si="122"/>
        <v>1002165.4111704489</v>
      </c>
      <c r="N470" s="1">
        <f t="shared" si="130"/>
        <v>447</v>
      </c>
      <c r="O470" s="2">
        <f t="shared" si="135"/>
        <v>37</v>
      </c>
      <c r="P470" s="2">
        <f t="shared" si="136"/>
        <v>3</v>
      </c>
      <c r="Q470" s="2">
        <f t="shared" si="137"/>
        <v>37</v>
      </c>
      <c r="R470" s="1">
        <f t="shared" si="131"/>
        <v>26431150.135179501</v>
      </c>
      <c r="S470" s="4">
        <f>IF($G$4="mensual",S469,0)</f>
        <v>10000</v>
      </c>
      <c r="U470" s="1">
        <f t="shared" si="138"/>
        <v>210845.44427964909</v>
      </c>
      <c r="V470" s="1">
        <f t="shared" si="139"/>
        <v>-325.22844703784045</v>
      </c>
      <c r="X470" s="1">
        <f t="shared" si="123"/>
        <v>-26651.995579459151</v>
      </c>
      <c r="Y470" s="1">
        <f t="shared" si="124"/>
        <v>26625018.355432652</v>
      </c>
      <c r="AA470" s="2">
        <f>+Bono!J470</f>
        <v>483770.3152294294</v>
      </c>
      <c r="AC470" s="10">
        <f t="shared" si="125"/>
        <v>37.25</v>
      </c>
      <c r="AD470" s="1">
        <f t="shared" si="126"/>
        <v>28110954.081832532</v>
      </c>
    </row>
    <row r="471" spans="2:30">
      <c r="B471" s="1">
        <f t="shared" si="127"/>
        <v>448</v>
      </c>
      <c r="C471" s="2">
        <f t="shared" si="132"/>
        <v>37</v>
      </c>
      <c r="D471" s="2">
        <f t="shared" si="133"/>
        <v>4</v>
      </c>
      <c r="E471" s="2">
        <f t="shared" si="134"/>
        <v>66</v>
      </c>
      <c r="F471" s="1">
        <f t="shared" si="128"/>
        <v>1002165.4111704489</v>
      </c>
      <c r="H471" s="1">
        <f t="shared" si="121"/>
        <v>7991.4077216632404</v>
      </c>
      <c r="I471" s="1">
        <v>0</v>
      </c>
      <c r="J471" s="1">
        <v>0</v>
      </c>
      <c r="K471" s="1">
        <f t="shared" si="129"/>
        <v>-1010.1568188921121</v>
      </c>
      <c r="L471" s="1">
        <f t="shared" si="122"/>
        <v>1009146.66207322</v>
      </c>
      <c r="N471" s="1">
        <f t="shared" si="130"/>
        <v>448</v>
      </c>
      <c r="O471" s="2">
        <f t="shared" si="135"/>
        <v>37</v>
      </c>
      <c r="P471" s="2">
        <f t="shared" si="136"/>
        <v>4</v>
      </c>
      <c r="Q471" s="2">
        <f t="shared" si="137"/>
        <v>37</v>
      </c>
      <c r="R471" s="1">
        <f t="shared" si="131"/>
        <v>26625018.355432652</v>
      </c>
      <c r="S471" s="4">
        <f>IF($G$4="mensual",S468,IF($G$4="trimestral",S468,0))</f>
        <v>10000</v>
      </c>
      <c r="U471" s="1">
        <f t="shared" si="138"/>
        <v>212391.37669264936</v>
      </c>
      <c r="V471" s="1">
        <f t="shared" si="139"/>
        <v>-325.22844703784045</v>
      </c>
      <c r="X471" s="1">
        <f t="shared" si="123"/>
        <v>-26847.409732125303</v>
      </c>
      <c r="Y471" s="1">
        <f t="shared" si="124"/>
        <v>26820237.093946137</v>
      </c>
      <c r="AA471" s="2">
        <f>+Bono!J471</f>
        <v>486769.74729773524</v>
      </c>
      <c r="AC471" s="10">
        <f t="shared" si="125"/>
        <v>37.333333333333336</v>
      </c>
      <c r="AD471" s="1">
        <f t="shared" si="126"/>
        <v>28316153.503317092</v>
      </c>
    </row>
    <row r="472" spans="2:30">
      <c r="B472" s="1">
        <f t="shared" si="127"/>
        <v>449</v>
      </c>
      <c r="C472" s="2">
        <f t="shared" si="132"/>
        <v>37</v>
      </c>
      <c r="D472" s="2">
        <f t="shared" si="133"/>
        <v>5</v>
      </c>
      <c r="E472" s="2">
        <f t="shared" si="134"/>
        <v>66</v>
      </c>
      <c r="F472" s="1">
        <f t="shared" si="128"/>
        <v>1009146.66207322</v>
      </c>
      <c r="H472" s="1">
        <f t="shared" ref="H472:H535" si="140">SUM(F472:G472)*$G$8</f>
        <v>8047.0771967313485</v>
      </c>
      <c r="I472" s="1">
        <v>0</v>
      </c>
      <c r="J472" s="1">
        <v>0</v>
      </c>
      <c r="K472" s="1">
        <f t="shared" si="129"/>
        <v>-1017.1937392699514</v>
      </c>
      <c r="L472" s="1">
        <f t="shared" ref="L472:L535" si="141">SUM(F472:K472)</f>
        <v>1016176.5455306814</v>
      </c>
      <c r="N472" s="1">
        <f t="shared" si="130"/>
        <v>449</v>
      </c>
      <c r="O472" s="2">
        <f t="shared" si="135"/>
        <v>37</v>
      </c>
      <c r="P472" s="2">
        <f t="shared" si="136"/>
        <v>5</v>
      </c>
      <c r="Q472" s="2">
        <f t="shared" si="137"/>
        <v>37</v>
      </c>
      <c r="R472" s="1">
        <f t="shared" si="131"/>
        <v>26820237.093946137</v>
      </c>
      <c r="S472" s="4">
        <f>IF($G$4="mensual",S471,0)</f>
        <v>10000</v>
      </c>
      <c r="U472" s="1">
        <f t="shared" si="138"/>
        <v>213948.07832790934</v>
      </c>
      <c r="V472" s="1">
        <f t="shared" si="139"/>
        <v>-325.22844703784045</v>
      </c>
      <c r="X472" s="1">
        <f t="shared" ref="X472:X535" si="142">-SUM(R472:U472)*0.1%</f>
        <v>-27044.185172274047</v>
      </c>
      <c r="Y472" s="1">
        <f t="shared" ref="Y472:Y535" si="143">SUM(R472:X472)</f>
        <v>27016815.758654732</v>
      </c>
      <c r="AA472" s="2">
        <f>+Bono!J472</f>
        <v>489787.77619277715</v>
      </c>
      <c r="AC472" s="10">
        <f t="shared" ref="AC472:AC535" si="144">+B472/12</f>
        <v>37.416666666666664</v>
      </c>
      <c r="AD472" s="1">
        <f t="shared" ref="AD472:AD535" si="145">+AA472+Y472+L472</f>
        <v>28522780.08037819</v>
      </c>
    </row>
    <row r="473" spans="2:30">
      <c r="B473" s="1">
        <f t="shared" ref="B473:B536" si="146">+B472+1</f>
        <v>450</v>
      </c>
      <c r="C473" s="2">
        <f t="shared" si="132"/>
        <v>37</v>
      </c>
      <c r="D473" s="2">
        <f t="shared" si="133"/>
        <v>6</v>
      </c>
      <c r="E473" s="2">
        <f t="shared" si="134"/>
        <v>66</v>
      </c>
      <c r="F473" s="1">
        <f t="shared" ref="F473:F536" si="147">L472</f>
        <v>1016176.5455306814</v>
      </c>
      <c r="H473" s="1">
        <f t="shared" si="140"/>
        <v>8103.1344746199729</v>
      </c>
      <c r="I473" s="1">
        <v>0</v>
      </c>
      <c r="J473" s="69">
        <f>-SUM(F473:H473)*$J$21</f>
        <v>-9218.5171200477125</v>
      </c>
      <c r="K473" s="1">
        <f t="shared" ref="K473:K536" si="148">-SUM(F473:J473)*0.1%</f>
        <v>-1015.0611628852537</v>
      </c>
      <c r="L473" s="1">
        <f t="shared" si="141"/>
        <v>1014046.1017223684</v>
      </c>
      <c r="N473" s="1">
        <f t="shared" ref="N473:N536" si="149">+N472+1</f>
        <v>450</v>
      </c>
      <c r="O473" s="2">
        <f t="shared" si="135"/>
        <v>37</v>
      </c>
      <c r="P473" s="2">
        <f t="shared" si="136"/>
        <v>6</v>
      </c>
      <c r="Q473" s="2">
        <f t="shared" si="137"/>
        <v>37</v>
      </c>
      <c r="R473" s="1">
        <f t="shared" ref="R473:R536" si="150">Y472</f>
        <v>27016815.758654732</v>
      </c>
      <c r="S473" s="4">
        <f>IF($G$4="mensual",S472,0)</f>
        <v>10000</v>
      </c>
      <c r="U473" s="1">
        <f t="shared" si="138"/>
        <v>215515.62420562207</v>
      </c>
      <c r="V473" s="1">
        <f t="shared" si="139"/>
        <v>-325.22844703784045</v>
      </c>
      <c r="X473" s="1">
        <f t="shared" si="142"/>
        <v>-27242.331382860357</v>
      </c>
      <c r="Y473" s="1">
        <f t="shared" si="143"/>
        <v>27214763.823030457</v>
      </c>
      <c r="AA473" s="2">
        <f>+Bono!J473</f>
        <v>488384.65670156921</v>
      </c>
      <c r="AC473" s="10">
        <f t="shared" si="144"/>
        <v>37.5</v>
      </c>
      <c r="AD473" s="1">
        <f t="shared" si="145"/>
        <v>28717194.581454393</v>
      </c>
    </row>
    <row r="474" spans="2:30">
      <c r="B474" s="1">
        <f t="shared" si="146"/>
        <v>451</v>
      </c>
      <c r="C474" s="2">
        <f t="shared" si="132"/>
        <v>37</v>
      </c>
      <c r="D474" s="2">
        <f t="shared" si="133"/>
        <v>7</v>
      </c>
      <c r="E474" s="2">
        <f t="shared" si="134"/>
        <v>66</v>
      </c>
      <c r="F474" s="1">
        <f t="shared" si="147"/>
        <v>1014046.1017223684</v>
      </c>
      <c r="H474" s="1">
        <f t="shared" si="140"/>
        <v>8086.1460165165972</v>
      </c>
      <c r="I474" s="1">
        <v>0</v>
      </c>
      <c r="J474" s="1">
        <v>0</v>
      </c>
      <c r="K474" s="1">
        <f t="shared" si="148"/>
        <v>-1022.132247738885</v>
      </c>
      <c r="L474" s="1">
        <f t="shared" si="141"/>
        <v>1021110.1154911461</v>
      </c>
      <c r="N474" s="1">
        <f t="shared" si="149"/>
        <v>451</v>
      </c>
      <c r="O474" s="2">
        <f t="shared" si="135"/>
        <v>37</v>
      </c>
      <c r="P474" s="2">
        <f t="shared" si="136"/>
        <v>7</v>
      </c>
      <c r="Q474" s="2">
        <f t="shared" si="137"/>
        <v>37</v>
      </c>
      <c r="R474" s="1">
        <f t="shared" si="150"/>
        <v>27214763.823030457</v>
      </c>
      <c r="S474" s="1">
        <f>+IF($G$4="mensual",S468,IF($G$4="trimestral",S468,IF($G$4="semestral",S468,0)))</f>
        <v>10000</v>
      </c>
      <c r="U474" s="1">
        <f t="shared" si="138"/>
        <v>217094.08986858377</v>
      </c>
      <c r="V474" s="1">
        <f t="shared" si="139"/>
        <v>-325.22844703784045</v>
      </c>
      <c r="X474" s="1">
        <f t="shared" si="142"/>
        <v>-27441.857912899039</v>
      </c>
      <c r="Y474" s="1">
        <f t="shared" si="143"/>
        <v>27414090.826539103</v>
      </c>
      <c r="AA474" s="2">
        <f>+Bono!J474</f>
        <v>491412.69822223281</v>
      </c>
      <c r="AC474" s="10">
        <f t="shared" si="144"/>
        <v>37.583333333333336</v>
      </c>
      <c r="AD474" s="1">
        <f t="shared" si="145"/>
        <v>28926613.640252478</v>
      </c>
    </row>
    <row r="475" spans="2:30">
      <c r="B475" s="1">
        <f t="shared" si="146"/>
        <v>452</v>
      </c>
      <c r="C475" s="2">
        <f t="shared" si="132"/>
        <v>37</v>
      </c>
      <c r="D475" s="2">
        <f t="shared" si="133"/>
        <v>8</v>
      </c>
      <c r="E475" s="2">
        <f t="shared" si="134"/>
        <v>66</v>
      </c>
      <c r="F475" s="1">
        <f t="shared" si="147"/>
        <v>1021110.1154911461</v>
      </c>
      <c r="H475" s="1">
        <f t="shared" si="140"/>
        <v>8142.4754543005402</v>
      </c>
      <c r="I475" s="1">
        <v>0</v>
      </c>
      <c r="J475" s="1">
        <v>0</v>
      </c>
      <c r="K475" s="1">
        <f t="shared" si="148"/>
        <v>-1029.2525909454466</v>
      </c>
      <c r="L475" s="1">
        <f t="shared" si="141"/>
        <v>1028223.3383545012</v>
      </c>
      <c r="N475" s="1">
        <f t="shared" si="149"/>
        <v>452</v>
      </c>
      <c r="O475" s="2">
        <f t="shared" si="135"/>
        <v>37</v>
      </c>
      <c r="P475" s="2">
        <f t="shared" si="136"/>
        <v>8</v>
      </c>
      <c r="Q475" s="2">
        <f t="shared" si="137"/>
        <v>37</v>
      </c>
      <c r="R475" s="1">
        <f t="shared" si="150"/>
        <v>27414090.826539103</v>
      </c>
      <c r="S475" s="4">
        <f>IF($G$4="mensual",S474,0)</f>
        <v>10000</v>
      </c>
      <c r="U475" s="1">
        <f t="shared" si="138"/>
        <v>218683.55138583432</v>
      </c>
      <c r="V475" s="1">
        <f t="shared" si="139"/>
        <v>-325.22844703784045</v>
      </c>
      <c r="X475" s="1">
        <f t="shared" si="142"/>
        <v>-27642.774377924939</v>
      </c>
      <c r="Y475" s="1">
        <f t="shared" si="143"/>
        <v>27614806.375099976</v>
      </c>
      <c r="AA475" s="2">
        <f>+Bono!J475</f>
        <v>494459.51395155559</v>
      </c>
      <c r="AC475" s="10">
        <f t="shared" si="144"/>
        <v>37.666666666666664</v>
      </c>
      <c r="AD475" s="1">
        <f t="shared" si="145"/>
        <v>29137489.227406032</v>
      </c>
    </row>
    <row r="476" spans="2:30">
      <c r="B476" s="1">
        <f t="shared" si="146"/>
        <v>453</v>
      </c>
      <c r="C476" s="2">
        <f t="shared" si="132"/>
        <v>37</v>
      </c>
      <c r="D476" s="2">
        <f t="shared" si="133"/>
        <v>9</v>
      </c>
      <c r="E476" s="2">
        <f t="shared" si="134"/>
        <v>66</v>
      </c>
      <c r="F476" s="1">
        <f t="shared" si="147"/>
        <v>1028223.3383545012</v>
      </c>
      <c r="H476" s="1">
        <f t="shared" si="140"/>
        <v>8199.1972923150224</v>
      </c>
      <c r="I476" s="1">
        <v>0</v>
      </c>
      <c r="J476" s="69">
        <f>-SUM(F476:H476)*$J$21</f>
        <v>-9327.8028208213473</v>
      </c>
      <c r="K476" s="1">
        <f t="shared" si="148"/>
        <v>-1027.0947328259949</v>
      </c>
      <c r="L476" s="1">
        <f t="shared" si="141"/>
        <v>1026067.638093169</v>
      </c>
      <c r="N476" s="1">
        <f t="shared" si="149"/>
        <v>453</v>
      </c>
      <c r="O476" s="2">
        <f t="shared" si="135"/>
        <v>37</v>
      </c>
      <c r="P476" s="2">
        <f t="shared" si="136"/>
        <v>9</v>
      </c>
      <c r="Q476" s="2">
        <f t="shared" si="137"/>
        <v>37</v>
      </c>
      <c r="R476" s="1">
        <f t="shared" si="150"/>
        <v>27614806.375099976</v>
      </c>
      <c r="S476" s="4">
        <f>IF($G$4="mensual",S475,0)</f>
        <v>10000</v>
      </c>
      <c r="U476" s="1">
        <f t="shared" si="138"/>
        <v>220284.08535632316</v>
      </c>
      <c r="V476" s="1">
        <f t="shared" si="139"/>
        <v>-325.22844703784045</v>
      </c>
      <c r="X476" s="1">
        <f t="shared" si="142"/>
        <v>-27845.0904604563</v>
      </c>
      <c r="Y476" s="1">
        <f t="shared" si="143"/>
        <v>27816920.141548805</v>
      </c>
      <c r="AA476" s="2">
        <f>+Bono!J476</f>
        <v>493043.01109999081</v>
      </c>
      <c r="AC476" s="10">
        <f t="shared" si="144"/>
        <v>37.75</v>
      </c>
      <c r="AD476" s="1">
        <f t="shared" si="145"/>
        <v>29336030.790741965</v>
      </c>
    </row>
    <row r="477" spans="2:30">
      <c r="B477" s="1">
        <f t="shared" si="146"/>
        <v>454</v>
      </c>
      <c r="C477" s="2">
        <f t="shared" si="132"/>
        <v>37</v>
      </c>
      <c r="D477" s="2">
        <f t="shared" si="133"/>
        <v>10</v>
      </c>
      <c r="E477" s="2">
        <f t="shared" si="134"/>
        <v>66</v>
      </c>
      <c r="F477" s="1">
        <f t="shared" si="147"/>
        <v>1026067.638093169</v>
      </c>
      <c r="H477" s="1">
        <f t="shared" si="140"/>
        <v>8182.007435708535</v>
      </c>
      <c r="I477" s="1">
        <v>0</v>
      </c>
      <c r="J477" s="1">
        <v>0</v>
      </c>
      <c r="K477" s="1">
        <f t="shared" si="148"/>
        <v>-1034.2496455288776</v>
      </c>
      <c r="L477" s="1">
        <f t="shared" si="141"/>
        <v>1033215.3958833487</v>
      </c>
      <c r="N477" s="1">
        <f t="shared" si="149"/>
        <v>454</v>
      </c>
      <c r="O477" s="2">
        <f t="shared" si="135"/>
        <v>37</v>
      </c>
      <c r="P477" s="2">
        <f t="shared" si="136"/>
        <v>10</v>
      </c>
      <c r="Q477" s="2">
        <f t="shared" si="137"/>
        <v>37</v>
      </c>
      <c r="R477" s="1">
        <f t="shared" si="150"/>
        <v>27816920.141548805</v>
      </c>
      <c r="S477" s="4">
        <f>IF($G$4="mensual",S468,IF($G$4="trimestral",S468,0))</f>
        <v>10000</v>
      </c>
      <c r="U477" s="1">
        <f t="shared" si="138"/>
        <v>221895.76891260079</v>
      </c>
      <c r="V477" s="1">
        <f t="shared" si="139"/>
        <v>-325.22844703784045</v>
      </c>
      <c r="X477" s="1">
        <f t="shared" si="142"/>
        <v>-28048.815910461406</v>
      </c>
      <c r="Y477" s="1">
        <f t="shared" si="143"/>
        <v>28020441.866103906</v>
      </c>
      <c r="AA477" s="2">
        <f>+Bono!J477</f>
        <v>496099.93495826027</v>
      </c>
      <c r="AC477" s="10">
        <f t="shared" si="144"/>
        <v>37.833333333333336</v>
      </c>
      <c r="AD477" s="1">
        <f t="shared" si="145"/>
        <v>29549757.196945515</v>
      </c>
    </row>
    <row r="478" spans="2:30">
      <c r="B478" s="1">
        <f t="shared" si="146"/>
        <v>455</v>
      </c>
      <c r="C478" s="2">
        <f t="shared" si="132"/>
        <v>37</v>
      </c>
      <c r="D478" s="2">
        <f t="shared" si="133"/>
        <v>11</v>
      </c>
      <c r="E478" s="2">
        <f t="shared" si="134"/>
        <v>66</v>
      </c>
      <c r="F478" s="1">
        <f t="shared" si="147"/>
        <v>1033215.3958833487</v>
      </c>
      <c r="H478" s="1">
        <f t="shared" si="140"/>
        <v>8239.0046600792193</v>
      </c>
      <c r="I478" s="1">
        <v>0</v>
      </c>
      <c r="J478" s="1">
        <v>0</v>
      </c>
      <c r="K478" s="1">
        <f t="shared" si="148"/>
        <v>-1041.4544005434279</v>
      </c>
      <c r="L478" s="1">
        <f t="shared" si="141"/>
        <v>1040412.9461428844</v>
      </c>
      <c r="N478" s="1">
        <f t="shared" si="149"/>
        <v>455</v>
      </c>
      <c r="O478" s="2">
        <f t="shared" si="135"/>
        <v>37</v>
      </c>
      <c r="P478" s="2">
        <f t="shared" si="136"/>
        <v>11</v>
      </c>
      <c r="Q478" s="2">
        <f t="shared" si="137"/>
        <v>37</v>
      </c>
      <c r="R478" s="1">
        <f t="shared" si="150"/>
        <v>28020441.866103906</v>
      </c>
      <c r="S478" s="1">
        <f>IF($G$17="si",S466*(1+$G$20),S466)</f>
        <v>10000</v>
      </c>
      <c r="U478" s="1">
        <f t="shared" si="138"/>
        <v>223518.67972453585</v>
      </c>
      <c r="V478" s="1">
        <f t="shared" si="139"/>
        <v>-325.22844703784045</v>
      </c>
      <c r="X478" s="1">
        <f t="shared" si="142"/>
        <v>-28253.960545828442</v>
      </c>
      <c r="Y478" s="1">
        <f t="shared" si="143"/>
        <v>28225381.356835578</v>
      </c>
      <c r="AA478" s="2">
        <f>+Bono!J478</f>
        <v>499175.81209903222</v>
      </c>
      <c r="AC478" s="10">
        <f t="shared" si="144"/>
        <v>37.916666666666664</v>
      </c>
      <c r="AD478" s="1">
        <f t="shared" si="145"/>
        <v>29764970.115077496</v>
      </c>
    </row>
    <row r="479" spans="2:30">
      <c r="B479" s="1">
        <f t="shared" si="146"/>
        <v>456</v>
      </c>
      <c r="C479" s="2">
        <f t="shared" si="132"/>
        <v>37</v>
      </c>
      <c r="D479" s="2">
        <f t="shared" si="133"/>
        <v>12</v>
      </c>
      <c r="E479" s="2">
        <f t="shared" si="134"/>
        <v>66</v>
      </c>
      <c r="F479" s="1">
        <f t="shared" si="147"/>
        <v>1040412.9461428844</v>
      </c>
      <c r="H479" s="1">
        <f t="shared" si="140"/>
        <v>8296.3989365928501</v>
      </c>
      <c r="I479" s="1">
        <v>0</v>
      </c>
      <c r="J479" s="69">
        <f>-SUM(F479:H479)*$J$21</f>
        <v>-9438.3841057152949</v>
      </c>
      <c r="K479" s="1">
        <f t="shared" si="148"/>
        <v>-1039.2709609737619</v>
      </c>
      <c r="L479" s="1">
        <f t="shared" si="141"/>
        <v>1038231.6900127881</v>
      </c>
      <c r="N479" s="1">
        <f t="shared" si="149"/>
        <v>456</v>
      </c>
      <c r="O479" s="2">
        <f t="shared" si="135"/>
        <v>37</v>
      </c>
      <c r="P479" s="2">
        <f t="shared" si="136"/>
        <v>12</v>
      </c>
      <c r="Q479" s="2">
        <f t="shared" si="137"/>
        <v>37</v>
      </c>
      <c r="R479" s="1">
        <f t="shared" si="150"/>
        <v>28225381.356835578</v>
      </c>
      <c r="S479" s="4">
        <f>IF($G$4="mensual",S478,0)</f>
        <v>10000</v>
      </c>
      <c r="U479" s="1">
        <f t="shared" si="138"/>
        <v>225152.89600305821</v>
      </c>
      <c r="V479" s="1">
        <f t="shared" si="139"/>
        <v>-325.22844703784045</v>
      </c>
      <c r="X479" s="1">
        <f t="shared" si="142"/>
        <v>-28460.534252838639</v>
      </c>
      <c r="Y479" s="1">
        <f t="shared" si="143"/>
        <v>28431748.490138762</v>
      </c>
      <c r="AA479" s="2">
        <f>+Bono!J479</f>
        <v>497745.79823274078</v>
      </c>
      <c r="AC479" s="10">
        <f t="shared" si="144"/>
        <v>38</v>
      </c>
      <c r="AD479" s="1">
        <f t="shared" si="145"/>
        <v>29967725.97838429</v>
      </c>
    </row>
    <row r="480" spans="2:30">
      <c r="B480" s="1">
        <f t="shared" si="146"/>
        <v>457</v>
      </c>
      <c r="C480" s="2">
        <f t="shared" si="132"/>
        <v>38</v>
      </c>
      <c r="D480" s="2">
        <f t="shared" si="133"/>
        <v>1</v>
      </c>
      <c r="E480" s="2">
        <f t="shared" si="134"/>
        <v>67</v>
      </c>
      <c r="F480" s="1">
        <f t="shared" si="147"/>
        <v>1038231.6900127881</v>
      </c>
      <c r="H480" s="1">
        <f t="shared" si="140"/>
        <v>8279.0052939000543</v>
      </c>
      <c r="I480" s="1">
        <v>0</v>
      </c>
      <c r="J480" s="1">
        <v>0</v>
      </c>
      <c r="K480" s="1">
        <f t="shared" si="148"/>
        <v>-1046.5106953066881</v>
      </c>
      <c r="L480" s="1">
        <f t="shared" si="141"/>
        <v>1045464.1846113814</v>
      </c>
      <c r="N480" s="1">
        <f t="shared" si="149"/>
        <v>457</v>
      </c>
      <c r="O480" s="2">
        <f t="shared" si="135"/>
        <v>38</v>
      </c>
      <c r="P480" s="2">
        <f t="shared" si="136"/>
        <v>1</v>
      </c>
      <c r="Q480" s="2">
        <f t="shared" si="137"/>
        <v>38</v>
      </c>
      <c r="R480" s="1">
        <f t="shared" si="150"/>
        <v>28431748.490138762</v>
      </c>
      <c r="S480" s="1">
        <f>IF($G$17="si",S468*(1+$G$20),S468)</f>
        <v>10000</v>
      </c>
      <c r="U480" s="1">
        <f t="shared" si="138"/>
        <v>226798.49650392809</v>
      </c>
      <c r="V480" s="1">
        <f>V479*(1+$G$18)</f>
        <v>-338.23758491935411</v>
      </c>
      <c r="X480" s="1">
        <f t="shared" si="142"/>
        <v>-28668.54698664269</v>
      </c>
      <c r="Y480" s="1">
        <f t="shared" si="143"/>
        <v>28639540.202071127</v>
      </c>
      <c r="AA480" s="2">
        <f>+Bono!J480</f>
        <v>500831.87991672283</v>
      </c>
      <c r="AC480" s="10">
        <f t="shared" si="144"/>
        <v>38.083333333333336</v>
      </c>
      <c r="AD480" s="1">
        <f t="shared" si="145"/>
        <v>30185836.26659923</v>
      </c>
    </row>
    <row r="481" spans="2:30">
      <c r="B481" s="1">
        <f t="shared" si="146"/>
        <v>458</v>
      </c>
      <c r="C481" s="2">
        <f t="shared" si="132"/>
        <v>38</v>
      </c>
      <c r="D481" s="2">
        <f t="shared" si="133"/>
        <v>2</v>
      </c>
      <c r="E481" s="2">
        <f t="shared" si="134"/>
        <v>67</v>
      </c>
      <c r="F481" s="1">
        <f t="shared" si="147"/>
        <v>1045464.1846113814</v>
      </c>
      <c r="H481" s="1">
        <f t="shared" si="140"/>
        <v>8336.6782214805244</v>
      </c>
      <c r="I481" s="1">
        <v>0</v>
      </c>
      <c r="J481" s="1">
        <v>0</v>
      </c>
      <c r="K481" s="1">
        <f t="shared" si="148"/>
        <v>-1053.8008628328619</v>
      </c>
      <c r="L481" s="1">
        <f t="shared" si="141"/>
        <v>1052747.061970029</v>
      </c>
      <c r="N481" s="1">
        <f t="shared" si="149"/>
        <v>458</v>
      </c>
      <c r="O481" s="2">
        <f t="shared" si="135"/>
        <v>38</v>
      </c>
      <c r="P481" s="2">
        <f t="shared" si="136"/>
        <v>2</v>
      </c>
      <c r="Q481" s="2">
        <f t="shared" si="137"/>
        <v>38</v>
      </c>
      <c r="R481" s="1">
        <f t="shared" si="150"/>
        <v>28639540.202071127</v>
      </c>
      <c r="S481" s="4">
        <f>IF($G$4="mensual",S480,0)</f>
        <v>10000</v>
      </c>
      <c r="U481" s="1">
        <f t="shared" si="138"/>
        <v>228455.45679483909</v>
      </c>
      <c r="V481" s="1">
        <f>V480</f>
        <v>-338.23758491935411</v>
      </c>
      <c r="X481" s="1">
        <f t="shared" si="142"/>
        <v>-28877.995658865966</v>
      </c>
      <c r="Y481" s="1">
        <f t="shared" si="143"/>
        <v>28848779.42562218</v>
      </c>
      <c r="AA481" s="2">
        <f>+Bono!J481</f>
        <v>503937.09566510888</v>
      </c>
      <c r="AC481" s="10">
        <f t="shared" si="144"/>
        <v>38.166666666666664</v>
      </c>
      <c r="AD481" s="1">
        <f t="shared" si="145"/>
        <v>30405463.583257318</v>
      </c>
    </row>
    <row r="482" spans="2:30">
      <c r="B482" s="1">
        <f t="shared" si="146"/>
        <v>459</v>
      </c>
      <c r="C482" s="2">
        <f t="shared" si="132"/>
        <v>38</v>
      </c>
      <c r="D482" s="2">
        <f t="shared" si="133"/>
        <v>3</v>
      </c>
      <c r="E482" s="2">
        <f t="shared" si="134"/>
        <v>67</v>
      </c>
      <c r="F482" s="1">
        <f t="shared" si="147"/>
        <v>1052747.061970029</v>
      </c>
      <c r="H482" s="1">
        <f t="shared" si="140"/>
        <v>8394.7529082648653</v>
      </c>
      <c r="I482" s="1">
        <v>0</v>
      </c>
      <c r="J482" s="69">
        <f>-SUM(F482:H482)*$J$21</f>
        <v>-9550.2763339046451</v>
      </c>
      <c r="K482" s="1">
        <f t="shared" si="148"/>
        <v>-1051.5915385443891</v>
      </c>
      <c r="L482" s="1">
        <f t="shared" si="141"/>
        <v>1050539.9470058449</v>
      </c>
      <c r="N482" s="1">
        <f t="shared" si="149"/>
        <v>459</v>
      </c>
      <c r="O482" s="2">
        <f t="shared" si="135"/>
        <v>38</v>
      </c>
      <c r="P482" s="2">
        <f t="shared" si="136"/>
        <v>3</v>
      </c>
      <c r="Q482" s="2">
        <f t="shared" si="137"/>
        <v>38</v>
      </c>
      <c r="R482" s="1">
        <f t="shared" si="150"/>
        <v>28848779.42562218</v>
      </c>
      <c r="S482" s="4">
        <f>IF($G$4="mensual",S481,0)</f>
        <v>10000</v>
      </c>
      <c r="U482" s="1">
        <f t="shared" si="138"/>
        <v>230123.95974666998</v>
      </c>
      <c r="V482" s="1">
        <f t="shared" si="139"/>
        <v>-338.23758491935411</v>
      </c>
      <c r="X482" s="1">
        <f t="shared" si="142"/>
        <v>-29088.903385368852</v>
      </c>
      <c r="Y482" s="1">
        <f t="shared" si="143"/>
        <v>29059476.244398564</v>
      </c>
      <c r="AA482" s="2">
        <f>+Bono!J482</f>
        <v>502493.4419121166</v>
      </c>
      <c r="AC482" s="10">
        <f t="shared" si="144"/>
        <v>38.25</v>
      </c>
      <c r="AD482" s="1">
        <f t="shared" si="145"/>
        <v>30612509.633316528</v>
      </c>
    </row>
    <row r="483" spans="2:30">
      <c r="B483" s="1">
        <f t="shared" si="146"/>
        <v>460</v>
      </c>
      <c r="C483" s="2">
        <f t="shared" si="132"/>
        <v>38</v>
      </c>
      <c r="D483" s="2">
        <f t="shared" si="133"/>
        <v>4</v>
      </c>
      <c r="E483" s="2">
        <f t="shared" si="134"/>
        <v>67</v>
      </c>
      <c r="F483" s="1">
        <f t="shared" si="147"/>
        <v>1050539.9470058449</v>
      </c>
      <c r="H483" s="1">
        <f t="shared" si="140"/>
        <v>8377.1530635977251</v>
      </c>
      <c r="I483" s="1">
        <v>0</v>
      </c>
      <c r="J483" s="1">
        <v>0</v>
      </c>
      <c r="K483" s="1">
        <f t="shared" si="148"/>
        <v>-1058.9171000694425</v>
      </c>
      <c r="L483" s="1">
        <f t="shared" si="141"/>
        <v>1057858.1829693732</v>
      </c>
      <c r="N483" s="1">
        <f t="shared" si="149"/>
        <v>460</v>
      </c>
      <c r="O483" s="2">
        <f t="shared" si="135"/>
        <v>38</v>
      </c>
      <c r="P483" s="2">
        <f t="shared" si="136"/>
        <v>4</v>
      </c>
      <c r="Q483" s="2">
        <f t="shared" si="137"/>
        <v>38</v>
      </c>
      <c r="R483" s="1">
        <f t="shared" si="150"/>
        <v>29059476.244398564</v>
      </c>
      <c r="S483" s="4">
        <f>IF($G$4="mensual",S480,IF($G$4="trimestral",S480,0))</f>
        <v>10000</v>
      </c>
      <c r="U483" s="1">
        <f t="shared" si="138"/>
        <v>231804.08576751614</v>
      </c>
      <c r="V483" s="1">
        <f t="shared" si="139"/>
        <v>-338.23758491935411</v>
      </c>
      <c r="X483" s="1">
        <f t="shared" si="142"/>
        <v>-29301.280330166079</v>
      </c>
      <c r="Y483" s="1">
        <f t="shared" si="143"/>
        <v>29271640.812250994</v>
      </c>
      <c r="AA483" s="2">
        <f>+Bono!J483</f>
        <v>505608.95953760337</v>
      </c>
      <c r="AC483" s="10">
        <f t="shared" si="144"/>
        <v>38.333333333333336</v>
      </c>
      <c r="AD483" s="1">
        <f t="shared" si="145"/>
        <v>30835107.95475797</v>
      </c>
    </row>
    <row r="484" spans="2:30">
      <c r="B484" s="1">
        <f t="shared" si="146"/>
        <v>461</v>
      </c>
      <c r="C484" s="2">
        <f t="shared" ref="C484:C547" si="151">C472+1</f>
        <v>38</v>
      </c>
      <c r="D484" s="2">
        <f t="shared" ref="D484:D547" si="152">D472</f>
        <v>5</v>
      </c>
      <c r="E484" s="2">
        <f t="shared" ref="E484:E547" si="153">E472+1</f>
        <v>67</v>
      </c>
      <c r="F484" s="1">
        <f t="shared" si="147"/>
        <v>1057858.1829693732</v>
      </c>
      <c r="H484" s="1">
        <f t="shared" si="140"/>
        <v>8435.509704862754</v>
      </c>
      <c r="I484" s="1">
        <v>0</v>
      </c>
      <c r="J484" s="1">
        <v>0</v>
      </c>
      <c r="K484" s="1">
        <f t="shared" si="148"/>
        <v>-1066.2936926742359</v>
      </c>
      <c r="L484" s="1">
        <f t="shared" si="141"/>
        <v>1065227.3989815617</v>
      </c>
      <c r="N484" s="1">
        <f t="shared" si="149"/>
        <v>461</v>
      </c>
      <c r="O484" s="2">
        <f t="shared" ref="O484:O547" si="154">O472+1</f>
        <v>38</v>
      </c>
      <c r="P484" s="2">
        <f t="shared" ref="P484:P547" si="155">P472</f>
        <v>5</v>
      </c>
      <c r="Q484" s="2">
        <f t="shared" ref="Q484:Q547" si="156">Q472+1</f>
        <v>38</v>
      </c>
      <c r="R484" s="1">
        <f t="shared" si="150"/>
        <v>29271640.812250994</v>
      </c>
      <c r="S484" s="4">
        <f>IF($G$4="mensual",S483,0)</f>
        <v>10000</v>
      </c>
      <c r="U484" s="1">
        <f t="shared" ref="U484:U547" si="157">SUM(R484:T484)*$G$8</f>
        <v>233495.91582560912</v>
      </c>
      <c r="V484" s="1">
        <f t="shared" si="139"/>
        <v>-338.23758491935411</v>
      </c>
      <c r="X484" s="1">
        <f t="shared" si="142"/>
        <v>-29515.136728076603</v>
      </c>
      <c r="Y484" s="1">
        <f t="shared" si="143"/>
        <v>29485283.353763606</v>
      </c>
      <c r="AA484" s="2">
        <f>+Bono!J484</f>
        <v>508743.79373374581</v>
      </c>
      <c r="AC484" s="10">
        <f t="shared" si="144"/>
        <v>38.416666666666664</v>
      </c>
      <c r="AD484" s="1">
        <f t="shared" si="145"/>
        <v>31059254.546478912</v>
      </c>
    </row>
    <row r="485" spans="2:30">
      <c r="B485" s="1">
        <f t="shared" si="146"/>
        <v>462</v>
      </c>
      <c r="C485" s="2">
        <f t="shared" si="151"/>
        <v>38</v>
      </c>
      <c r="D485" s="2">
        <f t="shared" si="152"/>
        <v>6</v>
      </c>
      <c r="E485" s="2">
        <f t="shared" si="153"/>
        <v>67</v>
      </c>
      <c r="F485" s="1">
        <f t="shared" si="147"/>
        <v>1065227.3989815617</v>
      </c>
      <c r="H485" s="1">
        <f t="shared" si="140"/>
        <v>8494.272868194872</v>
      </c>
      <c r="I485" s="1">
        <v>0</v>
      </c>
      <c r="J485" s="69">
        <f>-SUM(F485:H485)*$J$21</f>
        <v>-9663.4950466478094</v>
      </c>
      <c r="K485" s="1">
        <f t="shared" si="148"/>
        <v>-1064.0581768031088</v>
      </c>
      <c r="L485" s="1">
        <f t="shared" si="141"/>
        <v>1062994.1186263056</v>
      </c>
      <c r="N485" s="1">
        <f t="shared" si="149"/>
        <v>462</v>
      </c>
      <c r="O485" s="2">
        <f t="shared" si="154"/>
        <v>38</v>
      </c>
      <c r="P485" s="2">
        <f t="shared" si="155"/>
        <v>6</v>
      </c>
      <c r="Q485" s="2">
        <f t="shared" si="156"/>
        <v>38</v>
      </c>
      <c r="R485" s="1">
        <f t="shared" si="150"/>
        <v>29485283.353763606</v>
      </c>
      <c r="S485" s="4">
        <f>IF($G$4="mensual",S484,0)</f>
        <v>10000</v>
      </c>
      <c r="U485" s="1">
        <f t="shared" si="157"/>
        <v>235199.53145321857</v>
      </c>
      <c r="V485" s="1">
        <f t="shared" si="139"/>
        <v>-338.23758491935411</v>
      </c>
      <c r="X485" s="1">
        <f t="shared" si="142"/>
        <v>-29730.482885216825</v>
      </c>
      <c r="Y485" s="1">
        <f t="shared" si="143"/>
        <v>29700414.164746691</v>
      </c>
      <c r="AA485" s="2">
        <f>+Bono!J485</f>
        <v>507286.3699928603</v>
      </c>
      <c r="AC485" s="10">
        <f t="shared" si="144"/>
        <v>38.5</v>
      </c>
      <c r="AD485" s="1">
        <f t="shared" si="145"/>
        <v>31270694.653365854</v>
      </c>
    </row>
    <row r="486" spans="2:30">
      <c r="B486" s="1">
        <f t="shared" si="146"/>
        <v>463</v>
      </c>
      <c r="C486" s="2">
        <f t="shared" si="151"/>
        <v>38</v>
      </c>
      <c r="D486" s="2">
        <f t="shared" si="152"/>
        <v>7</v>
      </c>
      <c r="E486" s="2">
        <f t="shared" si="153"/>
        <v>67</v>
      </c>
      <c r="F486" s="1">
        <f t="shared" si="147"/>
        <v>1062994.1186263056</v>
      </c>
      <c r="H486" s="1">
        <f t="shared" si="140"/>
        <v>8476.4643770249477</v>
      </c>
      <c r="I486" s="1">
        <v>0</v>
      </c>
      <c r="J486" s="1">
        <v>0</v>
      </c>
      <c r="K486" s="1">
        <f t="shared" si="148"/>
        <v>-1071.4705830033306</v>
      </c>
      <c r="L486" s="1">
        <f t="shared" si="141"/>
        <v>1070399.1124203273</v>
      </c>
      <c r="N486" s="1">
        <f t="shared" si="149"/>
        <v>463</v>
      </c>
      <c r="O486" s="2">
        <f t="shared" si="154"/>
        <v>38</v>
      </c>
      <c r="P486" s="2">
        <f t="shared" si="155"/>
        <v>7</v>
      </c>
      <c r="Q486" s="2">
        <f t="shared" si="156"/>
        <v>38</v>
      </c>
      <c r="R486" s="1">
        <f t="shared" si="150"/>
        <v>29700414.164746691</v>
      </c>
      <c r="S486" s="1">
        <f>+IF($G$4="mensual",S480,IF($G$4="trimestral",S480,IF($G$4="semestral",S480,0)))</f>
        <v>10000</v>
      </c>
      <c r="U486" s="1">
        <f t="shared" si="157"/>
        <v>236915.01475058164</v>
      </c>
      <c r="V486" s="1">
        <f t="shared" si="139"/>
        <v>-338.23758491935411</v>
      </c>
      <c r="X486" s="1">
        <f t="shared" si="142"/>
        <v>-29947.329179497272</v>
      </c>
      <c r="Y486" s="1">
        <f t="shared" si="143"/>
        <v>29917043.612732857</v>
      </c>
      <c r="AA486" s="2">
        <f>+Bono!J486</f>
        <v>510431.60432839295</v>
      </c>
      <c r="AC486" s="10">
        <f t="shared" si="144"/>
        <v>38.583333333333336</v>
      </c>
      <c r="AD486" s="1">
        <f t="shared" si="145"/>
        <v>31497874.329481579</v>
      </c>
    </row>
    <row r="487" spans="2:30">
      <c r="B487" s="1">
        <f t="shared" si="146"/>
        <v>464</v>
      </c>
      <c r="C487" s="2">
        <f t="shared" si="151"/>
        <v>38</v>
      </c>
      <c r="D487" s="2">
        <f t="shared" si="152"/>
        <v>8</v>
      </c>
      <c r="E487" s="2">
        <f t="shared" si="153"/>
        <v>67</v>
      </c>
      <c r="F487" s="1">
        <f t="shared" si="147"/>
        <v>1070399.1124203273</v>
      </c>
      <c r="H487" s="1">
        <f t="shared" si="140"/>
        <v>8535.5128374136366</v>
      </c>
      <c r="I487" s="1">
        <v>0</v>
      </c>
      <c r="J487" s="1">
        <v>0</v>
      </c>
      <c r="K487" s="1">
        <f t="shared" si="148"/>
        <v>-1078.9346252577409</v>
      </c>
      <c r="L487" s="1">
        <f t="shared" si="141"/>
        <v>1077855.6906324832</v>
      </c>
      <c r="N487" s="1">
        <f t="shared" si="149"/>
        <v>464</v>
      </c>
      <c r="O487" s="2">
        <f t="shared" si="154"/>
        <v>38</v>
      </c>
      <c r="P487" s="2">
        <f t="shared" si="155"/>
        <v>8</v>
      </c>
      <c r="Q487" s="2">
        <f t="shared" si="156"/>
        <v>38</v>
      </c>
      <c r="R487" s="1">
        <f t="shared" si="150"/>
        <v>29917043.612732857</v>
      </c>
      <c r="S487" s="4">
        <f>IF($G$4="mensual",S486,0)</f>
        <v>10000</v>
      </c>
      <c r="U487" s="1">
        <f t="shared" si="157"/>
        <v>238642.44838985926</v>
      </c>
      <c r="V487" s="1">
        <f t="shared" si="139"/>
        <v>-338.23758491935411</v>
      </c>
      <c r="X487" s="1">
        <f t="shared" si="142"/>
        <v>-30165.686061122717</v>
      </c>
      <c r="Y487" s="1">
        <f t="shared" si="143"/>
        <v>30135182.137476675</v>
      </c>
      <c r="AA487" s="2">
        <f>+Bono!J487</f>
        <v>513596.33948163048</v>
      </c>
      <c r="AC487" s="10">
        <f t="shared" si="144"/>
        <v>38.666666666666664</v>
      </c>
      <c r="AD487" s="1">
        <f t="shared" si="145"/>
        <v>31726634.167590789</v>
      </c>
    </row>
    <row r="488" spans="2:30">
      <c r="B488" s="1">
        <f t="shared" si="146"/>
        <v>465</v>
      </c>
      <c r="C488" s="2">
        <f t="shared" si="151"/>
        <v>38</v>
      </c>
      <c r="D488" s="2">
        <f t="shared" si="152"/>
        <v>9</v>
      </c>
      <c r="E488" s="2">
        <f t="shared" si="153"/>
        <v>67</v>
      </c>
      <c r="F488" s="1">
        <f t="shared" si="147"/>
        <v>1077855.6906324832</v>
      </c>
      <c r="H488" s="1">
        <f t="shared" si="140"/>
        <v>8594.9726391964723</v>
      </c>
      <c r="I488" s="1">
        <v>0</v>
      </c>
      <c r="J488" s="69">
        <f>-SUM(F488:H488)*$J$21</f>
        <v>-9778.0559694451185</v>
      </c>
      <c r="K488" s="1">
        <f t="shared" si="148"/>
        <v>-1076.6726073022348</v>
      </c>
      <c r="L488" s="1">
        <f t="shared" si="141"/>
        <v>1075595.9346949325</v>
      </c>
      <c r="N488" s="1">
        <f t="shared" si="149"/>
        <v>465</v>
      </c>
      <c r="O488" s="2">
        <f t="shared" si="154"/>
        <v>38</v>
      </c>
      <c r="P488" s="2">
        <f t="shared" si="155"/>
        <v>9</v>
      </c>
      <c r="Q488" s="2">
        <f t="shared" si="156"/>
        <v>38</v>
      </c>
      <c r="R488" s="1">
        <f t="shared" si="150"/>
        <v>30135182.137476675</v>
      </c>
      <c r="S488" s="4">
        <f>IF($G$4="mensual",S487,0)</f>
        <v>10000</v>
      </c>
      <c r="U488" s="1">
        <f t="shared" si="157"/>
        <v>240381.91561912035</v>
      </c>
      <c r="V488" s="1">
        <f t="shared" si="139"/>
        <v>-338.23758491935411</v>
      </c>
      <c r="X488" s="1">
        <f t="shared" si="142"/>
        <v>-30385.564053095797</v>
      </c>
      <c r="Y488" s="1">
        <f t="shared" si="143"/>
        <v>30354840.251457781</v>
      </c>
      <c r="AA488" s="2">
        <f>+Bono!J488</f>
        <v>512125.01441071625</v>
      </c>
      <c r="AC488" s="10">
        <f t="shared" si="144"/>
        <v>38.75</v>
      </c>
      <c r="AD488" s="1">
        <f t="shared" si="145"/>
        <v>31942561.200563427</v>
      </c>
    </row>
    <row r="489" spans="2:30">
      <c r="B489" s="1">
        <f t="shared" si="146"/>
        <v>466</v>
      </c>
      <c r="C489" s="2">
        <f t="shared" si="151"/>
        <v>38</v>
      </c>
      <c r="D489" s="2">
        <f t="shared" si="152"/>
        <v>10</v>
      </c>
      <c r="E489" s="2">
        <f t="shared" si="153"/>
        <v>67</v>
      </c>
      <c r="F489" s="1">
        <f t="shared" si="147"/>
        <v>1075595.9346949325</v>
      </c>
      <c r="H489" s="1">
        <f t="shared" si="140"/>
        <v>8576.953028015394</v>
      </c>
      <c r="I489" s="1">
        <v>0</v>
      </c>
      <c r="J489" s="1">
        <v>0</v>
      </c>
      <c r="K489" s="1">
        <f t="shared" si="148"/>
        <v>-1084.172887722948</v>
      </c>
      <c r="L489" s="1">
        <f t="shared" si="141"/>
        <v>1083088.7148352249</v>
      </c>
      <c r="N489" s="1">
        <f t="shared" si="149"/>
        <v>466</v>
      </c>
      <c r="O489" s="2">
        <f t="shared" si="154"/>
        <v>38</v>
      </c>
      <c r="P489" s="2">
        <f t="shared" si="155"/>
        <v>10</v>
      </c>
      <c r="Q489" s="2">
        <f t="shared" si="156"/>
        <v>38</v>
      </c>
      <c r="R489" s="1">
        <f t="shared" si="150"/>
        <v>30354840.251457781</v>
      </c>
      <c r="S489" s="4">
        <f>IF($G$4="mensual",S480,IF($G$4="trimestral",S480,0))</f>
        <v>10000</v>
      </c>
      <c r="U489" s="1">
        <f t="shared" si="157"/>
        <v>242133.50026635383</v>
      </c>
      <c r="V489" s="1">
        <f t="shared" si="139"/>
        <v>-338.23758491935411</v>
      </c>
      <c r="X489" s="1">
        <f t="shared" si="142"/>
        <v>-30606.973751724137</v>
      </c>
      <c r="Y489" s="1">
        <f t="shared" si="143"/>
        <v>30576028.540387493</v>
      </c>
      <c r="AA489" s="2">
        <f>+Bono!J489</f>
        <v>515300.24890288763</v>
      </c>
      <c r="AC489" s="10">
        <f t="shared" si="144"/>
        <v>38.833333333333336</v>
      </c>
      <c r="AD489" s="1">
        <f t="shared" si="145"/>
        <v>32174417.504125606</v>
      </c>
    </row>
    <row r="490" spans="2:30">
      <c r="B490" s="1">
        <f t="shared" si="146"/>
        <v>467</v>
      </c>
      <c r="C490" s="2">
        <f t="shared" si="151"/>
        <v>38</v>
      </c>
      <c r="D490" s="2">
        <f t="shared" si="152"/>
        <v>11</v>
      </c>
      <c r="E490" s="2">
        <f t="shared" si="153"/>
        <v>67</v>
      </c>
      <c r="F490" s="1">
        <f t="shared" si="147"/>
        <v>1083088.7148352249</v>
      </c>
      <c r="H490" s="1">
        <f t="shared" si="140"/>
        <v>8636.7015090569876</v>
      </c>
      <c r="I490" s="1">
        <v>0</v>
      </c>
      <c r="J490" s="1">
        <v>0</v>
      </c>
      <c r="K490" s="1">
        <f t="shared" si="148"/>
        <v>-1091.7254163442819</v>
      </c>
      <c r="L490" s="1">
        <f t="shared" si="141"/>
        <v>1090633.6909279376</v>
      </c>
      <c r="N490" s="1">
        <f t="shared" si="149"/>
        <v>467</v>
      </c>
      <c r="O490" s="2">
        <f t="shared" si="154"/>
        <v>38</v>
      </c>
      <c r="P490" s="2">
        <f t="shared" si="155"/>
        <v>11</v>
      </c>
      <c r="Q490" s="2">
        <f t="shared" si="156"/>
        <v>38</v>
      </c>
      <c r="R490" s="1">
        <f t="shared" si="150"/>
        <v>30576028.540387493</v>
      </c>
      <c r="S490" s="1">
        <f>IF($G$17="si",S478*(1+$G$20),S478)</f>
        <v>10000</v>
      </c>
      <c r="U490" s="1">
        <f t="shared" si="157"/>
        <v>243897.2867435083</v>
      </c>
      <c r="V490" s="1">
        <f t="shared" si="139"/>
        <v>-338.23758491935411</v>
      </c>
      <c r="X490" s="1">
        <f t="shared" si="142"/>
        <v>-30829.925827130999</v>
      </c>
      <c r="Y490" s="1">
        <f t="shared" si="143"/>
        <v>30798757.66371895</v>
      </c>
      <c r="AA490" s="2">
        <f>+Bono!J490</f>
        <v>518495.17021721485</v>
      </c>
      <c r="AC490" s="10">
        <f t="shared" si="144"/>
        <v>38.916666666666664</v>
      </c>
      <c r="AD490" s="1">
        <f t="shared" si="145"/>
        <v>32407886.524864104</v>
      </c>
    </row>
    <row r="491" spans="2:30">
      <c r="B491" s="1">
        <f t="shared" si="146"/>
        <v>468</v>
      </c>
      <c r="C491" s="2">
        <f t="shared" si="151"/>
        <v>38</v>
      </c>
      <c r="D491" s="2">
        <f t="shared" si="152"/>
        <v>12</v>
      </c>
      <c r="E491" s="2">
        <f t="shared" si="153"/>
        <v>67</v>
      </c>
      <c r="F491" s="1">
        <f t="shared" si="147"/>
        <v>1090633.6909279376</v>
      </c>
      <c r="H491" s="1">
        <f t="shared" si="140"/>
        <v>8696.8662079530004</v>
      </c>
      <c r="I491" s="1">
        <v>0</v>
      </c>
      <c r="J491" s="69">
        <f>-SUM(F491:H491)*$J$21</f>
        <v>-9893.9750142230168</v>
      </c>
      <c r="K491" s="1">
        <f t="shared" si="148"/>
        <v>-1089.4365821216677</v>
      </c>
      <c r="L491" s="1">
        <f t="shared" si="141"/>
        <v>1088347.1455395459</v>
      </c>
      <c r="N491" s="1">
        <f t="shared" si="149"/>
        <v>468</v>
      </c>
      <c r="O491" s="2">
        <f t="shared" si="154"/>
        <v>38</v>
      </c>
      <c r="P491" s="2">
        <f t="shared" si="155"/>
        <v>12</v>
      </c>
      <c r="Q491" s="2">
        <f t="shared" si="156"/>
        <v>38</v>
      </c>
      <c r="R491" s="1">
        <f t="shared" si="150"/>
        <v>30798757.66371895</v>
      </c>
      <c r="S491" s="4">
        <f>IF($G$4="mensual",S490,0)</f>
        <v>10000</v>
      </c>
      <c r="U491" s="1">
        <f t="shared" si="157"/>
        <v>245673.36005055998</v>
      </c>
      <c r="V491" s="1">
        <f t="shared" si="139"/>
        <v>-338.23758491935411</v>
      </c>
      <c r="X491" s="1">
        <f t="shared" si="142"/>
        <v>-31054.43102376951</v>
      </c>
      <c r="Y491" s="1">
        <f t="shared" si="143"/>
        <v>31023038.355160821</v>
      </c>
      <c r="AA491" s="2">
        <f>+Bono!J491</f>
        <v>517009.81122135743</v>
      </c>
      <c r="AC491" s="10">
        <f t="shared" si="144"/>
        <v>39</v>
      </c>
      <c r="AD491" s="1">
        <f t="shared" si="145"/>
        <v>32628395.311921723</v>
      </c>
    </row>
    <row r="492" spans="2:30">
      <c r="B492" s="1">
        <f t="shared" si="146"/>
        <v>469</v>
      </c>
      <c r="C492" s="2">
        <f t="shared" si="151"/>
        <v>39</v>
      </c>
      <c r="D492" s="2">
        <f t="shared" si="152"/>
        <v>1</v>
      </c>
      <c r="E492" s="2">
        <f t="shared" si="153"/>
        <v>68</v>
      </c>
      <c r="F492" s="1">
        <f t="shared" si="147"/>
        <v>1088347.1455395459</v>
      </c>
      <c r="H492" s="1">
        <f t="shared" si="140"/>
        <v>8678.6329739289031</v>
      </c>
      <c r="I492" s="1">
        <v>0</v>
      </c>
      <c r="J492" s="1">
        <v>0</v>
      </c>
      <c r="K492" s="1">
        <f t="shared" si="148"/>
        <v>-1097.025778513475</v>
      </c>
      <c r="L492" s="1">
        <f t="shared" si="141"/>
        <v>1095928.7527349615</v>
      </c>
      <c r="N492" s="1">
        <f t="shared" si="149"/>
        <v>469</v>
      </c>
      <c r="O492" s="2">
        <f t="shared" si="154"/>
        <v>39</v>
      </c>
      <c r="P492" s="2">
        <f t="shared" si="155"/>
        <v>1</v>
      </c>
      <c r="Q492" s="2">
        <f t="shared" si="156"/>
        <v>39</v>
      </c>
      <c r="R492" s="1">
        <f t="shared" si="150"/>
        <v>31023038.355160821</v>
      </c>
      <c r="S492" s="1">
        <f>IF($G$17="si",S480*(1+$G$20),S480)</f>
        <v>10000</v>
      </c>
      <c r="U492" s="1">
        <f t="shared" si="157"/>
        <v>247461.80577960907</v>
      </c>
      <c r="V492" s="1">
        <f>V491*(1+$G$18)</f>
        <v>-351.76708831612831</v>
      </c>
      <c r="X492" s="1">
        <f t="shared" si="142"/>
        <v>-31280.500160940432</v>
      </c>
      <c r="Y492" s="1">
        <f t="shared" si="143"/>
        <v>31248867.893691175</v>
      </c>
      <c r="AA492" s="2">
        <f>+Bono!J492</f>
        <v>520215.33202035615</v>
      </c>
      <c r="AC492" s="10">
        <f t="shared" si="144"/>
        <v>39.083333333333336</v>
      </c>
      <c r="AD492" s="1">
        <f t="shared" si="145"/>
        <v>32865011.978446495</v>
      </c>
    </row>
    <row r="493" spans="2:30">
      <c r="B493" s="1">
        <f t="shared" si="146"/>
        <v>470</v>
      </c>
      <c r="C493" s="2">
        <f t="shared" si="151"/>
        <v>39</v>
      </c>
      <c r="D493" s="2">
        <f t="shared" si="152"/>
        <v>2</v>
      </c>
      <c r="E493" s="2">
        <f t="shared" si="153"/>
        <v>68</v>
      </c>
      <c r="F493" s="1">
        <f t="shared" si="147"/>
        <v>1095928.7527349615</v>
      </c>
      <c r="H493" s="1">
        <f t="shared" si="140"/>
        <v>8739.0897743819332</v>
      </c>
      <c r="I493" s="1">
        <v>0</v>
      </c>
      <c r="J493" s="1">
        <v>0</v>
      </c>
      <c r="K493" s="1">
        <f t="shared" si="148"/>
        <v>-1104.6678425093432</v>
      </c>
      <c r="L493" s="1">
        <f t="shared" si="141"/>
        <v>1103563.1746668338</v>
      </c>
      <c r="N493" s="1">
        <f t="shared" si="149"/>
        <v>470</v>
      </c>
      <c r="O493" s="2">
        <f t="shared" si="154"/>
        <v>39</v>
      </c>
      <c r="P493" s="2">
        <f t="shared" si="155"/>
        <v>2</v>
      </c>
      <c r="Q493" s="2">
        <f t="shared" si="156"/>
        <v>39</v>
      </c>
      <c r="R493" s="1">
        <f t="shared" si="150"/>
        <v>31248867.893691175</v>
      </c>
      <c r="S493" s="4">
        <f>IF($G$4="mensual",S492,0)</f>
        <v>10000</v>
      </c>
      <c r="U493" s="1">
        <f t="shared" si="157"/>
        <v>249262.60223284466</v>
      </c>
      <c r="V493" s="1">
        <f>V492</f>
        <v>-351.76708831612831</v>
      </c>
      <c r="X493" s="1">
        <f t="shared" si="142"/>
        <v>-31508.130495924019</v>
      </c>
      <c r="Y493" s="1">
        <f t="shared" si="143"/>
        <v>31476270.598339777</v>
      </c>
      <c r="AA493" s="2">
        <f>+Bono!J493</f>
        <v>523440.72742012603</v>
      </c>
      <c r="AC493" s="10">
        <f t="shared" si="144"/>
        <v>39.166666666666664</v>
      </c>
      <c r="AD493" s="1">
        <f t="shared" si="145"/>
        <v>33103274.500426736</v>
      </c>
    </row>
    <row r="494" spans="2:30">
      <c r="B494" s="1">
        <f t="shared" si="146"/>
        <v>471</v>
      </c>
      <c r="C494" s="2">
        <f t="shared" si="151"/>
        <v>39</v>
      </c>
      <c r="D494" s="2">
        <f t="shared" si="152"/>
        <v>3</v>
      </c>
      <c r="E494" s="2">
        <f t="shared" si="153"/>
        <v>68</v>
      </c>
      <c r="F494" s="1">
        <f t="shared" si="147"/>
        <v>1103563.1746668338</v>
      </c>
      <c r="H494" s="1">
        <f t="shared" si="140"/>
        <v>8799.9677269601852</v>
      </c>
      <c r="I494" s="1">
        <v>0</v>
      </c>
      <c r="J494" s="69">
        <f>-SUM(F494:H494)*$J$21</f>
        <v>-10011.268281544146</v>
      </c>
      <c r="K494" s="1">
        <f t="shared" si="148"/>
        <v>-1102.3518741122498</v>
      </c>
      <c r="L494" s="1">
        <f t="shared" si="141"/>
        <v>1101249.5222381377</v>
      </c>
      <c r="N494" s="1">
        <f t="shared" si="149"/>
        <v>471</v>
      </c>
      <c r="O494" s="2">
        <f t="shared" si="154"/>
        <v>39</v>
      </c>
      <c r="P494" s="2">
        <f t="shared" si="155"/>
        <v>3</v>
      </c>
      <c r="Q494" s="2">
        <f t="shared" si="156"/>
        <v>39</v>
      </c>
      <c r="R494" s="1">
        <f t="shared" si="150"/>
        <v>31476270.598339777</v>
      </c>
      <c r="S494" s="4">
        <f>IF($G$4="mensual",S493,0)</f>
        <v>10000</v>
      </c>
      <c r="U494" s="1">
        <f t="shared" si="157"/>
        <v>251075.94333362512</v>
      </c>
      <c r="V494" s="1">
        <f t="shared" si="139"/>
        <v>-351.76708831612831</v>
      </c>
      <c r="X494" s="1">
        <f t="shared" si="142"/>
        <v>-31737.346541673403</v>
      </c>
      <c r="Y494" s="1">
        <f t="shared" si="143"/>
        <v>31705257.428043414</v>
      </c>
      <c r="AA494" s="2">
        <f>+Bono!J494</f>
        <v>521941.20063968195</v>
      </c>
      <c r="AC494" s="10">
        <f t="shared" si="144"/>
        <v>39.25</v>
      </c>
      <c r="AD494" s="1">
        <f t="shared" si="145"/>
        <v>33328448.150921237</v>
      </c>
    </row>
    <row r="495" spans="2:30">
      <c r="B495" s="1">
        <f t="shared" si="146"/>
        <v>472</v>
      </c>
      <c r="C495" s="2">
        <f t="shared" si="151"/>
        <v>39</v>
      </c>
      <c r="D495" s="2">
        <f t="shared" si="152"/>
        <v>4</v>
      </c>
      <c r="E495" s="2">
        <f t="shared" si="153"/>
        <v>68</v>
      </c>
      <c r="F495" s="1">
        <f t="shared" si="147"/>
        <v>1101249.5222381377</v>
      </c>
      <c r="H495" s="1">
        <f t="shared" si="140"/>
        <v>8781.5183375900888</v>
      </c>
      <c r="I495" s="1">
        <v>0</v>
      </c>
      <c r="J495" s="1">
        <v>0</v>
      </c>
      <c r="K495" s="1">
        <f t="shared" si="148"/>
        <v>-1110.031040575728</v>
      </c>
      <c r="L495" s="1">
        <f t="shared" si="141"/>
        <v>1108921.009535152</v>
      </c>
      <c r="N495" s="1">
        <f t="shared" si="149"/>
        <v>472</v>
      </c>
      <c r="O495" s="2">
        <f t="shared" si="154"/>
        <v>39</v>
      </c>
      <c r="P495" s="2">
        <f t="shared" si="155"/>
        <v>4</v>
      </c>
      <c r="Q495" s="2">
        <f t="shared" si="156"/>
        <v>39</v>
      </c>
      <c r="R495" s="1">
        <f t="shared" si="150"/>
        <v>31705257.428043414</v>
      </c>
      <c r="S495" s="4">
        <f>IF($G$4="mensual",S492,IF($G$4="trimestral",S492,0))</f>
        <v>10000</v>
      </c>
      <c r="U495" s="1">
        <f t="shared" si="157"/>
        <v>252901.91647005139</v>
      </c>
      <c r="V495" s="1">
        <f t="shared" si="139"/>
        <v>-351.76708831612831</v>
      </c>
      <c r="X495" s="1">
        <f t="shared" si="142"/>
        <v>-31968.159344513464</v>
      </c>
      <c r="Y495" s="1">
        <f t="shared" si="143"/>
        <v>31935839.418080635</v>
      </c>
      <c r="AA495" s="2">
        <f>+Bono!J495</f>
        <v>525177.29662508005</v>
      </c>
      <c r="AC495" s="10">
        <f t="shared" si="144"/>
        <v>39.333333333333336</v>
      </c>
      <c r="AD495" s="1">
        <f t="shared" si="145"/>
        <v>33569937.724240869</v>
      </c>
    </row>
    <row r="496" spans="2:30">
      <c r="B496" s="1">
        <f t="shared" si="146"/>
        <v>473</v>
      </c>
      <c r="C496" s="2">
        <f t="shared" si="151"/>
        <v>39</v>
      </c>
      <c r="D496" s="2">
        <f t="shared" si="152"/>
        <v>5</v>
      </c>
      <c r="E496" s="2">
        <f t="shared" si="153"/>
        <v>68</v>
      </c>
      <c r="F496" s="1">
        <f t="shared" si="147"/>
        <v>1108921.009535152</v>
      </c>
      <c r="H496" s="1">
        <f t="shared" si="140"/>
        <v>8842.6918545950321</v>
      </c>
      <c r="I496" s="1">
        <v>0</v>
      </c>
      <c r="J496" s="1">
        <v>0</v>
      </c>
      <c r="K496" s="1">
        <f t="shared" si="148"/>
        <v>-1117.763701389747</v>
      </c>
      <c r="L496" s="1">
        <f t="shared" si="141"/>
        <v>1116645.9376883572</v>
      </c>
      <c r="N496" s="1">
        <f t="shared" si="149"/>
        <v>473</v>
      </c>
      <c r="O496" s="2">
        <f t="shared" si="154"/>
        <v>39</v>
      </c>
      <c r="P496" s="2">
        <f t="shared" si="155"/>
        <v>5</v>
      </c>
      <c r="Q496" s="2">
        <f t="shared" si="156"/>
        <v>39</v>
      </c>
      <c r="R496" s="1">
        <f t="shared" si="150"/>
        <v>31935839.418080635</v>
      </c>
      <c r="S496" s="4">
        <f>IF($G$4="mensual",S495,0)</f>
        <v>10000</v>
      </c>
      <c r="U496" s="1">
        <f t="shared" si="157"/>
        <v>254740.60963898429</v>
      </c>
      <c r="V496" s="1">
        <f t="shared" si="139"/>
        <v>-351.76708831612831</v>
      </c>
      <c r="X496" s="1">
        <f t="shared" si="142"/>
        <v>-32200.580027719621</v>
      </c>
      <c r="Y496" s="1">
        <f t="shared" si="143"/>
        <v>32168027.680603586</v>
      </c>
      <c r="AA496" s="2">
        <f>+Bono!J496</f>
        <v>528433.45678095159</v>
      </c>
      <c r="AC496" s="10">
        <f t="shared" si="144"/>
        <v>39.416666666666664</v>
      </c>
      <c r="AD496" s="1">
        <f t="shared" si="145"/>
        <v>33813107.075072892</v>
      </c>
    </row>
    <row r="497" spans="2:30">
      <c r="B497" s="1">
        <f t="shared" si="146"/>
        <v>474</v>
      </c>
      <c r="C497" s="2">
        <f t="shared" si="151"/>
        <v>39</v>
      </c>
      <c r="D497" s="2">
        <f t="shared" si="152"/>
        <v>6</v>
      </c>
      <c r="E497" s="2">
        <f t="shared" si="153"/>
        <v>68</v>
      </c>
      <c r="F497" s="1">
        <f t="shared" si="147"/>
        <v>1116645.9376883572</v>
      </c>
      <c r="H497" s="1">
        <f t="shared" si="140"/>
        <v>8904.2915164918832</v>
      </c>
      <c r="I497" s="1">
        <v>0</v>
      </c>
      <c r="J497" s="69">
        <f>-SUM(F497:H497)*$J$21</f>
        <v>-10129.952062843644</v>
      </c>
      <c r="K497" s="1">
        <f t="shared" si="148"/>
        <v>-1115.4202771420055</v>
      </c>
      <c r="L497" s="1">
        <f t="shared" si="141"/>
        <v>1114304.8568648635</v>
      </c>
      <c r="N497" s="1">
        <f t="shared" si="149"/>
        <v>474</v>
      </c>
      <c r="O497" s="2">
        <f t="shared" si="154"/>
        <v>39</v>
      </c>
      <c r="P497" s="2">
        <f t="shared" si="155"/>
        <v>6</v>
      </c>
      <c r="Q497" s="2">
        <f t="shared" si="156"/>
        <v>39</v>
      </c>
      <c r="R497" s="1">
        <f t="shared" si="150"/>
        <v>32168027.680603586</v>
      </c>
      <c r="S497" s="4">
        <f>IF($G$4="mensual",S496,0)</f>
        <v>10000</v>
      </c>
      <c r="U497" s="1">
        <f t="shared" si="157"/>
        <v>256592.11145028548</v>
      </c>
      <c r="V497" s="1">
        <f t="shared" si="139"/>
        <v>-351.76708831612831</v>
      </c>
      <c r="X497" s="1">
        <f t="shared" si="142"/>
        <v>-32434.619792053873</v>
      </c>
      <c r="Y497" s="1">
        <f t="shared" si="143"/>
        <v>32401833.405173499</v>
      </c>
      <c r="AA497" s="2">
        <f>+Bono!J497</f>
        <v>526919.62707948533</v>
      </c>
      <c r="AC497" s="10">
        <f t="shared" si="144"/>
        <v>39.5</v>
      </c>
      <c r="AD497" s="1">
        <f t="shared" si="145"/>
        <v>34043057.889117852</v>
      </c>
    </row>
    <row r="498" spans="2:30">
      <c r="B498" s="1">
        <f t="shared" si="146"/>
        <v>475</v>
      </c>
      <c r="C498" s="2">
        <f t="shared" si="151"/>
        <v>39</v>
      </c>
      <c r="D498" s="2">
        <f t="shared" si="152"/>
        <v>7</v>
      </c>
      <c r="E498" s="2">
        <f t="shared" si="153"/>
        <v>68</v>
      </c>
      <c r="F498" s="1">
        <f t="shared" si="147"/>
        <v>1114304.8568648635</v>
      </c>
      <c r="H498" s="1">
        <f t="shared" si="140"/>
        <v>8885.6234092499308</v>
      </c>
      <c r="I498" s="1">
        <v>0</v>
      </c>
      <c r="J498" s="1">
        <v>0</v>
      </c>
      <c r="K498" s="1">
        <f t="shared" si="148"/>
        <v>-1123.1904802741135</v>
      </c>
      <c r="L498" s="1">
        <f t="shared" si="141"/>
        <v>1122067.2897938392</v>
      </c>
      <c r="N498" s="1">
        <f t="shared" si="149"/>
        <v>475</v>
      </c>
      <c r="O498" s="2">
        <f t="shared" si="154"/>
        <v>39</v>
      </c>
      <c r="P498" s="2">
        <f t="shared" si="155"/>
        <v>7</v>
      </c>
      <c r="Q498" s="2">
        <f t="shared" si="156"/>
        <v>39</v>
      </c>
      <c r="R498" s="1">
        <f t="shared" si="150"/>
        <v>32401833.405173499</v>
      </c>
      <c r="S498" s="1">
        <f>+IF($G$4="mensual",S492,IF($G$4="trimestral",S492,IF($G$4="semestral",S492,0)))</f>
        <v>10000</v>
      </c>
      <c r="U498" s="1">
        <f t="shared" si="157"/>
        <v>258456.51113108755</v>
      </c>
      <c r="V498" s="1">
        <f t="shared" si="139"/>
        <v>-351.76708831612831</v>
      </c>
      <c r="X498" s="1">
        <f t="shared" si="142"/>
        <v>-32670.289916304588</v>
      </c>
      <c r="Y498" s="1">
        <f t="shared" si="143"/>
        <v>32637267.859299969</v>
      </c>
      <c r="AA498" s="2">
        <f>+Bono!J498</f>
        <v>530186.58988627198</v>
      </c>
      <c r="AC498" s="10">
        <f t="shared" si="144"/>
        <v>39.583333333333336</v>
      </c>
      <c r="AD498" s="1">
        <f t="shared" si="145"/>
        <v>34289521.738980077</v>
      </c>
    </row>
    <row r="499" spans="2:30">
      <c r="B499" s="1">
        <f t="shared" si="146"/>
        <v>476</v>
      </c>
      <c r="C499" s="2">
        <f t="shared" si="151"/>
        <v>39</v>
      </c>
      <c r="D499" s="2">
        <f t="shared" si="152"/>
        <v>8</v>
      </c>
      <c r="E499" s="2">
        <f t="shared" si="153"/>
        <v>68</v>
      </c>
      <c r="F499" s="1">
        <f t="shared" si="147"/>
        <v>1122067.2897938392</v>
      </c>
      <c r="H499" s="1">
        <f t="shared" si="140"/>
        <v>8947.5221394955297</v>
      </c>
      <c r="I499" s="1">
        <v>0</v>
      </c>
      <c r="J499" s="1">
        <v>0</v>
      </c>
      <c r="K499" s="1">
        <f t="shared" si="148"/>
        <v>-1131.0148119333346</v>
      </c>
      <c r="L499" s="1">
        <f t="shared" si="141"/>
        <v>1129883.7971214014</v>
      </c>
      <c r="N499" s="1">
        <f t="shared" si="149"/>
        <v>476</v>
      </c>
      <c r="O499" s="2">
        <f t="shared" si="154"/>
        <v>39</v>
      </c>
      <c r="P499" s="2">
        <f t="shared" si="155"/>
        <v>8</v>
      </c>
      <c r="Q499" s="2">
        <f t="shared" si="156"/>
        <v>39</v>
      </c>
      <c r="R499" s="1">
        <f t="shared" si="150"/>
        <v>32637267.859299969</v>
      </c>
      <c r="S499" s="4">
        <f>IF($G$4="mensual",S498,0)</f>
        <v>10000</v>
      </c>
      <c r="U499" s="1">
        <f t="shared" si="157"/>
        <v>260333.89853009433</v>
      </c>
      <c r="V499" s="1">
        <f t="shared" si="139"/>
        <v>-351.76708831612831</v>
      </c>
      <c r="X499" s="1">
        <f t="shared" si="142"/>
        <v>-32907.601757830067</v>
      </c>
      <c r="Y499" s="1">
        <f t="shared" si="143"/>
        <v>32874342.388983916</v>
      </c>
      <c r="AA499" s="2">
        <f>+Bono!J499</f>
        <v>533473.80824140494</v>
      </c>
      <c r="AC499" s="10">
        <f t="shared" si="144"/>
        <v>39.666666666666664</v>
      </c>
      <c r="AD499" s="1">
        <f t="shared" si="145"/>
        <v>34537699.994346723</v>
      </c>
    </row>
    <row r="500" spans="2:30">
      <c r="B500" s="1">
        <f t="shared" si="146"/>
        <v>477</v>
      </c>
      <c r="C500" s="2">
        <f t="shared" si="151"/>
        <v>39</v>
      </c>
      <c r="D500" s="2">
        <f t="shared" si="152"/>
        <v>9</v>
      </c>
      <c r="E500" s="2">
        <f t="shared" si="153"/>
        <v>68</v>
      </c>
      <c r="F500" s="1">
        <f t="shared" si="147"/>
        <v>1129883.7971214014</v>
      </c>
      <c r="H500" s="1">
        <f t="shared" si="140"/>
        <v>9009.8520665890665</v>
      </c>
      <c r="I500" s="1">
        <v>0</v>
      </c>
      <c r="J500" s="69">
        <f>-SUM(F500:H500)*$J$21</f>
        <v>-10250.042842691915</v>
      </c>
      <c r="K500" s="1">
        <f t="shared" si="148"/>
        <v>-1128.6436063452984</v>
      </c>
      <c r="L500" s="1">
        <f t="shared" si="141"/>
        <v>1127514.9627389531</v>
      </c>
      <c r="N500" s="1">
        <f t="shared" si="149"/>
        <v>477</v>
      </c>
      <c r="O500" s="2">
        <f t="shared" si="154"/>
        <v>39</v>
      </c>
      <c r="P500" s="2">
        <f t="shared" si="155"/>
        <v>9</v>
      </c>
      <c r="Q500" s="2">
        <f t="shared" si="156"/>
        <v>39</v>
      </c>
      <c r="R500" s="1">
        <f t="shared" si="150"/>
        <v>32874342.388983916</v>
      </c>
      <c r="S500" s="4">
        <f>IF($G$4="mensual",S499,0)</f>
        <v>10000</v>
      </c>
      <c r="U500" s="1">
        <f t="shared" si="157"/>
        <v>262224.36412191042</v>
      </c>
      <c r="V500" s="1">
        <f t="shared" si="139"/>
        <v>-351.76708831612831</v>
      </c>
      <c r="X500" s="1">
        <f t="shared" si="142"/>
        <v>-33146.566753105828</v>
      </c>
      <c r="Y500" s="1">
        <f t="shared" si="143"/>
        <v>33113068.419264406</v>
      </c>
      <c r="AA500" s="2">
        <f>+Bono!J500</f>
        <v>531945.53919351054</v>
      </c>
      <c r="AC500" s="10">
        <f t="shared" si="144"/>
        <v>39.75</v>
      </c>
      <c r="AD500" s="1">
        <f t="shared" si="145"/>
        <v>34772528.921196871</v>
      </c>
    </row>
    <row r="501" spans="2:30">
      <c r="B501" s="1">
        <f t="shared" si="146"/>
        <v>478</v>
      </c>
      <c r="C501" s="2">
        <f t="shared" si="151"/>
        <v>39</v>
      </c>
      <c r="D501" s="2">
        <f t="shared" si="152"/>
        <v>10</v>
      </c>
      <c r="E501" s="2">
        <f t="shared" si="153"/>
        <v>68</v>
      </c>
      <c r="F501" s="1">
        <f t="shared" si="147"/>
        <v>1127514.9627389531</v>
      </c>
      <c r="H501" s="1">
        <f t="shared" si="140"/>
        <v>8990.9626485706067</v>
      </c>
      <c r="I501" s="1">
        <v>0</v>
      </c>
      <c r="J501" s="1">
        <v>0</v>
      </c>
      <c r="K501" s="1">
        <f t="shared" si="148"/>
        <v>-1136.5059253875236</v>
      </c>
      <c r="L501" s="1">
        <f t="shared" si="141"/>
        <v>1135369.419462136</v>
      </c>
      <c r="N501" s="1">
        <f t="shared" si="149"/>
        <v>478</v>
      </c>
      <c r="O501" s="2">
        <f t="shared" si="154"/>
        <v>39</v>
      </c>
      <c r="P501" s="2">
        <f t="shared" si="155"/>
        <v>10</v>
      </c>
      <c r="Q501" s="2">
        <f t="shared" si="156"/>
        <v>39</v>
      </c>
      <c r="R501" s="1">
        <f t="shared" si="150"/>
        <v>33113068.419264406</v>
      </c>
      <c r="S501" s="4">
        <f>IF($G$4="mensual",S492,IF($G$4="trimestral",S492,0))</f>
        <v>10000</v>
      </c>
      <c r="U501" s="1">
        <f t="shared" si="157"/>
        <v>264127.99901140179</v>
      </c>
      <c r="V501" s="1">
        <f t="shared" si="139"/>
        <v>-351.76708831612831</v>
      </c>
      <c r="X501" s="1">
        <f t="shared" si="142"/>
        <v>-33387.196418275809</v>
      </c>
      <c r="Y501" s="1">
        <f t="shared" si="143"/>
        <v>33353457.454769216</v>
      </c>
      <c r="AA501" s="2">
        <f>+Bono!J501</f>
        <v>535243.66323837382</v>
      </c>
      <c r="AC501" s="10">
        <f t="shared" si="144"/>
        <v>39.833333333333336</v>
      </c>
      <c r="AD501" s="1">
        <f t="shared" si="145"/>
        <v>35024070.53746973</v>
      </c>
    </row>
    <row r="502" spans="2:30">
      <c r="B502" s="1">
        <f t="shared" si="146"/>
        <v>479</v>
      </c>
      <c r="C502" s="2">
        <f t="shared" si="151"/>
        <v>39</v>
      </c>
      <c r="D502" s="2">
        <f t="shared" si="152"/>
        <v>11</v>
      </c>
      <c r="E502" s="2">
        <f t="shared" si="153"/>
        <v>68</v>
      </c>
      <c r="F502" s="1">
        <f t="shared" si="147"/>
        <v>1135369.419462136</v>
      </c>
      <c r="H502" s="1">
        <f t="shared" si="140"/>
        <v>9053.5951894740156</v>
      </c>
      <c r="I502" s="1">
        <v>0</v>
      </c>
      <c r="J502" s="1">
        <v>0</v>
      </c>
      <c r="K502" s="1">
        <f t="shared" si="148"/>
        <v>-1144.4230146516102</v>
      </c>
      <c r="L502" s="1">
        <f t="shared" si="141"/>
        <v>1143278.5916369585</v>
      </c>
      <c r="N502" s="1">
        <f t="shared" si="149"/>
        <v>479</v>
      </c>
      <c r="O502" s="2">
        <f t="shared" si="154"/>
        <v>39</v>
      </c>
      <c r="P502" s="2">
        <f t="shared" si="155"/>
        <v>11</v>
      </c>
      <c r="Q502" s="2">
        <f t="shared" si="156"/>
        <v>39</v>
      </c>
      <c r="R502" s="1">
        <f t="shared" si="150"/>
        <v>33353457.454769216</v>
      </c>
      <c r="S502" s="1">
        <f>IF($G$17="si",S490*(1+$G$20),S490)</f>
        <v>10000</v>
      </c>
      <c r="U502" s="1">
        <f t="shared" si="157"/>
        <v>266044.89493808587</v>
      </c>
      <c r="V502" s="1">
        <f t="shared" si="139"/>
        <v>-351.76708831612831</v>
      </c>
      <c r="X502" s="1">
        <f t="shared" si="142"/>
        <v>-33629.502349707305</v>
      </c>
      <c r="Y502" s="1">
        <f t="shared" si="143"/>
        <v>33595521.080269285</v>
      </c>
      <c r="AA502" s="2">
        <f>+Bono!J502</f>
        <v>538562.23603487399</v>
      </c>
      <c r="AC502" s="10">
        <f t="shared" si="144"/>
        <v>39.916666666666664</v>
      </c>
      <c r="AD502" s="1">
        <f t="shared" si="145"/>
        <v>35277361.907941118</v>
      </c>
    </row>
    <row r="503" spans="2:30">
      <c r="B503" s="1">
        <f t="shared" si="146"/>
        <v>480</v>
      </c>
      <c r="C503" s="2">
        <f t="shared" si="151"/>
        <v>39</v>
      </c>
      <c r="D503" s="2">
        <f t="shared" si="152"/>
        <v>12</v>
      </c>
      <c r="E503" s="2">
        <f t="shared" si="153"/>
        <v>68</v>
      </c>
      <c r="F503" s="1">
        <f t="shared" si="147"/>
        <v>1143278.5916369585</v>
      </c>
      <c r="H503" s="1">
        <f t="shared" si="140"/>
        <v>9116.6640390724278</v>
      </c>
      <c r="I503" s="1">
        <v>0</v>
      </c>
      <c r="J503" s="69">
        <f>-SUM(F503:H503)*$J$21</f>
        <v>-10371.55730108428</v>
      </c>
      <c r="K503" s="1">
        <f t="shared" si="148"/>
        <v>-1142.0236983749467</v>
      </c>
      <c r="L503" s="1">
        <f t="shared" si="141"/>
        <v>1140881.6746765717</v>
      </c>
      <c r="N503" s="1">
        <f t="shared" si="149"/>
        <v>480</v>
      </c>
      <c r="O503" s="2">
        <f t="shared" si="154"/>
        <v>39</v>
      </c>
      <c r="P503" s="2">
        <f t="shared" si="155"/>
        <v>12</v>
      </c>
      <c r="Q503" s="2">
        <f t="shared" si="156"/>
        <v>39</v>
      </c>
      <c r="R503" s="1">
        <f t="shared" si="150"/>
        <v>33595521.080269285</v>
      </c>
      <c r="S503" s="4">
        <f>IF($G$4="mensual",S502,0)</f>
        <v>10000</v>
      </c>
      <c r="U503" s="1">
        <f t="shared" si="157"/>
        <v>267975.14428055298</v>
      </c>
      <c r="V503" s="1">
        <f t="shared" si="139"/>
        <v>-351.76708831612831</v>
      </c>
      <c r="X503" s="1">
        <f t="shared" si="142"/>
        <v>-33873.496224549839</v>
      </c>
      <c r="Y503" s="1">
        <f t="shared" si="143"/>
        <v>33839270.961236969</v>
      </c>
      <c r="AA503" s="2">
        <f>+Bono!J503</f>
        <v>537019.3899138805</v>
      </c>
      <c r="AC503" s="10">
        <f t="shared" si="144"/>
        <v>40</v>
      </c>
      <c r="AD503" s="1">
        <f t="shared" si="145"/>
        <v>35517172.025827423</v>
      </c>
    </row>
    <row r="504" spans="2:30">
      <c r="B504" s="1">
        <f t="shared" si="146"/>
        <v>481</v>
      </c>
      <c r="C504" s="2">
        <f t="shared" si="151"/>
        <v>40</v>
      </c>
      <c r="D504" s="2">
        <f t="shared" si="152"/>
        <v>1</v>
      </c>
      <c r="E504" s="2">
        <f t="shared" si="153"/>
        <v>69</v>
      </c>
      <c r="F504" s="1">
        <f t="shared" si="147"/>
        <v>1140881.6746765717</v>
      </c>
      <c r="H504" s="1">
        <f t="shared" si="140"/>
        <v>9097.5506866338819</v>
      </c>
      <c r="I504" s="1">
        <v>0</v>
      </c>
      <c r="J504" s="1">
        <v>0</v>
      </c>
      <c r="K504" s="1">
        <f t="shared" si="148"/>
        <v>-1149.9792253632056</v>
      </c>
      <c r="L504" s="1">
        <f t="shared" si="141"/>
        <v>1148829.2461378425</v>
      </c>
      <c r="N504" s="1">
        <f t="shared" si="149"/>
        <v>481</v>
      </c>
      <c r="O504" s="2">
        <f t="shared" si="154"/>
        <v>40</v>
      </c>
      <c r="P504" s="2">
        <f t="shared" si="155"/>
        <v>1</v>
      </c>
      <c r="Q504" s="2">
        <f t="shared" si="156"/>
        <v>40</v>
      </c>
      <c r="R504" s="1">
        <f t="shared" si="150"/>
        <v>33839270.961236969</v>
      </c>
      <c r="S504" s="1">
        <f>IF($G$17="si",S492*(1+$G$20),S492)</f>
        <v>10000</v>
      </c>
      <c r="U504" s="1">
        <f t="shared" si="157"/>
        <v>269918.84006091789</v>
      </c>
      <c r="V504" s="1">
        <f>V503*(1+$G$18)</f>
        <v>-365.83777184877346</v>
      </c>
      <c r="X504" s="1">
        <f t="shared" si="142"/>
        <v>-34119.189801297885</v>
      </c>
      <c r="Y504" s="1">
        <f t="shared" si="143"/>
        <v>34084704.773724742</v>
      </c>
      <c r="AA504" s="2">
        <f>+Bono!J504</f>
        <v>540348.9724217403</v>
      </c>
      <c r="AC504" s="10">
        <f t="shared" si="144"/>
        <v>40.083333333333336</v>
      </c>
      <c r="AD504" s="1">
        <f t="shared" si="145"/>
        <v>35773882.992284328</v>
      </c>
    </row>
    <row r="505" spans="2:30">
      <c r="B505" s="1">
        <f t="shared" si="146"/>
        <v>482</v>
      </c>
      <c r="C505" s="2">
        <f t="shared" si="151"/>
        <v>40</v>
      </c>
      <c r="D505" s="2">
        <f t="shared" si="152"/>
        <v>2</v>
      </c>
      <c r="E505" s="2">
        <f t="shared" si="153"/>
        <v>69</v>
      </c>
      <c r="F505" s="1">
        <f t="shared" si="147"/>
        <v>1148829.2461378425</v>
      </c>
      <c r="H505" s="1">
        <f t="shared" si="140"/>
        <v>9160.9257375348043</v>
      </c>
      <c r="I505" s="1">
        <v>0</v>
      </c>
      <c r="J505" s="1">
        <v>0</v>
      </c>
      <c r="K505" s="1">
        <f t="shared" si="148"/>
        <v>-1157.9901718753774</v>
      </c>
      <c r="L505" s="1">
        <f t="shared" si="141"/>
        <v>1156832.1817035021</v>
      </c>
      <c r="N505" s="1">
        <f t="shared" si="149"/>
        <v>482</v>
      </c>
      <c r="O505" s="2">
        <f t="shared" si="154"/>
        <v>40</v>
      </c>
      <c r="P505" s="2">
        <f t="shared" si="155"/>
        <v>2</v>
      </c>
      <c r="Q505" s="2">
        <f t="shared" si="156"/>
        <v>40</v>
      </c>
      <c r="R505" s="1">
        <f t="shared" si="150"/>
        <v>34084704.773724742</v>
      </c>
      <c r="S505" s="4">
        <f>IF($G$4="mensual",S504,0)</f>
        <v>10000</v>
      </c>
      <c r="U505" s="1">
        <f t="shared" si="157"/>
        <v>271875.96374769666</v>
      </c>
      <c r="V505" s="1">
        <f>V504</f>
        <v>-365.83777184877346</v>
      </c>
      <c r="X505" s="1">
        <f t="shared" si="142"/>
        <v>-34366.580737472439</v>
      </c>
      <c r="Y505" s="1">
        <f t="shared" si="143"/>
        <v>34331848.318963118</v>
      </c>
      <c r="AA505" s="2">
        <f>+Bono!J505</f>
        <v>543699.1987273565</v>
      </c>
      <c r="AC505" s="10">
        <f t="shared" si="144"/>
        <v>40.166666666666664</v>
      </c>
      <c r="AD505" s="1">
        <f t="shared" si="145"/>
        <v>36032379.699393973</v>
      </c>
    </row>
    <row r="506" spans="2:30">
      <c r="B506" s="1">
        <f t="shared" si="146"/>
        <v>483</v>
      </c>
      <c r="C506" s="2">
        <f t="shared" si="151"/>
        <v>40</v>
      </c>
      <c r="D506" s="2">
        <f t="shared" si="152"/>
        <v>3</v>
      </c>
      <c r="E506" s="2">
        <f t="shared" si="153"/>
        <v>69</v>
      </c>
      <c r="F506" s="1">
        <f t="shared" si="147"/>
        <v>1156832.1817035021</v>
      </c>
      <c r="H506" s="1">
        <f t="shared" si="140"/>
        <v>9224.7422695788409</v>
      </c>
      <c r="I506" s="1">
        <v>0</v>
      </c>
      <c r="J506" s="69">
        <f>-SUM(F506:H506)*$J$21</f>
        <v>-10494.512315757729</v>
      </c>
      <c r="K506" s="1">
        <f t="shared" si="148"/>
        <v>-1155.5624116573231</v>
      </c>
      <c r="L506" s="1">
        <f t="shared" si="141"/>
        <v>1154406.8492456658</v>
      </c>
      <c r="N506" s="1">
        <f t="shared" si="149"/>
        <v>483</v>
      </c>
      <c r="O506" s="2">
        <f t="shared" si="154"/>
        <v>40</v>
      </c>
      <c r="P506" s="2">
        <f t="shared" si="155"/>
        <v>3</v>
      </c>
      <c r="Q506" s="2">
        <f t="shared" si="156"/>
        <v>40</v>
      </c>
      <c r="R506" s="1">
        <f t="shared" si="150"/>
        <v>34331848.318963118</v>
      </c>
      <c r="S506" s="4">
        <f>IF($G$4="mensual",S505,0)</f>
        <v>10000</v>
      </c>
      <c r="U506" s="1">
        <f t="shared" si="157"/>
        <v>273846.72108352458</v>
      </c>
      <c r="V506" s="1">
        <f t="shared" si="139"/>
        <v>-365.83777184877346</v>
      </c>
      <c r="X506" s="1">
        <f t="shared" si="142"/>
        <v>-34615.695040046638</v>
      </c>
      <c r="Y506" s="1">
        <f t="shared" si="143"/>
        <v>34580713.507234745</v>
      </c>
      <c r="AA506" s="2">
        <f>+Bono!J506</f>
        <v>542141.63649291592</v>
      </c>
      <c r="AC506" s="10">
        <f t="shared" si="144"/>
        <v>40.25</v>
      </c>
      <c r="AD506" s="1">
        <f t="shared" si="145"/>
        <v>36277261.992973328</v>
      </c>
    </row>
    <row r="507" spans="2:30">
      <c r="B507" s="1">
        <f t="shared" si="146"/>
        <v>484</v>
      </c>
      <c r="C507" s="2">
        <f t="shared" si="151"/>
        <v>40</v>
      </c>
      <c r="D507" s="2">
        <f t="shared" si="152"/>
        <v>4</v>
      </c>
      <c r="E507" s="2">
        <f t="shared" si="153"/>
        <v>69</v>
      </c>
      <c r="F507" s="1">
        <f t="shared" si="147"/>
        <v>1154406.8492456658</v>
      </c>
      <c r="H507" s="1">
        <f t="shared" si="140"/>
        <v>9205.4023279732774</v>
      </c>
      <c r="I507" s="1">
        <v>0</v>
      </c>
      <c r="J507" s="1">
        <v>0</v>
      </c>
      <c r="K507" s="1">
        <f t="shared" si="148"/>
        <v>-1163.612251573639</v>
      </c>
      <c r="L507" s="1">
        <f t="shared" si="141"/>
        <v>1162448.6393220653</v>
      </c>
      <c r="N507" s="1">
        <f t="shared" si="149"/>
        <v>484</v>
      </c>
      <c r="O507" s="2">
        <f t="shared" si="154"/>
        <v>40</v>
      </c>
      <c r="P507" s="2">
        <f t="shared" si="155"/>
        <v>4</v>
      </c>
      <c r="Q507" s="2">
        <f t="shared" si="156"/>
        <v>40</v>
      </c>
      <c r="R507" s="1">
        <f t="shared" si="150"/>
        <v>34580713.507234745</v>
      </c>
      <c r="S507" s="4">
        <f>IF($G$4="mensual",S504,IF($G$4="trimestral",S504,0))</f>
        <v>10000</v>
      </c>
      <c r="U507" s="1">
        <f t="shared" si="157"/>
        <v>275831.20704266807</v>
      </c>
      <c r="V507" s="1">
        <f t="shared" si="139"/>
        <v>-365.83777184877346</v>
      </c>
      <c r="X507" s="1">
        <f t="shared" si="142"/>
        <v>-34866.544714277414</v>
      </c>
      <c r="Y507" s="1">
        <f t="shared" si="143"/>
        <v>34831312.331791289</v>
      </c>
      <c r="AA507" s="2">
        <f>+Bono!J507</f>
        <v>545502.97752370953</v>
      </c>
      <c r="AC507" s="10">
        <f t="shared" si="144"/>
        <v>40.333333333333336</v>
      </c>
      <c r="AD507" s="1">
        <f t="shared" si="145"/>
        <v>36539263.948637061</v>
      </c>
    </row>
    <row r="508" spans="2:30">
      <c r="B508" s="1">
        <f t="shared" si="146"/>
        <v>485</v>
      </c>
      <c r="C508" s="2">
        <f t="shared" si="151"/>
        <v>40</v>
      </c>
      <c r="D508" s="2">
        <f t="shared" si="152"/>
        <v>5</v>
      </c>
      <c r="E508" s="2">
        <f t="shared" si="153"/>
        <v>69</v>
      </c>
      <c r="F508" s="1">
        <f t="shared" si="147"/>
        <v>1162448.6393220653</v>
      </c>
      <c r="H508" s="1">
        <f t="shared" si="140"/>
        <v>9269.5286913422515</v>
      </c>
      <c r="I508" s="1">
        <v>0</v>
      </c>
      <c r="J508" s="1">
        <v>0</v>
      </c>
      <c r="K508" s="1">
        <f t="shared" si="148"/>
        <v>-1171.7181680134076</v>
      </c>
      <c r="L508" s="1">
        <f t="shared" si="141"/>
        <v>1170546.4498453941</v>
      </c>
      <c r="N508" s="1">
        <f t="shared" si="149"/>
        <v>485</v>
      </c>
      <c r="O508" s="2">
        <f t="shared" si="154"/>
        <v>40</v>
      </c>
      <c r="P508" s="2">
        <f t="shared" si="155"/>
        <v>5</v>
      </c>
      <c r="Q508" s="2">
        <f t="shared" si="156"/>
        <v>40</v>
      </c>
      <c r="R508" s="1">
        <f t="shared" si="150"/>
        <v>34831312.331791289</v>
      </c>
      <c r="S508" s="4">
        <f>IF($G$4="mensual",S507,0)</f>
        <v>10000</v>
      </c>
      <c r="U508" s="1">
        <f t="shared" si="157"/>
        <v>277829.51726100018</v>
      </c>
      <c r="V508" s="1">
        <f t="shared" si="139"/>
        <v>-365.83777184877346</v>
      </c>
      <c r="X508" s="1">
        <f t="shared" si="142"/>
        <v>-35119.141849052292</v>
      </c>
      <c r="Y508" s="1">
        <f t="shared" si="143"/>
        <v>35083656.869431384</v>
      </c>
      <c r="AA508" s="2">
        <f>+Bono!J508</f>
        <v>548885.15925878554</v>
      </c>
      <c r="AC508" s="10">
        <f t="shared" si="144"/>
        <v>40.416666666666664</v>
      </c>
      <c r="AD508" s="1">
        <f t="shared" si="145"/>
        <v>36803088.478535563</v>
      </c>
    </row>
    <row r="509" spans="2:30">
      <c r="B509" s="1">
        <f t="shared" si="146"/>
        <v>486</v>
      </c>
      <c r="C509" s="2">
        <f t="shared" si="151"/>
        <v>40</v>
      </c>
      <c r="D509" s="2">
        <f t="shared" si="152"/>
        <v>6</v>
      </c>
      <c r="E509" s="2">
        <f t="shared" si="153"/>
        <v>69</v>
      </c>
      <c r="F509" s="1">
        <f t="shared" si="147"/>
        <v>1170546.4498453941</v>
      </c>
      <c r="H509" s="1">
        <f t="shared" si="140"/>
        <v>9334.1017696219296</v>
      </c>
      <c r="I509" s="1">
        <v>0</v>
      </c>
      <c r="J509" s="69">
        <f>-SUM(F509:H509)*$J$21</f>
        <v>-10618.924964535147</v>
      </c>
      <c r="K509" s="1">
        <f t="shared" si="148"/>
        <v>-1169.261626650481</v>
      </c>
      <c r="L509" s="1">
        <f t="shared" si="141"/>
        <v>1168092.3650238304</v>
      </c>
      <c r="N509" s="1">
        <f t="shared" si="149"/>
        <v>486</v>
      </c>
      <c r="O509" s="2">
        <f t="shared" si="154"/>
        <v>40</v>
      </c>
      <c r="P509" s="2">
        <f t="shared" si="155"/>
        <v>6</v>
      </c>
      <c r="Q509" s="2">
        <f t="shared" si="156"/>
        <v>40</v>
      </c>
      <c r="R509" s="1">
        <f t="shared" si="150"/>
        <v>35083656.869431384</v>
      </c>
      <c r="S509" s="4">
        <f>IF($G$4="mensual",S508,0)</f>
        <v>10000</v>
      </c>
      <c r="U509" s="1">
        <f t="shared" si="157"/>
        <v>279841.74804060912</v>
      </c>
      <c r="V509" s="1">
        <f t="shared" ref="V509:V572" si="158">V508</f>
        <v>-365.83777184877346</v>
      </c>
      <c r="X509" s="1">
        <f t="shared" si="142"/>
        <v>-35373.498617471996</v>
      </c>
      <c r="Y509" s="1">
        <f t="shared" si="143"/>
        <v>35337759.281082675</v>
      </c>
      <c r="AA509" s="2">
        <f>+Bono!J509</f>
        <v>547312.7405443429</v>
      </c>
      <c r="AC509" s="10">
        <f t="shared" si="144"/>
        <v>40.5</v>
      </c>
      <c r="AD509" s="1">
        <f t="shared" si="145"/>
        <v>37053164.386650845</v>
      </c>
    </row>
    <row r="510" spans="2:30">
      <c r="B510" s="1">
        <f t="shared" si="146"/>
        <v>487</v>
      </c>
      <c r="C510" s="2">
        <f t="shared" si="151"/>
        <v>40</v>
      </c>
      <c r="D510" s="2">
        <f t="shared" si="152"/>
        <v>7</v>
      </c>
      <c r="E510" s="2">
        <f t="shared" si="153"/>
        <v>69</v>
      </c>
      <c r="F510" s="1">
        <f t="shared" si="147"/>
        <v>1168092.3650238304</v>
      </c>
      <c r="H510" s="1">
        <f t="shared" si="140"/>
        <v>9314.5325526303404</v>
      </c>
      <c r="I510" s="1">
        <v>0</v>
      </c>
      <c r="J510" s="1">
        <v>0</v>
      </c>
      <c r="K510" s="1">
        <f t="shared" si="148"/>
        <v>-1177.4068975764608</v>
      </c>
      <c r="L510" s="1">
        <f t="shared" si="141"/>
        <v>1176229.4906788843</v>
      </c>
      <c r="N510" s="1">
        <f t="shared" si="149"/>
        <v>487</v>
      </c>
      <c r="O510" s="2">
        <f t="shared" si="154"/>
        <v>40</v>
      </c>
      <c r="P510" s="2">
        <f t="shared" si="155"/>
        <v>7</v>
      </c>
      <c r="Q510" s="2">
        <f t="shared" si="156"/>
        <v>40</v>
      </c>
      <c r="R510" s="1">
        <f t="shared" si="150"/>
        <v>35337759.281082675</v>
      </c>
      <c r="S510" s="1">
        <f>+IF($G$4="mensual",S504,IF($G$4="trimestral",S504,IF($G$4="semestral",S504,0)))</f>
        <v>10000</v>
      </c>
      <c r="U510" s="1">
        <f t="shared" si="157"/>
        <v>281867.99635443959</v>
      </c>
      <c r="V510" s="1">
        <f t="shared" si="158"/>
        <v>-365.83777184877346</v>
      </c>
      <c r="X510" s="1">
        <f t="shared" si="142"/>
        <v>-35629.627277437117</v>
      </c>
      <c r="Y510" s="1">
        <f t="shared" si="143"/>
        <v>35593631.812387832</v>
      </c>
      <c r="AA510" s="2">
        <f>+Bono!J510</f>
        <v>550706.14302006632</v>
      </c>
      <c r="AC510" s="10">
        <f t="shared" si="144"/>
        <v>40.583333333333336</v>
      </c>
      <c r="AD510" s="1">
        <f t="shared" si="145"/>
        <v>37320567.446086779</v>
      </c>
    </row>
    <row r="511" spans="2:30">
      <c r="B511" s="1">
        <f t="shared" si="146"/>
        <v>488</v>
      </c>
      <c r="C511" s="2">
        <f t="shared" si="151"/>
        <v>40</v>
      </c>
      <c r="D511" s="2">
        <f t="shared" si="152"/>
        <v>8</v>
      </c>
      <c r="E511" s="2">
        <f t="shared" si="153"/>
        <v>69</v>
      </c>
      <c r="F511" s="1">
        <f t="shared" si="147"/>
        <v>1176229.4906788843</v>
      </c>
      <c r="H511" s="1">
        <f t="shared" si="140"/>
        <v>9379.4191352913749</v>
      </c>
      <c r="I511" s="1">
        <v>0</v>
      </c>
      <c r="J511" s="1">
        <v>0</v>
      </c>
      <c r="K511" s="1">
        <f t="shared" si="148"/>
        <v>-1185.6089098141756</v>
      </c>
      <c r="L511" s="1">
        <f t="shared" si="141"/>
        <v>1184423.3009043615</v>
      </c>
      <c r="N511" s="1">
        <f t="shared" si="149"/>
        <v>488</v>
      </c>
      <c r="O511" s="2">
        <f t="shared" si="154"/>
        <v>40</v>
      </c>
      <c r="P511" s="2">
        <f t="shared" si="155"/>
        <v>8</v>
      </c>
      <c r="Q511" s="2">
        <f t="shared" si="156"/>
        <v>40</v>
      </c>
      <c r="R511" s="1">
        <f t="shared" si="150"/>
        <v>35593631.812387832</v>
      </c>
      <c r="S511" s="4">
        <f>IF($G$4="mensual",S510,0)</f>
        <v>10000</v>
      </c>
      <c r="U511" s="1">
        <f t="shared" si="157"/>
        <v>283908.35985096602</v>
      </c>
      <c r="V511" s="1">
        <f t="shared" si="158"/>
        <v>-365.83777184877346</v>
      </c>
      <c r="X511" s="1">
        <f t="shared" si="142"/>
        <v>-35887.540172238798</v>
      </c>
      <c r="Y511" s="1">
        <f t="shared" si="143"/>
        <v>35851286.794294707</v>
      </c>
      <c r="AA511" s="2">
        <f>+Bono!J511</f>
        <v>554120.58498474956</v>
      </c>
      <c r="AC511" s="10">
        <f t="shared" si="144"/>
        <v>40.666666666666664</v>
      </c>
      <c r="AD511" s="1">
        <f t="shared" si="145"/>
        <v>37589830.68018382</v>
      </c>
    </row>
    <row r="512" spans="2:30">
      <c r="B512" s="1">
        <f t="shared" si="146"/>
        <v>489</v>
      </c>
      <c r="C512" s="2">
        <f t="shared" si="151"/>
        <v>40</v>
      </c>
      <c r="D512" s="2">
        <f t="shared" si="152"/>
        <v>9</v>
      </c>
      <c r="E512" s="2">
        <f t="shared" si="153"/>
        <v>69</v>
      </c>
      <c r="F512" s="1">
        <f t="shared" si="147"/>
        <v>1184423.3009043615</v>
      </c>
      <c r="H512" s="1">
        <f t="shared" si="140"/>
        <v>9444.7577286771175</v>
      </c>
      <c r="I512" s="1">
        <v>0</v>
      </c>
      <c r="J512" s="69">
        <f>-SUM(F512:H512)*$J$21</f>
        <v>-10744.812527697348</v>
      </c>
      <c r="K512" s="1">
        <f t="shared" si="148"/>
        <v>-1183.1232461053412</v>
      </c>
      <c r="L512" s="1">
        <f t="shared" si="141"/>
        <v>1181940.1228592359</v>
      </c>
      <c r="N512" s="1">
        <f t="shared" si="149"/>
        <v>489</v>
      </c>
      <c r="O512" s="2">
        <f t="shared" si="154"/>
        <v>40</v>
      </c>
      <c r="P512" s="2">
        <f t="shared" si="155"/>
        <v>9</v>
      </c>
      <c r="Q512" s="2">
        <f t="shared" si="156"/>
        <v>40</v>
      </c>
      <c r="R512" s="1">
        <f t="shared" si="150"/>
        <v>35851286.794294707</v>
      </c>
      <c r="S512" s="4">
        <f>IF($G$4="mensual",S511,0)</f>
        <v>10000</v>
      </c>
      <c r="U512" s="1">
        <f t="shared" si="157"/>
        <v>285962.93685889809</v>
      </c>
      <c r="V512" s="1">
        <f t="shared" si="158"/>
        <v>-365.83777184877346</v>
      </c>
      <c r="X512" s="1">
        <f t="shared" si="142"/>
        <v>-36147.249731153606</v>
      </c>
      <c r="Y512" s="1">
        <f t="shared" si="143"/>
        <v>36110736.643650606</v>
      </c>
      <c r="AA512" s="2">
        <f>+Bono!J512</f>
        <v>552533.16808489279</v>
      </c>
      <c r="AC512" s="10">
        <f t="shared" si="144"/>
        <v>40.75</v>
      </c>
      <c r="AD512" s="1">
        <f t="shared" si="145"/>
        <v>37845209.934594736</v>
      </c>
    </row>
    <row r="513" spans="2:30">
      <c r="B513" s="1">
        <f t="shared" si="146"/>
        <v>490</v>
      </c>
      <c r="C513" s="2">
        <f t="shared" si="151"/>
        <v>40</v>
      </c>
      <c r="D513" s="2">
        <f t="shared" si="152"/>
        <v>10</v>
      </c>
      <c r="E513" s="2">
        <f t="shared" si="153"/>
        <v>69</v>
      </c>
      <c r="F513" s="1">
        <f t="shared" si="147"/>
        <v>1181940.1228592359</v>
      </c>
      <c r="H513" s="1">
        <f t="shared" si="140"/>
        <v>9424.9565182353144</v>
      </c>
      <c r="I513" s="1">
        <v>0</v>
      </c>
      <c r="J513" s="1">
        <v>0</v>
      </c>
      <c r="K513" s="1">
        <f t="shared" si="148"/>
        <v>-1191.3650793774714</v>
      </c>
      <c r="L513" s="1">
        <f t="shared" si="141"/>
        <v>1190173.7142980937</v>
      </c>
      <c r="N513" s="1">
        <f t="shared" si="149"/>
        <v>490</v>
      </c>
      <c r="O513" s="2">
        <f t="shared" si="154"/>
        <v>40</v>
      </c>
      <c r="P513" s="2">
        <f t="shared" si="155"/>
        <v>10</v>
      </c>
      <c r="Q513" s="2">
        <f t="shared" si="156"/>
        <v>40</v>
      </c>
      <c r="R513" s="1">
        <f t="shared" si="150"/>
        <v>36110736.643650606</v>
      </c>
      <c r="S513" s="4">
        <f>IF($G$4="mensual",S504,IF($G$4="trimestral",S504,0))</f>
        <v>10000</v>
      </c>
      <c r="U513" s="1">
        <f t="shared" si="157"/>
        <v>288031.82639191998</v>
      </c>
      <c r="V513" s="1">
        <f t="shared" si="158"/>
        <v>-365.83777184877346</v>
      </c>
      <c r="X513" s="1">
        <f t="shared" si="142"/>
        <v>-36408.768470042531</v>
      </c>
      <c r="Y513" s="1">
        <f t="shared" si="143"/>
        <v>36371993.863800637</v>
      </c>
      <c r="AA513" s="2">
        <f>+Bono!J513</f>
        <v>555958.93781689974</v>
      </c>
      <c r="AC513" s="10">
        <f t="shared" si="144"/>
        <v>40.833333333333336</v>
      </c>
      <c r="AD513" s="1">
        <f t="shared" si="145"/>
        <v>38118126.515915632</v>
      </c>
    </row>
    <row r="514" spans="2:30">
      <c r="B514" s="1">
        <f t="shared" si="146"/>
        <v>491</v>
      </c>
      <c r="C514" s="2">
        <f t="shared" si="151"/>
        <v>40</v>
      </c>
      <c r="D514" s="2">
        <f t="shared" si="152"/>
        <v>11</v>
      </c>
      <c r="E514" s="2">
        <f t="shared" si="153"/>
        <v>69</v>
      </c>
      <c r="F514" s="1">
        <f t="shared" si="147"/>
        <v>1190173.7142980937</v>
      </c>
      <c r="H514" s="1">
        <f t="shared" si="140"/>
        <v>9490.6123326029865</v>
      </c>
      <c r="I514" s="1">
        <v>0</v>
      </c>
      <c r="J514" s="1">
        <v>0</v>
      </c>
      <c r="K514" s="1">
        <f t="shared" si="148"/>
        <v>-1199.6643266306967</v>
      </c>
      <c r="L514" s="1">
        <f t="shared" si="141"/>
        <v>1198464.6623040659</v>
      </c>
      <c r="N514" s="1">
        <f t="shared" si="149"/>
        <v>491</v>
      </c>
      <c r="O514" s="2">
        <f t="shared" si="154"/>
        <v>40</v>
      </c>
      <c r="P514" s="2">
        <f t="shared" si="155"/>
        <v>11</v>
      </c>
      <c r="Q514" s="2">
        <f t="shared" si="156"/>
        <v>40</v>
      </c>
      <c r="R514" s="1">
        <f t="shared" si="150"/>
        <v>36371993.863800637</v>
      </c>
      <c r="S514" s="1">
        <f>IF($G$17="si",S502*(1+$G$20),S502)</f>
        <v>10000</v>
      </c>
      <c r="U514" s="1">
        <f t="shared" si="157"/>
        <v>290115.12815346132</v>
      </c>
      <c r="V514" s="1">
        <f t="shared" si="158"/>
        <v>-365.83777184877346</v>
      </c>
      <c r="X514" s="1">
        <f t="shared" si="142"/>
        <v>-36672.108991954097</v>
      </c>
      <c r="Y514" s="1">
        <f t="shared" si="143"/>
        <v>36635071.045190297</v>
      </c>
      <c r="AA514" s="2">
        <f>+Bono!J514</f>
        <v>559405.94771860994</v>
      </c>
      <c r="AC514" s="10">
        <f t="shared" si="144"/>
        <v>40.916666666666664</v>
      </c>
      <c r="AD514" s="1">
        <f t="shared" si="145"/>
        <v>38392941.655212976</v>
      </c>
    </row>
    <row r="515" spans="2:30">
      <c r="B515" s="1">
        <f t="shared" si="146"/>
        <v>492</v>
      </c>
      <c r="C515" s="2">
        <f t="shared" si="151"/>
        <v>40</v>
      </c>
      <c r="D515" s="2">
        <f t="shared" si="152"/>
        <v>12</v>
      </c>
      <c r="E515" s="2">
        <f t="shared" si="153"/>
        <v>69</v>
      </c>
      <c r="F515" s="1">
        <f t="shared" si="147"/>
        <v>1198464.6623040659</v>
      </c>
      <c r="H515" s="1">
        <f t="shared" si="140"/>
        <v>9556.7255162913498</v>
      </c>
      <c r="I515" s="1">
        <v>0</v>
      </c>
      <c r="J515" s="69">
        <f>-SUM(F515:H515)*$J$21</f>
        <v>-10872.192490383217</v>
      </c>
      <c r="K515" s="1">
        <f t="shared" si="148"/>
        <v>-1197.149195329974</v>
      </c>
      <c r="L515" s="1">
        <f t="shared" si="141"/>
        <v>1195952.046134644</v>
      </c>
      <c r="N515" s="1">
        <f t="shared" si="149"/>
        <v>492</v>
      </c>
      <c r="O515" s="2">
        <f t="shared" si="154"/>
        <v>40</v>
      </c>
      <c r="P515" s="2">
        <f t="shared" si="155"/>
        <v>12</v>
      </c>
      <c r="Q515" s="2">
        <f t="shared" si="156"/>
        <v>40</v>
      </c>
      <c r="R515" s="1">
        <f t="shared" si="150"/>
        <v>36635071.045190297</v>
      </c>
      <c r="S515" s="4">
        <f>IF($G$4="mensual",S514,0)</f>
        <v>10000</v>
      </c>
      <c r="U515" s="1">
        <f t="shared" si="157"/>
        <v>292212.94254150265</v>
      </c>
      <c r="V515" s="1">
        <f t="shared" si="158"/>
        <v>-365.83777184877346</v>
      </c>
      <c r="X515" s="1">
        <f t="shared" si="142"/>
        <v>-36937.283987731804</v>
      </c>
      <c r="Y515" s="1">
        <f t="shared" si="143"/>
        <v>36899980.865972221</v>
      </c>
      <c r="AA515" s="2">
        <f>+Bono!J515</f>
        <v>557803.38957629993</v>
      </c>
      <c r="AC515" s="10">
        <f t="shared" si="144"/>
        <v>41</v>
      </c>
      <c r="AD515" s="1">
        <f t="shared" si="145"/>
        <v>38653736.301683165</v>
      </c>
    </row>
    <row r="516" spans="2:30">
      <c r="B516" s="1">
        <f t="shared" si="146"/>
        <v>493</v>
      </c>
      <c r="C516" s="2">
        <f t="shared" si="151"/>
        <v>41</v>
      </c>
      <c r="D516" s="2">
        <f t="shared" si="152"/>
        <v>1</v>
      </c>
      <c r="E516" s="2">
        <f t="shared" si="153"/>
        <v>70</v>
      </c>
      <c r="F516" s="1">
        <f t="shared" si="147"/>
        <v>1195952.046134644</v>
      </c>
      <c r="H516" s="1">
        <f t="shared" si="140"/>
        <v>9536.689562112444</v>
      </c>
      <c r="I516" s="1">
        <v>0</v>
      </c>
      <c r="J516" s="1">
        <v>0</v>
      </c>
      <c r="K516" s="1">
        <f t="shared" si="148"/>
        <v>-1205.4887356967565</v>
      </c>
      <c r="L516" s="1">
        <f t="shared" si="141"/>
        <v>1204283.2469610597</v>
      </c>
      <c r="N516" s="1">
        <f t="shared" si="149"/>
        <v>493</v>
      </c>
      <c r="O516" s="2">
        <f t="shared" si="154"/>
        <v>41</v>
      </c>
      <c r="P516" s="2">
        <f t="shared" si="155"/>
        <v>1</v>
      </c>
      <c r="Q516" s="2">
        <f t="shared" si="156"/>
        <v>41</v>
      </c>
      <c r="R516" s="1">
        <f t="shared" si="150"/>
        <v>36899980.865972221</v>
      </c>
      <c r="S516" s="1">
        <f>IF($G$17="si",S504*(1+$G$20),S504)</f>
        <v>10000</v>
      </c>
      <c r="U516" s="1">
        <f t="shared" si="157"/>
        <v>294325.37065341347</v>
      </c>
      <c r="V516" s="1">
        <f>V515*(1+$G$18)</f>
        <v>-380.47128272272442</v>
      </c>
      <c r="X516" s="1">
        <f t="shared" si="142"/>
        <v>-37204.306236625634</v>
      </c>
      <c r="Y516" s="1">
        <f t="shared" si="143"/>
        <v>37166721.459106289</v>
      </c>
      <c r="AA516" s="2">
        <f>+Bono!J516</f>
        <v>561261.83529286145</v>
      </c>
      <c r="AC516" s="10">
        <f t="shared" si="144"/>
        <v>41.083333333333336</v>
      </c>
      <c r="AD516" s="1">
        <f t="shared" si="145"/>
        <v>38932266.541360207</v>
      </c>
    </row>
    <row r="517" spans="2:30">
      <c r="B517" s="1">
        <f t="shared" si="146"/>
        <v>494</v>
      </c>
      <c r="C517" s="2">
        <f t="shared" si="151"/>
        <v>41</v>
      </c>
      <c r="D517" s="2">
        <f t="shared" si="152"/>
        <v>2</v>
      </c>
      <c r="E517" s="2">
        <f t="shared" si="153"/>
        <v>70</v>
      </c>
      <c r="F517" s="1">
        <f t="shared" si="147"/>
        <v>1204283.2469610597</v>
      </c>
      <c r="H517" s="1">
        <f t="shared" si="140"/>
        <v>9603.1237274436826</v>
      </c>
      <c r="I517" s="1">
        <v>0</v>
      </c>
      <c r="J517" s="1">
        <v>0</v>
      </c>
      <c r="K517" s="1">
        <f t="shared" si="148"/>
        <v>-1213.8863706885033</v>
      </c>
      <c r="L517" s="1">
        <f t="shared" si="141"/>
        <v>1212672.4843178149</v>
      </c>
      <c r="N517" s="1">
        <f t="shared" si="149"/>
        <v>494</v>
      </c>
      <c r="O517" s="2">
        <f t="shared" si="154"/>
        <v>41</v>
      </c>
      <c r="P517" s="2">
        <f t="shared" si="155"/>
        <v>2</v>
      </c>
      <c r="Q517" s="2">
        <f t="shared" si="156"/>
        <v>41</v>
      </c>
      <c r="R517" s="1">
        <f t="shared" si="150"/>
        <v>37166721.459106289</v>
      </c>
      <c r="S517" s="4">
        <f>IF($G$4="mensual",S516,0)</f>
        <v>10000</v>
      </c>
      <c r="U517" s="1">
        <f t="shared" si="157"/>
        <v>296452.39760115359</v>
      </c>
      <c r="V517" s="1">
        <f>V516</f>
        <v>-380.47128272272442</v>
      </c>
      <c r="X517" s="1">
        <f t="shared" si="142"/>
        <v>-37473.173856707443</v>
      </c>
      <c r="Y517" s="1">
        <f t="shared" si="143"/>
        <v>37435320.211568013</v>
      </c>
      <c r="AA517" s="2">
        <f>+Bono!J517</f>
        <v>564741.72377402056</v>
      </c>
      <c r="AC517" s="10">
        <f t="shared" si="144"/>
        <v>41.166666666666664</v>
      </c>
      <c r="AD517" s="1">
        <f t="shared" si="145"/>
        <v>39212734.419659853</v>
      </c>
    </row>
    <row r="518" spans="2:30">
      <c r="B518" s="1">
        <f t="shared" si="146"/>
        <v>495</v>
      </c>
      <c r="C518" s="2">
        <f t="shared" si="151"/>
        <v>41</v>
      </c>
      <c r="D518" s="2">
        <f t="shared" si="152"/>
        <v>3</v>
      </c>
      <c r="E518" s="2">
        <f t="shared" si="153"/>
        <v>70</v>
      </c>
      <c r="F518" s="1">
        <f t="shared" si="147"/>
        <v>1212672.4843178149</v>
      </c>
      <c r="H518" s="1">
        <f t="shared" si="140"/>
        <v>9670.0206842178541</v>
      </c>
      <c r="I518" s="1">
        <v>0</v>
      </c>
      <c r="J518" s="69">
        <f>-SUM(F518:H518)*$J$21</f>
        <v>-11001.082545018297</v>
      </c>
      <c r="K518" s="1">
        <f t="shared" si="148"/>
        <v>-1211.3414224570145</v>
      </c>
      <c r="L518" s="1">
        <f t="shared" si="141"/>
        <v>1210130.0810345574</v>
      </c>
      <c r="N518" s="1">
        <f t="shared" si="149"/>
        <v>495</v>
      </c>
      <c r="O518" s="2">
        <f t="shared" si="154"/>
        <v>41</v>
      </c>
      <c r="P518" s="2">
        <f t="shared" si="155"/>
        <v>3</v>
      </c>
      <c r="Q518" s="2">
        <f t="shared" si="156"/>
        <v>41</v>
      </c>
      <c r="R518" s="1">
        <f t="shared" si="150"/>
        <v>37435320.211568013</v>
      </c>
      <c r="S518" s="4">
        <f>IF($G$4="mensual",S517,0)</f>
        <v>10000</v>
      </c>
      <c r="U518" s="1">
        <f t="shared" si="157"/>
        <v>298594.24177231174</v>
      </c>
      <c r="V518" s="1">
        <f t="shared" si="158"/>
        <v>-380.47128272272442</v>
      </c>
      <c r="X518" s="1">
        <f t="shared" si="142"/>
        <v>-37743.914453340323</v>
      </c>
      <c r="Y518" s="1">
        <f t="shared" si="143"/>
        <v>37705790.067604259</v>
      </c>
      <c r="AA518" s="2">
        <f>+Bono!J518</f>
        <v>563123.87996769859</v>
      </c>
      <c r="AC518" s="10">
        <f t="shared" si="144"/>
        <v>41.25</v>
      </c>
      <c r="AD518" s="1">
        <f t="shared" si="145"/>
        <v>39479044.028606512</v>
      </c>
    </row>
    <row r="519" spans="2:30">
      <c r="B519" s="1">
        <f t="shared" si="146"/>
        <v>496</v>
      </c>
      <c r="C519" s="2">
        <f t="shared" si="151"/>
        <v>41</v>
      </c>
      <c r="D519" s="2">
        <f t="shared" si="152"/>
        <v>4</v>
      </c>
      <c r="E519" s="2">
        <f t="shared" si="153"/>
        <v>70</v>
      </c>
      <c r="F519" s="1">
        <f t="shared" si="147"/>
        <v>1210130.0810345574</v>
      </c>
      <c r="H519" s="1">
        <f t="shared" si="140"/>
        <v>9649.747203410252</v>
      </c>
      <c r="I519" s="1">
        <v>0</v>
      </c>
      <c r="J519" s="1">
        <v>0</v>
      </c>
      <c r="K519" s="1">
        <f t="shared" si="148"/>
        <v>-1219.7798282379676</v>
      </c>
      <c r="L519" s="1">
        <f t="shared" si="141"/>
        <v>1218560.0484097295</v>
      </c>
      <c r="N519" s="1">
        <f t="shared" si="149"/>
        <v>496</v>
      </c>
      <c r="O519" s="2">
        <f t="shared" si="154"/>
        <v>41</v>
      </c>
      <c r="P519" s="2">
        <f t="shared" si="155"/>
        <v>4</v>
      </c>
      <c r="Q519" s="2">
        <f t="shared" si="156"/>
        <v>41</v>
      </c>
      <c r="R519" s="1">
        <f t="shared" si="150"/>
        <v>37705790.067604259</v>
      </c>
      <c r="S519" s="4">
        <f>IF($G$4="mensual",S516,IF($G$4="trimestral",S516,0))</f>
        <v>10000</v>
      </c>
      <c r="U519" s="1">
        <f t="shared" si="157"/>
        <v>300751.00638613018</v>
      </c>
      <c r="V519" s="1">
        <f t="shared" si="158"/>
        <v>-380.47128272272442</v>
      </c>
      <c r="X519" s="1">
        <f t="shared" si="142"/>
        <v>-38016.541073990389</v>
      </c>
      <c r="Y519" s="1">
        <f t="shared" si="143"/>
        <v>37978144.061633676</v>
      </c>
      <c r="AA519" s="2">
        <f>+Bono!J519</f>
        <v>566615.3133418255</v>
      </c>
      <c r="AC519" s="10">
        <f t="shared" si="144"/>
        <v>41.333333333333336</v>
      </c>
      <c r="AD519" s="1">
        <f t="shared" si="145"/>
        <v>39763319.423385233</v>
      </c>
    </row>
    <row r="520" spans="2:30">
      <c r="B520" s="1">
        <f t="shared" si="146"/>
        <v>497</v>
      </c>
      <c r="C520" s="2">
        <f t="shared" si="151"/>
        <v>41</v>
      </c>
      <c r="D520" s="2">
        <f t="shared" si="152"/>
        <v>5</v>
      </c>
      <c r="E520" s="2">
        <f t="shared" si="153"/>
        <v>70</v>
      </c>
      <c r="F520" s="1">
        <f t="shared" si="147"/>
        <v>1218560.0484097295</v>
      </c>
      <c r="H520" s="1">
        <f t="shared" si="140"/>
        <v>9716.9689470709527</v>
      </c>
      <c r="I520" s="1">
        <v>0</v>
      </c>
      <c r="J520" s="1">
        <v>0</v>
      </c>
      <c r="K520" s="1">
        <f t="shared" si="148"/>
        <v>-1228.2770173568003</v>
      </c>
      <c r="L520" s="1">
        <f t="shared" si="141"/>
        <v>1227048.7403394436</v>
      </c>
      <c r="N520" s="1">
        <f t="shared" si="149"/>
        <v>497</v>
      </c>
      <c r="O520" s="2">
        <f t="shared" si="154"/>
        <v>41</v>
      </c>
      <c r="P520" s="2">
        <f t="shared" si="155"/>
        <v>5</v>
      </c>
      <c r="Q520" s="2">
        <f t="shared" si="156"/>
        <v>41</v>
      </c>
      <c r="R520" s="1">
        <f t="shared" si="150"/>
        <v>37978144.061633676</v>
      </c>
      <c r="S520" s="4">
        <f>IF($G$4="mensual",S519,0)</f>
        <v>10000</v>
      </c>
      <c r="U520" s="1">
        <f t="shared" si="157"/>
        <v>302922.79538089357</v>
      </c>
      <c r="V520" s="1">
        <f t="shared" si="158"/>
        <v>-380.47128272272442</v>
      </c>
      <c r="X520" s="1">
        <f t="shared" si="142"/>
        <v>-38291.066857014564</v>
      </c>
      <c r="Y520" s="1">
        <f t="shared" si="143"/>
        <v>38252395.318874829</v>
      </c>
      <c r="AA520" s="2">
        <f>+Bono!J520</f>
        <v>570128.39400785323</v>
      </c>
      <c r="AC520" s="10">
        <f t="shared" si="144"/>
        <v>41.416666666666664</v>
      </c>
      <c r="AD520" s="1">
        <f t="shared" si="145"/>
        <v>40049572.453222126</v>
      </c>
    </row>
    <row r="521" spans="2:30">
      <c r="B521" s="1">
        <f t="shared" si="146"/>
        <v>498</v>
      </c>
      <c r="C521" s="2">
        <f t="shared" si="151"/>
        <v>41</v>
      </c>
      <c r="D521" s="2">
        <f t="shared" si="152"/>
        <v>6</v>
      </c>
      <c r="E521" s="2">
        <f t="shared" si="153"/>
        <v>70</v>
      </c>
      <c r="F521" s="1">
        <f t="shared" si="147"/>
        <v>1227048.7403394436</v>
      </c>
      <c r="H521" s="1">
        <f t="shared" si="140"/>
        <v>9784.6589685761937</v>
      </c>
      <c r="I521" s="1">
        <v>0</v>
      </c>
      <c r="J521" s="69">
        <f>-SUM(F521:H521)*$J$21</f>
        <v>-11131.50059377218</v>
      </c>
      <c r="K521" s="1">
        <f t="shared" si="148"/>
        <v>-1225.7018987142476</v>
      </c>
      <c r="L521" s="1">
        <f t="shared" si="141"/>
        <v>1224476.1968155333</v>
      </c>
      <c r="N521" s="1">
        <f t="shared" si="149"/>
        <v>498</v>
      </c>
      <c r="O521" s="2">
        <f t="shared" si="154"/>
        <v>41</v>
      </c>
      <c r="P521" s="2">
        <f t="shared" si="155"/>
        <v>6</v>
      </c>
      <c r="Q521" s="2">
        <f t="shared" si="156"/>
        <v>41</v>
      </c>
      <c r="R521" s="1">
        <f t="shared" si="150"/>
        <v>38252395.318874829</v>
      </c>
      <c r="S521" s="4">
        <f>IF($G$4="mensual",S520,0)</f>
        <v>10000</v>
      </c>
      <c r="U521" s="1">
        <f t="shared" si="157"/>
        <v>305109.71341893793</v>
      </c>
      <c r="V521" s="1">
        <f t="shared" si="158"/>
        <v>-380.47128272272442</v>
      </c>
      <c r="X521" s="1">
        <f t="shared" si="142"/>
        <v>-38567.505032293768</v>
      </c>
      <c r="Y521" s="1">
        <f t="shared" si="143"/>
        <v>38528557.055978753</v>
      </c>
      <c r="AA521" s="2">
        <f>+Bono!J521</f>
        <v>568495.11873842578</v>
      </c>
      <c r="AC521" s="10">
        <f t="shared" si="144"/>
        <v>41.5</v>
      </c>
      <c r="AD521" s="1">
        <f t="shared" si="145"/>
        <v>40321528.371532716</v>
      </c>
    </row>
    <row r="522" spans="2:30">
      <c r="B522" s="1">
        <f t="shared" si="146"/>
        <v>499</v>
      </c>
      <c r="C522" s="2">
        <f t="shared" si="151"/>
        <v>41</v>
      </c>
      <c r="D522" s="2">
        <f t="shared" si="152"/>
        <v>7</v>
      </c>
      <c r="E522" s="2">
        <f t="shared" si="153"/>
        <v>70</v>
      </c>
      <c r="F522" s="1">
        <f t="shared" si="147"/>
        <v>1224476.1968155333</v>
      </c>
      <c r="H522" s="1">
        <f t="shared" si="140"/>
        <v>9764.1451452570673</v>
      </c>
      <c r="I522" s="1">
        <v>0</v>
      </c>
      <c r="J522" s="1">
        <v>0</v>
      </c>
      <c r="K522" s="1">
        <f t="shared" si="148"/>
        <v>-1234.2403419607904</v>
      </c>
      <c r="L522" s="1">
        <f t="shared" si="141"/>
        <v>1233006.1016188296</v>
      </c>
      <c r="N522" s="1">
        <f t="shared" si="149"/>
        <v>499</v>
      </c>
      <c r="O522" s="2">
        <f t="shared" si="154"/>
        <v>41</v>
      </c>
      <c r="P522" s="2">
        <f t="shared" si="155"/>
        <v>7</v>
      </c>
      <c r="Q522" s="2">
        <f t="shared" si="156"/>
        <v>41</v>
      </c>
      <c r="R522" s="1">
        <f t="shared" si="150"/>
        <v>38528557.055978753</v>
      </c>
      <c r="S522" s="1">
        <f>+IF($G$4="mensual",S516,IF($G$4="trimestral",S516,IF($G$4="semestral",S516,0)))</f>
        <v>10000</v>
      </c>
      <c r="U522" s="1">
        <f t="shared" si="157"/>
        <v>307311.86589169462</v>
      </c>
      <c r="V522" s="1">
        <f t="shared" si="158"/>
        <v>-380.47128272272442</v>
      </c>
      <c r="X522" s="1">
        <f t="shared" si="142"/>
        <v>-38845.868921870446</v>
      </c>
      <c r="Y522" s="1">
        <f t="shared" si="143"/>
        <v>38806642.581665859</v>
      </c>
      <c r="AA522" s="2">
        <f>+Bono!J522</f>
        <v>572019.8544159563</v>
      </c>
      <c r="AC522" s="10">
        <f t="shared" si="144"/>
        <v>41.583333333333336</v>
      </c>
      <c r="AD522" s="1">
        <f t="shared" si="145"/>
        <v>40611668.537700638</v>
      </c>
    </row>
    <row r="523" spans="2:30">
      <c r="B523" s="1">
        <f t="shared" si="146"/>
        <v>500</v>
      </c>
      <c r="C523" s="2">
        <f t="shared" si="151"/>
        <v>41</v>
      </c>
      <c r="D523" s="2">
        <f t="shared" si="152"/>
        <v>8</v>
      </c>
      <c r="E523" s="2">
        <f t="shared" si="153"/>
        <v>70</v>
      </c>
      <c r="F523" s="1">
        <f t="shared" si="147"/>
        <v>1233006.1016188296</v>
      </c>
      <c r="H523" s="1">
        <f t="shared" si="140"/>
        <v>9832.1638040037324</v>
      </c>
      <c r="I523" s="1">
        <v>0</v>
      </c>
      <c r="J523" s="1">
        <v>0</v>
      </c>
      <c r="K523" s="1">
        <f t="shared" si="148"/>
        <v>-1242.8382654228335</v>
      </c>
      <c r="L523" s="1">
        <f t="shared" si="141"/>
        <v>1241595.4271574107</v>
      </c>
      <c r="N523" s="1">
        <f t="shared" si="149"/>
        <v>500</v>
      </c>
      <c r="O523" s="2">
        <f t="shared" si="154"/>
        <v>41</v>
      </c>
      <c r="P523" s="2">
        <f t="shared" si="155"/>
        <v>8</v>
      </c>
      <c r="Q523" s="2">
        <f t="shared" si="156"/>
        <v>41</v>
      </c>
      <c r="R523" s="1">
        <f t="shared" si="150"/>
        <v>38806642.581665859</v>
      </c>
      <c r="S523" s="4">
        <f>IF($G$4="mensual",S522,0)</f>
        <v>10000</v>
      </c>
      <c r="U523" s="1">
        <f t="shared" si="157"/>
        <v>309529.3589247691</v>
      </c>
      <c r="V523" s="1">
        <f t="shared" si="158"/>
        <v>-380.47128272272442</v>
      </c>
      <c r="X523" s="1">
        <f t="shared" si="142"/>
        <v>-39126.171940590626</v>
      </c>
      <c r="Y523" s="1">
        <f t="shared" si="143"/>
        <v>39086665.297367319</v>
      </c>
      <c r="AA523" s="2">
        <f>+Bono!J523</f>
        <v>575566.44386353157</v>
      </c>
      <c r="AC523" s="10">
        <f t="shared" si="144"/>
        <v>41.666666666666664</v>
      </c>
      <c r="AD523" s="1">
        <f t="shared" si="145"/>
        <v>40903827.168388262</v>
      </c>
    </row>
    <row r="524" spans="2:30">
      <c r="B524" s="1">
        <f t="shared" si="146"/>
        <v>501</v>
      </c>
      <c r="C524" s="2">
        <f t="shared" si="151"/>
        <v>41</v>
      </c>
      <c r="D524" s="2">
        <f t="shared" si="152"/>
        <v>9</v>
      </c>
      <c r="E524" s="2">
        <f t="shared" si="153"/>
        <v>70</v>
      </c>
      <c r="F524" s="1">
        <f t="shared" si="147"/>
        <v>1241595.4271574107</v>
      </c>
      <c r="H524" s="1">
        <f t="shared" si="140"/>
        <v>9900.6562920379474</v>
      </c>
      <c r="I524" s="1">
        <v>0</v>
      </c>
      <c r="J524" s="69">
        <f>-SUM(F524:H524)*$J$21</f>
        <v>-11263.46475104504</v>
      </c>
      <c r="K524" s="1">
        <f t="shared" si="148"/>
        <v>-1240.2326186984037</v>
      </c>
      <c r="L524" s="1">
        <f t="shared" si="141"/>
        <v>1238992.3860797053</v>
      </c>
      <c r="N524" s="1">
        <f t="shared" si="149"/>
        <v>501</v>
      </c>
      <c r="O524" s="2">
        <f t="shared" si="154"/>
        <v>41</v>
      </c>
      <c r="P524" s="2">
        <f t="shared" si="155"/>
        <v>9</v>
      </c>
      <c r="Q524" s="2">
        <f t="shared" si="156"/>
        <v>41</v>
      </c>
      <c r="R524" s="1">
        <f t="shared" si="150"/>
        <v>39086665.297367319</v>
      </c>
      <c r="S524" s="4">
        <f>IF($G$4="mensual",S523,0)</f>
        <v>10000</v>
      </c>
      <c r="U524" s="1">
        <f t="shared" si="157"/>
        <v>311762.29938305554</v>
      </c>
      <c r="V524" s="1">
        <f t="shared" si="158"/>
        <v>-380.47128272272442</v>
      </c>
      <c r="X524" s="1">
        <f t="shared" si="142"/>
        <v>-39408.427596750378</v>
      </c>
      <c r="Y524" s="1">
        <f t="shared" si="143"/>
        <v>39368638.69787091</v>
      </c>
      <c r="AA524" s="2">
        <f>+Bono!J524</f>
        <v>573917.58994123142</v>
      </c>
      <c r="AC524" s="10">
        <f t="shared" si="144"/>
        <v>41.75</v>
      </c>
      <c r="AD524" s="1">
        <f t="shared" si="145"/>
        <v>41181548.67389185</v>
      </c>
    </row>
    <row r="525" spans="2:30">
      <c r="B525" s="1">
        <f t="shared" si="146"/>
        <v>502</v>
      </c>
      <c r="C525" s="2">
        <f t="shared" si="151"/>
        <v>41</v>
      </c>
      <c r="D525" s="2">
        <f t="shared" si="152"/>
        <v>10</v>
      </c>
      <c r="E525" s="2">
        <f t="shared" si="153"/>
        <v>70</v>
      </c>
      <c r="F525" s="1">
        <f t="shared" si="147"/>
        <v>1238992.3860797053</v>
      </c>
      <c r="H525" s="1">
        <f t="shared" si="140"/>
        <v>9879.8992769421202</v>
      </c>
      <c r="I525" s="1">
        <v>0</v>
      </c>
      <c r="J525" s="1">
        <v>0</v>
      </c>
      <c r="K525" s="1">
        <f t="shared" si="148"/>
        <v>-1248.8722853566474</v>
      </c>
      <c r="L525" s="1">
        <f t="shared" si="141"/>
        <v>1247623.4130712906</v>
      </c>
      <c r="N525" s="1">
        <f t="shared" si="149"/>
        <v>502</v>
      </c>
      <c r="O525" s="2">
        <f t="shared" si="154"/>
        <v>41</v>
      </c>
      <c r="P525" s="2">
        <f t="shared" si="155"/>
        <v>10</v>
      </c>
      <c r="Q525" s="2">
        <f t="shared" si="156"/>
        <v>41</v>
      </c>
      <c r="R525" s="1">
        <f t="shared" si="150"/>
        <v>39368638.69787091</v>
      </c>
      <c r="S525" s="4">
        <f>IF($G$4="mensual",S516,IF($G$4="trimestral",S516,0))</f>
        <v>10000</v>
      </c>
      <c r="U525" s="1">
        <f t="shared" si="157"/>
        <v>314010.7948758867</v>
      </c>
      <c r="V525" s="1">
        <f t="shared" si="158"/>
        <v>-380.47128272272442</v>
      </c>
      <c r="X525" s="1">
        <f t="shared" si="142"/>
        <v>-39692.649492746801</v>
      </c>
      <c r="Y525" s="1">
        <f t="shared" si="143"/>
        <v>39652576.371971332</v>
      </c>
      <c r="AA525" s="2">
        <f>+Bono!J525</f>
        <v>577475.94556918705</v>
      </c>
      <c r="AC525" s="10">
        <f t="shared" si="144"/>
        <v>41.833333333333336</v>
      </c>
      <c r="AD525" s="1">
        <f t="shared" si="145"/>
        <v>41477675.730611809</v>
      </c>
    </row>
    <row r="526" spans="2:30">
      <c r="B526" s="1">
        <f t="shared" si="146"/>
        <v>503</v>
      </c>
      <c r="C526" s="2">
        <f t="shared" si="151"/>
        <v>41</v>
      </c>
      <c r="D526" s="2">
        <f t="shared" si="152"/>
        <v>11</v>
      </c>
      <c r="E526" s="2">
        <f t="shared" si="153"/>
        <v>70</v>
      </c>
      <c r="F526" s="1">
        <f t="shared" si="147"/>
        <v>1247623.4130712906</v>
      </c>
      <c r="H526" s="1">
        <f t="shared" si="140"/>
        <v>9948.7242982186799</v>
      </c>
      <c r="I526" s="1">
        <v>0</v>
      </c>
      <c r="J526" s="1">
        <v>0</v>
      </c>
      <c r="K526" s="1">
        <f t="shared" si="148"/>
        <v>-1257.5721373695094</v>
      </c>
      <c r="L526" s="1">
        <f t="shared" si="141"/>
        <v>1256314.5652321398</v>
      </c>
      <c r="N526" s="1">
        <f t="shared" si="149"/>
        <v>503</v>
      </c>
      <c r="O526" s="2">
        <f t="shared" si="154"/>
        <v>41</v>
      </c>
      <c r="P526" s="2">
        <f t="shared" si="155"/>
        <v>11</v>
      </c>
      <c r="Q526" s="2">
        <f t="shared" si="156"/>
        <v>41</v>
      </c>
      <c r="R526" s="1">
        <f t="shared" si="150"/>
        <v>39652576.371971332</v>
      </c>
      <c r="S526" s="1">
        <f>IF($G$17="si",S514*(1+$G$20),S514)</f>
        <v>10000</v>
      </c>
      <c r="U526" s="1">
        <f t="shared" si="157"/>
        <v>316274.95376221975</v>
      </c>
      <c r="V526" s="1">
        <f t="shared" si="158"/>
        <v>-380.47128272272442</v>
      </c>
      <c r="X526" s="1">
        <f t="shared" si="142"/>
        <v>-39978.851325733551</v>
      </c>
      <c r="Y526" s="1">
        <f t="shared" si="143"/>
        <v>39938492.003125094</v>
      </c>
      <c r="AA526" s="2">
        <f>+Bono!J526</f>
        <v>581056.36341477977</v>
      </c>
      <c r="AC526" s="10">
        <f t="shared" si="144"/>
        <v>41.916666666666664</v>
      </c>
      <c r="AD526" s="1">
        <f t="shared" si="145"/>
        <v>41775862.931772016</v>
      </c>
    </row>
    <row r="527" spans="2:30">
      <c r="B527" s="1">
        <f t="shared" si="146"/>
        <v>504</v>
      </c>
      <c r="C527" s="2">
        <f t="shared" si="151"/>
        <v>41</v>
      </c>
      <c r="D527" s="2">
        <f t="shared" si="152"/>
        <v>12</v>
      </c>
      <c r="E527" s="2">
        <f t="shared" si="153"/>
        <v>70</v>
      </c>
      <c r="F527" s="1">
        <f t="shared" si="147"/>
        <v>1256314.5652321398</v>
      </c>
      <c r="H527" s="1">
        <f t="shared" si="140"/>
        <v>10018.028766038262</v>
      </c>
      <c r="I527" s="1">
        <v>0</v>
      </c>
      <c r="J527" s="69">
        <f>-SUM(F527:H527)*$J$21</f>
        <v>-11396.993345983605</v>
      </c>
      <c r="K527" s="1">
        <f t="shared" si="148"/>
        <v>-1254.9356006521946</v>
      </c>
      <c r="L527" s="1">
        <f t="shared" si="141"/>
        <v>1253680.6650515425</v>
      </c>
      <c r="N527" s="1">
        <f t="shared" si="149"/>
        <v>504</v>
      </c>
      <c r="O527" s="2">
        <f t="shared" si="154"/>
        <v>41</v>
      </c>
      <c r="P527" s="2">
        <f t="shared" si="155"/>
        <v>12</v>
      </c>
      <c r="Q527" s="2">
        <f t="shared" si="156"/>
        <v>41</v>
      </c>
      <c r="R527" s="1">
        <f t="shared" si="150"/>
        <v>39938492.003125094</v>
      </c>
      <c r="S527" s="4">
        <f>IF($G$4="mensual",S526,0)</f>
        <v>10000</v>
      </c>
      <c r="U527" s="1">
        <f t="shared" si="157"/>
        <v>318554.88515585853</v>
      </c>
      <c r="V527" s="1">
        <f t="shared" si="158"/>
        <v>-380.47128272272442</v>
      </c>
      <c r="X527" s="1">
        <f t="shared" si="142"/>
        <v>-40267.046888280951</v>
      </c>
      <c r="Y527" s="1">
        <f t="shared" si="143"/>
        <v>40226399.370109946</v>
      </c>
      <c r="AA527" s="2">
        <f>+Bono!J527</f>
        <v>579391.7822459006</v>
      </c>
      <c r="AC527" s="10">
        <f t="shared" si="144"/>
        <v>42</v>
      </c>
      <c r="AD527" s="1">
        <f t="shared" si="145"/>
        <v>42059471.817407392</v>
      </c>
    </row>
    <row r="528" spans="2:30">
      <c r="B528" s="1">
        <f t="shared" si="146"/>
        <v>505</v>
      </c>
      <c r="C528" s="2">
        <f t="shared" si="151"/>
        <v>42</v>
      </c>
      <c r="D528" s="2">
        <f t="shared" si="152"/>
        <v>1</v>
      </c>
      <c r="E528" s="2">
        <f t="shared" si="153"/>
        <v>71</v>
      </c>
      <c r="F528" s="1">
        <f t="shared" si="147"/>
        <v>1253680.6650515425</v>
      </c>
      <c r="H528" s="1">
        <f t="shared" si="140"/>
        <v>9997.0256761224628</v>
      </c>
      <c r="I528" s="1">
        <v>0</v>
      </c>
      <c r="J528" s="1">
        <v>0</v>
      </c>
      <c r="K528" s="1">
        <f t="shared" si="148"/>
        <v>-1263.6776907276649</v>
      </c>
      <c r="L528" s="1">
        <f t="shared" si="141"/>
        <v>1262414.0130369372</v>
      </c>
      <c r="N528" s="1">
        <f t="shared" si="149"/>
        <v>505</v>
      </c>
      <c r="O528" s="2">
        <f t="shared" si="154"/>
        <v>42</v>
      </c>
      <c r="P528" s="2">
        <f t="shared" si="155"/>
        <v>1</v>
      </c>
      <c r="Q528" s="2">
        <f t="shared" si="156"/>
        <v>42</v>
      </c>
      <c r="R528" s="1">
        <f t="shared" si="150"/>
        <v>40226399.370109946</v>
      </c>
      <c r="S528" s="1">
        <f>IF($G$17="si",S516*(1+$G$20),S516)</f>
        <v>10000</v>
      </c>
      <c r="U528" s="1">
        <f t="shared" si="157"/>
        <v>320850.69893071166</v>
      </c>
      <c r="V528" s="1">
        <f>V527*(1+$G$18)</f>
        <v>-395.69013403163342</v>
      </c>
      <c r="X528" s="1">
        <f t="shared" si="142"/>
        <v>-40557.25006904066</v>
      </c>
      <c r="Y528" s="1">
        <f t="shared" si="143"/>
        <v>40516297.128837585</v>
      </c>
      <c r="AA528" s="2">
        <f>+Bono!J528</f>
        <v>582984.07850111229</v>
      </c>
      <c r="AC528" s="10">
        <f t="shared" si="144"/>
        <v>42.083333333333336</v>
      </c>
      <c r="AD528" s="1">
        <f t="shared" si="145"/>
        <v>42361695.220375635</v>
      </c>
    </row>
    <row r="529" spans="2:30">
      <c r="B529" s="1">
        <f t="shared" si="146"/>
        <v>506</v>
      </c>
      <c r="C529" s="2">
        <f t="shared" si="151"/>
        <v>42</v>
      </c>
      <c r="D529" s="2">
        <f t="shared" si="152"/>
        <v>2</v>
      </c>
      <c r="E529" s="2">
        <f t="shared" si="153"/>
        <v>71</v>
      </c>
      <c r="F529" s="1">
        <f t="shared" si="147"/>
        <v>1262414.0130369372</v>
      </c>
      <c r="H529" s="1">
        <f t="shared" si="140"/>
        <v>10066.666619372485</v>
      </c>
      <c r="I529" s="1">
        <v>0</v>
      </c>
      <c r="J529" s="1">
        <v>0</v>
      </c>
      <c r="K529" s="1">
        <f t="shared" si="148"/>
        <v>-1272.4806796563098</v>
      </c>
      <c r="L529" s="1">
        <f t="shared" si="141"/>
        <v>1271208.1989766534</v>
      </c>
      <c r="N529" s="1">
        <f t="shared" si="149"/>
        <v>506</v>
      </c>
      <c r="O529" s="2">
        <f t="shared" si="154"/>
        <v>42</v>
      </c>
      <c r="P529" s="2">
        <f t="shared" si="155"/>
        <v>2</v>
      </c>
      <c r="Q529" s="2">
        <f t="shared" si="156"/>
        <v>42</v>
      </c>
      <c r="R529" s="1">
        <f t="shared" si="150"/>
        <v>40516297.128837585</v>
      </c>
      <c r="S529" s="4">
        <f>IF($G$4="mensual",S528,0)</f>
        <v>10000</v>
      </c>
      <c r="U529" s="1">
        <f t="shared" si="157"/>
        <v>323162.38436883036</v>
      </c>
      <c r="V529" s="1">
        <f>V528</f>
        <v>-395.69013403163342</v>
      </c>
      <c r="X529" s="1">
        <f t="shared" si="142"/>
        <v>-40849.459513206413</v>
      </c>
      <c r="Y529" s="1">
        <f t="shared" si="143"/>
        <v>40808214.363559172</v>
      </c>
      <c r="AA529" s="2">
        <f>+Bono!J529</f>
        <v>586598.64740978682</v>
      </c>
      <c r="AC529" s="10">
        <f t="shared" si="144"/>
        <v>42.166666666666664</v>
      </c>
      <c r="AD529" s="1">
        <f t="shared" si="145"/>
        <v>42666021.209945612</v>
      </c>
    </row>
    <row r="530" spans="2:30">
      <c r="B530" s="1">
        <f t="shared" si="146"/>
        <v>507</v>
      </c>
      <c r="C530" s="2">
        <f t="shared" si="151"/>
        <v>42</v>
      </c>
      <c r="D530" s="2">
        <f t="shared" si="152"/>
        <v>3</v>
      </c>
      <c r="E530" s="2">
        <f t="shared" si="153"/>
        <v>71</v>
      </c>
      <c r="F530" s="1">
        <f t="shared" si="147"/>
        <v>1271208.1989766534</v>
      </c>
      <c r="H530" s="1">
        <f t="shared" si="140"/>
        <v>10136.792693013673</v>
      </c>
      <c r="I530" s="1">
        <v>0</v>
      </c>
      <c r="J530" s="69">
        <f>-SUM(F530:H530)*$J$21</f>
        <v>-11532.104925027004</v>
      </c>
      <c r="K530" s="1">
        <f t="shared" si="148"/>
        <v>-1269.8128867446399</v>
      </c>
      <c r="L530" s="1">
        <f t="shared" si="141"/>
        <v>1268543.0738578951</v>
      </c>
      <c r="N530" s="1">
        <f t="shared" si="149"/>
        <v>507</v>
      </c>
      <c r="O530" s="2">
        <f t="shared" si="154"/>
        <v>42</v>
      </c>
      <c r="P530" s="2">
        <f t="shared" si="155"/>
        <v>3</v>
      </c>
      <c r="Q530" s="2">
        <f t="shared" si="156"/>
        <v>42</v>
      </c>
      <c r="R530" s="1">
        <f t="shared" si="150"/>
        <v>40808214.363559172</v>
      </c>
      <c r="S530" s="4">
        <f>IF($G$4="mensual",S529,0)</f>
        <v>10000</v>
      </c>
      <c r="U530" s="1">
        <f t="shared" si="157"/>
        <v>325490.17339211755</v>
      </c>
      <c r="V530" s="1">
        <f t="shared" si="158"/>
        <v>-395.69013403163342</v>
      </c>
      <c r="X530" s="1">
        <f t="shared" si="142"/>
        <v>-41143.704536951293</v>
      </c>
      <c r="Y530" s="1">
        <f t="shared" si="143"/>
        <v>41102165.142280303</v>
      </c>
      <c r="AA530" s="2">
        <f>+Bono!J530</f>
        <v>584918.1889832929</v>
      </c>
      <c r="AC530" s="10">
        <f t="shared" si="144"/>
        <v>42.25</v>
      </c>
      <c r="AD530" s="1">
        <f t="shared" si="145"/>
        <v>42955626.40512149</v>
      </c>
    </row>
    <row r="531" spans="2:30">
      <c r="B531" s="1">
        <f t="shared" si="146"/>
        <v>508</v>
      </c>
      <c r="C531" s="2">
        <f t="shared" si="151"/>
        <v>42</v>
      </c>
      <c r="D531" s="2">
        <f t="shared" si="152"/>
        <v>4</v>
      </c>
      <c r="E531" s="2">
        <f t="shared" si="153"/>
        <v>71</v>
      </c>
      <c r="F531" s="1">
        <f t="shared" si="147"/>
        <v>1268543.0738578951</v>
      </c>
      <c r="H531" s="1">
        <f t="shared" si="140"/>
        <v>10115.540611056094</v>
      </c>
      <c r="I531" s="1">
        <v>0</v>
      </c>
      <c r="J531" s="1">
        <v>0</v>
      </c>
      <c r="K531" s="1">
        <f t="shared" si="148"/>
        <v>-1278.6586144689513</v>
      </c>
      <c r="L531" s="1">
        <f t="shared" si="141"/>
        <v>1277379.9558544823</v>
      </c>
      <c r="N531" s="1">
        <f t="shared" si="149"/>
        <v>508</v>
      </c>
      <c r="O531" s="2">
        <f t="shared" si="154"/>
        <v>42</v>
      </c>
      <c r="P531" s="2">
        <f t="shared" si="155"/>
        <v>4</v>
      </c>
      <c r="Q531" s="2">
        <f t="shared" si="156"/>
        <v>42</v>
      </c>
      <c r="R531" s="1">
        <f t="shared" si="150"/>
        <v>41102165.142280303</v>
      </c>
      <c r="S531" s="4">
        <f>IF($G$4="mensual",S528,IF($G$4="trimestral",S528,0))</f>
        <v>10000</v>
      </c>
      <c r="U531" s="1">
        <f t="shared" si="157"/>
        <v>327834.17818082543</v>
      </c>
      <c r="V531" s="1">
        <f t="shared" si="158"/>
        <v>-395.69013403163342</v>
      </c>
      <c r="X531" s="1">
        <f t="shared" si="142"/>
        <v>-41439.999320461131</v>
      </c>
      <c r="Y531" s="1">
        <f t="shared" si="143"/>
        <v>41398163.631006636</v>
      </c>
      <c r="AA531" s="2">
        <f>+Bono!J531</f>
        <v>588544.74960129987</v>
      </c>
      <c r="AC531" s="10">
        <f t="shared" si="144"/>
        <v>42.333333333333336</v>
      </c>
      <c r="AD531" s="1">
        <f t="shared" si="145"/>
        <v>43264088.336462416</v>
      </c>
    </row>
    <row r="532" spans="2:30">
      <c r="B532" s="1">
        <f t="shared" si="146"/>
        <v>509</v>
      </c>
      <c r="C532" s="2">
        <f t="shared" si="151"/>
        <v>42</v>
      </c>
      <c r="D532" s="2">
        <f t="shared" si="152"/>
        <v>5</v>
      </c>
      <c r="E532" s="2">
        <f t="shared" si="153"/>
        <v>71</v>
      </c>
      <c r="F532" s="1">
        <f t="shared" si="147"/>
        <v>1277379.9558544823</v>
      </c>
      <c r="H532" s="1">
        <f t="shared" si="140"/>
        <v>10186.007149050532</v>
      </c>
      <c r="I532" s="1">
        <v>0</v>
      </c>
      <c r="J532" s="1">
        <v>0</v>
      </c>
      <c r="K532" s="1">
        <f t="shared" si="148"/>
        <v>-1287.5659630035327</v>
      </c>
      <c r="L532" s="1">
        <f t="shared" si="141"/>
        <v>1286278.3970405292</v>
      </c>
      <c r="N532" s="1">
        <f t="shared" si="149"/>
        <v>509</v>
      </c>
      <c r="O532" s="2">
        <f t="shared" si="154"/>
        <v>42</v>
      </c>
      <c r="P532" s="2">
        <f t="shared" si="155"/>
        <v>5</v>
      </c>
      <c r="Q532" s="2">
        <f t="shared" si="156"/>
        <v>42</v>
      </c>
      <c r="R532" s="1">
        <f t="shared" si="150"/>
        <v>41398163.631006636</v>
      </c>
      <c r="S532" s="4">
        <f>IF($G$4="mensual",S531,0)</f>
        <v>10000</v>
      </c>
      <c r="U532" s="1">
        <f t="shared" si="157"/>
        <v>330194.51169667253</v>
      </c>
      <c r="V532" s="1">
        <f t="shared" si="158"/>
        <v>-395.69013403163342</v>
      </c>
      <c r="X532" s="1">
        <f t="shared" si="142"/>
        <v>-41738.358142703313</v>
      </c>
      <c r="Y532" s="1">
        <f t="shared" si="143"/>
        <v>41696224.094426572</v>
      </c>
      <c r="AA532" s="2">
        <f>+Bono!J532</f>
        <v>592193.79531579348</v>
      </c>
      <c r="AC532" s="10">
        <f t="shared" si="144"/>
        <v>42.416666666666664</v>
      </c>
      <c r="AD532" s="1">
        <f t="shared" si="145"/>
        <v>43574696.286782898</v>
      </c>
    </row>
    <row r="533" spans="2:30">
      <c r="B533" s="1">
        <f t="shared" si="146"/>
        <v>510</v>
      </c>
      <c r="C533" s="2">
        <f t="shared" si="151"/>
        <v>42</v>
      </c>
      <c r="D533" s="2">
        <f t="shared" si="152"/>
        <v>6</v>
      </c>
      <c r="E533" s="2">
        <f t="shared" si="153"/>
        <v>71</v>
      </c>
      <c r="F533" s="1">
        <f t="shared" si="147"/>
        <v>1286278.3970405292</v>
      </c>
      <c r="H533" s="1">
        <f t="shared" si="140"/>
        <v>10256.964568666412</v>
      </c>
      <c r="I533" s="1">
        <v>0</v>
      </c>
      <c r="J533" s="69">
        <f>-SUM(F533:H533)*$J$21</f>
        <v>-11668.818254482761</v>
      </c>
      <c r="K533" s="1">
        <f t="shared" si="148"/>
        <v>-1284.866543354713</v>
      </c>
      <c r="L533" s="1">
        <f t="shared" si="141"/>
        <v>1283581.6768113582</v>
      </c>
      <c r="N533" s="1">
        <f t="shared" si="149"/>
        <v>510</v>
      </c>
      <c r="O533" s="2">
        <f t="shared" si="154"/>
        <v>42</v>
      </c>
      <c r="P533" s="2">
        <f t="shared" si="155"/>
        <v>6</v>
      </c>
      <c r="Q533" s="2">
        <f t="shared" si="156"/>
        <v>42</v>
      </c>
      <c r="R533" s="1">
        <f t="shared" si="150"/>
        <v>41696224.094426572</v>
      </c>
      <c r="S533" s="4">
        <f>IF($G$4="mensual",S532,0)</f>
        <v>10000</v>
      </c>
      <c r="U533" s="1">
        <f t="shared" si="157"/>
        <v>332571.28768828721</v>
      </c>
      <c r="V533" s="1">
        <f t="shared" si="158"/>
        <v>-395.69013403163342</v>
      </c>
      <c r="X533" s="1">
        <f t="shared" si="142"/>
        <v>-42038.795382114855</v>
      </c>
      <c r="Y533" s="1">
        <f t="shared" si="143"/>
        <v>41996360.896598712</v>
      </c>
      <c r="AA533" s="2">
        <f>+Bono!J533</f>
        <v>590497.30818980013</v>
      </c>
      <c r="AC533" s="10">
        <f t="shared" si="144"/>
        <v>42.5</v>
      </c>
      <c r="AD533" s="1">
        <f t="shared" si="145"/>
        <v>43870439.881599873</v>
      </c>
    </row>
    <row r="534" spans="2:30">
      <c r="B534" s="1">
        <f t="shared" si="146"/>
        <v>511</v>
      </c>
      <c r="C534" s="2">
        <f t="shared" si="151"/>
        <v>42</v>
      </c>
      <c r="D534" s="2">
        <f t="shared" si="152"/>
        <v>7</v>
      </c>
      <c r="E534" s="2">
        <f t="shared" si="153"/>
        <v>71</v>
      </c>
      <c r="F534" s="1">
        <f t="shared" si="147"/>
        <v>1283581.6768113582</v>
      </c>
      <c r="H534" s="1">
        <f t="shared" si="140"/>
        <v>10235.460542861536</v>
      </c>
      <c r="I534" s="1">
        <v>0</v>
      </c>
      <c r="J534" s="1">
        <v>0</v>
      </c>
      <c r="K534" s="1">
        <f t="shared" si="148"/>
        <v>-1293.8171373542198</v>
      </c>
      <c r="L534" s="1">
        <f t="shared" si="141"/>
        <v>1292523.3202168655</v>
      </c>
      <c r="N534" s="1">
        <f t="shared" si="149"/>
        <v>511</v>
      </c>
      <c r="O534" s="2">
        <f t="shared" si="154"/>
        <v>42</v>
      </c>
      <c r="P534" s="2">
        <f t="shared" si="155"/>
        <v>7</v>
      </c>
      <c r="Q534" s="2">
        <f t="shared" si="156"/>
        <v>42</v>
      </c>
      <c r="R534" s="1">
        <f t="shared" si="150"/>
        <v>41996360.896598712</v>
      </c>
      <c r="S534" s="1">
        <f>+IF($G$4="mensual",S528,IF($G$4="trimestral",S528,IF($G$4="semestral",S528,0)))</f>
        <v>10000</v>
      </c>
      <c r="U534" s="1">
        <f t="shared" si="157"/>
        <v>334964.62069668999</v>
      </c>
      <c r="V534" s="1">
        <f t="shared" si="158"/>
        <v>-395.69013403163342</v>
      </c>
      <c r="X534" s="1">
        <f t="shared" si="142"/>
        <v>-42341.325517295409</v>
      </c>
      <c r="Y534" s="1">
        <f t="shared" si="143"/>
        <v>42298588.501644075</v>
      </c>
      <c r="AA534" s="2">
        <f>+Bono!J534</f>
        <v>594158.45999402518</v>
      </c>
      <c r="AC534" s="10">
        <f t="shared" si="144"/>
        <v>42.583333333333336</v>
      </c>
      <c r="AD534" s="1">
        <f t="shared" si="145"/>
        <v>44185270.281854965</v>
      </c>
    </row>
    <row r="535" spans="2:30">
      <c r="B535" s="1">
        <f t="shared" si="146"/>
        <v>512</v>
      </c>
      <c r="C535" s="2">
        <f t="shared" si="151"/>
        <v>42</v>
      </c>
      <c r="D535" s="2">
        <f t="shared" si="152"/>
        <v>8</v>
      </c>
      <c r="E535" s="2">
        <f t="shared" si="153"/>
        <v>71</v>
      </c>
      <c r="F535" s="1">
        <f t="shared" si="147"/>
        <v>1292523.3202168655</v>
      </c>
      <c r="H535" s="1">
        <f t="shared" si="140"/>
        <v>10306.762463042234</v>
      </c>
      <c r="I535" s="1">
        <v>0</v>
      </c>
      <c r="J535" s="1">
        <v>0</v>
      </c>
      <c r="K535" s="1">
        <f t="shared" si="148"/>
        <v>-1302.8300826799077</v>
      </c>
      <c r="L535" s="1">
        <f t="shared" si="141"/>
        <v>1301527.2525972279</v>
      </c>
      <c r="N535" s="1">
        <f t="shared" si="149"/>
        <v>512</v>
      </c>
      <c r="O535" s="2">
        <f t="shared" si="154"/>
        <v>42</v>
      </c>
      <c r="P535" s="2">
        <f t="shared" si="155"/>
        <v>8</v>
      </c>
      <c r="Q535" s="2">
        <f t="shared" si="156"/>
        <v>42</v>
      </c>
      <c r="R535" s="1">
        <f t="shared" si="150"/>
        <v>42298588.501644075</v>
      </c>
      <c r="S535" s="4">
        <f>IF($G$4="mensual",S534,0)</f>
        <v>10000</v>
      </c>
      <c r="U535" s="1">
        <f t="shared" si="157"/>
        <v>337374.62606081297</v>
      </c>
      <c r="V535" s="1">
        <f t="shared" si="158"/>
        <v>-395.69013403163342</v>
      </c>
      <c r="X535" s="1">
        <f t="shared" si="142"/>
        <v>-42645.96312770489</v>
      </c>
      <c r="Y535" s="1">
        <f t="shared" si="143"/>
        <v>42602921.474443153</v>
      </c>
      <c r="AA535" s="2">
        <f>+Bono!J535</f>
        <v>597842.31136410369</v>
      </c>
      <c r="AC535" s="10">
        <f t="shared" si="144"/>
        <v>42.666666666666664</v>
      </c>
      <c r="AD535" s="1">
        <f t="shared" si="145"/>
        <v>44502291.038404487</v>
      </c>
    </row>
    <row r="536" spans="2:30">
      <c r="B536" s="1">
        <f t="shared" si="146"/>
        <v>513</v>
      </c>
      <c r="C536" s="2">
        <f t="shared" si="151"/>
        <v>42</v>
      </c>
      <c r="D536" s="2">
        <f t="shared" si="152"/>
        <v>9</v>
      </c>
      <c r="E536" s="2">
        <f t="shared" si="153"/>
        <v>71</v>
      </c>
      <c r="F536" s="1">
        <f t="shared" si="147"/>
        <v>1301527.2525972279</v>
      </c>
      <c r="H536" s="1">
        <f t="shared" ref="H536:H599" si="159">SUM(F536:G536)*$G$8</f>
        <v>10378.561084255598</v>
      </c>
      <c r="I536" s="1">
        <v>0</v>
      </c>
      <c r="J536" s="69">
        <f>-SUM(F536:H536)*$J$21</f>
        <v>-11807.152323133352</v>
      </c>
      <c r="K536" s="1">
        <f t="shared" si="148"/>
        <v>-1300.0986613583502</v>
      </c>
      <c r="L536" s="1">
        <f t="shared" ref="L536:L599" si="160">SUM(F536:K536)</f>
        <v>1298798.562696992</v>
      </c>
      <c r="N536" s="1">
        <f t="shared" si="149"/>
        <v>513</v>
      </c>
      <c r="O536" s="2">
        <f t="shared" si="154"/>
        <v>42</v>
      </c>
      <c r="P536" s="2">
        <f t="shared" si="155"/>
        <v>9</v>
      </c>
      <c r="Q536" s="2">
        <f t="shared" si="156"/>
        <v>42</v>
      </c>
      <c r="R536" s="1">
        <f t="shared" si="150"/>
        <v>42602921.474443153</v>
      </c>
      <c r="S536" s="4">
        <f>IF($G$4="mensual",S535,0)</f>
        <v>10000</v>
      </c>
      <c r="U536" s="1">
        <f t="shared" si="157"/>
        <v>339801.41992305854</v>
      </c>
      <c r="V536" s="1">
        <f t="shared" si="158"/>
        <v>-395.69013403163342</v>
      </c>
      <c r="X536" s="1">
        <f t="shared" ref="X536:X599" si="161">-SUM(R536:U536)*0.1%</f>
        <v>-42952.722894366212</v>
      </c>
      <c r="Y536" s="1">
        <f t="shared" ref="Y536:Y599" si="162">SUM(R536:X536)</f>
        <v>42909374.481337816</v>
      </c>
      <c r="AA536" s="2">
        <f>+Bono!J536</f>
        <v>596129.64265222964</v>
      </c>
      <c r="AC536" s="10">
        <f t="shared" ref="AC536:AC599" si="163">+B536/12</f>
        <v>42.75</v>
      </c>
      <c r="AD536" s="1">
        <f t="shared" ref="AD536:AD599" si="164">+AA536+Y536+L536</f>
        <v>44804302.686687037</v>
      </c>
    </row>
    <row r="537" spans="2:30">
      <c r="B537" s="1">
        <f t="shared" ref="B537:B600" si="165">+B536+1</f>
        <v>514</v>
      </c>
      <c r="C537" s="2">
        <f t="shared" si="151"/>
        <v>42</v>
      </c>
      <c r="D537" s="2">
        <f t="shared" si="152"/>
        <v>10</v>
      </c>
      <c r="E537" s="2">
        <f t="shared" si="153"/>
        <v>71</v>
      </c>
      <c r="F537" s="1">
        <f t="shared" ref="F537:F600" si="166">L536</f>
        <v>1298798.562696992</v>
      </c>
      <c r="H537" s="1">
        <f t="shared" si="159"/>
        <v>10356.802127804183</v>
      </c>
      <c r="I537" s="1">
        <v>0</v>
      </c>
      <c r="J537" s="1">
        <v>0</v>
      </c>
      <c r="K537" s="1">
        <f t="shared" ref="K537:K600" si="167">-SUM(F537:J537)*0.1%</f>
        <v>-1309.1553648247962</v>
      </c>
      <c r="L537" s="1">
        <f t="shared" si="160"/>
        <v>1307846.2094599714</v>
      </c>
      <c r="N537" s="1">
        <f t="shared" ref="N537:N600" si="168">+N536+1</f>
        <v>514</v>
      </c>
      <c r="O537" s="2">
        <f t="shared" si="154"/>
        <v>42</v>
      </c>
      <c r="P537" s="2">
        <f t="shared" si="155"/>
        <v>10</v>
      </c>
      <c r="Q537" s="2">
        <f t="shared" si="156"/>
        <v>42</v>
      </c>
      <c r="R537" s="1">
        <f t="shared" ref="R537:R600" si="169">Y536</f>
        <v>42909374.481337816</v>
      </c>
      <c r="S537" s="4">
        <f>IF($G$4="mensual",S528,IF($G$4="trimestral",S528,0))</f>
        <v>10000</v>
      </c>
      <c r="U537" s="1">
        <f t="shared" si="157"/>
        <v>342245.11923489638</v>
      </c>
      <c r="V537" s="1">
        <f t="shared" si="158"/>
        <v>-395.69013403163342</v>
      </c>
      <c r="X537" s="1">
        <f t="shared" si="161"/>
        <v>-43261.619600572711</v>
      </c>
      <c r="Y537" s="1">
        <f t="shared" si="162"/>
        <v>43217962.290838107</v>
      </c>
      <c r="AA537" s="2">
        <f>+Bono!J537</f>
        <v>599825.71558343212</v>
      </c>
      <c r="AC537" s="10">
        <f t="shared" si="163"/>
        <v>42.833333333333336</v>
      </c>
      <c r="AD537" s="1">
        <f t="shared" si="164"/>
        <v>45125634.215881504</v>
      </c>
    </row>
    <row r="538" spans="2:30">
      <c r="B538" s="1">
        <f t="shared" si="165"/>
        <v>515</v>
      </c>
      <c r="C538" s="2">
        <f t="shared" si="151"/>
        <v>42</v>
      </c>
      <c r="D538" s="2">
        <f t="shared" si="152"/>
        <v>11</v>
      </c>
      <c r="E538" s="2">
        <f t="shared" si="153"/>
        <v>71</v>
      </c>
      <c r="F538" s="1">
        <f t="shared" si="166"/>
        <v>1307846.2094599714</v>
      </c>
      <c r="H538" s="1">
        <f t="shared" si="159"/>
        <v>10428.949333643299</v>
      </c>
      <c r="I538" s="1">
        <v>0</v>
      </c>
      <c r="J538" s="1">
        <v>0</v>
      </c>
      <c r="K538" s="1">
        <f t="shared" si="167"/>
        <v>-1318.2751587936148</v>
      </c>
      <c r="L538" s="1">
        <f t="shared" si="160"/>
        <v>1316956.883634821</v>
      </c>
      <c r="N538" s="1">
        <f t="shared" si="168"/>
        <v>515</v>
      </c>
      <c r="O538" s="2">
        <f t="shared" si="154"/>
        <v>42</v>
      </c>
      <c r="P538" s="2">
        <f t="shared" si="155"/>
        <v>11</v>
      </c>
      <c r="Q538" s="2">
        <f t="shared" si="156"/>
        <v>42</v>
      </c>
      <c r="R538" s="1">
        <f t="shared" si="169"/>
        <v>43217962.290838107</v>
      </c>
      <c r="S538" s="1">
        <f>IF($G$17="si",S526*(1+$G$20),S526)</f>
        <v>10000</v>
      </c>
      <c r="U538" s="1">
        <f t="shared" si="157"/>
        <v>344705.84176249953</v>
      </c>
      <c r="V538" s="1">
        <f t="shared" si="158"/>
        <v>-395.69013403163342</v>
      </c>
      <c r="X538" s="1">
        <f t="shared" si="161"/>
        <v>-43572.668132600607</v>
      </c>
      <c r="Y538" s="1">
        <f t="shared" si="162"/>
        <v>43528699.774333969</v>
      </c>
      <c r="AA538" s="2">
        <f>+Bono!J538</f>
        <v>603544.7045955261</v>
      </c>
      <c r="AC538" s="10">
        <f t="shared" si="163"/>
        <v>42.916666666666664</v>
      </c>
      <c r="AD538" s="1">
        <f t="shared" si="164"/>
        <v>45449201.362564318</v>
      </c>
    </row>
    <row r="539" spans="2:30">
      <c r="B539" s="1">
        <f t="shared" si="165"/>
        <v>516</v>
      </c>
      <c r="C539" s="2">
        <f t="shared" si="151"/>
        <v>42</v>
      </c>
      <c r="D539" s="2">
        <f t="shared" si="152"/>
        <v>12</v>
      </c>
      <c r="E539" s="2">
        <f t="shared" si="153"/>
        <v>71</v>
      </c>
      <c r="F539" s="1">
        <f t="shared" si="166"/>
        <v>1316956.883634821</v>
      </c>
      <c r="H539" s="1">
        <f t="shared" si="159"/>
        <v>10501.599128915537</v>
      </c>
      <c r="I539" s="1">
        <v>0</v>
      </c>
      <c r="J539" s="69">
        <f>-SUM(F539:H539)*$J$21</f>
        <v>-11947.12634487363</v>
      </c>
      <c r="K539" s="1">
        <f t="shared" si="167"/>
        <v>-1315.511356418863</v>
      </c>
      <c r="L539" s="1">
        <f t="shared" si="160"/>
        <v>1314195.845062444</v>
      </c>
      <c r="N539" s="1">
        <f t="shared" si="168"/>
        <v>516</v>
      </c>
      <c r="O539" s="2">
        <f t="shared" si="154"/>
        <v>42</v>
      </c>
      <c r="P539" s="2">
        <f t="shared" si="155"/>
        <v>12</v>
      </c>
      <c r="Q539" s="2">
        <f t="shared" si="156"/>
        <v>42</v>
      </c>
      <c r="R539" s="1">
        <f t="shared" si="169"/>
        <v>43528699.774333969</v>
      </c>
      <c r="S539" s="4">
        <f>IF($G$4="mensual",S538,0)</f>
        <v>10000</v>
      </c>
      <c r="U539" s="1">
        <f t="shared" si="157"/>
        <v>347183.70609241968</v>
      </c>
      <c r="V539" s="1">
        <f t="shared" si="158"/>
        <v>-395.69013403163342</v>
      </c>
      <c r="X539" s="1">
        <f t="shared" si="161"/>
        <v>-43885.88348042639</v>
      </c>
      <c r="Y539" s="1">
        <f t="shared" si="162"/>
        <v>43841601.906811923</v>
      </c>
      <c r="AA539" s="2">
        <f>+Bono!J539</f>
        <v>601815.69995311543</v>
      </c>
      <c r="AC539" s="10">
        <f t="shared" si="163"/>
        <v>43</v>
      </c>
      <c r="AD539" s="1">
        <f t="shared" si="164"/>
        <v>45757613.451827481</v>
      </c>
    </row>
    <row r="540" spans="2:30">
      <c r="B540" s="1">
        <f t="shared" si="165"/>
        <v>517</v>
      </c>
      <c r="C540" s="2">
        <f t="shared" si="151"/>
        <v>43</v>
      </c>
      <c r="D540" s="2">
        <f t="shared" si="152"/>
        <v>1</v>
      </c>
      <c r="E540" s="2">
        <f t="shared" si="153"/>
        <v>72</v>
      </c>
      <c r="F540" s="1">
        <f t="shared" si="166"/>
        <v>1314195.845062444</v>
      </c>
      <c r="H540" s="1">
        <f t="shared" si="159"/>
        <v>10479.582219609782</v>
      </c>
      <c r="I540" s="1">
        <v>0</v>
      </c>
      <c r="J540" s="1">
        <v>0</v>
      </c>
      <c r="K540" s="1">
        <f t="shared" si="167"/>
        <v>-1324.6754272820538</v>
      </c>
      <c r="L540" s="1">
        <f t="shared" si="160"/>
        <v>1323350.7518547717</v>
      </c>
      <c r="N540" s="1">
        <f t="shared" si="168"/>
        <v>517</v>
      </c>
      <c r="O540" s="2">
        <f t="shared" si="154"/>
        <v>43</v>
      </c>
      <c r="P540" s="2">
        <f t="shared" si="155"/>
        <v>1</v>
      </c>
      <c r="Q540" s="2">
        <f t="shared" si="156"/>
        <v>43</v>
      </c>
      <c r="R540" s="1">
        <f t="shared" si="169"/>
        <v>43841601.906811923</v>
      </c>
      <c r="S540" s="1">
        <f>IF($G$17="si",S528*(1+$G$20),S528)</f>
        <v>10000</v>
      </c>
      <c r="U540" s="1">
        <f t="shared" si="157"/>
        <v>349678.83163730236</v>
      </c>
      <c r="V540" s="1">
        <f>V539*(1+$G$18)</f>
        <v>-411.51773939289876</v>
      </c>
      <c r="X540" s="1">
        <f t="shared" si="161"/>
        <v>-44201.280738449226</v>
      </c>
      <c r="Y540" s="1">
        <f t="shared" si="162"/>
        <v>44156667.93997138</v>
      </c>
      <c r="AA540" s="2">
        <f>+Bono!J540</f>
        <v>605547.0270991252</v>
      </c>
      <c r="AC540" s="10">
        <f t="shared" si="163"/>
        <v>43.083333333333336</v>
      </c>
      <c r="AD540" s="1">
        <f t="shared" si="164"/>
        <v>46085565.718925275</v>
      </c>
    </row>
    <row r="541" spans="2:30">
      <c r="B541" s="1">
        <f t="shared" si="165"/>
        <v>518</v>
      </c>
      <c r="C541" s="2">
        <f t="shared" si="151"/>
        <v>43</v>
      </c>
      <c r="D541" s="2">
        <f t="shared" si="152"/>
        <v>2</v>
      </c>
      <c r="E541" s="2">
        <f t="shared" si="153"/>
        <v>72</v>
      </c>
      <c r="F541" s="1">
        <f t="shared" si="166"/>
        <v>1323350.7518547717</v>
      </c>
      <c r="H541" s="1">
        <f t="shared" si="159"/>
        <v>10552.584731985329</v>
      </c>
      <c r="I541" s="1">
        <v>0</v>
      </c>
      <c r="J541" s="1">
        <v>0</v>
      </c>
      <c r="K541" s="1">
        <f t="shared" si="167"/>
        <v>-1333.9033365867572</v>
      </c>
      <c r="L541" s="1">
        <f t="shared" si="160"/>
        <v>1332569.4332501704</v>
      </c>
      <c r="N541" s="1">
        <f t="shared" si="168"/>
        <v>518</v>
      </c>
      <c r="O541" s="2">
        <f t="shared" si="154"/>
        <v>43</v>
      </c>
      <c r="P541" s="2">
        <f t="shared" si="155"/>
        <v>2</v>
      </c>
      <c r="Q541" s="2">
        <f t="shared" si="156"/>
        <v>43</v>
      </c>
      <c r="R541" s="1">
        <f t="shared" si="169"/>
        <v>44156667.93997138</v>
      </c>
      <c r="S541" s="4">
        <f>IF($G$4="mensual",S540,0)</f>
        <v>10000</v>
      </c>
      <c r="U541" s="1">
        <f t="shared" si="157"/>
        <v>352191.2124300935</v>
      </c>
      <c r="V541" s="1">
        <f>V540</f>
        <v>-411.51773939289876</v>
      </c>
      <c r="X541" s="1">
        <f t="shared" si="161"/>
        <v>-44518.859152401477</v>
      </c>
      <c r="Y541" s="1">
        <f t="shared" si="162"/>
        <v>44473928.775509685</v>
      </c>
      <c r="AA541" s="2">
        <f>+Bono!J541</f>
        <v>609301.48890624754</v>
      </c>
      <c r="AC541" s="10">
        <f t="shared" si="163"/>
        <v>43.166666666666664</v>
      </c>
      <c r="AD541" s="1">
        <f t="shared" si="164"/>
        <v>46415799.697666109</v>
      </c>
    </row>
    <row r="542" spans="2:30">
      <c r="B542" s="1">
        <f t="shared" si="165"/>
        <v>519</v>
      </c>
      <c r="C542" s="2">
        <f t="shared" si="151"/>
        <v>43</v>
      </c>
      <c r="D542" s="2">
        <f t="shared" si="152"/>
        <v>3</v>
      </c>
      <c r="E542" s="2">
        <f t="shared" si="153"/>
        <v>72</v>
      </c>
      <c r="F542" s="1">
        <f t="shared" si="166"/>
        <v>1332569.4332501704</v>
      </c>
      <c r="H542" s="1">
        <f t="shared" si="159"/>
        <v>10626.095792001561</v>
      </c>
      <c r="I542" s="1">
        <v>0</v>
      </c>
      <c r="J542" s="69">
        <f>-SUM(F542:H542)*$J$21</f>
        <v>-12088.75976137955</v>
      </c>
      <c r="K542" s="1">
        <f t="shared" si="167"/>
        <v>-1331.1067692807924</v>
      </c>
      <c r="L542" s="1">
        <f t="shared" si="160"/>
        <v>1329775.6625115117</v>
      </c>
      <c r="N542" s="1">
        <f t="shared" si="168"/>
        <v>519</v>
      </c>
      <c r="O542" s="2">
        <f t="shared" si="154"/>
        <v>43</v>
      </c>
      <c r="P542" s="2">
        <f t="shared" si="155"/>
        <v>3</v>
      </c>
      <c r="Q542" s="2">
        <f t="shared" si="156"/>
        <v>43</v>
      </c>
      <c r="R542" s="1">
        <f t="shared" si="169"/>
        <v>44473928.775509685</v>
      </c>
      <c r="S542" s="4">
        <f>IF($G$4="mensual",S541,0)</f>
        <v>10000</v>
      </c>
      <c r="U542" s="1">
        <f t="shared" si="157"/>
        <v>354721.09488526732</v>
      </c>
      <c r="V542" s="1">
        <f t="shared" si="158"/>
        <v>-411.51773939289876</v>
      </c>
      <c r="X542" s="1">
        <f t="shared" si="161"/>
        <v>-44838.649870394955</v>
      </c>
      <c r="Y542" s="1">
        <f t="shared" si="162"/>
        <v>44793399.702785164</v>
      </c>
      <c r="AA542" s="2">
        <f>+Bono!J542</f>
        <v>607555.99251646036</v>
      </c>
      <c r="AC542" s="10">
        <f t="shared" si="163"/>
        <v>43.25</v>
      </c>
      <c r="AD542" s="1">
        <f t="shared" si="164"/>
        <v>46730731.357813135</v>
      </c>
    </row>
    <row r="543" spans="2:30">
      <c r="B543" s="1">
        <f t="shared" si="165"/>
        <v>520</v>
      </c>
      <c r="C543" s="2">
        <f t="shared" si="151"/>
        <v>43</v>
      </c>
      <c r="D543" s="2">
        <f t="shared" si="152"/>
        <v>4</v>
      </c>
      <c r="E543" s="2">
        <f t="shared" si="153"/>
        <v>72</v>
      </c>
      <c r="F543" s="1">
        <f t="shared" si="166"/>
        <v>1329775.6625115117</v>
      </c>
      <c r="H543" s="1">
        <f t="shared" si="159"/>
        <v>10603.817871805333</v>
      </c>
      <c r="I543" s="1">
        <v>0</v>
      </c>
      <c r="J543" s="1">
        <v>0</v>
      </c>
      <c r="K543" s="1">
        <f t="shared" si="167"/>
        <v>-1340.3794803833171</v>
      </c>
      <c r="L543" s="1">
        <f t="shared" si="160"/>
        <v>1339039.1009029336</v>
      </c>
      <c r="N543" s="1">
        <f t="shared" si="168"/>
        <v>520</v>
      </c>
      <c r="O543" s="2">
        <f t="shared" si="154"/>
        <v>43</v>
      </c>
      <c r="P543" s="2">
        <f t="shared" si="155"/>
        <v>4</v>
      </c>
      <c r="Q543" s="2">
        <f t="shared" si="156"/>
        <v>43</v>
      </c>
      <c r="R543" s="1">
        <f t="shared" si="169"/>
        <v>44793399.702785164</v>
      </c>
      <c r="S543" s="4">
        <f>IF($G$4="mensual",S540,IF($G$4="trimestral",S540,0))</f>
        <v>10000</v>
      </c>
      <c r="U543" s="1">
        <f t="shared" si="157"/>
        <v>357268.6009223141</v>
      </c>
      <c r="V543" s="1">
        <f t="shared" si="158"/>
        <v>-411.51773939289876</v>
      </c>
      <c r="X543" s="1">
        <f t="shared" si="161"/>
        <v>-45160.668303707484</v>
      </c>
      <c r="Y543" s="1">
        <f t="shared" si="162"/>
        <v>45115096.117664382</v>
      </c>
      <c r="AA543" s="2">
        <f>+Bono!J543</f>
        <v>611322.91014219564</v>
      </c>
      <c r="AC543" s="10">
        <f t="shared" si="163"/>
        <v>43.333333333333336</v>
      </c>
      <c r="AD543" s="1">
        <f t="shared" si="164"/>
        <v>47065458.12870951</v>
      </c>
    </row>
    <row r="544" spans="2:30">
      <c r="B544" s="1">
        <f t="shared" si="165"/>
        <v>521</v>
      </c>
      <c r="C544" s="2">
        <f t="shared" si="151"/>
        <v>43</v>
      </c>
      <c r="D544" s="2">
        <f t="shared" si="152"/>
        <v>5</v>
      </c>
      <c r="E544" s="2">
        <f t="shared" si="153"/>
        <v>72</v>
      </c>
      <c r="F544" s="1">
        <f t="shared" si="166"/>
        <v>1339039.1009029336</v>
      </c>
      <c r="H544" s="1">
        <f t="shared" si="159"/>
        <v>10677.685830393029</v>
      </c>
      <c r="I544" s="1">
        <v>0</v>
      </c>
      <c r="J544" s="1">
        <v>0</v>
      </c>
      <c r="K544" s="1">
        <f t="shared" si="167"/>
        <v>-1349.7167867333267</v>
      </c>
      <c r="L544" s="1">
        <f t="shared" si="160"/>
        <v>1348367.0699465934</v>
      </c>
      <c r="N544" s="1">
        <f t="shared" si="168"/>
        <v>521</v>
      </c>
      <c r="O544" s="2">
        <f t="shared" si="154"/>
        <v>43</v>
      </c>
      <c r="P544" s="2">
        <f t="shared" si="155"/>
        <v>5</v>
      </c>
      <c r="Q544" s="2">
        <f t="shared" si="156"/>
        <v>43</v>
      </c>
      <c r="R544" s="1">
        <f t="shared" si="169"/>
        <v>45115096.117664382</v>
      </c>
      <c r="S544" s="4">
        <f>IF($G$4="mensual",S543,0)</f>
        <v>10000</v>
      </c>
      <c r="U544" s="1">
        <f t="shared" si="157"/>
        <v>359833.85331003583</v>
      </c>
      <c r="V544" s="1">
        <f t="shared" si="158"/>
        <v>-411.51773939289876</v>
      </c>
      <c r="X544" s="1">
        <f t="shared" si="161"/>
        <v>-45484.929970974415</v>
      </c>
      <c r="Y544" s="1">
        <f t="shared" si="162"/>
        <v>45439033.52326405</v>
      </c>
      <c r="AA544" s="2">
        <f>+Bono!J544</f>
        <v>615113.18309414596</v>
      </c>
      <c r="AC544" s="10">
        <f t="shared" si="163"/>
        <v>43.416666666666664</v>
      </c>
      <c r="AD544" s="1">
        <f t="shared" si="164"/>
        <v>47402513.776304789</v>
      </c>
    </row>
    <row r="545" spans="2:30">
      <c r="B545" s="1">
        <f t="shared" si="165"/>
        <v>522</v>
      </c>
      <c r="C545" s="2">
        <f t="shared" si="151"/>
        <v>43</v>
      </c>
      <c r="D545" s="2">
        <f t="shared" si="152"/>
        <v>6</v>
      </c>
      <c r="E545" s="2">
        <f t="shared" si="153"/>
        <v>72</v>
      </c>
      <c r="F545" s="1">
        <f t="shared" si="166"/>
        <v>1348367.0699465934</v>
      </c>
      <c r="H545" s="1">
        <f t="shared" si="159"/>
        <v>10752.06836546364</v>
      </c>
      <c r="I545" s="1">
        <v>0</v>
      </c>
      <c r="J545" s="69">
        <f>-SUM(F545:H545)*$J$21</f>
        <v>-12232.072244808516</v>
      </c>
      <c r="K545" s="1">
        <f t="shared" si="167"/>
        <v>-1346.8870660672485</v>
      </c>
      <c r="L545" s="1">
        <f t="shared" si="160"/>
        <v>1345540.1790011814</v>
      </c>
      <c r="N545" s="1">
        <f t="shared" si="168"/>
        <v>522</v>
      </c>
      <c r="O545" s="2">
        <f t="shared" si="154"/>
        <v>43</v>
      </c>
      <c r="P545" s="2">
        <f t="shared" si="155"/>
        <v>6</v>
      </c>
      <c r="Q545" s="2">
        <f t="shared" si="156"/>
        <v>43</v>
      </c>
      <c r="R545" s="1">
        <f t="shared" si="169"/>
        <v>45439033.52326405</v>
      </c>
      <c r="S545" s="4">
        <f>IF($G$4="mensual",S544,0)</f>
        <v>10000</v>
      </c>
      <c r="U545" s="1">
        <f t="shared" si="157"/>
        <v>362416.97567246237</v>
      </c>
      <c r="V545" s="1">
        <f t="shared" si="158"/>
        <v>-411.51773939289876</v>
      </c>
      <c r="X545" s="1">
        <f t="shared" si="161"/>
        <v>-45811.450498936516</v>
      </c>
      <c r="Y545" s="1">
        <f t="shared" si="162"/>
        <v>45765227.53069818</v>
      </c>
      <c r="AA545" s="2">
        <f>+Bono!J545</f>
        <v>613351.03765391617</v>
      </c>
      <c r="AC545" s="10">
        <f t="shared" si="163"/>
        <v>43.5</v>
      </c>
      <c r="AD545" s="1">
        <f t="shared" si="164"/>
        <v>47724118.747353278</v>
      </c>
    </row>
    <row r="546" spans="2:30">
      <c r="B546" s="1">
        <f t="shared" si="165"/>
        <v>523</v>
      </c>
      <c r="C546" s="2">
        <f t="shared" si="151"/>
        <v>43</v>
      </c>
      <c r="D546" s="2">
        <f t="shared" si="152"/>
        <v>7</v>
      </c>
      <c r="E546" s="2">
        <f t="shared" si="153"/>
        <v>72</v>
      </c>
      <c r="F546" s="1">
        <f t="shared" si="166"/>
        <v>1345540.1790011814</v>
      </c>
      <c r="H546" s="1">
        <f t="shared" si="159"/>
        <v>10729.526340087728</v>
      </c>
      <c r="I546" s="1">
        <v>0</v>
      </c>
      <c r="J546" s="1">
        <v>0</v>
      </c>
      <c r="K546" s="1">
        <f t="shared" si="167"/>
        <v>-1356.2697053412689</v>
      </c>
      <c r="L546" s="1">
        <f t="shared" si="160"/>
        <v>1354913.4356359278</v>
      </c>
      <c r="N546" s="1">
        <f t="shared" si="168"/>
        <v>523</v>
      </c>
      <c r="O546" s="2">
        <f t="shared" si="154"/>
        <v>43</v>
      </c>
      <c r="P546" s="2">
        <f t="shared" si="155"/>
        <v>7</v>
      </c>
      <c r="Q546" s="2">
        <f t="shared" si="156"/>
        <v>43</v>
      </c>
      <c r="R546" s="1">
        <f t="shared" si="169"/>
        <v>45765227.53069818</v>
      </c>
      <c r="S546" s="1">
        <f>+IF($G$4="mensual",S540,IF($G$4="trimestral",S540,IF($G$4="semestral",S540,0)))</f>
        <v>10000</v>
      </c>
      <c r="U546" s="1">
        <f t="shared" si="157"/>
        <v>365018.09249480901</v>
      </c>
      <c r="V546" s="1">
        <f t="shared" si="158"/>
        <v>-411.51773939289876</v>
      </c>
      <c r="X546" s="1">
        <f t="shared" si="161"/>
        <v>-46140.24562319299</v>
      </c>
      <c r="Y546" s="1">
        <f t="shared" si="162"/>
        <v>46093693.859830402</v>
      </c>
      <c r="AA546" s="2">
        <f>+Bono!J546</f>
        <v>617153.88523168734</v>
      </c>
      <c r="AC546" s="10">
        <f t="shared" si="163"/>
        <v>43.583333333333336</v>
      </c>
      <c r="AD546" s="1">
        <f t="shared" si="164"/>
        <v>48065761.180698015</v>
      </c>
    </row>
    <row r="547" spans="2:30">
      <c r="B547" s="1">
        <f t="shared" si="165"/>
        <v>524</v>
      </c>
      <c r="C547" s="2">
        <f t="shared" si="151"/>
        <v>43</v>
      </c>
      <c r="D547" s="2">
        <f t="shared" si="152"/>
        <v>8</v>
      </c>
      <c r="E547" s="2">
        <f t="shared" si="153"/>
        <v>72</v>
      </c>
      <c r="F547" s="1">
        <f t="shared" si="166"/>
        <v>1354913.4356359278</v>
      </c>
      <c r="H547" s="1">
        <f t="shared" si="159"/>
        <v>10804.270004769351</v>
      </c>
      <c r="I547" s="1">
        <v>0</v>
      </c>
      <c r="J547" s="1">
        <v>0</v>
      </c>
      <c r="K547" s="1">
        <f t="shared" si="167"/>
        <v>-1365.7177056406972</v>
      </c>
      <c r="L547" s="1">
        <f t="shared" si="160"/>
        <v>1364351.9879350564</v>
      </c>
      <c r="N547" s="1">
        <f t="shared" si="168"/>
        <v>524</v>
      </c>
      <c r="O547" s="2">
        <f t="shared" si="154"/>
        <v>43</v>
      </c>
      <c r="P547" s="2">
        <f t="shared" si="155"/>
        <v>8</v>
      </c>
      <c r="Q547" s="2">
        <f t="shared" si="156"/>
        <v>43</v>
      </c>
      <c r="R547" s="1">
        <f t="shared" si="169"/>
        <v>46093693.859830402</v>
      </c>
      <c r="S547" s="4">
        <f>IF($G$4="mensual",S546,0)</f>
        <v>10000</v>
      </c>
      <c r="U547" s="1">
        <f t="shared" si="157"/>
        <v>367637.32912947587</v>
      </c>
      <c r="V547" s="1">
        <f t="shared" si="158"/>
        <v>-411.51773939289876</v>
      </c>
      <c r="X547" s="1">
        <f t="shared" si="161"/>
        <v>-46471.331188959877</v>
      </c>
      <c r="Y547" s="1">
        <f t="shared" si="162"/>
        <v>46424448.34003152</v>
      </c>
      <c r="AA547" s="2">
        <f>+Bono!J547</f>
        <v>620980.31090554362</v>
      </c>
      <c r="AC547" s="10">
        <f t="shared" si="163"/>
        <v>43.666666666666664</v>
      </c>
      <c r="AD547" s="1">
        <f t="shared" si="164"/>
        <v>48409780.638872124</v>
      </c>
    </row>
    <row r="548" spans="2:30">
      <c r="B548" s="1">
        <f t="shared" si="165"/>
        <v>525</v>
      </c>
      <c r="C548" s="2">
        <f t="shared" ref="C548:C611" si="170">C536+1</f>
        <v>43</v>
      </c>
      <c r="D548" s="2">
        <f t="shared" ref="D548:D611" si="171">D536</f>
        <v>9</v>
      </c>
      <c r="E548" s="2">
        <f t="shared" ref="E548:E611" si="172">E536+1</f>
        <v>72</v>
      </c>
      <c r="F548" s="1">
        <f t="shared" si="166"/>
        <v>1364351.9879350564</v>
      </c>
      <c r="H548" s="1">
        <f t="shared" si="159"/>
        <v>10879.534346248154</v>
      </c>
      <c r="I548" s="1">
        <v>0</v>
      </c>
      <c r="J548" s="69">
        <f>-SUM(F548:H548)*$J$21</f>
        <v>-12377.083700531744</v>
      </c>
      <c r="K548" s="1">
        <f t="shared" si="167"/>
        <v>-1362.8544385807729</v>
      </c>
      <c r="L548" s="1">
        <f t="shared" si="160"/>
        <v>1361491.584142192</v>
      </c>
      <c r="N548" s="1">
        <f t="shared" si="168"/>
        <v>525</v>
      </c>
      <c r="O548" s="2">
        <f t="shared" ref="O548:O611" si="173">O536+1</f>
        <v>43</v>
      </c>
      <c r="P548" s="2">
        <f t="shared" ref="P548:P611" si="174">P536</f>
        <v>9</v>
      </c>
      <c r="Q548" s="2">
        <f t="shared" ref="Q548:Q611" si="175">Q536+1</f>
        <v>43</v>
      </c>
      <c r="R548" s="1">
        <f t="shared" si="169"/>
        <v>46424448.34003152</v>
      </c>
      <c r="S548" s="4">
        <f>IF($G$4="mensual",S547,0)</f>
        <v>10000</v>
      </c>
      <c r="U548" s="1">
        <f t="shared" ref="U548:U611" si="176">SUM(R548:T548)*$G$8</f>
        <v>370274.81180208863</v>
      </c>
      <c r="V548" s="1">
        <f t="shared" si="158"/>
        <v>-411.51773939289876</v>
      </c>
      <c r="X548" s="1">
        <f t="shared" si="161"/>
        <v>-46804.723151833612</v>
      </c>
      <c r="Y548" s="1">
        <f t="shared" si="162"/>
        <v>46757506.910942383</v>
      </c>
      <c r="AA548" s="2">
        <f>+Bono!J548</f>
        <v>619201.35761140299</v>
      </c>
      <c r="AC548" s="10">
        <f t="shared" si="163"/>
        <v>43.75</v>
      </c>
      <c r="AD548" s="1">
        <f t="shared" si="164"/>
        <v>48738199.852695979</v>
      </c>
    </row>
    <row r="549" spans="2:30">
      <c r="B549" s="1">
        <f t="shared" si="165"/>
        <v>526</v>
      </c>
      <c r="C549" s="2">
        <f t="shared" si="170"/>
        <v>43</v>
      </c>
      <c r="D549" s="2">
        <f t="shared" si="171"/>
        <v>10</v>
      </c>
      <c r="E549" s="2">
        <f t="shared" si="172"/>
        <v>72</v>
      </c>
      <c r="F549" s="1">
        <f t="shared" si="166"/>
        <v>1361491.584142192</v>
      </c>
      <c r="H549" s="1">
        <f t="shared" si="159"/>
        <v>10856.725084720485</v>
      </c>
      <c r="I549" s="1">
        <v>0</v>
      </c>
      <c r="J549" s="1">
        <v>0</v>
      </c>
      <c r="K549" s="1">
        <f t="shared" si="167"/>
        <v>-1372.3483092269125</v>
      </c>
      <c r="L549" s="1">
        <f t="shared" si="160"/>
        <v>1370975.9609176856</v>
      </c>
      <c r="N549" s="1">
        <f t="shared" si="168"/>
        <v>526</v>
      </c>
      <c r="O549" s="2">
        <f t="shared" si="173"/>
        <v>43</v>
      </c>
      <c r="P549" s="2">
        <f t="shared" si="174"/>
        <v>10</v>
      </c>
      <c r="Q549" s="2">
        <f t="shared" si="175"/>
        <v>43</v>
      </c>
      <c r="R549" s="1">
        <f t="shared" si="169"/>
        <v>46757506.910942383</v>
      </c>
      <c r="S549" s="4">
        <f>IF($G$4="mensual",S540,IF($G$4="trimestral",S540,0))</f>
        <v>10000</v>
      </c>
      <c r="U549" s="1">
        <f t="shared" si="176"/>
        <v>372930.66761758184</v>
      </c>
      <c r="V549" s="1">
        <f t="shared" si="158"/>
        <v>-411.51773939289876</v>
      </c>
      <c r="X549" s="1">
        <f t="shared" si="161"/>
        <v>-47140.437578559962</v>
      </c>
      <c r="Y549" s="1">
        <f t="shared" si="162"/>
        <v>47092885.623242013</v>
      </c>
      <c r="AA549" s="2">
        <f>+Bono!J549</f>
        <v>623040.47785150562</v>
      </c>
      <c r="AC549" s="10">
        <f t="shared" si="163"/>
        <v>43.833333333333336</v>
      </c>
      <c r="AD549" s="1">
        <f t="shared" si="164"/>
        <v>49086902.062011205</v>
      </c>
    </row>
    <row r="550" spans="2:30">
      <c r="B550" s="1">
        <f t="shared" si="165"/>
        <v>527</v>
      </c>
      <c r="C550" s="2">
        <f t="shared" si="170"/>
        <v>43</v>
      </c>
      <c r="D550" s="2">
        <f t="shared" si="171"/>
        <v>11</v>
      </c>
      <c r="E550" s="2">
        <f t="shared" si="172"/>
        <v>72</v>
      </c>
      <c r="F550" s="1">
        <f t="shared" si="166"/>
        <v>1370975.9609176856</v>
      </c>
      <c r="H550" s="1">
        <f t="shared" si="159"/>
        <v>10932.354837008905</v>
      </c>
      <c r="I550" s="1">
        <v>0</v>
      </c>
      <c r="J550" s="1">
        <v>0</v>
      </c>
      <c r="K550" s="1">
        <f t="shared" si="167"/>
        <v>-1381.9083157546947</v>
      </c>
      <c r="L550" s="1">
        <f t="shared" si="160"/>
        <v>1380526.4074389399</v>
      </c>
      <c r="N550" s="1">
        <f t="shared" si="168"/>
        <v>527</v>
      </c>
      <c r="O550" s="2">
        <f t="shared" si="173"/>
        <v>43</v>
      </c>
      <c r="P550" s="2">
        <f t="shared" si="174"/>
        <v>11</v>
      </c>
      <c r="Q550" s="2">
        <f t="shared" si="175"/>
        <v>43</v>
      </c>
      <c r="R550" s="1">
        <f t="shared" si="169"/>
        <v>47092885.623242013</v>
      </c>
      <c r="S550" s="1">
        <f>IF($G$17="si",S538*(1+$G$20),S538)</f>
        <v>10000</v>
      </c>
      <c r="U550" s="1">
        <f t="shared" si="176"/>
        <v>375605.02456632402</v>
      </c>
      <c r="V550" s="1">
        <f t="shared" si="158"/>
        <v>-411.51773939289876</v>
      </c>
      <c r="X550" s="1">
        <f t="shared" si="161"/>
        <v>-47478.490647808336</v>
      </c>
      <c r="Y550" s="1">
        <f t="shared" si="162"/>
        <v>47430600.639421135</v>
      </c>
      <c r="AA550" s="2">
        <f>+Bono!J550</f>
        <v>626903.40108240733</v>
      </c>
      <c r="AC550" s="10">
        <f t="shared" si="163"/>
        <v>43.916666666666664</v>
      </c>
      <c r="AD550" s="1">
        <f t="shared" si="164"/>
        <v>49438030.44794248</v>
      </c>
    </row>
    <row r="551" spans="2:30">
      <c r="B551" s="1">
        <f t="shared" si="165"/>
        <v>528</v>
      </c>
      <c r="C551" s="2">
        <f t="shared" si="170"/>
        <v>43</v>
      </c>
      <c r="D551" s="2">
        <f t="shared" si="171"/>
        <v>12</v>
      </c>
      <c r="E551" s="2">
        <f t="shared" si="172"/>
        <v>72</v>
      </c>
      <c r="F551" s="1">
        <f t="shared" si="166"/>
        <v>1380526.4074389399</v>
      </c>
      <c r="H551" s="1">
        <f t="shared" si="159"/>
        <v>11008.511438728121</v>
      </c>
      <c r="I551" s="1">
        <v>0</v>
      </c>
      <c r="J551" s="69">
        <f>-SUM(F551:H551)*$J$21</f>
        <v>-12523.814269899014</v>
      </c>
      <c r="K551" s="1">
        <f t="shared" si="167"/>
        <v>-1379.0111046077691</v>
      </c>
      <c r="L551" s="1">
        <f t="shared" si="160"/>
        <v>1377632.0935031613</v>
      </c>
      <c r="N551" s="1">
        <f t="shared" si="168"/>
        <v>528</v>
      </c>
      <c r="O551" s="2">
        <f t="shared" si="173"/>
        <v>43</v>
      </c>
      <c r="P551" s="2">
        <f t="shared" si="174"/>
        <v>12</v>
      </c>
      <c r="Q551" s="2">
        <f t="shared" si="175"/>
        <v>43</v>
      </c>
      <c r="R551" s="1">
        <f t="shared" si="169"/>
        <v>47430600.639421135</v>
      </c>
      <c r="S551" s="4">
        <f>IF($G$4="mensual",S550,0)</f>
        <v>10000</v>
      </c>
      <c r="U551" s="1">
        <f t="shared" si="176"/>
        <v>378298.01153028582</v>
      </c>
      <c r="V551" s="1">
        <f t="shared" si="158"/>
        <v>-411.51773939289876</v>
      </c>
      <c r="X551" s="1">
        <f t="shared" si="161"/>
        <v>-47818.898650951422</v>
      </c>
      <c r="Y551" s="1">
        <f t="shared" si="162"/>
        <v>47770668.234561078</v>
      </c>
      <c r="AA551" s="2">
        <f>+Bono!J551</f>
        <v>625107.47961617401</v>
      </c>
      <c r="AC551" s="10">
        <f t="shared" si="163"/>
        <v>44</v>
      </c>
      <c r="AD551" s="1">
        <f t="shared" si="164"/>
        <v>49773407.807680413</v>
      </c>
    </row>
    <row r="552" spans="2:30">
      <c r="B552" s="1">
        <f t="shared" si="165"/>
        <v>529</v>
      </c>
      <c r="C552" s="2">
        <f t="shared" si="170"/>
        <v>44</v>
      </c>
      <c r="D552" s="2">
        <f t="shared" si="171"/>
        <v>1</v>
      </c>
      <c r="E552" s="2">
        <f t="shared" si="172"/>
        <v>73</v>
      </c>
      <c r="F552" s="1">
        <f t="shared" si="166"/>
        <v>1377632.0935031613</v>
      </c>
      <c r="H552" s="1">
        <f t="shared" si="159"/>
        <v>10985.431772958889</v>
      </c>
      <c r="I552" s="1">
        <v>0</v>
      </c>
      <c r="J552" s="1">
        <v>0</v>
      </c>
      <c r="K552" s="1">
        <f t="shared" si="167"/>
        <v>-1388.6175252761202</v>
      </c>
      <c r="L552" s="1">
        <f t="shared" si="160"/>
        <v>1387228.9077508443</v>
      </c>
      <c r="N552" s="1">
        <f t="shared" si="168"/>
        <v>529</v>
      </c>
      <c r="O552" s="2">
        <f t="shared" si="173"/>
        <v>44</v>
      </c>
      <c r="P552" s="2">
        <f t="shared" si="174"/>
        <v>1</v>
      </c>
      <c r="Q552" s="2">
        <f t="shared" si="175"/>
        <v>44</v>
      </c>
      <c r="R552" s="1">
        <f t="shared" si="169"/>
        <v>47770668.234561078</v>
      </c>
      <c r="S552" s="1">
        <f>IF($G$17="si",S540*(1+$G$20),S540)</f>
        <v>10000</v>
      </c>
      <c r="U552" s="1">
        <f t="shared" si="176"/>
        <v>381009.75828925136</v>
      </c>
      <c r="V552" s="1">
        <f>V551*(1+$G$18)</f>
        <v>-427.97844896861471</v>
      </c>
      <c r="X552" s="1">
        <f t="shared" si="161"/>
        <v>-48161.677992850324</v>
      </c>
      <c r="Y552" s="1">
        <f t="shared" si="162"/>
        <v>48113088.336408503</v>
      </c>
      <c r="AA552" s="2">
        <f>+Bono!J552</f>
        <v>628983.21849777398</v>
      </c>
      <c r="AC552" s="10">
        <f t="shared" si="163"/>
        <v>44.083333333333336</v>
      </c>
      <c r="AD552" s="1">
        <f t="shared" si="164"/>
        <v>50129300.462657124</v>
      </c>
    </row>
    <row r="553" spans="2:30">
      <c r="B553" s="1">
        <f t="shared" si="165"/>
        <v>530</v>
      </c>
      <c r="C553" s="2">
        <f t="shared" si="170"/>
        <v>44</v>
      </c>
      <c r="D553" s="2">
        <f t="shared" si="171"/>
        <v>2</v>
      </c>
      <c r="E553" s="2">
        <f t="shared" si="172"/>
        <v>73</v>
      </c>
      <c r="F553" s="1">
        <f t="shared" si="166"/>
        <v>1387228.9077508443</v>
      </c>
      <c r="H553" s="1">
        <f t="shared" si="159"/>
        <v>11061.958117440017</v>
      </c>
      <c r="I553" s="1">
        <v>0</v>
      </c>
      <c r="J553" s="1">
        <v>0</v>
      </c>
      <c r="K553" s="1">
        <f t="shared" si="167"/>
        <v>-1398.2908658682843</v>
      </c>
      <c r="L553" s="1">
        <f t="shared" si="160"/>
        <v>1396892.575002416</v>
      </c>
      <c r="N553" s="1">
        <f t="shared" si="168"/>
        <v>530</v>
      </c>
      <c r="O553" s="2">
        <f t="shared" si="173"/>
        <v>44</v>
      </c>
      <c r="P553" s="2">
        <f t="shared" si="174"/>
        <v>2</v>
      </c>
      <c r="Q553" s="2">
        <f t="shared" si="175"/>
        <v>44</v>
      </c>
      <c r="R553" s="1">
        <f t="shared" si="169"/>
        <v>48113088.336408503</v>
      </c>
      <c r="S553" s="4">
        <f>IF($G$4="mensual",S552,0)</f>
        <v>10000</v>
      </c>
      <c r="U553" s="1">
        <f t="shared" si="176"/>
        <v>383740.26426706224</v>
      </c>
      <c r="V553" s="1">
        <f>V552</f>
        <v>-427.97844896861471</v>
      </c>
      <c r="X553" s="1">
        <f t="shared" si="161"/>
        <v>-48506.828600675566</v>
      </c>
      <c r="Y553" s="1">
        <f t="shared" si="162"/>
        <v>48457893.793625921</v>
      </c>
      <c r="AA553" s="2">
        <f>+Bono!J553</f>
        <v>632882.98740999785</v>
      </c>
      <c r="AC553" s="10">
        <f t="shared" si="163"/>
        <v>44.166666666666664</v>
      </c>
      <c r="AD553" s="1">
        <f t="shared" si="164"/>
        <v>50487669.356038339</v>
      </c>
    </row>
    <row r="554" spans="2:30">
      <c r="B554" s="1">
        <f t="shared" si="165"/>
        <v>531</v>
      </c>
      <c r="C554" s="2">
        <f t="shared" si="170"/>
        <v>44</v>
      </c>
      <c r="D554" s="2">
        <f t="shared" si="171"/>
        <v>3</v>
      </c>
      <c r="E554" s="2">
        <f t="shared" si="172"/>
        <v>73</v>
      </c>
      <c r="F554" s="1">
        <f t="shared" si="166"/>
        <v>1396892.575002416</v>
      </c>
      <c r="H554" s="1">
        <f t="shared" si="159"/>
        <v>11139.017557162249</v>
      </c>
      <c r="I554" s="1">
        <v>0</v>
      </c>
      <c r="J554" s="69">
        <f>-SUM(F554:H554)*$J$21</f>
        <v>-12672.284333036207</v>
      </c>
      <c r="K554" s="1">
        <f t="shared" si="167"/>
        <v>-1395.359308226542</v>
      </c>
      <c r="L554" s="1">
        <f t="shared" si="160"/>
        <v>1393963.9489183156</v>
      </c>
      <c r="N554" s="1">
        <f t="shared" si="168"/>
        <v>531</v>
      </c>
      <c r="O554" s="2">
        <f t="shared" si="173"/>
        <v>44</v>
      </c>
      <c r="P554" s="2">
        <f t="shared" si="174"/>
        <v>3</v>
      </c>
      <c r="Q554" s="2">
        <f t="shared" si="175"/>
        <v>44</v>
      </c>
      <c r="R554" s="1">
        <f t="shared" si="169"/>
        <v>48457893.793625921</v>
      </c>
      <c r="S554" s="4">
        <f>IF($G$4="mensual",S553,0)</f>
        <v>10000</v>
      </c>
      <c r="U554" s="1">
        <f t="shared" si="176"/>
        <v>386489.79140356631</v>
      </c>
      <c r="V554" s="1">
        <f t="shared" si="158"/>
        <v>-427.97844896861471</v>
      </c>
      <c r="X554" s="1">
        <f t="shared" si="161"/>
        <v>-48854.383585029493</v>
      </c>
      <c r="Y554" s="1">
        <f t="shared" si="162"/>
        <v>48805101.22299549</v>
      </c>
      <c r="AA554" s="2">
        <f>+Bono!J554</f>
        <v>631069.93592432875</v>
      </c>
      <c r="AC554" s="10">
        <f t="shared" si="163"/>
        <v>44.25</v>
      </c>
      <c r="AD554" s="1">
        <f t="shared" si="164"/>
        <v>50830135.107838131</v>
      </c>
    </row>
    <row r="555" spans="2:30">
      <c r="B555" s="1">
        <f t="shared" si="165"/>
        <v>532</v>
      </c>
      <c r="C555" s="2">
        <f t="shared" si="170"/>
        <v>44</v>
      </c>
      <c r="D555" s="2">
        <f t="shared" si="171"/>
        <v>4</v>
      </c>
      <c r="E555" s="2">
        <f t="shared" si="172"/>
        <v>73</v>
      </c>
      <c r="F555" s="1">
        <f t="shared" si="166"/>
        <v>1393963.9489183156</v>
      </c>
      <c r="H555" s="1">
        <f t="shared" si="159"/>
        <v>11115.664281503881</v>
      </c>
      <c r="I555" s="1">
        <v>0</v>
      </c>
      <c r="J555" s="1">
        <v>0</v>
      </c>
      <c r="K555" s="1">
        <f t="shared" si="167"/>
        <v>-1405.0796131998195</v>
      </c>
      <c r="L555" s="1">
        <f t="shared" si="160"/>
        <v>1403674.5335866197</v>
      </c>
      <c r="N555" s="1">
        <f t="shared" si="168"/>
        <v>532</v>
      </c>
      <c r="O555" s="2">
        <f t="shared" si="173"/>
        <v>44</v>
      </c>
      <c r="P555" s="2">
        <f t="shared" si="174"/>
        <v>4</v>
      </c>
      <c r="Q555" s="2">
        <f t="shared" si="175"/>
        <v>44</v>
      </c>
      <c r="R555" s="1">
        <f t="shared" si="169"/>
        <v>48805101.22299549</v>
      </c>
      <c r="S555" s="4">
        <f>IF($G$4="mensual",S552,IF($G$4="trimestral",S552,0))</f>
        <v>10000</v>
      </c>
      <c r="U555" s="1">
        <f t="shared" si="176"/>
        <v>389258.47220331791</v>
      </c>
      <c r="V555" s="1">
        <f t="shared" si="158"/>
        <v>-427.97844896861471</v>
      </c>
      <c r="X555" s="1">
        <f t="shared" si="161"/>
        <v>-49204.359695198807</v>
      </c>
      <c r="Y555" s="1">
        <f t="shared" si="162"/>
        <v>49154727.357054636</v>
      </c>
      <c r="AA555" s="2">
        <f>+Bono!J555</f>
        <v>634982.64272664138</v>
      </c>
      <c r="AC555" s="10">
        <f t="shared" si="163"/>
        <v>44.333333333333336</v>
      </c>
      <c r="AD555" s="1">
        <f t="shared" si="164"/>
        <v>51193384.533367902</v>
      </c>
    </row>
    <row r="556" spans="2:30">
      <c r="B556" s="1">
        <f t="shared" si="165"/>
        <v>533</v>
      </c>
      <c r="C556" s="2">
        <f t="shared" si="170"/>
        <v>44</v>
      </c>
      <c r="D556" s="2">
        <f t="shared" si="171"/>
        <v>5</v>
      </c>
      <c r="E556" s="2">
        <f t="shared" si="172"/>
        <v>73</v>
      </c>
      <c r="F556" s="1">
        <f t="shared" si="166"/>
        <v>1403674.5335866197</v>
      </c>
      <c r="H556" s="1">
        <f t="shared" si="159"/>
        <v>11193.097847295698</v>
      </c>
      <c r="I556" s="1">
        <v>0</v>
      </c>
      <c r="J556" s="1">
        <v>0</v>
      </c>
      <c r="K556" s="1">
        <f t="shared" si="167"/>
        <v>-1414.8676314339154</v>
      </c>
      <c r="L556" s="1">
        <f t="shared" si="160"/>
        <v>1413452.7638024813</v>
      </c>
      <c r="N556" s="1">
        <f t="shared" si="168"/>
        <v>533</v>
      </c>
      <c r="O556" s="2">
        <f t="shared" si="173"/>
        <v>44</v>
      </c>
      <c r="P556" s="2">
        <f t="shared" si="174"/>
        <v>5</v>
      </c>
      <c r="Q556" s="2">
        <f t="shared" si="175"/>
        <v>44</v>
      </c>
      <c r="R556" s="1">
        <f t="shared" si="169"/>
        <v>49154727.357054636</v>
      </c>
      <c r="S556" s="4">
        <f>IF($G$4="mensual",S555,0)</f>
        <v>10000</v>
      </c>
      <c r="U556" s="1">
        <f t="shared" si="176"/>
        <v>392046.44009392028</v>
      </c>
      <c r="V556" s="1">
        <f t="shared" si="158"/>
        <v>-427.97844896861471</v>
      </c>
      <c r="X556" s="1">
        <f t="shared" si="161"/>
        <v>-49556.773797148555</v>
      </c>
      <c r="Y556" s="1">
        <f t="shared" si="162"/>
        <v>49506789.044902436</v>
      </c>
      <c r="AA556" s="2">
        <f>+Bono!J556</f>
        <v>638919.60876497428</v>
      </c>
      <c r="AC556" s="10">
        <f t="shared" si="163"/>
        <v>44.416666666666664</v>
      </c>
      <c r="AD556" s="1">
        <f t="shared" si="164"/>
        <v>51559161.417469896</v>
      </c>
    </row>
    <row r="557" spans="2:30">
      <c r="B557" s="1">
        <f t="shared" si="165"/>
        <v>534</v>
      </c>
      <c r="C557" s="2">
        <f t="shared" si="170"/>
        <v>44</v>
      </c>
      <c r="D557" s="2">
        <f t="shared" si="171"/>
        <v>6</v>
      </c>
      <c r="E557" s="2">
        <f t="shared" si="172"/>
        <v>73</v>
      </c>
      <c r="F557" s="1">
        <f t="shared" si="166"/>
        <v>1413452.7638024813</v>
      </c>
      <c r="H557" s="1">
        <f t="shared" si="159"/>
        <v>11271.07082818313</v>
      </c>
      <c r="I557" s="1">
        <v>0</v>
      </c>
      <c r="J557" s="69">
        <f>-SUM(F557:H557)*$J$21</f>
        <v>-12822.514511675981</v>
      </c>
      <c r="K557" s="1">
        <f t="shared" si="167"/>
        <v>-1411.9013201189885</v>
      </c>
      <c r="L557" s="1">
        <f t="shared" si="160"/>
        <v>1410489.4187988695</v>
      </c>
      <c r="N557" s="1">
        <f t="shared" si="168"/>
        <v>534</v>
      </c>
      <c r="O557" s="2">
        <f t="shared" si="173"/>
        <v>44</v>
      </c>
      <c r="P557" s="2">
        <f t="shared" si="174"/>
        <v>6</v>
      </c>
      <c r="Q557" s="2">
        <f t="shared" si="175"/>
        <v>44</v>
      </c>
      <c r="R557" s="1">
        <f t="shared" si="169"/>
        <v>49506789.044902436</v>
      </c>
      <c r="S557" s="4">
        <f>IF($G$4="mensual",S556,0)</f>
        <v>10000</v>
      </c>
      <c r="U557" s="1">
        <f t="shared" si="176"/>
        <v>394853.82943245553</v>
      </c>
      <c r="V557" s="1">
        <f t="shared" si="158"/>
        <v>-427.97844896861471</v>
      </c>
      <c r="X557" s="1">
        <f t="shared" si="161"/>
        <v>-49911.642874334895</v>
      </c>
      <c r="Y557" s="1">
        <f t="shared" si="162"/>
        <v>49861303.253011584</v>
      </c>
      <c r="AA557" s="2">
        <f>+Bono!J557</f>
        <v>637089.26386877941</v>
      </c>
      <c r="AC557" s="10">
        <f t="shared" si="163"/>
        <v>44.5</v>
      </c>
      <c r="AD557" s="1">
        <f t="shared" si="164"/>
        <v>51908881.935679235</v>
      </c>
    </row>
    <row r="558" spans="2:30">
      <c r="B558" s="1">
        <f t="shared" si="165"/>
        <v>535</v>
      </c>
      <c r="C558" s="2">
        <f t="shared" si="170"/>
        <v>44</v>
      </c>
      <c r="D558" s="2">
        <f t="shared" si="171"/>
        <v>7</v>
      </c>
      <c r="E558" s="2">
        <f t="shared" si="172"/>
        <v>73</v>
      </c>
      <c r="F558" s="1">
        <f t="shared" si="166"/>
        <v>1410489.4187988695</v>
      </c>
      <c r="H558" s="1">
        <f t="shared" si="159"/>
        <v>11247.440698985038</v>
      </c>
      <c r="I558" s="1">
        <v>0</v>
      </c>
      <c r="J558" s="1">
        <v>0</v>
      </c>
      <c r="K558" s="1">
        <f t="shared" si="167"/>
        <v>-1421.7368594978545</v>
      </c>
      <c r="L558" s="1">
        <f t="shared" si="160"/>
        <v>1420315.1226383566</v>
      </c>
      <c r="N558" s="1">
        <f t="shared" si="168"/>
        <v>535</v>
      </c>
      <c r="O558" s="2">
        <f t="shared" si="173"/>
        <v>44</v>
      </c>
      <c r="P558" s="2">
        <f t="shared" si="174"/>
        <v>7</v>
      </c>
      <c r="Q558" s="2">
        <f t="shared" si="175"/>
        <v>44</v>
      </c>
      <c r="R558" s="1">
        <f t="shared" si="169"/>
        <v>49861303.253011584</v>
      </c>
      <c r="S558" s="1">
        <f>+IF($G$4="mensual",S552,IF($G$4="trimestral",S552,IF($G$4="semestral",S552,0)))</f>
        <v>10000</v>
      </c>
      <c r="U558" s="1">
        <f t="shared" si="176"/>
        <v>397680.77551195951</v>
      </c>
      <c r="V558" s="1">
        <f t="shared" si="158"/>
        <v>-427.97844896861471</v>
      </c>
      <c r="X558" s="1">
        <f t="shared" si="161"/>
        <v>-50268.98402852354</v>
      </c>
      <c r="Y558" s="1">
        <f t="shared" si="162"/>
        <v>50218287.066046044</v>
      </c>
      <c r="AA558" s="2">
        <f>+Bono!J558</f>
        <v>641039.29120254645</v>
      </c>
      <c r="AC558" s="10">
        <f t="shared" si="163"/>
        <v>44.583333333333336</v>
      </c>
      <c r="AD558" s="1">
        <f t="shared" si="164"/>
        <v>52279641.479886949</v>
      </c>
    </row>
    <row r="559" spans="2:30">
      <c r="B559" s="1">
        <f t="shared" si="165"/>
        <v>536</v>
      </c>
      <c r="C559" s="2">
        <f t="shared" si="170"/>
        <v>44</v>
      </c>
      <c r="D559" s="2">
        <f t="shared" si="171"/>
        <v>8</v>
      </c>
      <c r="E559" s="2">
        <f t="shared" si="172"/>
        <v>73</v>
      </c>
      <c r="F559" s="1">
        <f t="shared" si="166"/>
        <v>1420315.1226383566</v>
      </c>
      <c r="H559" s="1">
        <f t="shared" si="159"/>
        <v>11325.792241213927</v>
      </c>
      <c r="I559" s="1">
        <v>0</v>
      </c>
      <c r="J559" s="1">
        <v>0</v>
      </c>
      <c r="K559" s="1">
        <f t="shared" si="167"/>
        <v>-1431.6409148795706</v>
      </c>
      <c r="L559" s="1">
        <f t="shared" si="160"/>
        <v>1430209.273964691</v>
      </c>
      <c r="N559" s="1">
        <f t="shared" si="168"/>
        <v>536</v>
      </c>
      <c r="O559" s="2">
        <f t="shared" si="173"/>
        <v>44</v>
      </c>
      <c r="P559" s="2">
        <f t="shared" si="174"/>
        <v>8</v>
      </c>
      <c r="Q559" s="2">
        <f t="shared" si="175"/>
        <v>44</v>
      </c>
      <c r="R559" s="1">
        <f t="shared" si="169"/>
        <v>50218287.066046044</v>
      </c>
      <c r="S559" s="4">
        <f>IF($G$4="mensual",S558,0)</f>
        <v>10000</v>
      </c>
      <c r="U559" s="1">
        <f t="shared" si="176"/>
        <v>400527.4145679418</v>
      </c>
      <c r="V559" s="1">
        <f t="shared" si="158"/>
        <v>-427.97844896861471</v>
      </c>
      <c r="X559" s="1">
        <f t="shared" si="161"/>
        <v>-50628.814480613983</v>
      </c>
      <c r="Y559" s="1">
        <f t="shared" si="162"/>
        <v>50577757.687684394</v>
      </c>
      <c r="AA559" s="2">
        <f>+Bono!J559</f>
        <v>645013.80916395772</v>
      </c>
      <c r="AC559" s="10">
        <f t="shared" si="163"/>
        <v>44.666666666666664</v>
      </c>
      <c r="AD559" s="1">
        <f t="shared" si="164"/>
        <v>52652980.77081304</v>
      </c>
    </row>
    <row r="560" spans="2:30">
      <c r="B560" s="1">
        <f t="shared" si="165"/>
        <v>537</v>
      </c>
      <c r="C560" s="2">
        <f t="shared" si="170"/>
        <v>44</v>
      </c>
      <c r="D560" s="2">
        <f t="shared" si="171"/>
        <v>9</v>
      </c>
      <c r="E560" s="2">
        <f t="shared" si="172"/>
        <v>73</v>
      </c>
      <c r="F560" s="1">
        <f t="shared" si="166"/>
        <v>1430209.273964691</v>
      </c>
      <c r="H560" s="1">
        <f t="shared" si="159"/>
        <v>11404.689593314943</v>
      </c>
      <c r="I560" s="1">
        <v>0</v>
      </c>
      <c r="J560" s="69">
        <f>-SUM(F560:H560)*$J$21</f>
        <v>-12974.525672022055</v>
      </c>
      <c r="K560" s="1">
        <f t="shared" si="167"/>
        <v>-1428.6394378859839</v>
      </c>
      <c r="L560" s="1">
        <f t="shared" si="160"/>
        <v>1427210.7984480979</v>
      </c>
      <c r="N560" s="1">
        <f t="shared" si="168"/>
        <v>537</v>
      </c>
      <c r="O560" s="2">
        <f t="shared" si="173"/>
        <v>44</v>
      </c>
      <c r="P560" s="2">
        <f t="shared" si="174"/>
        <v>9</v>
      </c>
      <c r="Q560" s="2">
        <f t="shared" si="175"/>
        <v>44</v>
      </c>
      <c r="R560" s="1">
        <f t="shared" si="169"/>
        <v>50577757.687684394</v>
      </c>
      <c r="S560" s="4">
        <f>IF($G$4="mensual",S559,0)</f>
        <v>10000</v>
      </c>
      <c r="U560" s="1">
        <f t="shared" si="176"/>
        <v>403393.88378495135</v>
      </c>
      <c r="V560" s="1">
        <f t="shared" si="158"/>
        <v>-427.97844896861471</v>
      </c>
      <c r="X560" s="1">
        <f t="shared" si="161"/>
        <v>-50991.151571469345</v>
      </c>
      <c r="Y560" s="1">
        <f t="shared" si="162"/>
        <v>50939732.441448905</v>
      </c>
      <c r="AA560" s="2">
        <f>+Bono!J560</f>
        <v>643166.0059076756</v>
      </c>
      <c r="AC560" s="10">
        <f t="shared" si="163"/>
        <v>44.75</v>
      </c>
      <c r="AD560" s="1">
        <f t="shared" si="164"/>
        <v>53010109.245804682</v>
      </c>
    </row>
    <row r="561" spans="2:30">
      <c r="B561" s="1">
        <f t="shared" si="165"/>
        <v>538</v>
      </c>
      <c r="C561" s="2">
        <f t="shared" si="170"/>
        <v>44</v>
      </c>
      <c r="D561" s="2">
        <f t="shared" si="171"/>
        <v>10</v>
      </c>
      <c r="E561" s="2">
        <f t="shared" si="172"/>
        <v>73</v>
      </c>
      <c r="F561" s="1">
        <f t="shared" si="166"/>
        <v>1427210.7984480979</v>
      </c>
      <c r="H561" s="1">
        <f t="shared" si="159"/>
        <v>11380.779328473</v>
      </c>
      <c r="I561" s="1">
        <v>0</v>
      </c>
      <c r="J561" s="1">
        <v>0</v>
      </c>
      <c r="K561" s="1">
        <f t="shared" si="167"/>
        <v>-1438.5915777765708</v>
      </c>
      <c r="L561" s="1">
        <f t="shared" si="160"/>
        <v>1437152.9861987943</v>
      </c>
      <c r="N561" s="1">
        <f t="shared" si="168"/>
        <v>538</v>
      </c>
      <c r="O561" s="2">
        <f t="shared" si="173"/>
        <v>44</v>
      </c>
      <c r="P561" s="2">
        <f t="shared" si="174"/>
        <v>10</v>
      </c>
      <c r="Q561" s="2">
        <f t="shared" si="175"/>
        <v>44</v>
      </c>
      <c r="R561" s="1">
        <f t="shared" si="169"/>
        <v>50939732.441448905</v>
      </c>
      <c r="S561" s="4">
        <f>IF($G$4="mensual",S552,IF($G$4="trimestral",S552,0))</f>
        <v>10000</v>
      </c>
      <c r="U561" s="1">
        <f t="shared" si="176"/>
        <v>406280.3213031874</v>
      </c>
      <c r="V561" s="1">
        <f t="shared" si="158"/>
        <v>-427.97844896861471</v>
      </c>
      <c r="X561" s="1">
        <f t="shared" si="161"/>
        <v>-51356.012762752092</v>
      </c>
      <c r="Y561" s="1">
        <f t="shared" si="162"/>
        <v>51304228.771540366</v>
      </c>
      <c r="AA561" s="2">
        <f>+Bono!J561</f>
        <v>647153.70974694227</v>
      </c>
      <c r="AC561" s="10">
        <f t="shared" si="163"/>
        <v>44.833333333333336</v>
      </c>
      <c r="AD561" s="1">
        <f t="shared" si="164"/>
        <v>53388535.467486106</v>
      </c>
    </row>
    <row r="562" spans="2:30">
      <c r="B562" s="1">
        <f t="shared" si="165"/>
        <v>539</v>
      </c>
      <c r="C562" s="2">
        <f t="shared" si="170"/>
        <v>44</v>
      </c>
      <c r="D562" s="2">
        <f t="shared" si="171"/>
        <v>11</v>
      </c>
      <c r="E562" s="2">
        <f t="shared" si="172"/>
        <v>73</v>
      </c>
      <c r="F562" s="1">
        <f t="shared" si="166"/>
        <v>1437152.9861987943</v>
      </c>
      <c r="H562" s="1">
        <f t="shared" si="159"/>
        <v>11460.059729767579</v>
      </c>
      <c r="I562" s="1">
        <v>0</v>
      </c>
      <c r="J562" s="1">
        <v>0</v>
      </c>
      <c r="K562" s="1">
        <f t="shared" si="167"/>
        <v>-1448.6130459285619</v>
      </c>
      <c r="L562" s="1">
        <f t="shared" si="160"/>
        <v>1447164.4328826333</v>
      </c>
      <c r="N562" s="1">
        <f t="shared" si="168"/>
        <v>539</v>
      </c>
      <c r="O562" s="2">
        <f t="shared" si="173"/>
        <v>44</v>
      </c>
      <c r="P562" s="2">
        <f t="shared" si="174"/>
        <v>11</v>
      </c>
      <c r="Q562" s="2">
        <f t="shared" si="175"/>
        <v>44</v>
      </c>
      <c r="R562" s="1">
        <f t="shared" si="169"/>
        <v>51304228.771540366</v>
      </c>
      <c r="S562" s="1">
        <f>IF($G$17="si",S550*(1+$G$20),S550)</f>
        <v>10000</v>
      </c>
      <c r="U562" s="1">
        <f t="shared" si="176"/>
        <v>409186.86622515676</v>
      </c>
      <c r="V562" s="1">
        <f t="shared" si="158"/>
        <v>-427.97844896861471</v>
      </c>
      <c r="X562" s="1">
        <f t="shared" si="161"/>
        <v>-51723.415637765524</v>
      </c>
      <c r="Y562" s="1">
        <f t="shared" si="162"/>
        <v>51671264.243678778</v>
      </c>
      <c r="AA562" s="2">
        <f>+Bono!J562</f>
        <v>651166.13781255751</v>
      </c>
      <c r="AC562" s="10">
        <f t="shared" si="163"/>
        <v>44.916666666666664</v>
      </c>
      <c r="AD562" s="1">
        <f t="shared" si="164"/>
        <v>53769594.81437397</v>
      </c>
    </row>
    <row r="563" spans="2:30">
      <c r="B563" s="1">
        <f t="shared" si="165"/>
        <v>540</v>
      </c>
      <c r="C563" s="2">
        <f t="shared" si="170"/>
        <v>44</v>
      </c>
      <c r="D563" s="2">
        <f t="shared" si="171"/>
        <v>12</v>
      </c>
      <c r="E563" s="2">
        <f t="shared" si="172"/>
        <v>73</v>
      </c>
      <c r="F563" s="1">
        <f t="shared" si="166"/>
        <v>1447164.4328826333</v>
      </c>
      <c r="H563" s="1">
        <f t="shared" si="159"/>
        <v>11539.892411520994</v>
      </c>
      <c r="I563" s="1">
        <v>0</v>
      </c>
      <c r="J563" s="69">
        <f>-SUM(F563:H563)*$J$21</f>
        <v>-13128.33892764739</v>
      </c>
      <c r="K563" s="1">
        <f t="shared" si="167"/>
        <v>-1445.5759863665069</v>
      </c>
      <c r="L563" s="1">
        <f t="shared" si="160"/>
        <v>1444130.4103801404</v>
      </c>
      <c r="N563" s="1">
        <f t="shared" si="168"/>
        <v>540</v>
      </c>
      <c r="O563" s="2">
        <f t="shared" si="173"/>
        <v>44</v>
      </c>
      <c r="P563" s="2">
        <f t="shared" si="174"/>
        <v>12</v>
      </c>
      <c r="Q563" s="2">
        <f t="shared" si="175"/>
        <v>44</v>
      </c>
      <c r="R563" s="1">
        <f t="shared" si="169"/>
        <v>51671264.243678778</v>
      </c>
      <c r="S563" s="4">
        <f>IF($G$4="mensual",S562,0)</f>
        <v>10000</v>
      </c>
      <c r="U563" s="1">
        <f t="shared" si="176"/>
        <v>412113.65862237749</v>
      </c>
      <c r="V563" s="1">
        <f t="shared" si="158"/>
        <v>-427.97844896861471</v>
      </c>
      <c r="X563" s="1">
        <f t="shared" si="161"/>
        <v>-52093.377902301159</v>
      </c>
      <c r="Y563" s="1">
        <f t="shared" si="162"/>
        <v>52040856.545949884</v>
      </c>
      <c r="AA563" s="2">
        <f>+Bono!J563</f>
        <v>649300.70967328979</v>
      </c>
      <c r="AC563" s="10">
        <f t="shared" si="163"/>
        <v>45</v>
      </c>
      <c r="AD563" s="1">
        <f t="shared" si="164"/>
        <v>54134287.666003317</v>
      </c>
    </row>
    <row r="564" spans="2:30">
      <c r="B564" s="1">
        <f t="shared" si="165"/>
        <v>541</v>
      </c>
      <c r="C564" s="2">
        <f t="shared" si="170"/>
        <v>45</v>
      </c>
      <c r="D564" s="2">
        <f t="shared" si="171"/>
        <v>1</v>
      </c>
      <c r="E564" s="2">
        <f t="shared" si="172"/>
        <v>74</v>
      </c>
      <c r="F564" s="1">
        <f t="shared" si="166"/>
        <v>1444130.4103801404</v>
      </c>
      <c r="H564" s="1">
        <f t="shared" si="159"/>
        <v>11515.698690021662</v>
      </c>
      <c r="I564" s="1">
        <v>0</v>
      </c>
      <c r="J564" s="1">
        <v>0</v>
      </c>
      <c r="K564" s="1">
        <f t="shared" si="167"/>
        <v>-1455.6461090701621</v>
      </c>
      <c r="L564" s="1">
        <f t="shared" si="160"/>
        <v>1454190.4629610919</v>
      </c>
      <c r="N564" s="1">
        <f t="shared" si="168"/>
        <v>541</v>
      </c>
      <c r="O564" s="2">
        <f t="shared" si="173"/>
        <v>45</v>
      </c>
      <c r="P564" s="2">
        <f t="shared" si="174"/>
        <v>1</v>
      </c>
      <c r="Q564" s="2">
        <f t="shared" si="175"/>
        <v>45</v>
      </c>
      <c r="R564" s="1">
        <f t="shared" si="169"/>
        <v>52040856.545949884</v>
      </c>
      <c r="S564" s="1">
        <f>IF($G$17="si",S552*(1+$G$20),S552)</f>
        <v>10000</v>
      </c>
      <c r="U564" s="1">
        <f t="shared" si="176"/>
        <v>415060.83954212914</v>
      </c>
      <c r="V564" s="1">
        <f>V563*(1+$G$18)</f>
        <v>-445.09758692735932</v>
      </c>
      <c r="X564" s="1">
        <f t="shared" si="161"/>
        <v>-52465.917385492015</v>
      </c>
      <c r="Y564" s="1">
        <f t="shared" si="162"/>
        <v>52413006.370519593</v>
      </c>
      <c r="AA564" s="2">
        <f>+Bono!J564</f>
        <v>653326.44938748481</v>
      </c>
      <c r="AC564" s="10">
        <f t="shared" si="163"/>
        <v>45.083333333333336</v>
      </c>
      <c r="AD564" s="1">
        <f t="shared" si="164"/>
        <v>54520523.282868169</v>
      </c>
    </row>
    <row r="565" spans="2:30">
      <c r="B565" s="1">
        <f t="shared" si="165"/>
        <v>542</v>
      </c>
      <c r="C565" s="2">
        <f t="shared" si="170"/>
        <v>45</v>
      </c>
      <c r="D565" s="2">
        <f t="shared" si="171"/>
        <v>2</v>
      </c>
      <c r="E565" s="2">
        <f t="shared" si="172"/>
        <v>74</v>
      </c>
      <c r="F565" s="1">
        <f t="shared" si="166"/>
        <v>1454190.4629610919</v>
      </c>
      <c r="H565" s="1">
        <f t="shared" si="159"/>
        <v>11595.918962024325</v>
      </c>
      <c r="I565" s="1">
        <v>0</v>
      </c>
      <c r="J565" s="1">
        <v>0</v>
      </c>
      <c r="K565" s="1">
        <f t="shared" si="167"/>
        <v>-1465.7863819231163</v>
      </c>
      <c r="L565" s="1">
        <f t="shared" si="160"/>
        <v>1464320.5955411931</v>
      </c>
      <c r="N565" s="1">
        <f t="shared" si="168"/>
        <v>542</v>
      </c>
      <c r="O565" s="2">
        <f t="shared" si="173"/>
        <v>45</v>
      </c>
      <c r="P565" s="2">
        <f t="shared" si="174"/>
        <v>2</v>
      </c>
      <c r="Q565" s="2">
        <f t="shared" si="175"/>
        <v>45</v>
      </c>
      <c r="R565" s="1">
        <f t="shared" si="169"/>
        <v>52413006.370519593</v>
      </c>
      <c r="S565" s="4">
        <f>IF($G$4="mensual",S564,0)</f>
        <v>10000</v>
      </c>
      <c r="U565" s="1">
        <f t="shared" si="176"/>
        <v>418028.41450383986</v>
      </c>
      <c r="V565" s="1">
        <f>V564</f>
        <v>-445.09758692735932</v>
      </c>
      <c r="X565" s="1">
        <f t="shared" si="161"/>
        <v>-52841.034785023439</v>
      </c>
      <c r="Y565" s="1">
        <f t="shared" si="162"/>
        <v>52787748.652651481</v>
      </c>
      <c r="AA565" s="2">
        <f>+Bono!J565</f>
        <v>657377.14915486483</v>
      </c>
      <c r="AC565" s="10">
        <f t="shared" si="163"/>
        <v>45.166666666666664</v>
      </c>
      <c r="AD565" s="1">
        <f t="shared" si="164"/>
        <v>54909446.39734754</v>
      </c>
    </row>
    <row r="566" spans="2:30">
      <c r="B566" s="1">
        <f t="shared" si="165"/>
        <v>543</v>
      </c>
      <c r="C566" s="2">
        <f t="shared" si="170"/>
        <v>45</v>
      </c>
      <c r="D566" s="2">
        <f t="shared" si="171"/>
        <v>3</v>
      </c>
      <c r="E566" s="2">
        <f t="shared" si="172"/>
        <v>74</v>
      </c>
      <c r="F566" s="1">
        <f t="shared" si="166"/>
        <v>1464320.5955411931</v>
      </c>
      <c r="H566" s="1">
        <f t="shared" si="159"/>
        <v>11676.698061781466</v>
      </c>
      <c r="I566" s="1">
        <v>0</v>
      </c>
      <c r="J566" s="69">
        <f>-SUM(F566:H566)*$J$21</f>
        <v>-13283.975642426773</v>
      </c>
      <c r="K566" s="1">
        <f t="shared" si="167"/>
        <v>-1462.7133179605478</v>
      </c>
      <c r="L566" s="1">
        <f t="shared" si="160"/>
        <v>1461250.6046425872</v>
      </c>
      <c r="N566" s="1">
        <f t="shared" si="168"/>
        <v>543</v>
      </c>
      <c r="O566" s="2">
        <f t="shared" si="173"/>
        <v>45</v>
      </c>
      <c r="P566" s="2">
        <f t="shared" si="174"/>
        <v>3</v>
      </c>
      <c r="Q566" s="2">
        <f t="shared" si="175"/>
        <v>45</v>
      </c>
      <c r="R566" s="1">
        <f t="shared" si="169"/>
        <v>52787748.652651481</v>
      </c>
      <c r="S566" s="4">
        <f>IF($G$4="mensual",S565,0)</f>
        <v>10000</v>
      </c>
      <c r="U566" s="1">
        <f t="shared" si="176"/>
        <v>421016.66208620742</v>
      </c>
      <c r="V566" s="1">
        <f t="shared" si="158"/>
        <v>-445.09758692735932</v>
      </c>
      <c r="X566" s="1">
        <f t="shared" si="161"/>
        <v>-53218.765314737691</v>
      </c>
      <c r="Y566" s="1">
        <f t="shared" si="162"/>
        <v>53165101.451836027</v>
      </c>
      <c r="AA566" s="2">
        <f>+Bono!J566</f>
        <v>655493.9280213695</v>
      </c>
      <c r="AC566" s="10">
        <f t="shared" si="163"/>
        <v>45.25</v>
      </c>
      <c r="AD566" s="1">
        <f t="shared" si="164"/>
        <v>55281845.984499983</v>
      </c>
    </row>
    <row r="567" spans="2:30">
      <c r="B567" s="1">
        <f t="shared" si="165"/>
        <v>544</v>
      </c>
      <c r="C567" s="2">
        <f t="shared" si="170"/>
        <v>45</v>
      </c>
      <c r="D567" s="2">
        <f t="shared" si="171"/>
        <v>4</v>
      </c>
      <c r="E567" s="2">
        <f t="shared" si="172"/>
        <v>74</v>
      </c>
      <c r="F567" s="1">
        <f t="shared" si="166"/>
        <v>1461250.6046425872</v>
      </c>
      <c r="H567" s="1">
        <f t="shared" si="159"/>
        <v>11652.217523240526</v>
      </c>
      <c r="I567" s="1">
        <v>0</v>
      </c>
      <c r="J567" s="1">
        <v>0</v>
      </c>
      <c r="K567" s="1">
        <f t="shared" si="167"/>
        <v>-1472.9028221658277</v>
      </c>
      <c r="L567" s="1">
        <f t="shared" si="160"/>
        <v>1471429.919343662</v>
      </c>
      <c r="N567" s="1">
        <f t="shared" si="168"/>
        <v>544</v>
      </c>
      <c r="O567" s="2">
        <f t="shared" si="173"/>
        <v>45</v>
      </c>
      <c r="P567" s="2">
        <f t="shared" si="174"/>
        <v>4</v>
      </c>
      <c r="Q567" s="2">
        <f t="shared" si="175"/>
        <v>45</v>
      </c>
      <c r="R567" s="1">
        <f t="shared" si="169"/>
        <v>53165101.451836027</v>
      </c>
      <c r="S567" s="4">
        <f>IF($G$4="mensual",S564,IF($G$4="trimestral",S564,0))</f>
        <v>10000</v>
      </c>
      <c r="U567" s="1">
        <f t="shared" si="176"/>
        <v>424025.7262981449</v>
      </c>
      <c r="V567" s="1">
        <f t="shared" si="158"/>
        <v>-445.09758692735932</v>
      </c>
      <c r="X567" s="1">
        <f t="shared" si="161"/>
        <v>-53599.127178134171</v>
      </c>
      <c r="Y567" s="1">
        <f t="shared" si="162"/>
        <v>53545082.953369111</v>
      </c>
      <c r="AA567" s="2">
        <f>+Bono!J567</f>
        <v>659558.06640769157</v>
      </c>
      <c r="AC567" s="10">
        <f t="shared" si="163"/>
        <v>45.333333333333336</v>
      </c>
      <c r="AD567" s="1">
        <f t="shared" si="164"/>
        <v>55676070.939120464</v>
      </c>
    </row>
    <row r="568" spans="2:30">
      <c r="B568" s="1">
        <f t="shared" si="165"/>
        <v>545</v>
      </c>
      <c r="C568" s="2">
        <f t="shared" si="170"/>
        <v>45</v>
      </c>
      <c r="D568" s="2">
        <f t="shared" si="171"/>
        <v>5</v>
      </c>
      <c r="E568" s="2">
        <f t="shared" si="172"/>
        <v>74</v>
      </c>
      <c r="F568" s="1">
        <f t="shared" si="166"/>
        <v>1471429.919343662</v>
      </c>
      <c r="H568" s="1">
        <f t="shared" si="159"/>
        <v>11733.3888081369</v>
      </c>
      <c r="I568" s="1">
        <v>0</v>
      </c>
      <c r="J568" s="1">
        <v>0</v>
      </c>
      <c r="K568" s="1">
        <f t="shared" si="167"/>
        <v>-1483.1633081517989</v>
      </c>
      <c r="L568" s="1">
        <f t="shared" si="160"/>
        <v>1481680.144843647</v>
      </c>
      <c r="N568" s="1">
        <f t="shared" si="168"/>
        <v>545</v>
      </c>
      <c r="O568" s="2">
        <f t="shared" si="173"/>
        <v>45</v>
      </c>
      <c r="P568" s="2">
        <f t="shared" si="174"/>
        <v>5</v>
      </c>
      <c r="Q568" s="2">
        <f t="shared" si="175"/>
        <v>45</v>
      </c>
      <c r="R568" s="1">
        <f t="shared" si="169"/>
        <v>53545082.953369111</v>
      </c>
      <c r="S568" s="4">
        <f>IF($G$4="mensual",S567,0)</f>
        <v>10000</v>
      </c>
      <c r="U568" s="1">
        <f t="shared" si="176"/>
        <v>427055.75215175544</v>
      </c>
      <c r="V568" s="1">
        <f t="shared" si="158"/>
        <v>-445.09758692735932</v>
      </c>
      <c r="X568" s="1">
        <f t="shared" si="161"/>
        <v>-53982.138705520869</v>
      </c>
      <c r="Y568" s="1">
        <f t="shared" si="162"/>
        <v>53927711.469228417</v>
      </c>
      <c r="AA568" s="2">
        <f>+Bono!J568</f>
        <v>663647.40292341972</v>
      </c>
      <c r="AC568" s="10">
        <f t="shared" si="163"/>
        <v>45.416666666666664</v>
      </c>
      <c r="AD568" s="1">
        <f t="shared" si="164"/>
        <v>56073039.016995482</v>
      </c>
    </row>
    <row r="569" spans="2:30">
      <c r="B569" s="1">
        <f t="shared" si="165"/>
        <v>546</v>
      </c>
      <c r="C569" s="2">
        <f t="shared" si="170"/>
        <v>45</v>
      </c>
      <c r="D569" s="2">
        <f t="shared" si="171"/>
        <v>6</v>
      </c>
      <c r="E569" s="2">
        <f t="shared" si="172"/>
        <v>74</v>
      </c>
      <c r="F569" s="1">
        <f t="shared" si="166"/>
        <v>1481680.144843647</v>
      </c>
      <c r="H569" s="1">
        <f t="shared" si="159"/>
        <v>11815.125545701711</v>
      </c>
      <c r="I569" s="1">
        <v>0</v>
      </c>
      <c r="J569" s="69">
        <f>-SUM(F569:H569)*$J$21</f>
        <v>-13441.45743350414</v>
      </c>
      <c r="K569" s="1">
        <f t="shared" si="167"/>
        <v>-1480.0538129558447</v>
      </c>
      <c r="L569" s="1">
        <f t="shared" si="160"/>
        <v>1478573.7591428889</v>
      </c>
      <c r="N569" s="1">
        <f t="shared" si="168"/>
        <v>546</v>
      </c>
      <c r="O569" s="2">
        <f t="shared" si="173"/>
        <v>45</v>
      </c>
      <c r="P569" s="2">
        <f t="shared" si="174"/>
        <v>6</v>
      </c>
      <c r="Q569" s="2">
        <f t="shared" si="175"/>
        <v>45</v>
      </c>
      <c r="R569" s="1">
        <f t="shared" si="169"/>
        <v>53927711.469228417</v>
      </c>
      <c r="S569" s="4">
        <f>IF($G$4="mensual",S568,0)</f>
        <v>10000</v>
      </c>
      <c r="U569" s="1">
        <f t="shared" si="176"/>
        <v>430106.88566932059</v>
      </c>
      <c r="V569" s="1">
        <f t="shared" si="158"/>
        <v>-445.09758692735932</v>
      </c>
      <c r="X569" s="1">
        <f t="shared" si="161"/>
        <v>-54367.818354897739</v>
      </c>
      <c r="Y569" s="1">
        <f t="shared" si="162"/>
        <v>54313005.438955911</v>
      </c>
      <c r="AA569" s="2">
        <f>+Bono!J569</f>
        <v>661746.21908096119</v>
      </c>
      <c r="AC569" s="10">
        <f t="shared" si="163"/>
        <v>45.5</v>
      </c>
      <c r="AD569" s="1">
        <f t="shared" si="164"/>
        <v>56453325.417179763</v>
      </c>
    </row>
    <row r="570" spans="2:30">
      <c r="B570" s="1">
        <f t="shared" si="165"/>
        <v>547</v>
      </c>
      <c r="C570" s="2">
        <f t="shared" si="170"/>
        <v>45</v>
      </c>
      <c r="D570" s="2">
        <f t="shared" si="171"/>
        <v>7</v>
      </c>
      <c r="E570" s="2">
        <f t="shared" si="172"/>
        <v>74</v>
      </c>
      <c r="F570" s="1">
        <f t="shared" si="166"/>
        <v>1478573.7591428889</v>
      </c>
      <c r="H570" s="1">
        <f t="shared" si="159"/>
        <v>11790.354789897527</v>
      </c>
      <c r="I570" s="1">
        <v>0</v>
      </c>
      <c r="J570" s="1">
        <v>0</v>
      </c>
      <c r="K570" s="1">
        <f t="shared" si="167"/>
        <v>-1490.3641139327865</v>
      </c>
      <c r="L570" s="1">
        <f t="shared" si="160"/>
        <v>1488873.7498188538</v>
      </c>
      <c r="N570" s="1">
        <f t="shared" si="168"/>
        <v>547</v>
      </c>
      <c r="O570" s="2">
        <f t="shared" si="173"/>
        <v>45</v>
      </c>
      <c r="P570" s="2">
        <f t="shared" si="174"/>
        <v>7</v>
      </c>
      <c r="Q570" s="2">
        <f t="shared" si="175"/>
        <v>45</v>
      </c>
      <c r="R570" s="1">
        <f t="shared" si="169"/>
        <v>54313005.438955911</v>
      </c>
      <c r="S570" s="1">
        <f>+IF($G$4="mensual",S564,IF($G$4="trimestral",S564,IF($G$4="semestral",S564,0)))</f>
        <v>10000</v>
      </c>
      <c r="U570" s="1">
        <f t="shared" si="176"/>
        <v>433179.27389033738</v>
      </c>
      <c r="V570" s="1">
        <f t="shared" si="158"/>
        <v>-445.09758692735932</v>
      </c>
      <c r="X570" s="1">
        <f t="shared" si="161"/>
        <v>-54756.184712846254</v>
      </c>
      <c r="Y570" s="1">
        <f t="shared" si="162"/>
        <v>54700983.43054647</v>
      </c>
      <c r="AA570" s="2">
        <f>+Bono!J570</f>
        <v>665849.12239707354</v>
      </c>
      <c r="AC570" s="10">
        <f t="shared" si="163"/>
        <v>45.583333333333336</v>
      </c>
      <c r="AD570" s="1">
        <f t="shared" si="164"/>
        <v>56855706.302762397</v>
      </c>
    </row>
    <row r="571" spans="2:30">
      <c r="B571" s="1">
        <f t="shared" si="165"/>
        <v>548</v>
      </c>
      <c r="C571" s="2">
        <f t="shared" si="170"/>
        <v>45</v>
      </c>
      <c r="D571" s="2">
        <f t="shared" si="171"/>
        <v>8</v>
      </c>
      <c r="E571" s="2">
        <f t="shared" si="172"/>
        <v>74</v>
      </c>
      <c r="F571" s="1">
        <f t="shared" si="166"/>
        <v>1488873.7498188538</v>
      </c>
      <c r="H571" s="1">
        <f t="shared" si="159"/>
        <v>11872.488361964071</v>
      </c>
      <c r="I571" s="1">
        <v>0</v>
      </c>
      <c r="J571" s="1">
        <v>0</v>
      </c>
      <c r="K571" s="1">
        <f t="shared" si="167"/>
        <v>-1500.7462381808177</v>
      </c>
      <c r="L571" s="1">
        <f t="shared" si="160"/>
        <v>1499245.4919426369</v>
      </c>
      <c r="N571" s="1">
        <f t="shared" si="168"/>
        <v>548</v>
      </c>
      <c r="O571" s="2">
        <f t="shared" si="173"/>
        <v>45</v>
      </c>
      <c r="P571" s="2">
        <f t="shared" si="174"/>
        <v>8</v>
      </c>
      <c r="Q571" s="2">
        <f t="shared" si="175"/>
        <v>45</v>
      </c>
      <c r="R571" s="1">
        <f t="shared" si="169"/>
        <v>54700983.43054647</v>
      </c>
      <c r="S571" s="4">
        <f>IF($G$4="mensual",S570,0)</f>
        <v>10000</v>
      </c>
      <c r="U571" s="1">
        <f t="shared" si="176"/>
        <v>436273.06487860455</v>
      </c>
      <c r="V571" s="1">
        <f t="shared" si="158"/>
        <v>-445.09758692735932</v>
      </c>
      <c r="X571" s="1">
        <f t="shared" si="161"/>
        <v>-55147.256495425077</v>
      </c>
      <c r="Y571" s="1">
        <f t="shared" si="162"/>
        <v>55091664.141342722</v>
      </c>
      <c r="AA571" s="2">
        <f>+Bono!J571</f>
        <v>669977.46418965317</v>
      </c>
      <c r="AC571" s="10">
        <f t="shared" si="163"/>
        <v>45.666666666666664</v>
      </c>
      <c r="AD571" s="1">
        <f t="shared" si="164"/>
        <v>57260887.097475015</v>
      </c>
    </row>
    <row r="572" spans="2:30">
      <c r="B572" s="1">
        <f t="shared" si="165"/>
        <v>549</v>
      </c>
      <c r="C572" s="2">
        <f t="shared" si="170"/>
        <v>45</v>
      </c>
      <c r="D572" s="2">
        <f t="shared" si="171"/>
        <v>9</v>
      </c>
      <c r="E572" s="2">
        <f t="shared" si="172"/>
        <v>74</v>
      </c>
      <c r="F572" s="1">
        <f t="shared" si="166"/>
        <v>1499245.4919426369</v>
      </c>
      <c r="H572" s="1">
        <f t="shared" si="159"/>
        <v>11955.194090151494</v>
      </c>
      <c r="I572" s="1">
        <v>0</v>
      </c>
      <c r="J572" s="69">
        <f>-SUM(F572:H572)*$J$21</f>
        <v>-13600.806174295098</v>
      </c>
      <c r="K572" s="1">
        <f t="shared" si="167"/>
        <v>-1497.5998798584933</v>
      </c>
      <c r="L572" s="1">
        <f t="shared" si="160"/>
        <v>1496102.2799786348</v>
      </c>
      <c r="N572" s="1">
        <f t="shared" si="168"/>
        <v>549</v>
      </c>
      <c r="O572" s="2">
        <f t="shared" si="173"/>
        <v>45</v>
      </c>
      <c r="P572" s="2">
        <f t="shared" si="174"/>
        <v>9</v>
      </c>
      <c r="Q572" s="2">
        <f t="shared" si="175"/>
        <v>45</v>
      </c>
      <c r="R572" s="1">
        <f t="shared" si="169"/>
        <v>55091664.141342722</v>
      </c>
      <c r="S572" s="4">
        <f>IF($G$4="mensual",S571,0)</f>
        <v>10000</v>
      </c>
      <c r="U572" s="1">
        <f t="shared" si="176"/>
        <v>439388.40772935783</v>
      </c>
      <c r="V572" s="1">
        <f t="shared" si="158"/>
        <v>-445.09758692735932</v>
      </c>
      <c r="X572" s="1">
        <f t="shared" si="161"/>
        <v>-55541.052549072083</v>
      </c>
      <c r="Y572" s="1">
        <f t="shared" si="162"/>
        <v>55485066.398936078</v>
      </c>
      <c r="AA572" s="2">
        <f>+Bono!J572</f>
        <v>668058.14630470739</v>
      </c>
      <c r="AC572" s="10">
        <f t="shared" si="163"/>
        <v>45.75</v>
      </c>
      <c r="AD572" s="1">
        <f t="shared" si="164"/>
        <v>57649226.825219415</v>
      </c>
    </row>
    <row r="573" spans="2:30">
      <c r="B573" s="1">
        <f t="shared" si="165"/>
        <v>550</v>
      </c>
      <c r="C573" s="2">
        <f t="shared" si="170"/>
        <v>45</v>
      </c>
      <c r="D573" s="2">
        <f t="shared" si="171"/>
        <v>10</v>
      </c>
      <c r="E573" s="2">
        <f t="shared" si="172"/>
        <v>74</v>
      </c>
      <c r="F573" s="1">
        <f t="shared" si="166"/>
        <v>1496102.2799786348</v>
      </c>
      <c r="H573" s="1">
        <f t="shared" si="159"/>
        <v>11930.129676552731</v>
      </c>
      <c r="I573" s="1">
        <v>0</v>
      </c>
      <c r="J573" s="1">
        <v>0</v>
      </c>
      <c r="K573" s="1">
        <f t="shared" si="167"/>
        <v>-1508.0324096551876</v>
      </c>
      <c r="L573" s="1">
        <f t="shared" si="160"/>
        <v>1506524.3772455323</v>
      </c>
      <c r="N573" s="1">
        <f t="shared" si="168"/>
        <v>550</v>
      </c>
      <c r="O573" s="2">
        <f t="shared" si="173"/>
        <v>45</v>
      </c>
      <c r="P573" s="2">
        <f t="shared" si="174"/>
        <v>10</v>
      </c>
      <c r="Q573" s="2">
        <f t="shared" si="175"/>
        <v>45</v>
      </c>
      <c r="R573" s="1">
        <f t="shared" si="169"/>
        <v>55485066.398936078</v>
      </c>
      <c r="S573" s="4">
        <f>IF($G$4="mensual",S564,IF($G$4="trimestral",S564,0))</f>
        <v>10000</v>
      </c>
      <c r="U573" s="1">
        <f t="shared" si="176"/>
        <v>442525.45257645502</v>
      </c>
      <c r="V573" s="1">
        <f t="shared" ref="V573:V635" si="177">V572</f>
        <v>-445.09758692735932</v>
      </c>
      <c r="X573" s="1">
        <f t="shared" si="161"/>
        <v>-55937.591851512538</v>
      </c>
      <c r="Y573" s="1">
        <f t="shared" si="162"/>
        <v>55881209.162074097</v>
      </c>
      <c r="AA573" s="2">
        <f>+Bono!J573</f>
        <v>672200.18430174526</v>
      </c>
      <c r="AC573" s="10">
        <f t="shared" si="163"/>
        <v>45.833333333333336</v>
      </c>
      <c r="AD573" s="1">
        <f t="shared" si="164"/>
        <v>58059933.723621376</v>
      </c>
    </row>
    <row r="574" spans="2:30">
      <c r="B574" s="1">
        <f t="shared" si="165"/>
        <v>551</v>
      </c>
      <c r="C574" s="2">
        <f t="shared" si="170"/>
        <v>45</v>
      </c>
      <c r="D574" s="2">
        <f t="shared" si="171"/>
        <v>11</v>
      </c>
      <c r="E574" s="2">
        <f t="shared" si="172"/>
        <v>74</v>
      </c>
      <c r="F574" s="1">
        <f t="shared" si="166"/>
        <v>1506524.3772455323</v>
      </c>
      <c r="H574" s="1">
        <f t="shared" si="159"/>
        <v>12013.236943722666</v>
      </c>
      <c r="I574" s="1">
        <v>0</v>
      </c>
      <c r="J574" s="1">
        <v>0</v>
      </c>
      <c r="K574" s="1">
        <f t="shared" si="167"/>
        <v>-1518.537614189255</v>
      </c>
      <c r="L574" s="1">
        <f t="shared" si="160"/>
        <v>1517019.0765750657</v>
      </c>
      <c r="N574" s="1">
        <f t="shared" si="168"/>
        <v>551</v>
      </c>
      <c r="O574" s="2">
        <f t="shared" si="173"/>
        <v>45</v>
      </c>
      <c r="P574" s="2">
        <f t="shared" si="174"/>
        <v>11</v>
      </c>
      <c r="Q574" s="2">
        <f t="shared" si="175"/>
        <v>45</v>
      </c>
      <c r="R574" s="1">
        <f t="shared" si="169"/>
        <v>55881209.162074097</v>
      </c>
      <c r="S574" s="1">
        <f>IF($G$17="si",S562*(1+$G$20),S562)</f>
        <v>10000</v>
      </c>
      <c r="U574" s="1">
        <f t="shared" si="176"/>
        <v>445684.35059961153</v>
      </c>
      <c r="V574" s="1">
        <f t="shared" si="177"/>
        <v>-445.09758692735932</v>
      </c>
      <c r="X574" s="1">
        <f t="shared" si="161"/>
        <v>-56336.893512673705</v>
      </c>
      <c r="Y574" s="1">
        <f t="shared" si="162"/>
        <v>56280111.521574102</v>
      </c>
      <c r="AA574" s="2">
        <f>+Bono!J574</f>
        <v>676367.90341481147</v>
      </c>
      <c r="AC574" s="10">
        <f t="shared" si="163"/>
        <v>45.916666666666664</v>
      </c>
      <c r="AD574" s="1">
        <f t="shared" si="164"/>
        <v>58473498.501563974</v>
      </c>
    </row>
    <row r="575" spans="2:30">
      <c r="B575" s="1">
        <f t="shared" si="165"/>
        <v>552</v>
      </c>
      <c r="C575" s="2">
        <f t="shared" si="170"/>
        <v>45</v>
      </c>
      <c r="D575" s="2">
        <f t="shared" si="171"/>
        <v>12</v>
      </c>
      <c r="E575" s="2">
        <f t="shared" si="172"/>
        <v>74</v>
      </c>
      <c r="F575" s="1">
        <f t="shared" si="166"/>
        <v>1517019.0765750657</v>
      </c>
      <c r="H575" s="1">
        <f t="shared" si="159"/>
        <v>12096.923149935486</v>
      </c>
      <c r="I575" s="1">
        <v>0</v>
      </c>
      <c r="J575" s="69">
        <f>-SUM(F575:H575)*$J$21</f>
        <v>-13762.043997525012</v>
      </c>
      <c r="K575" s="1">
        <f t="shared" si="167"/>
        <v>-1515.3539557274762</v>
      </c>
      <c r="L575" s="1">
        <f t="shared" si="160"/>
        <v>1513838.6017717486</v>
      </c>
      <c r="N575" s="1">
        <f t="shared" si="168"/>
        <v>552</v>
      </c>
      <c r="O575" s="2">
        <f t="shared" si="173"/>
        <v>45</v>
      </c>
      <c r="P575" s="2">
        <f t="shared" si="174"/>
        <v>12</v>
      </c>
      <c r="Q575" s="2">
        <f t="shared" si="175"/>
        <v>45</v>
      </c>
      <c r="R575" s="1">
        <f t="shared" si="169"/>
        <v>56280111.521574102</v>
      </c>
      <c r="S575" s="4">
        <f>IF($G$4="mensual",S574,0)</f>
        <v>10000</v>
      </c>
      <c r="U575" s="1">
        <f t="shared" si="176"/>
        <v>448865.25403168565</v>
      </c>
      <c r="V575" s="1">
        <f t="shared" si="177"/>
        <v>-445.09758692735932</v>
      </c>
      <c r="X575" s="1">
        <f t="shared" si="161"/>
        <v>-56738.976775605792</v>
      </c>
      <c r="Y575" s="1">
        <f t="shared" si="162"/>
        <v>56681792.701243252</v>
      </c>
      <c r="AA575" s="2">
        <f>+Bono!J575</f>
        <v>674430.27851962566</v>
      </c>
      <c r="AC575" s="10">
        <f t="shared" si="163"/>
        <v>46</v>
      </c>
      <c r="AD575" s="1">
        <f t="shared" si="164"/>
        <v>58870061.581534624</v>
      </c>
    </row>
    <row r="576" spans="2:30">
      <c r="B576" s="1">
        <f t="shared" si="165"/>
        <v>553</v>
      </c>
      <c r="C576" s="2">
        <f t="shared" si="170"/>
        <v>46</v>
      </c>
      <c r="D576" s="2">
        <f t="shared" si="171"/>
        <v>1</v>
      </c>
      <c r="E576" s="2">
        <f t="shared" si="172"/>
        <v>75</v>
      </c>
      <c r="F576" s="1">
        <f t="shared" si="166"/>
        <v>1513838.6017717486</v>
      </c>
      <c r="H576" s="1">
        <f t="shared" si="159"/>
        <v>12071.561597223246</v>
      </c>
      <c r="I576" s="1">
        <v>0</v>
      </c>
      <c r="J576" s="1">
        <v>0</v>
      </c>
      <c r="K576" s="1">
        <f t="shared" si="167"/>
        <v>-1525.9101633689718</v>
      </c>
      <c r="L576" s="1">
        <f t="shared" si="160"/>
        <v>1524384.2532056028</v>
      </c>
      <c r="N576" s="1">
        <f t="shared" si="168"/>
        <v>553</v>
      </c>
      <c r="O576" s="2">
        <f t="shared" si="173"/>
        <v>46</v>
      </c>
      <c r="P576" s="2">
        <f t="shared" si="174"/>
        <v>1</v>
      </c>
      <c r="Q576" s="2">
        <f t="shared" si="175"/>
        <v>46</v>
      </c>
      <c r="R576" s="1">
        <f t="shared" si="169"/>
        <v>56681792.701243252</v>
      </c>
      <c r="S576" s="1">
        <f>IF($G$17="si",S564*(1+$G$20),S564)</f>
        <v>10000</v>
      </c>
      <c r="U576" s="1">
        <f t="shared" si="176"/>
        <v>452068.31616601517</v>
      </c>
      <c r="V576" s="1">
        <f>V575*(1+$G$18)</f>
        <v>-462.90149040445368</v>
      </c>
      <c r="X576" s="1">
        <f t="shared" si="161"/>
        <v>-57143.861017409268</v>
      </c>
      <c r="Y576" s="1">
        <f t="shared" si="162"/>
        <v>57086254.254901454</v>
      </c>
      <c r="AA576" s="2">
        <f>+Bono!J576</f>
        <v>678611.82447551761</v>
      </c>
      <c r="AC576" s="10">
        <f t="shared" si="163"/>
        <v>46.083333333333336</v>
      </c>
      <c r="AD576" s="1">
        <f t="shared" si="164"/>
        <v>59289250.332582578</v>
      </c>
    </row>
    <row r="577" spans="2:30">
      <c r="B577" s="1">
        <f t="shared" si="165"/>
        <v>554</v>
      </c>
      <c r="C577" s="2">
        <f t="shared" si="170"/>
        <v>46</v>
      </c>
      <c r="D577" s="2">
        <f t="shared" si="171"/>
        <v>2</v>
      </c>
      <c r="E577" s="2">
        <f t="shared" si="172"/>
        <v>75</v>
      </c>
      <c r="F577" s="1">
        <f t="shared" si="166"/>
        <v>1524384.2532056028</v>
      </c>
      <c r="H577" s="1">
        <f t="shared" si="159"/>
        <v>12155.654102671069</v>
      </c>
      <c r="I577" s="1">
        <v>0</v>
      </c>
      <c r="J577" s="1">
        <v>0</v>
      </c>
      <c r="K577" s="1">
        <f t="shared" si="167"/>
        <v>-1536.5399073082738</v>
      </c>
      <c r="L577" s="1">
        <f t="shared" si="160"/>
        <v>1535003.3674009654</v>
      </c>
      <c r="N577" s="1">
        <f t="shared" si="168"/>
        <v>554</v>
      </c>
      <c r="O577" s="2">
        <f t="shared" si="173"/>
        <v>46</v>
      </c>
      <c r="P577" s="2">
        <f t="shared" si="174"/>
        <v>2</v>
      </c>
      <c r="Q577" s="2">
        <f t="shared" si="175"/>
        <v>46</v>
      </c>
      <c r="R577" s="1">
        <f t="shared" si="169"/>
        <v>57086254.254901454</v>
      </c>
      <c r="S577" s="4">
        <f>IF($G$4="mensual",S576,0)</f>
        <v>10000</v>
      </c>
      <c r="U577" s="1">
        <f t="shared" si="176"/>
        <v>455293.54939297825</v>
      </c>
      <c r="V577" s="1">
        <f>V576</f>
        <v>-462.90149040445368</v>
      </c>
      <c r="X577" s="1">
        <f t="shared" si="161"/>
        <v>-57551.547804294431</v>
      </c>
      <c r="Y577" s="1">
        <f t="shared" si="162"/>
        <v>57493533.354999729</v>
      </c>
      <c r="AA577" s="2">
        <f>+Bono!J577</f>
        <v>682819.29650136537</v>
      </c>
      <c r="AC577" s="10">
        <f t="shared" si="163"/>
        <v>46.166666666666664</v>
      </c>
      <c r="AD577" s="1">
        <f t="shared" si="164"/>
        <v>59711356.018902063</v>
      </c>
    </row>
    <row r="578" spans="2:30">
      <c r="B578" s="1">
        <f t="shared" si="165"/>
        <v>555</v>
      </c>
      <c r="C578" s="2">
        <f t="shared" si="170"/>
        <v>46</v>
      </c>
      <c r="D578" s="2">
        <f t="shared" si="171"/>
        <v>3</v>
      </c>
      <c r="E578" s="2">
        <f t="shared" si="172"/>
        <v>75</v>
      </c>
      <c r="F578" s="1">
        <f t="shared" si="166"/>
        <v>1535003.3674009654</v>
      </c>
      <c r="H578" s="1">
        <f t="shared" si="159"/>
        <v>12240.332410495457</v>
      </c>
      <c r="I578" s="1">
        <v>0</v>
      </c>
      <c r="J578" s="69">
        <f>-SUM(F578:H578)*$J$21</f>
        <v>-13925.193298303149</v>
      </c>
      <c r="K578" s="1">
        <f t="shared" si="167"/>
        <v>-1533.3185065131579</v>
      </c>
      <c r="L578" s="1">
        <f t="shared" si="160"/>
        <v>1531785.1880066446</v>
      </c>
      <c r="N578" s="1">
        <f t="shared" si="168"/>
        <v>555</v>
      </c>
      <c r="O578" s="2">
        <f t="shared" si="173"/>
        <v>46</v>
      </c>
      <c r="P578" s="2">
        <f t="shared" si="174"/>
        <v>3</v>
      </c>
      <c r="Q578" s="2">
        <f t="shared" si="175"/>
        <v>46</v>
      </c>
      <c r="R578" s="1">
        <f t="shared" si="169"/>
        <v>57493533.354999729</v>
      </c>
      <c r="S578" s="4">
        <f>IF($G$4="mensual",S577,0)</f>
        <v>10000</v>
      </c>
      <c r="U578" s="1">
        <f t="shared" si="176"/>
        <v>458541.25013091945</v>
      </c>
      <c r="V578" s="1">
        <f t="shared" si="177"/>
        <v>-462.90149040445368</v>
      </c>
      <c r="X578" s="1">
        <f t="shared" si="161"/>
        <v>-57962.074605130649</v>
      </c>
      <c r="Y578" s="1">
        <f t="shared" si="162"/>
        <v>57903649.629035115</v>
      </c>
      <c r="AA578" s="2">
        <f>+Bono!J578</f>
        <v>680863.18997837033</v>
      </c>
      <c r="AC578" s="10">
        <f t="shared" si="163"/>
        <v>46.25</v>
      </c>
      <c r="AD578" s="1">
        <f t="shared" si="164"/>
        <v>60116298.007020131</v>
      </c>
    </row>
    <row r="579" spans="2:30">
      <c r="B579" s="1">
        <f t="shared" si="165"/>
        <v>556</v>
      </c>
      <c r="C579" s="2">
        <f t="shared" si="170"/>
        <v>46</v>
      </c>
      <c r="D579" s="2">
        <f t="shared" si="171"/>
        <v>4</v>
      </c>
      <c r="E579" s="2">
        <f t="shared" si="172"/>
        <v>75</v>
      </c>
      <c r="F579" s="1">
        <f t="shared" si="166"/>
        <v>1531785.1880066446</v>
      </c>
      <c r="H579" s="1">
        <f t="shared" si="159"/>
        <v>12214.670196079738</v>
      </c>
      <c r="I579" s="1">
        <v>0</v>
      </c>
      <c r="J579" s="1">
        <v>0</v>
      </c>
      <c r="K579" s="1">
        <f t="shared" si="167"/>
        <v>-1543.9998582027242</v>
      </c>
      <c r="L579" s="1">
        <f t="shared" si="160"/>
        <v>1542455.8583445216</v>
      </c>
      <c r="N579" s="1">
        <f t="shared" si="168"/>
        <v>556</v>
      </c>
      <c r="O579" s="2">
        <f t="shared" si="173"/>
        <v>46</v>
      </c>
      <c r="P579" s="2">
        <f t="shared" si="174"/>
        <v>4</v>
      </c>
      <c r="Q579" s="2">
        <f t="shared" si="175"/>
        <v>46</v>
      </c>
      <c r="R579" s="1">
        <f t="shared" si="169"/>
        <v>57903649.629035115</v>
      </c>
      <c r="S579" s="4">
        <f>IF($G$4="mensual",S576,IF($G$4="trimestral",S576,0))</f>
        <v>10000</v>
      </c>
      <c r="U579" s="1">
        <f t="shared" si="176"/>
        <v>461811.57489225641</v>
      </c>
      <c r="V579" s="1">
        <f t="shared" si="177"/>
        <v>-462.90149040445368</v>
      </c>
      <c r="X579" s="1">
        <f t="shared" si="161"/>
        <v>-58375.461203927371</v>
      </c>
      <c r="Y579" s="1">
        <f t="shared" si="162"/>
        <v>58316622.841233037</v>
      </c>
      <c r="AA579" s="2">
        <f>+Bono!J579</f>
        <v>685084.62073147809</v>
      </c>
      <c r="AC579" s="10">
        <f t="shared" si="163"/>
        <v>46.333333333333336</v>
      </c>
      <c r="AD579" s="1">
        <f t="shared" si="164"/>
        <v>60544163.320309043</v>
      </c>
    </row>
    <row r="580" spans="2:30">
      <c r="B580" s="1">
        <f t="shared" si="165"/>
        <v>557</v>
      </c>
      <c r="C580" s="2">
        <f t="shared" si="170"/>
        <v>46</v>
      </c>
      <c r="D580" s="2">
        <f t="shared" si="171"/>
        <v>5</v>
      </c>
      <c r="E580" s="2">
        <f t="shared" si="172"/>
        <v>75</v>
      </c>
      <c r="F580" s="1">
        <f t="shared" si="166"/>
        <v>1542455.8583445216</v>
      </c>
      <c r="H580" s="1">
        <f t="shared" si="159"/>
        <v>12299.759619824508</v>
      </c>
      <c r="I580" s="1">
        <v>0</v>
      </c>
      <c r="J580" s="1">
        <v>0</v>
      </c>
      <c r="K580" s="1">
        <f t="shared" si="167"/>
        <v>-1554.7556179643461</v>
      </c>
      <c r="L580" s="1">
        <f t="shared" si="160"/>
        <v>1553200.8623463819</v>
      </c>
      <c r="N580" s="1">
        <f t="shared" si="168"/>
        <v>557</v>
      </c>
      <c r="O580" s="2">
        <f t="shared" si="173"/>
        <v>46</v>
      </c>
      <c r="P580" s="2">
        <f t="shared" si="174"/>
        <v>5</v>
      </c>
      <c r="Q580" s="2">
        <f t="shared" si="175"/>
        <v>46</v>
      </c>
      <c r="R580" s="1">
        <f t="shared" si="169"/>
        <v>58316622.841233037</v>
      </c>
      <c r="S580" s="4">
        <f>IF($G$4="mensual",S579,0)</f>
        <v>10000</v>
      </c>
      <c r="U580" s="1">
        <f t="shared" si="176"/>
        <v>465104.6812796981</v>
      </c>
      <c r="V580" s="1">
        <f t="shared" si="177"/>
        <v>-462.90149040445368</v>
      </c>
      <c r="X580" s="1">
        <f t="shared" si="161"/>
        <v>-58791.727522512738</v>
      </c>
      <c r="Y580" s="1">
        <f t="shared" si="162"/>
        <v>58732472.893499814</v>
      </c>
      <c r="AA580" s="2">
        <f>+Bono!J580</f>
        <v>689332.22484491079</v>
      </c>
      <c r="AC580" s="10">
        <f t="shared" si="163"/>
        <v>46.416666666666664</v>
      </c>
      <c r="AD580" s="1">
        <f t="shared" si="164"/>
        <v>60975005.980691105</v>
      </c>
    </row>
    <row r="581" spans="2:30">
      <c r="B581" s="1">
        <f t="shared" si="165"/>
        <v>558</v>
      </c>
      <c r="C581" s="2">
        <f t="shared" si="170"/>
        <v>46</v>
      </c>
      <c r="D581" s="2">
        <f t="shared" si="171"/>
        <v>6</v>
      </c>
      <c r="E581" s="2">
        <f t="shared" si="172"/>
        <v>75</v>
      </c>
      <c r="F581" s="1">
        <f t="shared" si="166"/>
        <v>1553200.8623463819</v>
      </c>
      <c r="H581" s="1">
        <f t="shared" si="159"/>
        <v>12385.441790644474</v>
      </c>
      <c r="I581" s="1">
        <v>0</v>
      </c>
      <c r="J581" s="69">
        <f>-SUM(F581:H581)*$J$21</f>
        <v>-14090.27673723324</v>
      </c>
      <c r="K581" s="1">
        <f t="shared" si="167"/>
        <v>-1551.4960273997933</v>
      </c>
      <c r="L581" s="1">
        <f t="shared" si="160"/>
        <v>1549944.5313723935</v>
      </c>
      <c r="N581" s="1">
        <f t="shared" si="168"/>
        <v>558</v>
      </c>
      <c r="O581" s="2">
        <f t="shared" si="173"/>
        <v>46</v>
      </c>
      <c r="P581" s="2">
        <f t="shared" si="174"/>
        <v>6</v>
      </c>
      <c r="Q581" s="2">
        <f t="shared" si="175"/>
        <v>46</v>
      </c>
      <c r="R581" s="1">
        <f t="shared" si="169"/>
        <v>58732472.893499814</v>
      </c>
      <c r="S581" s="4">
        <f>IF($G$4="mensual",S580,0)</f>
        <v>10000</v>
      </c>
      <c r="U581" s="1">
        <f t="shared" si="176"/>
        <v>468420.72799384035</v>
      </c>
      <c r="V581" s="1">
        <f t="shared" si="177"/>
        <v>-462.90149040445368</v>
      </c>
      <c r="X581" s="1">
        <f t="shared" si="161"/>
        <v>-59210.893621493655</v>
      </c>
      <c r="Y581" s="1">
        <f t="shared" si="162"/>
        <v>59151219.82638175</v>
      </c>
      <c r="AA581" s="2">
        <f>+Bono!J581</f>
        <v>687357.46041098388</v>
      </c>
      <c r="AC581" s="10">
        <f t="shared" si="163"/>
        <v>46.5</v>
      </c>
      <c r="AD581" s="1">
        <f t="shared" si="164"/>
        <v>61388521.818165123</v>
      </c>
    </row>
    <row r="582" spans="2:30">
      <c r="B582" s="1">
        <f t="shared" si="165"/>
        <v>559</v>
      </c>
      <c r="C582" s="2">
        <f t="shared" si="170"/>
        <v>46</v>
      </c>
      <c r="D582" s="2">
        <f t="shared" si="171"/>
        <v>7</v>
      </c>
      <c r="E582" s="2">
        <f t="shared" si="172"/>
        <v>75</v>
      </c>
      <c r="F582" s="1">
        <f t="shared" si="166"/>
        <v>1549944.5313723935</v>
      </c>
      <c r="H582" s="1">
        <f t="shared" si="159"/>
        <v>12359.475350174902</v>
      </c>
      <c r="I582" s="1">
        <v>0</v>
      </c>
      <c r="J582" s="1">
        <v>0</v>
      </c>
      <c r="K582" s="1">
        <f t="shared" si="167"/>
        <v>-1562.3040067225684</v>
      </c>
      <c r="L582" s="1">
        <f t="shared" si="160"/>
        <v>1560741.7027158458</v>
      </c>
      <c r="N582" s="1">
        <f t="shared" si="168"/>
        <v>559</v>
      </c>
      <c r="O582" s="2">
        <f t="shared" si="173"/>
        <v>46</v>
      </c>
      <c r="P582" s="2">
        <f t="shared" si="174"/>
        <v>7</v>
      </c>
      <c r="Q582" s="2">
        <f t="shared" si="175"/>
        <v>46</v>
      </c>
      <c r="R582" s="1">
        <f t="shared" si="169"/>
        <v>59151219.82638175</v>
      </c>
      <c r="S582" s="1">
        <f>+IF($G$4="mensual",S576,IF($G$4="trimestral",S576,IF($G$4="semestral",S576,0)))</f>
        <v>10000</v>
      </c>
      <c r="U582" s="1">
        <f t="shared" si="176"/>
        <v>471759.87484081363</v>
      </c>
      <c r="V582" s="1">
        <f t="shared" si="177"/>
        <v>-462.90149040445368</v>
      </c>
      <c r="X582" s="1">
        <f t="shared" si="161"/>
        <v>-59632.979701222561</v>
      </c>
      <c r="Y582" s="1">
        <f t="shared" si="162"/>
        <v>59572883.820030935</v>
      </c>
      <c r="AA582" s="2">
        <f>+Bono!J582</f>
        <v>691619.15639406256</v>
      </c>
      <c r="AC582" s="10">
        <f t="shared" si="163"/>
        <v>46.583333333333336</v>
      </c>
      <c r="AD582" s="1">
        <f t="shared" si="164"/>
        <v>61825244.679140843</v>
      </c>
    </row>
    <row r="583" spans="2:30">
      <c r="B583" s="1">
        <f t="shared" si="165"/>
        <v>560</v>
      </c>
      <c r="C583" s="2">
        <f t="shared" si="170"/>
        <v>46</v>
      </c>
      <c r="D583" s="2">
        <f t="shared" si="171"/>
        <v>8</v>
      </c>
      <c r="E583" s="2">
        <f t="shared" si="172"/>
        <v>75</v>
      </c>
      <c r="F583" s="1">
        <f t="shared" si="166"/>
        <v>1560741.7027158458</v>
      </c>
      <c r="H583" s="1">
        <f t="shared" si="159"/>
        <v>12445.573510702527</v>
      </c>
      <c r="I583" s="1">
        <v>0</v>
      </c>
      <c r="J583" s="1">
        <v>0</v>
      </c>
      <c r="K583" s="1">
        <f t="shared" si="167"/>
        <v>-1573.1872762265482</v>
      </c>
      <c r="L583" s="1">
        <f t="shared" si="160"/>
        <v>1571614.0889503218</v>
      </c>
      <c r="N583" s="1">
        <f t="shared" si="168"/>
        <v>560</v>
      </c>
      <c r="O583" s="2">
        <f t="shared" si="173"/>
        <v>46</v>
      </c>
      <c r="P583" s="2">
        <f t="shared" si="174"/>
        <v>8</v>
      </c>
      <c r="Q583" s="2">
        <f t="shared" si="175"/>
        <v>46</v>
      </c>
      <c r="R583" s="1">
        <f t="shared" si="169"/>
        <v>59572883.820030935</v>
      </c>
      <c r="S583" s="4">
        <f>IF($G$4="mensual",S582,0)</f>
        <v>10000</v>
      </c>
      <c r="U583" s="1">
        <f t="shared" si="176"/>
        <v>475122.28273998463</v>
      </c>
      <c r="V583" s="1">
        <f t="shared" si="177"/>
        <v>-462.90149040445368</v>
      </c>
      <c r="X583" s="1">
        <f t="shared" si="161"/>
        <v>-60058.006102770916</v>
      </c>
      <c r="Y583" s="1">
        <f t="shared" si="162"/>
        <v>59997485.195177741</v>
      </c>
      <c r="AA583" s="2">
        <f>+Bono!J583</f>
        <v>695907.27538656245</v>
      </c>
      <c r="AC583" s="10">
        <f t="shared" si="163"/>
        <v>46.666666666666664</v>
      </c>
      <c r="AD583" s="1">
        <f t="shared" si="164"/>
        <v>62265006.559514627</v>
      </c>
    </row>
    <row r="584" spans="2:30">
      <c r="B584" s="1">
        <f t="shared" si="165"/>
        <v>561</v>
      </c>
      <c r="C584" s="2">
        <f t="shared" si="170"/>
        <v>46</v>
      </c>
      <c r="D584" s="2">
        <f t="shared" si="171"/>
        <v>9</v>
      </c>
      <c r="E584" s="2">
        <f t="shared" si="172"/>
        <v>75</v>
      </c>
      <c r="F584" s="1">
        <f t="shared" si="166"/>
        <v>1571614.0889503218</v>
      </c>
      <c r="H584" s="1">
        <f t="shared" si="159"/>
        <v>12532.271445333517</v>
      </c>
      <c r="I584" s="1">
        <v>0</v>
      </c>
      <c r="J584" s="69">
        <f>-SUM(F584:H584)*$J$21</f>
        <v>-14257.317243560899</v>
      </c>
      <c r="K584" s="1">
        <f t="shared" si="167"/>
        <v>-1569.8890431520945</v>
      </c>
      <c r="L584" s="1">
        <f t="shared" si="160"/>
        <v>1568319.1541089423</v>
      </c>
      <c r="N584" s="1">
        <f t="shared" si="168"/>
        <v>561</v>
      </c>
      <c r="O584" s="2">
        <f t="shared" si="173"/>
        <v>46</v>
      </c>
      <c r="P584" s="2">
        <f t="shared" si="174"/>
        <v>9</v>
      </c>
      <c r="Q584" s="2">
        <f t="shared" si="175"/>
        <v>46</v>
      </c>
      <c r="R584" s="1">
        <f t="shared" si="169"/>
        <v>59997485.195177741</v>
      </c>
      <c r="S584" s="4">
        <f>IF($G$4="mensual",S583,0)</f>
        <v>10000</v>
      </c>
      <c r="U584" s="1">
        <f t="shared" si="176"/>
        <v>478508.11373171094</v>
      </c>
      <c r="V584" s="1">
        <f t="shared" si="177"/>
        <v>-462.90149040445368</v>
      </c>
      <c r="X584" s="1">
        <f t="shared" si="161"/>
        <v>-60485.993308909456</v>
      </c>
      <c r="Y584" s="1">
        <f t="shared" si="162"/>
        <v>60425044.414110139</v>
      </c>
      <c r="AA584" s="2">
        <f>+Bono!J584</f>
        <v>693913.67507714196</v>
      </c>
      <c r="AC584" s="10">
        <f t="shared" si="163"/>
        <v>46.75</v>
      </c>
      <c r="AD584" s="1">
        <f t="shared" si="164"/>
        <v>62687277.243296221</v>
      </c>
    </row>
    <row r="585" spans="2:30">
      <c r="B585" s="1">
        <f t="shared" si="165"/>
        <v>562</v>
      </c>
      <c r="C585" s="2">
        <f t="shared" si="170"/>
        <v>46</v>
      </c>
      <c r="D585" s="2">
        <f t="shared" si="171"/>
        <v>10</v>
      </c>
      <c r="E585" s="2">
        <f t="shared" si="172"/>
        <v>75</v>
      </c>
      <c r="F585" s="1">
        <f t="shared" si="166"/>
        <v>1568319.1541089423</v>
      </c>
      <c r="H585" s="1">
        <f t="shared" si="159"/>
        <v>12505.99717220427</v>
      </c>
      <c r="I585" s="1">
        <v>0</v>
      </c>
      <c r="J585" s="1">
        <v>0</v>
      </c>
      <c r="K585" s="1">
        <f t="shared" si="167"/>
        <v>-1580.8251512811466</v>
      </c>
      <c r="L585" s="1">
        <f t="shared" si="160"/>
        <v>1579244.3261298654</v>
      </c>
      <c r="N585" s="1">
        <f t="shared" si="168"/>
        <v>562</v>
      </c>
      <c r="O585" s="2">
        <f t="shared" si="173"/>
        <v>46</v>
      </c>
      <c r="P585" s="2">
        <f t="shared" si="174"/>
        <v>10</v>
      </c>
      <c r="Q585" s="2">
        <f t="shared" si="175"/>
        <v>46</v>
      </c>
      <c r="R585" s="1">
        <f t="shared" si="169"/>
        <v>60425044.414110139</v>
      </c>
      <c r="S585" s="4">
        <f>IF($G$4="mensual",S576,IF($G$4="trimestral",S576,0))</f>
        <v>10000</v>
      </c>
      <c r="U585" s="1">
        <f t="shared" si="176"/>
        <v>481917.53098515025</v>
      </c>
      <c r="V585" s="1">
        <f t="shared" si="177"/>
        <v>-462.90149040445368</v>
      </c>
      <c r="X585" s="1">
        <f t="shared" si="161"/>
        <v>-60916.961945095289</v>
      </c>
      <c r="Y585" s="1">
        <f t="shared" si="162"/>
        <v>60855582.081659786</v>
      </c>
      <c r="AA585" s="2">
        <f>+Bono!J585</f>
        <v>698216.0203516247</v>
      </c>
      <c r="AC585" s="10">
        <f t="shared" si="163"/>
        <v>46.833333333333336</v>
      </c>
      <c r="AD585" s="1">
        <f t="shared" si="164"/>
        <v>63133042.428141281</v>
      </c>
    </row>
    <row r="586" spans="2:30">
      <c r="B586" s="1">
        <f t="shared" si="165"/>
        <v>563</v>
      </c>
      <c r="C586" s="2">
        <f t="shared" si="170"/>
        <v>46</v>
      </c>
      <c r="D586" s="2">
        <f t="shared" si="171"/>
        <v>11</v>
      </c>
      <c r="E586" s="2">
        <f t="shared" si="172"/>
        <v>75</v>
      </c>
      <c r="F586" s="1">
        <f t="shared" si="166"/>
        <v>1579244.3261298654</v>
      </c>
      <c r="H586" s="1">
        <f t="shared" si="159"/>
        <v>12593.116028109042</v>
      </c>
      <c r="I586" s="1">
        <v>0</v>
      </c>
      <c r="J586" s="1">
        <v>0</v>
      </c>
      <c r="K586" s="1">
        <f t="shared" si="167"/>
        <v>-1591.8374421579745</v>
      </c>
      <c r="L586" s="1">
        <f t="shared" si="160"/>
        <v>1590245.6047158164</v>
      </c>
      <c r="N586" s="1">
        <f t="shared" si="168"/>
        <v>563</v>
      </c>
      <c r="O586" s="2">
        <f t="shared" si="173"/>
        <v>46</v>
      </c>
      <c r="P586" s="2">
        <f t="shared" si="174"/>
        <v>11</v>
      </c>
      <c r="Q586" s="2">
        <f t="shared" si="175"/>
        <v>46</v>
      </c>
      <c r="R586" s="1">
        <f t="shared" si="169"/>
        <v>60855582.081659786</v>
      </c>
      <c r="S586" s="1">
        <f>IF($G$17="si",S574*(1+$G$20),S574)</f>
        <v>10000</v>
      </c>
      <c r="U586" s="1">
        <f t="shared" si="176"/>
        <v>485350.69880612387</v>
      </c>
      <c r="V586" s="1">
        <f t="shared" si="177"/>
        <v>-462.90149040445368</v>
      </c>
      <c r="X586" s="1">
        <f t="shared" si="161"/>
        <v>-61350.932780465911</v>
      </c>
      <c r="Y586" s="1">
        <f t="shared" si="162"/>
        <v>61289118.946195036</v>
      </c>
      <c r="AA586" s="2">
        <f>+Bono!J586</f>
        <v>702545.04066585028</v>
      </c>
      <c r="AC586" s="10">
        <f t="shared" si="163"/>
        <v>46.916666666666664</v>
      </c>
      <c r="AD586" s="1">
        <f t="shared" si="164"/>
        <v>63581909.591576703</v>
      </c>
    </row>
    <row r="587" spans="2:30">
      <c r="B587" s="1">
        <f t="shared" si="165"/>
        <v>564</v>
      </c>
      <c r="C587" s="2">
        <f t="shared" si="170"/>
        <v>46</v>
      </c>
      <c r="D587" s="2">
        <f t="shared" si="171"/>
        <v>12</v>
      </c>
      <c r="E587" s="2">
        <f t="shared" si="172"/>
        <v>75</v>
      </c>
      <c r="F587" s="1">
        <f t="shared" si="166"/>
        <v>1590245.6047158164</v>
      </c>
      <c r="H587" s="1">
        <f t="shared" si="159"/>
        <v>12680.841768450906</v>
      </c>
      <c r="I587" s="1">
        <v>0</v>
      </c>
      <c r="J587" s="69">
        <f>-SUM(F587:H587)*$J$21</f>
        <v>-14426.338018358407</v>
      </c>
      <c r="K587" s="1">
        <f t="shared" si="167"/>
        <v>-1588.5001084659089</v>
      </c>
      <c r="L587" s="1">
        <f t="shared" si="160"/>
        <v>1586911.6083574428</v>
      </c>
      <c r="N587" s="1">
        <f t="shared" si="168"/>
        <v>564</v>
      </c>
      <c r="O587" s="2">
        <f t="shared" si="173"/>
        <v>46</v>
      </c>
      <c r="P587" s="2">
        <f t="shared" si="174"/>
        <v>12</v>
      </c>
      <c r="Q587" s="2">
        <f t="shared" si="175"/>
        <v>46</v>
      </c>
      <c r="R587" s="1">
        <f t="shared" si="169"/>
        <v>61289118.946195036</v>
      </c>
      <c r="S587" s="4">
        <f>IF($G$4="mensual",S586,0)</f>
        <v>10000</v>
      </c>
      <c r="U587" s="1">
        <f t="shared" si="176"/>
        <v>488807.78264503455</v>
      </c>
      <c r="V587" s="1">
        <f t="shared" si="177"/>
        <v>-462.90149040445368</v>
      </c>
      <c r="X587" s="1">
        <f t="shared" si="161"/>
        <v>-61787.926728840066</v>
      </c>
      <c r="Y587" s="1">
        <f t="shared" si="162"/>
        <v>61725675.900620826</v>
      </c>
      <c r="AA587" s="2">
        <f>+Bono!J587</f>
        <v>700532.42481889669</v>
      </c>
      <c r="AC587" s="10">
        <f t="shared" si="163"/>
        <v>47</v>
      </c>
      <c r="AD587" s="1">
        <f t="shared" si="164"/>
        <v>64013119.933797166</v>
      </c>
    </row>
    <row r="588" spans="2:30">
      <c r="B588" s="1">
        <f t="shared" si="165"/>
        <v>565</v>
      </c>
      <c r="C588" s="2">
        <f t="shared" si="170"/>
        <v>47</v>
      </c>
      <c r="D588" s="2">
        <f t="shared" si="171"/>
        <v>1</v>
      </c>
      <c r="E588" s="2">
        <f t="shared" si="172"/>
        <v>76</v>
      </c>
      <c r="F588" s="1">
        <f t="shared" si="166"/>
        <v>1586911.6083574428</v>
      </c>
      <c r="H588" s="1">
        <f t="shared" si="159"/>
        <v>12654.256013299781</v>
      </c>
      <c r="I588" s="1">
        <v>0</v>
      </c>
      <c r="J588" s="1">
        <v>0</v>
      </c>
      <c r="K588" s="1">
        <f t="shared" si="167"/>
        <v>-1599.5658643707427</v>
      </c>
      <c r="L588" s="1">
        <f t="shared" si="160"/>
        <v>1597966.2985063719</v>
      </c>
      <c r="N588" s="1">
        <f t="shared" si="168"/>
        <v>565</v>
      </c>
      <c r="O588" s="2">
        <f t="shared" si="173"/>
        <v>47</v>
      </c>
      <c r="P588" s="2">
        <f t="shared" si="174"/>
        <v>1</v>
      </c>
      <c r="Q588" s="2">
        <f t="shared" si="175"/>
        <v>47</v>
      </c>
      <c r="R588" s="1">
        <f t="shared" si="169"/>
        <v>61725675.900620826</v>
      </c>
      <c r="S588" s="1">
        <f>IF($G$17="si",S576*(1+$G$20),S576)</f>
        <v>10000</v>
      </c>
      <c r="U588" s="1">
        <f t="shared" si="176"/>
        <v>492288.94910484034</v>
      </c>
      <c r="V588" s="1">
        <f>V587*(1+$G$18)</f>
        <v>-481.41755002063184</v>
      </c>
      <c r="X588" s="1">
        <f t="shared" si="161"/>
        <v>-62227.964849725664</v>
      </c>
      <c r="Y588" s="1">
        <f t="shared" si="162"/>
        <v>62165255.467325918</v>
      </c>
      <c r="AA588" s="2">
        <f>+Bono!J588</f>
        <v>704875.80710950575</v>
      </c>
      <c r="AC588" s="10">
        <f t="shared" si="163"/>
        <v>47.083333333333336</v>
      </c>
      <c r="AD588" s="1">
        <f t="shared" si="164"/>
        <v>64468097.572941795</v>
      </c>
    </row>
    <row r="589" spans="2:30">
      <c r="B589" s="1">
        <f t="shared" si="165"/>
        <v>566</v>
      </c>
      <c r="C589" s="2">
        <f t="shared" si="170"/>
        <v>47</v>
      </c>
      <c r="D589" s="2">
        <f t="shared" si="171"/>
        <v>2</v>
      </c>
      <c r="E589" s="2">
        <f t="shared" si="172"/>
        <v>76</v>
      </c>
      <c r="F589" s="1">
        <f t="shared" si="166"/>
        <v>1597966.2985063719</v>
      </c>
      <c r="H589" s="1">
        <f t="shared" si="159"/>
        <v>12742.407664945362</v>
      </c>
      <c r="I589" s="1">
        <v>0</v>
      </c>
      <c r="J589" s="1">
        <v>0</v>
      </c>
      <c r="K589" s="1">
        <f t="shared" si="167"/>
        <v>-1610.7087061713173</v>
      </c>
      <c r="L589" s="1">
        <f t="shared" si="160"/>
        <v>1609097.997465146</v>
      </c>
      <c r="N589" s="1">
        <f t="shared" si="168"/>
        <v>566</v>
      </c>
      <c r="O589" s="2">
        <f t="shared" si="173"/>
        <v>47</v>
      </c>
      <c r="P589" s="2">
        <f t="shared" si="174"/>
        <v>2</v>
      </c>
      <c r="Q589" s="2">
        <f t="shared" si="175"/>
        <v>47</v>
      </c>
      <c r="R589" s="1">
        <f t="shared" si="169"/>
        <v>62165255.467325918</v>
      </c>
      <c r="S589" s="4">
        <f>IF($G$4="mensual",S588,0)</f>
        <v>10000</v>
      </c>
      <c r="U589" s="1">
        <f t="shared" si="176"/>
        <v>495794.2182994234</v>
      </c>
      <c r="V589" s="1">
        <f>V588</f>
        <v>-481.41755002063184</v>
      </c>
      <c r="X589" s="1">
        <f t="shared" si="161"/>
        <v>-62671.049685625345</v>
      </c>
      <c r="Y589" s="1">
        <f t="shared" si="162"/>
        <v>62607897.218389697</v>
      </c>
      <c r="AA589" s="2">
        <f>+Bono!J589</f>
        <v>709246.11887411762</v>
      </c>
      <c r="AC589" s="10">
        <f t="shared" si="163"/>
        <v>47.166666666666664</v>
      </c>
      <c r="AD589" s="1">
        <f t="shared" si="164"/>
        <v>64926241.334728964</v>
      </c>
    </row>
    <row r="590" spans="2:30">
      <c r="B590" s="1">
        <f t="shared" si="165"/>
        <v>567</v>
      </c>
      <c r="C590" s="2">
        <f t="shared" si="170"/>
        <v>47</v>
      </c>
      <c r="D590" s="2">
        <f t="shared" si="171"/>
        <v>3</v>
      </c>
      <c r="E590" s="2">
        <f t="shared" si="172"/>
        <v>76</v>
      </c>
      <c r="F590" s="1">
        <f t="shared" si="166"/>
        <v>1609097.997465146</v>
      </c>
      <c r="H590" s="1">
        <f t="shared" si="159"/>
        <v>12831.173395654907</v>
      </c>
      <c r="I590" s="1">
        <v>0</v>
      </c>
      <c r="J590" s="69">
        <f>-SUM(F590:H590)*$J$21</f>
        <v>-14597.362537747209</v>
      </c>
      <c r="K590" s="1">
        <f t="shared" si="167"/>
        <v>-1607.3318083230536</v>
      </c>
      <c r="L590" s="1">
        <f t="shared" si="160"/>
        <v>1605724.4765147306</v>
      </c>
      <c r="N590" s="1">
        <f t="shared" si="168"/>
        <v>567</v>
      </c>
      <c r="O590" s="2">
        <f t="shared" si="173"/>
        <v>47</v>
      </c>
      <c r="P590" s="2">
        <f t="shared" si="174"/>
        <v>3</v>
      </c>
      <c r="Q590" s="2">
        <f t="shared" si="175"/>
        <v>47</v>
      </c>
      <c r="R590" s="1">
        <f t="shared" si="169"/>
        <v>62607897.218389697</v>
      </c>
      <c r="S590" s="4">
        <f>IF($G$4="mensual",S589,0)</f>
        <v>10000</v>
      </c>
      <c r="U590" s="1">
        <f t="shared" si="176"/>
        <v>499323.90578210185</v>
      </c>
      <c r="V590" s="1">
        <f t="shared" si="177"/>
        <v>-481.41755002063184</v>
      </c>
      <c r="X590" s="1">
        <f t="shared" si="161"/>
        <v>-63117.221124171803</v>
      </c>
      <c r="Y590" s="1">
        <f t="shared" si="162"/>
        <v>63053622.485497609</v>
      </c>
      <c r="AA590" s="2">
        <f>+Bono!J590</f>
        <v>707214.30611392297</v>
      </c>
      <c r="AC590" s="10">
        <f t="shared" si="163"/>
        <v>47.25</v>
      </c>
      <c r="AD590" s="1">
        <f t="shared" si="164"/>
        <v>65366561.268126264</v>
      </c>
    </row>
    <row r="591" spans="2:30">
      <c r="B591" s="1">
        <f t="shared" si="165"/>
        <v>568</v>
      </c>
      <c r="C591" s="2">
        <f t="shared" si="170"/>
        <v>47</v>
      </c>
      <c r="D591" s="2">
        <f t="shared" si="171"/>
        <v>4</v>
      </c>
      <c r="E591" s="2">
        <f t="shared" si="172"/>
        <v>76</v>
      </c>
      <c r="F591" s="1">
        <f t="shared" si="166"/>
        <v>1605724.4765147306</v>
      </c>
      <c r="H591" s="1">
        <f t="shared" si="159"/>
        <v>12804.272465856446</v>
      </c>
      <c r="I591" s="1">
        <v>0</v>
      </c>
      <c r="J591" s="1">
        <v>0</v>
      </c>
      <c r="K591" s="1">
        <f t="shared" si="167"/>
        <v>-1618.5287489805871</v>
      </c>
      <c r="L591" s="1">
        <f t="shared" si="160"/>
        <v>1616910.2202316066</v>
      </c>
      <c r="N591" s="1">
        <f t="shared" si="168"/>
        <v>568</v>
      </c>
      <c r="O591" s="2">
        <f t="shared" si="173"/>
        <v>47</v>
      </c>
      <c r="P591" s="2">
        <f t="shared" si="174"/>
        <v>4</v>
      </c>
      <c r="Q591" s="2">
        <f t="shared" si="175"/>
        <v>47</v>
      </c>
      <c r="R591" s="1">
        <f t="shared" si="169"/>
        <v>63053622.485497609</v>
      </c>
      <c r="S591" s="4">
        <f>IF($G$4="mensual",S588,IF($G$4="trimestral",S588,0))</f>
        <v>10000</v>
      </c>
      <c r="U591" s="1">
        <f t="shared" si="176"/>
        <v>502878.18165473099</v>
      </c>
      <c r="V591" s="1">
        <f t="shared" si="177"/>
        <v>-481.41755002063184</v>
      </c>
      <c r="X591" s="1">
        <f t="shared" si="161"/>
        <v>-63566.500667152337</v>
      </c>
      <c r="Y591" s="1">
        <f t="shared" si="162"/>
        <v>63502452.748935163</v>
      </c>
      <c r="AA591" s="2">
        <f>+Bono!J591</f>
        <v>711599.11684361135</v>
      </c>
      <c r="AC591" s="10">
        <f t="shared" si="163"/>
        <v>47.333333333333336</v>
      </c>
      <c r="AD591" s="1">
        <f t="shared" si="164"/>
        <v>65830962.086010382</v>
      </c>
    </row>
    <row r="592" spans="2:30">
      <c r="B592" s="1">
        <f t="shared" si="165"/>
        <v>569</v>
      </c>
      <c r="C592" s="2">
        <f t="shared" si="170"/>
        <v>47</v>
      </c>
      <c r="D592" s="2">
        <f t="shared" si="171"/>
        <v>5</v>
      </c>
      <c r="E592" s="2">
        <f t="shared" si="172"/>
        <v>76</v>
      </c>
      <c r="F592" s="1">
        <f t="shared" si="166"/>
        <v>1616910.2202316066</v>
      </c>
      <c r="H592" s="1">
        <f t="shared" si="159"/>
        <v>12893.469157056543</v>
      </c>
      <c r="I592" s="1">
        <v>0</v>
      </c>
      <c r="J592" s="1">
        <v>0</v>
      </c>
      <c r="K592" s="1">
        <f t="shared" si="167"/>
        <v>-1629.8036893886633</v>
      </c>
      <c r="L592" s="1">
        <f t="shared" si="160"/>
        <v>1628173.8856992747</v>
      </c>
      <c r="N592" s="1">
        <f t="shared" si="168"/>
        <v>569</v>
      </c>
      <c r="O592" s="2">
        <f t="shared" si="173"/>
        <v>47</v>
      </c>
      <c r="P592" s="2">
        <f t="shared" si="174"/>
        <v>5</v>
      </c>
      <c r="Q592" s="2">
        <f t="shared" si="175"/>
        <v>47</v>
      </c>
      <c r="R592" s="1">
        <f t="shared" si="169"/>
        <v>63502452.748935163</v>
      </c>
      <c r="S592" s="4">
        <f>IF($G$4="mensual",S591,0)</f>
        <v>10000</v>
      </c>
      <c r="U592" s="1">
        <f t="shared" si="176"/>
        <v>506457.21720412391</v>
      </c>
      <c r="V592" s="1">
        <f t="shared" si="177"/>
        <v>-481.41755002063184</v>
      </c>
      <c r="X592" s="1">
        <f t="shared" si="161"/>
        <v>-64018.90996613929</v>
      </c>
      <c r="Y592" s="1">
        <f t="shared" si="162"/>
        <v>63954409.638623126</v>
      </c>
      <c r="AA592" s="2">
        <f>+Bono!J592</f>
        <v>716011.11390843045</v>
      </c>
      <c r="AC592" s="10">
        <f t="shared" si="163"/>
        <v>47.416666666666664</v>
      </c>
      <c r="AD592" s="1">
        <f t="shared" si="164"/>
        <v>66298594.63823083</v>
      </c>
    </row>
    <row r="593" spans="2:30">
      <c r="B593" s="1">
        <f t="shared" si="165"/>
        <v>570</v>
      </c>
      <c r="C593" s="2">
        <f t="shared" si="170"/>
        <v>47</v>
      </c>
      <c r="D593" s="2">
        <f t="shared" si="171"/>
        <v>6</v>
      </c>
      <c r="E593" s="2">
        <f t="shared" si="172"/>
        <v>76</v>
      </c>
      <c r="F593" s="1">
        <f t="shared" si="166"/>
        <v>1628173.8856992747</v>
      </c>
      <c r="H593" s="1">
        <f t="shared" si="159"/>
        <v>12983.287207239922</v>
      </c>
      <c r="I593" s="1">
        <v>0</v>
      </c>
      <c r="J593" s="69">
        <f>-SUM(F593:H593)*$J$21</f>
        <v>-14770.414556158634</v>
      </c>
      <c r="K593" s="1">
        <f t="shared" si="167"/>
        <v>-1626.3867583503561</v>
      </c>
      <c r="L593" s="1">
        <f t="shared" si="160"/>
        <v>1624760.3715920057</v>
      </c>
      <c r="N593" s="1">
        <f t="shared" si="168"/>
        <v>570</v>
      </c>
      <c r="O593" s="2">
        <f t="shared" si="173"/>
        <v>47</v>
      </c>
      <c r="P593" s="2">
        <f t="shared" si="174"/>
        <v>6</v>
      </c>
      <c r="Q593" s="2">
        <f t="shared" si="175"/>
        <v>47</v>
      </c>
      <c r="R593" s="1">
        <f t="shared" si="169"/>
        <v>63954409.638623126</v>
      </c>
      <c r="S593" s="4">
        <f>IF($G$4="mensual",S592,0)</f>
        <v>10000</v>
      </c>
      <c r="U593" s="1">
        <f t="shared" si="176"/>
        <v>510061.1849103063</v>
      </c>
      <c r="V593" s="1">
        <f t="shared" si="177"/>
        <v>-481.41755002063184</v>
      </c>
      <c r="X593" s="1">
        <f t="shared" si="161"/>
        <v>-64474.470823533433</v>
      </c>
      <c r="Y593" s="1">
        <f t="shared" si="162"/>
        <v>64409514.935159877</v>
      </c>
      <c r="AA593" s="2">
        <f>+Bono!J593</f>
        <v>713959.92112927255</v>
      </c>
      <c r="AC593" s="10">
        <f t="shared" si="163"/>
        <v>47.5</v>
      </c>
      <c r="AD593" s="1">
        <f t="shared" si="164"/>
        <v>66748235.227881156</v>
      </c>
    </row>
    <row r="594" spans="2:30">
      <c r="B594" s="1">
        <f t="shared" si="165"/>
        <v>571</v>
      </c>
      <c r="C594" s="2">
        <f t="shared" si="170"/>
        <v>47</v>
      </c>
      <c r="D594" s="2">
        <f t="shared" si="171"/>
        <v>7</v>
      </c>
      <c r="E594" s="2">
        <f t="shared" si="172"/>
        <v>76</v>
      </c>
      <c r="F594" s="1">
        <f t="shared" si="166"/>
        <v>1624760.3715920057</v>
      </c>
      <c r="H594" s="1">
        <f t="shared" si="159"/>
        <v>12956.067366392515</v>
      </c>
      <c r="I594" s="1">
        <v>0</v>
      </c>
      <c r="J594" s="1">
        <v>0</v>
      </c>
      <c r="K594" s="1">
        <f t="shared" si="167"/>
        <v>-1637.7164389583984</v>
      </c>
      <c r="L594" s="1">
        <f t="shared" si="160"/>
        <v>1636078.7225194399</v>
      </c>
      <c r="N594" s="1">
        <f t="shared" si="168"/>
        <v>571</v>
      </c>
      <c r="O594" s="2">
        <f t="shared" si="173"/>
        <v>47</v>
      </c>
      <c r="P594" s="2">
        <f t="shared" si="174"/>
        <v>7</v>
      </c>
      <c r="Q594" s="2">
        <f t="shared" si="175"/>
        <v>47</v>
      </c>
      <c r="R594" s="1">
        <f t="shared" si="169"/>
        <v>64409514.935159877</v>
      </c>
      <c r="S594" s="1">
        <f>+IF($G$4="mensual",S588,IF($G$4="trimestral",S588,IF($G$4="semestral",S588,0)))</f>
        <v>10000</v>
      </c>
      <c r="U594" s="1">
        <f t="shared" si="176"/>
        <v>513690.25845482823</v>
      </c>
      <c r="V594" s="1">
        <f t="shared" si="177"/>
        <v>-481.41755002063184</v>
      </c>
      <c r="X594" s="1">
        <f t="shared" si="161"/>
        <v>-64933.205193614711</v>
      </c>
      <c r="Y594" s="1">
        <f t="shared" si="162"/>
        <v>64867790.57087107</v>
      </c>
      <c r="AA594" s="2">
        <f>+Bono!J594</f>
        <v>718386.55545449909</v>
      </c>
      <c r="AC594" s="10">
        <f t="shared" si="163"/>
        <v>47.583333333333336</v>
      </c>
      <c r="AD594" s="1">
        <f t="shared" si="164"/>
        <v>67222255.848845005</v>
      </c>
    </row>
    <row r="595" spans="2:30">
      <c r="B595" s="1">
        <f t="shared" si="165"/>
        <v>572</v>
      </c>
      <c r="C595" s="2">
        <f t="shared" si="170"/>
        <v>47</v>
      </c>
      <c r="D595" s="2">
        <f t="shared" si="171"/>
        <v>8</v>
      </c>
      <c r="E595" s="2">
        <f t="shared" si="172"/>
        <v>76</v>
      </c>
      <c r="F595" s="1">
        <f t="shared" si="166"/>
        <v>1636078.7225194399</v>
      </c>
      <c r="H595" s="1">
        <f t="shared" si="159"/>
        <v>13046.321486111488</v>
      </c>
      <c r="I595" s="1">
        <v>0</v>
      </c>
      <c r="J595" s="1">
        <v>0</v>
      </c>
      <c r="K595" s="1">
        <f t="shared" si="167"/>
        <v>-1649.1250440055514</v>
      </c>
      <c r="L595" s="1">
        <f t="shared" si="160"/>
        <v>1647475.9189615459</v>
      </c>
      <c r="N595" s="1">
        <f t="shared" si="168"/>
        <v>572</v>
      </c>
      <c r="O595" s="2">
        <f t="shared" si="173"/>
        <v>47</v>
      </c>
      <c r="P595" s="2">
        <f t="shared" si="174"/>
        <v>8</v>
      </c>
      <c r="Q595" s="2">
        <f t="shared" si="175"/>
        <v>47</v>
      </c>
      <c r="R595" s="1">
        <f t="shared" si="169"/>
        <v>64867790.57087107</v>
      </c>
      <c r="S595" s="4">
        <f>IF($G$4="mensual",S594,0)</f>
        <v>10000</v>
      </c>
      <c r="U595" s="1">
        <f t="shared" si="176"/>
        <v>517344.61272913445</v>
      </c>
      <c r="V595" s="1">
        <f t="shared" si="177"/>
        <v>-481.41755002063184</v>
      </c>
      <c r="X595" s="1">
        <f t="shared" si="161"/>
        <v>-65395.135183600207</v>
      </c>
      <c r="Y595" s="1">
        <f t="shared" si="162"/>
        <v>65329258.63086658</v>
      </c>
      <c r="AA595" s="2">
        <f>+Bono!J595</f>
        <v>722840.63542599976</v>
      </c>
      <c r="AC595" s="10">
        <f t="shared" si="163"/>
        <v>47.666666666666664</v>
      </c>
      <c r="AD595" s="1">
        <f t="shared" si="164"/>
        <v>67699575.185254127</v>
      </c>
    </row>
    <row r="596" spans="2:30">
      <c r="B596" s="1">
        <f t="shared" si="165"/>
        <v>573</v>
      </c>
      <c r="C596" s="2">
        <f t="shared" si="170"/>
        <v>47</v>
      </c>
      <c r="D596" s="2">
        <f t="shared" si="171"/>
        <v>9</v>
      </c>
      <c r="E596" s="2">
        <f t="shared" si="172"/>
        <v>76</v>
      </c>
      <c r="F596" s="1">
        <f t="shared" si="166"/>
        <v>1647475.9189615459</v>
      </c>
      <c r="H596" s="1">
        <f t="shared" si="159"/>
        <v>13137.204331036644</v>
      </c>
      <c r="I596" s="1">
        <v>0</v>
      </c>
      <c r="J596" s="69">
        <f>-SUM(F596:H596)*$J$21</f>
        <v>-14945.518109633245</v>
      </c>
      <c r="K596" s="1">
        <f t="shared" si="167"/>
        <v>-1645.6676051829493</v>
      </c>
      <c r="L596" s="1">
        <f t="shared" si="160"/>
        <v>1644021.9375777664</v>
      </c>
      <c r="N596" s="1">
        <f t="shared" si="168"/>
        <v>573</v>
      </c>
      <c r="O596" s="2">
        <f t="shared" si="173"/>
        <v>47</v>
      </c>
      <c r="P596" s="2">
        <f t="shared" si="174"/>
        <v>9</v>
      </c>
      <c r="Q596" s="2">
        <f t="shared" si="175"/>
        <v>47</v>
      </c>
      <c r="R596" s="1">
        <f t="shared" si="169"/>
        <v>65329258.63086658</v>
      </c>
      <c r="S596" s="4">
        <f>IF($G$4="mensual",S595,0)</f>
        <v>10000</v>
      </c>
      <c r="U596" s="1">
        <f t="shared" si="176"/>
        <v>521024.4238429924</v>
      </c>
      <c r="V596" s="1">
        <f t="shared" si="177"/>
        <v>-481.41755002063184</v>
      </c>
      <c r="X596" s="1">
        <f t="shared" si="161"/>
        <v>-65860.283054709565</v>
      </c>
      <c r="Y596" s="1">
        <f t="shared" si="162"/>
        <v>65793941.354104839</v>
      </c>
      <c r="AA596" s="2">
        <f>+Bono!J596</f>
        <v>720769.87777564104</v>
      </c>
      <c r="AC596" s="10">
        <f t="shared" si="163"/>
        <v>47.75</v>
      </c>
      <c r="AD596" s="1">
        <f t="shared" si="164"/>
        <v>68158733.16945824</v>
      </c>
    </row>
    <row r="597" spans="2:30">
      <c r="B597" s="1">
        <f t="shared" si="165"/>
        <v>574</v>
      </c>
      <c r="C597" s="2">
        <f t="shared" si="170"/>
        <v>47</v>
      </c>
      <c r="D597" s="2">
        <f t="shared" si="171"/>
        <v>10</v>
      </c>
      <c r="E597" s="2">
        <f t="shared" si="172"/>
        <v>76</v>
      </c>
      <c r="F597" s="1">
        <f t="shared" si="166"/>
        <v>1644021.9375777664</v>
      </c>
      <c r="H597" s="1">
        <f t="shared" si="159"/>
        <v>13109.661798443567</v>
      </c>
      <c r="I597" s="1">
        <v>0</v>
      </c>
      <c r="J597" s="1">
        <v>0</v>
      </c>
      <c r="K597" s="1">
        <f t="shared" si="167"/>
        <v>-1657.13159937621</v>
      </c>
      <c r="L597" s="1">
        <f t="shared" si="160"/>
        <v>1655474.4677768338</v>
      </c>
      <c r="N597" s="1">
        <f t="shared" si="168"/>
        <v>574</v>
      </c>
      <c r="O597" s="2">
        <f t="shared" si="173"/>
        <v>47</v>
      </c>
      <c r="P597" s="2">
        <f t="shared" si="174"/>
        <v>10</v>
      </c>
      <c r="Q597" s="2">
        <f t="shared" si="175"/>
        <v>47</v>
      </c>
      <c r="R597" s="1">
        <f t="shared" si="169"/>
        <v>65793941.354104839</v>
      </c>
      <c r="S597" s="4">
        <f>IF($G$4="mensual",S588,IF($G$4="trimestral",S588,0))</f>
        <v>10000</v>
      </c>
      <c r="U597" s="1">
        <f t="shared" si="176"/>
        <v>524729.86913297977</v>
      </c>
      <c r="V597" s="1">
        <f t="shared" si="177"/>
        <v>-481.41755002063184</v>
      </c>
      <c r="X597" s="1">
        <f t="shared" si="161"/>
        <v>-66328.67122323782</v>
      </c>
      <c r="Y597" s="1">
        <f t="shared" si="162"/>
        <v>66261861.134464562</v>
      </c>
      <c r="AA597" s="2">
        <f>+Bono!J597</f>
        <v>725238.73462198116</v>
      </c>
      <c r="AC597" s="10">
        <f t="shared" si="163"/>
        <v>47.833333333333336</v>
      </c>
      <c r="AD597" s="1">
        <f t="shared" si="164"/>
        <v>68642574.336863369</v>
      </c>
    </row>
    <row r="598" spans="2:30">
      <c r="B598" s="1">
        <f t="shared" si="165"/>
        <v>575</v>
      </c>
      <c r="C598" s="2">
        <f t="shared" si="170"/>
        <v>47</v>
      </c>
      <c r="D598" s="2">
        <f t="shared" si="171"/>
        <v>11</v>
      </c>
      <c r="E598" s="2">
        <f t="shared" si="172"/>
        <v>76</v>
      </c>
      <c r="F598" s="1">
        <f t="shared" si="166"/>
        <v>1655474.4677768338</v>
      </c>
      <c r="H598" s="1">
        <f t="shared" si="159"/>
        <v>13200.985882517192</v>
      </c>
      <c r="I598" s="1">
        <v>0</v>
      </c>
      <c r="J598" s="1">
        <v>0</v>
      </c>
      <c r="K598" s="1">
        <f t="shared" si="167"/>
        <v>-1668.675453659351</v>
      </c>
      <c r="L598" s="1">
        <f t="shared" si="160"/>
        <v>1667006.7782056916</v>
      </c>
      <c r="N598" s="1">
        <f t="shared" si="168"/>
        <v>575</v>
      </c>
      <c r="O598" s="2">
        <f t="shared" si="173"/>
        <v>47</v>
      </c>
      <c r="P598" s="2">
        <f t="shared" si="174"/>
        <v>11</v>
      </c>
      <c r="Q598" s="2">
        <f t="shared" si="175"/>
        <v>47</v>
      </c>
      <c r="R598" s="1">
        <f t="shared" si="169"/>
        <v>66261861.134464562</v>
      </c>
      <c r="S598" s="1">
        <f>IF($G$17="si",S586*(1+$G$20),S586)</f>
        <v>10000</v>
      </c>
      <c r="U598" s="1">
        <f t="shared" si="176"/>
        <v>528461.12717102992</v>
      </c>
      <c r="V598" s="1">
        <f t="shared" si="177"/>
        <v>-481.41755002063184</v>
      </c>
      <c r="X598" s="1">
        <f t="shared" si="161"/>
        <v>-66800.322261635592</v>
      </c>
      <c r="Y598" s="1">
        <f t="shared" si="162"/>
        <v>66733040.521823935</v>
      </c>
      <c r="AA598" s="2">
        <f>+Bono!J598</f>
        <v>729735.29889912391</v>
      </c>
      <c r="AC598" s="10">
        <f t="shared" si="163"/>
        <v>47.916666666666664</v>
      </c>
      <c r="AD598" s="1">
        <f t="shared" si="164"/>
        <v>69129782.59892875</v>
      </c>
    </row>
    <row r="599" spans="2:30">
      <c r="B599" s="1">
        <f t="shared" si="165"/>
        <v>576</v>
      </c>
      <c r="C599" s="2">
        <f t="shared" si="170"/>
        <v>47</v>
      </c>
      <c r="D599" s="2">
        <f t="shared" si="171"/>
        <v>12</v>
      </c>
      <c r="E599" s="2">
        <f t="shared" si="172"/>
        <v>76</v>
      </c>
      <c r="F599" s="1">
        <f t="shared" si="166"/>
        <v>1667006.7782056916</v>
      </c>
      <c r="H599" s="1">
        <f t="shared" si="159"/>
        <v>13292.946145346616</v>
      </c>
      <c r="I599" s="1">
        <v>0</v>
      </c>
      <c r="J599" s="69">
        <f>-SUM(F599:H599)*$J$21</f>
        <v>-15122.697519159346</v>
      </c>
      <c r="K599" s="1">
        <f t="shared" si="167"/>
        <v>-1665.1770268318789</v>
      </c>
      <c r="L599" s="1">
        <f t="shared" si="160"/>
        <v>1663511.849805047</v>
      </c>
      <c r="N599" s="1">
        <f t="shared" si="168"/>
        <v>576</v>
      </c>
      <c r="O599" s="2">
        <f t="shared" si="173"/>
        <v>47</v>
      </c>
      <c r="P599" s="2">
        <f t="shared" si="174"/>
        <v>12</v>
      </c>
      <c r="Q599" s="2">
        <f t="shared" si="175"/>
        <v>47</v>
      </c>
      <c r="R599" s="1">
        <f t="shared" si="169"/>
        <v>66733040.521823935</v>
      </c>
      <c r="S599" s="4">
        <f>IF($G$4="mensual",S598,0)</f>
        <v>10000</v>
      </c>
      <c r="U599" s="1">
        <f t="shared" si="176"/>
        <v>532218.37777303846</v>
      </c>
      <c r="V599" s="1">
        <f t="shared" si="177"/>
        <v>-481.41755002063184</v>
      </c>
      <c r="X599" s="1">
        <f t="shared" si="161"/>
        <v>-67275.258899596971</v>
      </c>
      <c r="Y599" s="1">
        <f t="shared" si="162"/>
        <v>67207502.223147348</v>
      </c>
      <c r="AA599" s="2">
        <f>+Bono!J599</f>
        <v>727644.78976215271</v>
      </c>
      <c r="AC599" s="10">
        <f t="shared" si="163"/>
        <v>48</v>
      </c>
      <c r="AD599" s="1">
        <f t="shared" si="164"/>
        <v>69598658.862714544</v>
      </c>
    </row>
    <row r="600" spans="2:30">
      <c r="B600" s="1">
        <f t="shared" si="165"/>
        <v>577</v>
      </c>
      <c r="C600" s="2">
        <f t="shared" si="170"/>
        <v>48</v>
      </c>
      <c r="D600" s="2">
        <f t="shared" si="171"/>
        <v>1</v>
      </c>
      <c r="E600" s="2">
        <f t="shared" si="172"/>
        <v>77</v>
      </c>
      <c r="F600" s="1">
        <f t="shared" si="166"/>
        <v>1663511.849805047</v>
      </c>
      <c r="H600" s="1">
        <f t="shared" ref="H600:H663" si="178">SUM(F600:G600)*$G$8</f>
        <v>13265.077095490911</v>
      </c>
      <c r="I600" s="1">
        <v>0</v>
      </c>
      <c r="J600" s="1">
        <v>0</v>
      </c>
      <c r="K600" s="1">
        <f t="shared" si="167"/>
        <v>-1676.776926900538</v>
      </c>
      <c r="L600" s="1">
        <f t="shared" ref="L600:L663" si="179">SUM(F600:K600)</f>
        <v>1675100.1499736374</v>
      </c>
      <c r="N600" s="1">
        <f t="shared" si="168"/>
        <v>577</v>
      </c>
      <c r="O600" s="2">
        <f t="shared" si="173"/>
        <v>48</v>
      </c>
      <c r="P600" s="2">
        <f t="shared" si="174"/>
        <v>1</v>
      </c>
      <c r="Q600" s="2">
        <f t="shared" si="175"/>
        <v>48</v>
      </c>
      <c r="R600" s="1">
        <f t="shared" si="169"/>
        <v>67207502.223147348</v>
      </c>
      <c r="S600" s="1">
        <f>IF($G$17="si",S588*(1+$G$20),S588)</f>
        <v>10000</v>
      </c>
      <c r="U600" s="1">
        <f t="shared" si="176"/>
        <v>536001.80200752791</v>
      </c>
      <c r="V600" s="1">
        <f>V599*(1+$G$18)</f>
        <v>-500.67425202145711</v>
      </c>
      <c r="X600" s="1">
        <f t="shared" ref="X600:X663" si="180">-SUM(R600:U600)*0.1%</f>
        <v>-67753.504025154878</v>
      </c>
      <c r="Y600" s="1">
        <f t="shared" ref="Y600:Y663" si="181">SUM(R600:X600)</f>
        <v>67685249.846877694</v>
      </c>
      <c r="AA600" s="2">
        <f>+Bono!J600</f>
        <v>732156.27186024969</v>
      </c>
      <c r="AC600" s="10">
        <f t="shared" ref="AC600:AC663" si="182">+B600/12</f>
        <v>48.083333333333336</v>
      </c>
      <c r="AD600" s="1">
        <f t="shared" ref="AD600:AD663" si="183">+AA600+Y600+L600</f>
        <v>70092506.268711582</v>
      </c>
    </row>
    <row r="601" spans="2:30">
      <c r="B601" s="1">
        <f t="shared" ref="B601:B664" si="184">+B600+1</f>
        <v>578</v>
      </c>
      <c r="C601" s="2">
        <f t="shared" si="170"/>
        <v>48</v>
      </c>
      <c r="D601" s="2">
        <f t="shared" si="171"/>
        <v>2</v>
      </c>
      <c r="E601" s="2">
        <f t="shared" si="172"/>
        <v>77</v>
      </c>
      <c r="F601" s="1">
        <f t="shared" ref="F601:F664" si="185">L600</f>
        <v>1675100.1499736374</v>
      </c>
      <c r="H601" s="1">
        <f t="shared" si="178"/>
        <v>13357.483828367542</v>
      </c>
      <c r="I601" s="1">
        <v>0</v>
      </c>
      <c r="J601" s="1">
        <v>0</v>
      </c>
      <c r="K601" s="1">
        <f t="shared" ref="K601:K664" si="186">-SUM(F601:J601)*0.1%</f>
        <v>-1688.4576338020049</v>
      </c>
      <c r="L601" s="1">
        <f t="shared" si="179"/>
        <v>1686769.1761682029</v>
      </c>
      <c r="N601" s="1">
        <f t="shared" ref="N601:N664" si="187">+N600+1</f>
        <v>578</v>
      </c>
      <c r="O601" s="2">
        <f t="shared" si="173"/>
        <v>48</v>
      </c>
      <c r="P601" s="2">
        <f t="shared" si="174"/>
        <v>2</v>
      </c>
      <c r="Q601" s="2">
        <f t="shared" si="175"/>
        <v>48</v>
      </c>
      <c r="R601" s="1">
        <f t="shared" ref="R601:R664" si="188">Y600</f>
        <v>67685249.846877694</v>
      </c>
      <c r="S601" s="4">
        <f>IF($G$4="mensual",S600,0)</f>
        <v>10000</v>
      </c>
      <c r="U601" s="1">
        <f t="shared" si="176"/>
        <v>539811.42864872876</v>
      </c>
      <c r="V601" s="1">
        <f>V600</f>
        <v>-500.67425202145711</v>
      </c>
      <c r="X601" s="1">
        <f t="shared" si="180"/>
        <v>-68235.061275526416</v>
      </c>
      <c r="Y601" s="1">
        <f t="shared" si="181"/>
        <v>68166325.539998874</v>
      </c>
      <c r="AA601" s="2">
        <f>+Bono!J601</f>
        <v>736695.72567065433</v>
      </c>
      <c r="AC601" s="10">
        <f t="shared" si="182"/>
        <v>48.166666666666664</v>
      </c>
      <c r="AD601" s="1">
        <f t="shared" si="183"/>
        <v>70589790.441837728</v>
      </c>
    </row>
    <row r="602" spans="2:30">
      <c r="B602" s="1">
        <f t="shared" si="184"/>
        <v>579</v>
      </c>
      <c r="C602" s="2">
        <f t="shared" si="170"/>
        <v>48</v>
      </c>
      <c r="D602" s="2">
        <f t="shared" si="171"/>
        <v>3</v>
      </c>
      <c r="E602" s="2">
        <f t="shared" si="172"/>
        <v>77</v>
      </c>
      <c r="F602" s="1">
        <f t="shared" si="185"/>
        <v>1686769.1761682029</v>
      </c>
      <c r="H602" s="1">
        <f t="shared" si="178"/>
        <v>13450.534281911563</v>
      </c>
      <c r="I602" s="1">
        <v>0</v>
      </c>
      <c r="J602" s="69">
        <f>-SUM(F602:H602)*$J$21</f>
        <v>-15301.977394051031</v>
      </c>
      <c r="K602" s="1">
        <f t="shared" si="186"/>
        <v>-1684.9177330560635</v>
      </c>
      <c r="L602" s="1">
        <f t="shared" si="179"/>
        <v>1683232.8153230075</v>
      </c>
      <c r="N602" s="1">
        <f t="shared" si="187"/>
        <v>579</v>
      </c>
      <c r="O602" s="2">
        <f t="shared" si="173"/>
        <v>48</v>
      </c>
      <c r="P602" s="2">
        <f t="shared" si="174"/>
        <v>3</v>
      </c>
      <c r="Q602" s="2">
        <f t="shared" si="175"/>
        <v>48</v>
      </c>
      <c r="R602" s="1">
        <f t="shared" si="188"/>
        <v>68166325.539998874</v>
      </c>
      <c r="S602" s="4">
        <f>IF($G$4="mensual",S601,0)</f>
        <v>10000</v>
      </c>
      <c r="U602" s="1">
        <f t="shared" si="176"/>
        <v>543647.59378260933</v>
      </c>
      <c r="V602" s="1">
        <f t="shared" si="177"/>
        <v>-500.67425202145711</v>
      </c>
      <c r="X602" s="1">
        <f t="shared" si="180"/>
        <v>-68719.973133781474</v>
      </c>
      <c r="Y602" s="1">
        <f t="shared" si="181"/>
        <v>68650752.486395672</v>
      </c>
      <c r="AA602" s="2">
        <f>+Bono!J602</f>
        <v>734585.27665166697</v>
      </c>
      <c r="AC602" s="10">
        <f t="shared" si="182"/>
        <v>48.25</v>
      </c>
      <c r="AD602" s="1">
        <f t="shared" si="183"/>
        <v>71068570.578370348</v>
      </c>
    </row>
    <row r="603" spans="2:30">
      <c r="B603" s="1">
        <f t="shared" si="184"/>
        <v>580</v>
      </c>
      <c r="C603" s="2">
        <f t="shared" si="170"/>
        <v>48</v>
      </c>
      <c r="D603" s="2">
        <f t="shared" si="171"/>
        <v>4</v>
      </c>
      <c r="E603" s="2">
        <f t="shared" si="172"/>
        <v>77</v>
      </c>
      <c r="F603" s="1">
        <f t="shared" si="185"/>
        <v>1683232.8153230075</v>
      </c>
      <c r="H603" s="1">
        <f t="shared" si="178"/>
        <v>13422.334843924698</v>
      </c>
      <c r="I603" s="1">
        <v>0</v>
      </c>
      <c r="J603" s="1">
        <v>0</v>
      </c>
      <c r="K603" s="1">
        <f t="shared" si="186"/>
        <v>-1696.6551501669323</v>
      </c>
      <c r="L603" s="1">
        <f t="shared" si="179"/>
        <v>1694958.4950167653</v>
      </c>
      <c r="N603" s="1">
        <f t="shared" si="187"/>
        <v>580</v>
      </c>
      <c r="O603" s="2">
        <f t="shared" si="173"/>
        <v>48</v>
      </c>
      <c r="P603" s="2">
        <f t="shared" si="174"/>
        <v>4</v>
      </c>
      <c r="Q603" s="2">
        <f t="shared" si="175"/>
        <v>48</v>
      </c>
      <c r="R603" s="1">
        <f t="shared" si="188"/>
        <v>68650752.486395672</v>
      </c>
      <c r="S603" s="4">
        <f>IF($G$4="mensual",S600,IF($G$4="trimestral",S600,0))</f>
        <v>10000</v>
      </c>
      <c r="U603" s="1">
        <f t="shared" si="176"/>
        <v>547510.48228072235</v>
      </c>
      <c r="V603" s="1">
        <f t="shared" si="177"/>
        <v>-500.67425202145711</v>
      </c>
      <c r="X603" s="1">
        <f t="shared" si="180"/>
        <v>-69208.262968676383</v>
      </c>
      <c r="Y603" s="1">
        <f t="shared" si="181"/>
        <v>69138554.031455696</v>
      </c>
      <c r="AA603" s="2">
        <f>+Bono!J603</f>
        <v>739139.79057352548</v>
      </c>
      <c r="AC603" s="10">
        <f t="shared" si="182"/>
        <v>48.333333333333336</v>
      </c>
      <c r="AD603" s="1">
        <f t="shared" si="183"/>
        <v>71572652.317045987</v>
      </c>
    </row>
    <row r="604" spans="2:30">
      <c r="B604" s="1">
        <f t="shared" si="184"/>
        <v>581</v>
      </c>
      <c r="C604" s="2">
        <f t="shared" si="170"/>
        <v>48</v>
      </c>
      <c r="D604" s="2">
        <f t="shared" si="171"/>
        <v>5</v>
      </c>
      <c r="E604" s="2">
        <f t="shared" si="172"/>
        <v>77</v>
      </c>
      <c r="F604" s="1">
        <f t="shared" si="185"/>
        <v>1694958.4950167653</v>
      </c>
      <c r="H604" s="1">
        <f t="shared" si="178"/>
        <v>13515.837060427068</v>
      </c>
      <c r="I604" s="1">
        <v>0</v>
      </c>
      <c r="J604" s="1">
        <v>0</v>
      </c>
      <c r="K604" s="1">
        <f t="shared" si="186"/>
        <v>-1708.4743320771925</v>
      </c>
      <c r="L604" s="1">
        <f t="shared" si="179"/>
        <v>1706765.8577451152</v>
      </c>
      <c r="N604" s="1">
        <f t="shared" si="187"/>
        <v>581</v>
      </c>
      <c r="O604" s="2">
        <f t="shared" si="173"/>
        <v>48</v>
      </c>
      <c r="P604" s="2">
        <f t="shared" si="174"/>
        <v>5</v>
      </c>
      <c r="Q604" s="2">
        <f t="shared" si="175"/>
        <v>48</v>
      </c>
      <c r="R604" s="1">
        <f t="shared" si="188"/>
        <v>69138554.031455696</v>
      </c>
      <c r="S604" s="4">
        <f>IF($G$4="mensual",S603,0)</f>
        <v>10000</v>
      </c>
      <c r="U604" s="1">
        <f t="shared" si="176"/>
        <v>551400.28030246729</v>
      </c>
      <c r="V604" s="1">
        <f t="shared" si="177"/>
        <v>-500.67425202145711</v>
      </c>
      <c r="X604" s="1">
        <f t="shared" si="180"/>
        <v>-69699.954311758163</v>
      </c>
      <c r="Y604" s="1">
        <f t="shared" si="181"/>
        <v>69629753.683194384</v>
      </c>
      <c r="AA604" s="2">
        <f>+Bono!J604</f>
        <v>743722.54300999036</v>
      </c>
      <c r="AC604" s="10">
        <f t="shared" si="182"/>
        <v>48.416666666666664</v>
      </c>
      <c r="AD604" s="1">
        <f t="shared" si="183"/>
        <v>72080242.083949491</v>
      </c>
    </row>
    <row r="605" spans="2:30">
      <c r="B605" s="1">
        <f t="shared" si="184"/>
        <v>582</v>
      </c>
      <c r="C605" s="2">
        <f t="shared" si="170"/>
        <v>48</v>
      </c>
      <c r="D605" s="2">
        <f t="shared" si="171"/>
        <v>6</v>
      </c>
      <c r="E605" s="2">
        <f t="shared" si="172"/>
        <v>77</v>
      </c>
      <c r="F605" s="1">
        <f t="shared" si="185"/>
        <v>1706765.8577451152</v>
      </c>
      <c r="H605" s="1">
        <f t="shared" si="178"/>
        <v>13609.990628917934</v>
      </c>
      <c r="I605" s="1">
        <v>0</v>
      </c>
      <c r="J605" s="69">
        <f>-SUM(F605:H605)*$J$21</f>
        <v>-15483.382635366301</v>
      </c>
      <c r="K605" s="1">
        <f t="shared" si="186"/>
        <v>-1704.8924657386667</v>
      </c>
      <c r="L605" s="1">
        <f t="shared" si="179"/>
        <v>1703187.5732729281</v>
      </c>
      <c r="N605" s="1">
        <f t="shared" si="187"/>
        <v>582</v>
      </c>
      <c r="O605" s="2">
        <f t="shared" si="173"/>
        <v>48</v>
      </c>
      <c r="P605" s="2">
        <f t="shared" si="174"/>
        <v>6</v>
      </c>
      <c r="Q605" s="2">
        <f t="shared" si="175"/>
        <v>48</v>
      </c>
      <c r="R605" s="1">
        <f t="shared" si="188"/>
        <v>69629753.683194384</v>
      </c>
      <c r="S605" s="4">
        <f>IF($G$4="mensual",S604,0)</f>
        <v>10000</v>
      </c>
      <c r="U605" s="1">
        <f t="shared" si="176"/>
        <v>555317.17530406022</v>
      </c>
      <c r="V605" s="1">
        <f t="shared" si="177"/>
        <v>-500.67425202145711</v>
      </c>
      <c r="X605" s="1">
        <f t="shared" si="180"/>
        <v>-70195.070858498439</v>
      </c>
      <c r="Y605" s="1">
        <f t="shared" si="181"/>
        <v>70124375.113387927</v>
      </c>
      <c r="AA605" s="2">
        <f>+Bono!J605</f>
        <v>741591.96391661314</v>
      </c>
      <c r="AC605" s="10">
        <f t="shared" si="182"/>
        <v>48.5</v>
      </c>
      <c r="AD605" s="1">
        <f t="shared" si="183"/>
        <v>72569154.650577471</v>
      </c>
    </row>
    <row r="606" spans="2:30">
      <c r="B606" s="1">
        <f t="shared" si="184"/>
        <v>583</v>
      </c>
      <c r="C606" s="2">
        <f t="shared" si="170"/>
        <v>48</v>
      </c>
      <c r="D606" s="2">
        <f t="shared" si="171"/>
        <v>7</v>
      </c>
      <c r="E606" s="2">
        <f t="shared" si="172"/>
        <v>77</v>
      </c>
      <c r="F606" s="1">
        <f t="shared" si="185"/>
        <v>1703187.5732729281</v>
      </c>
      <c r="H606" s="1">
        <f t="shared" si="178"/>
        <v>13581.456886042148</v>
      </c>
      <c r="I606" s="1">
        <v>0</v>
      </c>
      <c r="J606" s="1">
        <v>0</v>
      </c>
      <c r="K606" s="1">
        <f t="shared" si="186"/>
        <v>-1716.7690301589703</v>
      </c>
      <c r="L606" s="1">
        <f t="shared" si="179"/>
        <v>1715052.2611288114</v>
      </c>
      <c r="N606" s="1">
        <f t="shared" si="187"/>
        <v>583</v>
      </c>
      <c r="O606" s="2">
        <f t="shared" si="173"/>
        <v>48</v>
      </c>
      <c r="P606" s="2">
        <f t="shared" si="174"/>
        <v>7</v>
      </c>
      <c r="Q606" s="2">
        <f t="shared" si="175"/>
        <v>48</v>
      </c>
      <c r="R606" s="1">
        <f t="shared" si="188"/>
        <v>70124375.113387927</v>
      </c>
      <c r="S606" s="1">
        <f>+IF($G$4="mensual",S600,IF($G$4="trimestral",S600,IF($G$4="semestral",S600,0)))</f>
        <v>10000</v>
      </c>
      <c r="U606" s="1">
        <f t="shared" si="176"/>
        <v>559261.35604756873</v>
      </c>
      <c r="V606" s="1">
        <f t="shared" si="177"/>
        <v>-500.67425202145711</v>
      </c>
      <c r="X606" s="1">
        <f t="shared" si="180"/>
        <v>-70693.6364694355</v>
      </c>
      <c r="Y606" s="1">
        <f t="shared" si="181"/>
        <v>70622442.158714041</v>
      </c>
      <c r="AA606" s="2">
        <f>+Bono!J606</f>
        <v>746189.92011223966</v>
      </c>
      <c r="AC606" s="10">
        <f t="shared" si="182"/>
        <v>48.583333333333336</v>
      </c>
      <c r="AD606" s="1">
        <f t="shared" si="183"/>
        <v>73083684.339955091</v>
      </c>
    </row>
    <row r="607" spans="2:30">
      <c r="B607" s="1">
        <f t="shared" si="184"/>
        <v>584</v>
      </c>
      <c r="C607" s="2">
        <f t="shared" si="170"/>
        <v>48</v>
      </c>
      <c r="D607" s="2">
        <f t="shared" si="171"/>
        <v>8</v>
      </c>
      <c r="E607" s="2">
        <f t="shared" si="172"/>
        <v>77</v>
      </c>
      <c r="F607" s="1">
        <f t="shared" si="185"/>
        <v>1715052.2611288114</v>
      </c>
      <c r="H607" s="1">
        <f t="shared" si="178"/>
        <v>13676.067573150071</v>
      </c>
      <c r="I607" s="1">
        <v>0</v>
      </c>
      <c r="J607" s="1">
        <v>0</v>
      </c>
      <c r="K607" s="1">
        <f t="shared" si="186"/>
        <v>-1728.7283287019616</v>
      </c>
      <c r="L607" s="1">
        <f t="shared" si="179"/>
        <v>1726999.6003732595</v>
      </c>
      <c r="N607" s="1">
        <f t="shared" si="187"/>
        <v>584</v>
      </c>
      <c r="O607" s="2">
        <f t="shared" si="173"/>
        <v>48</v>
      </c>
      <c r="P607" s="2">
        <f t="shared" si="174"/>
        <v>8</v>
      </c>
      <c r="Q607" s="2">
        <f t="shared" si="175"/>
        <v>48</v>
      </c>
      <c r="R607" s="1">
        <f t="shared" si="188"/>
        <v>70622442.158714041</v>
      </c>
      <c r="S607" s="4">
        <f>IF($G$4="mensual",S606,0)</f>
        <v>10000</v>
      </c>
      <c r="U607" s="1">
        <f t="shared" si="176"/>
        <v>563233.01261000836</v>
      </c>
      <c r="V607" s="1">
        <f t="shared" si="177"/>
        <v>-500.67425202145711</v>
      </c>
      <c r="X607" s="1">
        <f t="shared" si="180"/>
        <v>-71195.675171324052</v>
      </c>
      <c r="Y607" s="1">
        <f t="shared" si="181"/>
        <v>71123978.821900696</v>
      </c>
      <c r="AA607" s="2">
        <f>+Bono!J607</f>
        <v>750816.38416960905</v>
      </c>
      <c r="AC607" s="10">
        <f t="shared" si="182"/>
        <v>48.666666666666664</v>
      </c>
      <c r="AD607" s="1">
        <f t="shared" si="183"/>
        <v>73601794.806443557</v>
      </c>
    </row>
    <row r="608" spans="2:30">
      <c r="B608" s="1">
        <f t="shared" si="184"/>
        <v>585</v>
      </c>
      <c r="C608" s="2">
        <f t="shared" si="170"/>
        <v>48</v>
      </c>
      <c r="D608" s="2">
        <f t="shared" si="171"/>
        <v>9</v>
      </c>
      <c r="E608" s="2">
        <f t="shared" si="172"/>
        <v>77</v>
      </c>
      <c r="F608" s="1">
        <f t="shared" si="185"/>
        <v>1726999.6003732595</v>
      </c>
      <c r="H608" s="1">
        <f t="shared" si="178"/>
        <v>13771.337334037053</v>
      </c>
      <c r="I608" s="1">
        <v>0</v>
      </c>
      <c r="J608" s="69">
        <f>-SUM(F608:H608)*$J$21</f>
        <v>-15666.938439365671</v>
      </c>
      <c r="K608" s="1">
        <f t="shared" si="186"/>
        <v>-1725.1039992679309</v>
      </c>
      <c r="L608" s="1">
        <f t="shared" si="179"/>
        <v>1723378.8952686628</v>
      </c>
      <c r="N608" s="1">
        <f t="shared" si="187"/>
        <v>585</v>
      </c>
      <c r="O608" s="2">
        <f t="shared" si="173"/>
        <v>48</v>
      </c>
      <c r="P608" s="2">
        <f t="shared" si="174"/>
        <v>9</v>
      </c>
      <c r="Q608" s="2">
        <f t="shared" si="175"/>
        <v>48</v>
      </c>
      <c r="R608" s="1">
        <f t="shared" si="188"/>
        <v>71123978.821900696</v>
      </c>
      <c r="S608" s="4">
        <f>IF($G$4="mensual",S607,0)</f>
        <v>10000</v>
      </c>
      <c r="U608" s="1">
        <f t="shared" si="176"/>
        <v>567232.33639250253</v>
      </c>
      <c r="V608" s="1">
        <f t="shared" si="177"/>
        <v>-500.67425202145711</v>
      </c>
      <c r="X608" s="1">
        <f t="shared" si="180"/>
        <v>-71701.211158293198</v>
      </c>
      <c r="Y608" s="1">
        <f t="shared" si="181"/>
        <v>71629009.272882894</v>
      </c>
      <c r="AA608" s="2">
        <f>+Bono!J608</f>
        <v>748665.48299535841</v>
      </c>
      <c r="AC608" s="10">
        <f t="shared" si="182"/>
        <v>48.75</v>
      </c>
      <c r="AD608" s="1">
        <f t="shared" si="183"/>
        <v>74101053.651146919</v>
      </c>
    </row>
    <row r="609" spans="2:30">
      <c r="B609" s="1">
        <f t="shared" si="184"/>
        <v>586</v>
      </c>
      <c r="C609" s="2">
        <f t="shared" si="170"/>
        <v>48</v>
      </c>
      <c r="D609" s="2">
        <f t="shared" si="171"/>
        <v>10</v>
      </c>
      <c r="E609" s="2">
        <f t="shared" si="172"/>
        <v>77</v>
      </c>
      <c r="F609" s="1">
        <f t="shared" si="185"/>
        <v>1723378.8952686628</v>
      </c>
      <c r="H609" s="1">
        <f t="shared" si="178"/>
        <v>13742.465323081351</v>
      </c>
      <c r="I609" s="1">
        <v>0</v>
      </c>
      <c r="J609" s="1">
        <v>0</v>
      </c>
      <c r="K609" s="1">
        <f t="shared" si="186"/>
        <v>-1737.1213605917442</v>
      </c>
      <c r="L609" s="1">
        <f t="shared" si="179"/>
        <v>1735384.2392311522</v>
      </c>
      <c r="N609" s="1">
        <f t="shared" si="187"/>
        <v>586</v>
      </c>
      <c r="O609" s="2">
        <f t="shared" si="173"/>
        <v>48</v>
      </c>
      <c r="P609" s="2">
        <f t="shared" si="174"/>
        <v>10</v>
      </c>
      <c r="Q609" s="2">
        <f t="shared" si="175"/>
        <v>48</v>
      </c>
      <c r="R609" s="1">
        <f t="shared" si="188"/>
        <v>71629009.272882894</v>
      </c>
      <c r="S609" s="4">
        <f>IF($G$4="mensual",S600,IF($G$4="trimestral",S600,0))</f>
        <v>10000</v>
      </c>
      <c r="U609" s="1">
        <f t="shared" si="176"/>
        <v>571259.52012950717</v>
      </c>
      <c r="V609" s="1">
        <f t="shared" si="177"/>
        <v>-500.67425202145711</v>
      </c>
      <c r="X609" s="1">
        <f t="shared" si="180"/>
        <v>-72210.268793012394</v>
      </c>
      <c r="Y609" s="1">
        <f t="shared" si="181"/>
        <v>72137557.84996736</v>
      </c>
      <c r="AA609" s="2">
        <f>+Bono!J609</f>
        <v>753307.2958297506</v>
      </c>
      <c r="AC609" s="10">
        <f t="shared" si="182"/>
        <v>48.833333333333336</v>
      </c>
      <c r="AD609" s="1">
        <f t="shared" si="183"/>
        <v>74626249.385028258</v>
      </c>
    </row>
    <row r="610" spans="2:30">
      <c r="B610" s="1">
        <f t="shared" si="184"/>
        <v>587</v>
      </c>
      <c r="C610" s="2">
        <f t="shared" si="170"/>
        <v>48</v>
      </c>
      <c r="D610" s="2">
        <f t="shared" si="171"/>
        <v>11</v>
      </c>
      <c r="E610" s="2">
        <f t="shared" si="172"/>
        <v>77</v>
      </c>
      <c r="F610" s="1">
        <f t="shared" si="185"/>
        <v>1735384.2392311522</v>
      </c>
      <c r="H610" s="1">
        <f t="shared" si="178"/>
        <v>13838.197621735533</v>
      </c>
      <c r="I610" s="1">
        <v>0</v>
      </c>
      <c r="J610" s="1">
        <v>0</v>
      </c>
      <c r="K610" s="1">
        <f t="shared" si="186"/>
        <v>-1749.2224368528878</v>
      </c>
      <c r="L610" s="1">
        <f t="shared" si="179"/>
        <v>1747473.2144160348</v>
      </c>
      <c r="N610" s="1">
        <f t="shared" si="187"/>
        <v>587</v>
      </c>
      <c r="O610" s="2">
        <f t="shared" si="173"/>
        <v>48</v>
      </c>
      <c r="P610" s="2">
        <f t="shared" si="174"/>
        <v>11</v>
      </c>
      <c r="Q610" s="2">
        <f t="shared" si="175"/>
        <v>48</v>
      </c>
      <c r="R610" s="1">
        <f t="shared" si="188"/>
        <v>72137557.84996736</v>
      </c>
      <c r="S610" s="1">
        <f>IF($G$17="si",S598*(1+$G$20),S598)</f>
        <v>10000</v>
      </c>
      <c r="U610" s="1">
        <f t="shared" si="176"/>
        <v>575314.75789809786</v>
      </c>
      <c r="V610" s="1">
        <f t="shared" si="177"/>
        <v>-500.67425202145711</v>
      </c>
      <c r="X610" s="1">
        <f t="shared" si="180"/>
        <v>-72722.872607865458</v>
      </c>
      <c r="Y610" s="1">
        <f t="shared" si="181"/>
        <v>72649649.061005563</v>
      </c>
      <c r="AA610" s="2">
        <f>+Bono!J610</f>
        <v>757977.88844213309</v>
      </c>
      <c r="AC610" s="10">
        <f t="shared" si="182"/>
        <v>48.916666666666664</v>
      </c>
      <c r="AD610" s="1">
        <f t="shared" si="183"/>
        <v>75155100.163863733</v>
      </c>
    </row>
    <row r="611" spans="2:30">
      <c r="B611" s="1">
        <f t="shared" si="184"/>
        <v>588</v>
      </c>
      <c r="C611" s="2">
        <f t="shared" si="170"/>
        <v>48</v>
      </c>
      <c r="D611" s="2">
        <f t="shared" si="171"/>
        <v>12</v>
      </c>
      <c r="E611" s="2">
        <f t="shared" si="172"/>
        <v>77</v>
      </c>
      <c r="F611" s="1">
        <f t="shared" si="185"/>
        <v>1747473.2144160348</v>
      </c>
      <c r="H611" s="1">
        <f t="shared" si="178"/>
        <v>13934.596807501319</v>
      </c>
      <c r="I611" s="1">
        <v>0</v>
      </c>
      <c r="J611" s="69">
        <f>-SUM(F611:H611)*$J$21</f>
        <v>-15852.670301011825</v>
      </c>
      <c r="K611" s="1">
        <f t="shared" si="186"/>
        <v>-1745.5551409225243</v>
      </c>
      <c r="L611" s="1">
        <f t="shared" si="179"/>
        <v>1743809.5857816017</v>
      </c>
      <c r="N611" s="1">
        <f t="shared" si="187"/>
        <v>588</v>
      </c>
      <c r="O611" s="2">
        <f t="shared" si="173"/>
        <v>48</v>
      </c>
      <c r="P611" s="2">
        <f t="shared" si="174"/>
        <v>12</v>
      </c>
      <c r="Q611" s="2">
        <f t="shared" si="175"/>
        <v>48</v>
      </c>
      <c r="R611" s="1">
        <f t="shared" si="188"/>
        <v>72649649.061005563</v>
      </c>
      <c r="S611" s="4">
        <f>IF($G$4="mensual",S610,0)</f>
        <v>10000</v>
      </c>
      <c r="U611" s="1">
        <f t="shared" si="176"/>
        <v>579398.2451273239</v>
      </c>
      <c r="V611" s="1">
        <f t="shared" si="177"/>
        <v>-500.67425202145711</v>
      </c>
      <c r="X611" s="1">
        <f t="shared" si="180"/>
        <v>-73239.047306132881</v>
      </c>
      <c r="Y611" s="1">
        <f t="shared" si="181"/>
        <v>73165307.584574729</v>
      </c>
      <c r="AA611" s="2">
        <f>+Bono!J611</f>
        <v>755806.47134911199</v>
      </c>
      <c r="AC611" s="10">
        <f t="shared" si="182"/>
        <v>49</v>
      </c>
      <c r="AD611" s="1">
        <f t="shared" si="183"/>
        <v>75664923.641705438</v>
      </c>
    </row>
    <row r="612" spans="2:30">
      <c r="B612" s="1">
        <f t="shared" si="184"/>
        <v>589</v>
      </c>
      <c r="C612" s="2">
        <f t="shared" ref="C612:C675" si="189">C600+1</f>
        <v>49</v>
      </c>
      <c r="D612" s="2">
        <f t="shared" ref="D612:D675" si="190">D600</f>
        <v>1</v>
      </c>
      <c r="E612" s="2">
        <f t="shared" ref="E612:E675" si="191">E600+1</f>
        <v>78</v>
      </c>
      <c r="F612" s="1">
        <f t="shared" si="185"/>
        <v>1743809.5857816017</v>
      </c>
      <c r="H612" s="1">
        <f t="shared" si="178"/>
        <v>13905.382518290997</v>
      </c>
      <c r="I612" s="1">
        <v>0</v>
      </c>
      <c r="J612" s="1">
        <v>0</v>
      </c>
      <c r="K612" s="1">
        <f t="shared" si="186"/>
        <v>-1757.7149682998927</v>
      </c>
      <c r="L612" s="1">
        <f t="shared" si="179"/>
        <v>1755957.2533315928</v>
      </c>
      <c r="N612" s="1">
        <f t="shared" si="187"/>
        <v>589</v>
      </c>
      <c r="O612" s="2">
        <f t="shared" ref="O612:O675" si="192">O600+1</f>
        <v>49</v>
      </c>
      <c r="P612" s="2">
        <f t="shared" ref="P612:P675" si="193">P600</f>
        <v>1</v>
      </c>
      <c r="Q612" s="2">
        <f t="shared" ref="Q612:Q675" si="194">Q600+1</f>
        <v>49</v>
      </c>
      <c r="R612" s="1">
        <f t="shared" si="188"/>
        <v>73165307.584574729</v>
      </c>
      <c r="S612" s="1">
        <f>IF($G$17="si",S600*(1+$G$20),S600)</f>
        <v>10000</v>
      </c>
      <c r="U612" s="1">
        <f t="shared" ref="U612:U675" si="195">SUM(R612:T612)*$G$8</f>
        <v>583510.17860762565</v>
      </c>
      <c r="V612" s="1">
        <f>V611*(1+$G$18)</f>
        <v>-520.70122210231546</v>
      </c>
      <c r="X612" s="1">
        <f t="shared" si="180"/>
        <v>-73758.817763182364</v>
      </c>
      <c r="Y612" s="1">
        <f t="shared" si="181"/>
        <v>73684538.244197071</v>
      </c>
      <c r="AA612" s="2">
        <f>+Bono!J612</f>
        <v>760492.55913960095</v>
      </c>
      <c r="AC612" s="10">
        <f t="shared" si="182"/>
        <v>49.083333333333336</v>
      </c>
      <c r="AD612" s="1">
        <f t="shared" si="183"/>
        <v>76200988.056668252</v>
      </c>
    </row>
    <row r="613" spans="2:30">
      <c r="B613" s="1">
        <f t="shared" si="184"/>
        <v>590</v>
      </c>
      <c r="C613" s="2">
        <f t="shared" si="189"/>
        <v>49</v>
      </c>
      <c r="D613" s="2">
        <f t="shared" si="190"/>
        <v>2</v>
      </c>
      <c r="E613" s="2">
        <f t="shared" si="191"/>
        <v>78</v>
      </c>
      <c r="F613" s="1">
        <f t="shared" si="185"/>
        <v>1755957.2533315928</v>
      </c>
      <c r="H613" s="1">
        <f t="shared" si="178"/>
        <v>14002.249725218264</v>
      </c>
      <c r="I613" s="1">
        <v>0</v>
      </c>
      <c r="J613" s="1">
        <v>0</v>
      </c>
      <c r="K613" s="1">
        <f t="shared" si="186"/>
        <v>-1769.9595030568109</v>
      </c>
      <c r="L613" s="1">
        <f t="shared" si="179"/>
        <v>1768189.5435537542</v>
      </c>
      <c r="N613" s="1">
        <f t="shared" si="187"/>
        <v>590</v>
      </c>
      <c r="O613" s="2">
        <f t="shared" si="192"/>
        <v>49</v>
      </c>
      <c r="P613" s="2">
        <f t="shared" si="193"/>
        <v>2</v>
      </c>
      <c r="Q613" s="2">
        <f t="shared" si="194"/>
        <v>49</v>
      </c>
      <c r="R613" s="1">
        <f t="shared" si="188"/>
        <v>73684538.244197071</v>
      </c>
      <c r="S613" s="4">
        <f>IF($G$4="mensual",S612,0)</f>
        <v>10000</v>
      </c>
      <c r="U613" s="1">
        <f t="shared" si="195"/>
        <v>587650.59680244653</v>
      </c>
      <c r="V613" s="1">
        <f>V612</f>
        <v>-520.70122210231546</v>
      </c>
      <c r="X613" s="1">
        <f t="shared" si="180"/>
        <v>-74282.188840999515</v>
      </c>
      <c r="Y613" s="1">
        <f t="shared" si="181"/>
        <v>74207385.950936407</v>
      </c>
      <c r="AA613" s="2">
        <f>+Bono!J613</f>
        <v>765207.70121794345</v>
      </c>
      <c r="AC613" s="10">
        <f t="shared" si="182"/>
        <v>49.166666666666664</v>
      </c>
      <c r="AD613" s="1">
        <f t="shared" si="183"/>
        <v>76740783.195708111</v>
      </c>
    </row>
    <row r="614" spans="2:30">
      <c r="B614" s="1">
        <f t="shared" si="184"/>
        <v>591</v>
      </c>
      <c r="C614" s="2">
        <f t="shared" si="189"/>
        <v>49</v>
      </c>
      <c r="D614" s="2">
        <f t="shared" si="190"/>
        <v>3</v>
      </c>
      <c r="E614" s="2">
        <f t="shared" si="191"/>
        <v>78</v>
      </c>
      <c r="F614" s="1">
        <f t="shared" si="185"/>
        <v>1768189.5435537542</v>
      </c>
      <c r="H614" s="1">
        <f t="shared" si="178"/>
        <v>14099.791725216885</v>
      </c>
      <c r="I614" s="1">
        <v>0</v>
      </c>
      <c r="J614" s="69">
        <f>-SUM(F614:H614)*$J$21</f>
        <v>-16040.604017510743</v>
      </c>
      <c r="K614" s="1">
        <f t="shared" si="186"/>
        <v>-1766.2487312614603</v>
      </c>
      <c r="L614" s="1">
        <f t="shared" si="179"/>
        <v>1764482.482530199</v>
      </c>
      <c r="N614" s="1">
        <f t="shared" si="187"/>
        <v>591</v>
      </c>
      <c r="O614" s="2">
        <f t="shared" si="192"/>
        <v>49</v>
      </c>
      <c r="P614" s="2">
        <f t="shared" si="193"/>
        <v>3</v>
      </c>
      <c r="Q614" s="2">
        <f t="shared" si="194"/>
        <v>49</v>
      </c>
      <c r="R614" s="1">
        <f t="shared" si="188"/>
        <v>74207385.950936407</v>
      </c>
      <c r="S614" s="4">
        <f>IF($G$4="mensual",S613,0)</f>
        <v>10000</v>
      </c>
      <c r="U614" s="1">
        <f t="shared" si="195"/>
        <v>591819.85783891624</v>
      </c>
      <c r="V614" s="1">
        <f t="shared" si="177"/>
        <v>-520.70122210231546</v>
      </c>
      <c r="X614" s="1">
        <f t="shared" si="180"/>
        <v>-74809.205808775325</v>
      </c>
      <c r="Y614" s="1">
        <f t="shared" si="181"/>
        <v>74733875.90174444</v>
      </c>
      <c r="AA614" s="2">
        <f>+Bono!J614</f>
        <v>763015.57251937268</v>
      </c>
      <c r="AC614" s="10">
        <f t="shared" si="182"/>
        <v>49.25</v>
      </c>
      <c r="AD614" s="1">
        <f t="shared" si="183"/>
        <v>77261373.956794024</v>
      </c>
    </row>
    <row r="615" spans="2:30">
      <c r="B615" s="1">
        <f t="shared" si="184"/>
        <v>592</v>
      </c>
      <c r="C615" s="2">
        <f t="shared" si="189"/>
        <v>49</v>
      </c>
      <c r="D615" s="2">
        <f t="shared" si="190"/>
        <v>4</v>
      </c>
      <c r="E615" s="2">
        <f t="shared" si="191"/>
        <v>78</v>
      </c>
      <c r="F615" s="1">
        <f t="shared" si="185"/>
        <v>1764482.482530199</v>
      </c>
      <c r="H615" s="1">
        <f t="shared" si="178"/>
        <v>14070.231100036539</v>
      </c>
      <c r="I615" s="1">
        <v>0</v>
      </c>
      <c r="J615" s="1">
        <v>0</v>
      </c>
      <c r="K615" s="1">
        <f t="shared" si="186"/>
        <v>-1778.5527136302355</v>
      </c>
      <c r="L615" s="1">
        <f t="shared" si="179"/>
        <v>1776774.1609166053</v>
      </c>
      <c r="N615" s="1">
        <f t="shared" si="187"/>
        <v>592</v>
      </c>
      <c r="O615" s="2">
        <f t="shared" si="192"/>
        <v>49</v>
      </c>
      <c r="P615" s="2">
        <f t="shared" si="193"/>
        <v>4</v>
      </c>
      <c r="Q615" s="2">
        <f t="shared" si="194"/>
        <v>49</v>
      </c>
      <c r="R615" s="1">
        <f t="shared" si="188"/>
        <v>74733875.90174444</v>
      </c>
      <c r="S615" s="4">
        <f>IF($G$4="mensual",S612,IF($G$4="trimestral",S612,0))</f>
        <v>10000</v>
      </c>
      <c r="U615" s="1">
        <f t="shared" si="195"/>
        <v>596018.16264106613</v>
      </c>
      <c r="V615" s="1">
        <f t="shared" si="177"/>
        <v>-520.70122210231546</v>
      </c>
      <c r="X615" s="1">
        <f t="shared" si="180"/>
        <v>-75339.894064385502</v>
      </c>
      <c r="Y615" s="1">
        <f t="shared" si="181"/>
        <v>75264033.469099015</v>
      </c>
      <c r="AA615" s="2">
        <f>+Bono!J615</f>
        <v>767746.35757332121</v>
      </c>
      <c r="AC615" s="10">
        <f t="shared" si="182"/>
        <v>49.333333333333336</v>
      </c>
      <c r="AD615" s="1">
        <f t="shared" si="183"/>
        <v>77808553.987588942</v>
      </c>
    </row>
    <row r="616" spans="2:30">
      <c r="B616" s="1">
        <f t="shared" si="184"/>
        <v>593</v>
      </c>
      <c r="C616" s="2">
        <f t="shared" si="189"/>
        <v>49</v>
      </c>
      <c r="D616" s="2">
        <f t="shared" si="190"/>
        <v>5</v>
      </c>
      <c r="E616" s="2">
        <f t="shared" si="191"/>
        <v>78</v>
      </c>
      <c r="F616" s="1">
        <f t="shared" si="185"/>
        <v>1776774.1609166053</v>
      </c>
      <c r="H616" s="1">
        <f t="shared" si="178"/>
        <v>14168.246669596665</v>
      </c>
      <c r="I616" s="1">
        <v>0</v>
      </c>
      <c r="J616" s="1">
        <v>0</v>
      </c>
      <c r="K616" s="1">
        <f t="shared" si="186"/>
        <v>-1790.9424075862021</v>
      </c>
      <c r="L616" s="1">
        <f t="shared" si="179"/>
        <v>1789151.4651786159</v>
      </c>
      <c r="N616" s="1">
        <f t="shared" si="187"/>
        <v>593</v>
      </c>
      <c r="O616" s="2">
        <f t="shared" si="192"/>
        <v>49</v>
      </c>
      <c r="P616" s="2">
        <f t="shared" si="193"/>
        <v>5</v>
      </c>
      <c r="Q616" s="2">
        <f t="shared" si="194"/>
        <v>49</v>
      </c>
      <c r="R616" s="1">
        <f t="shared" si="188"/>
        <v>75264033.469099015</v>
      </c>
      <c r="S616" s="4">
        <f>IF($G$4="mensual",S615,0)</f>
        <v>10000</v>
      </c>
      <c r="U616" s="1">
        <f t="shared" si="195"/>
        <v>600245.71353259753</v>
      </c>
      <c r="V616" s="1">
        <f t="shared" si="177"/>
        <v>-520.70122210231546</v>
      </c>
      <c r="X616" s="1">
        <f t="shared" si="180"/>
        <v>-75874.27918263161</v>
      </c>
      <c r="Y616" s="1">
        <f t="shared" si="181"/>
        <v>75797884.202226877</v>
      </c>
      <c r="AA616" s="2">
        <f>+Bono!J616</f>
        <v>772506.47404334135</v>
      </c>
      <c r="AC616" s="10">
        <f t="shared" si="182"/>
        <v>49.416666666666664</v>
      </c>
      <c r="AD616" s="1">
        <f t="shared" si="183"/>
        <v>78359542.141448826</v>
      </c>
    </row>
    <row r="617" spans="2:30">
      <c r="B617" s="1">
        <f t="shared" si="184"/>
        <v>594</v>
      </c>
      <c r="C617" s="2">
        <f t="shared" si="189"/>
        <v>49</v>
      </c>
      <c r="D617" s="2">
        <f t="shared" si="190"/>
        <v>6</v>
      </c>
      <c r="E617" s="2">
        <f t="shared" si="191"/>
        <v>78</v>
      </c>
      <c r="F617" s="1">
        <f t="shared" si="185"/>
        <v>1789151.4651786159</v>
      </c>
      <c r="H617" s="1">
        <f t="shared" si="178"/>
        <v>14266.945031913207</v>
      </c>
      <c r="I617" s="1">
        <v>0</v>
      </c>
      <c r="J617" s="69">
        <f>-SUM(F617:H617)*$J$21</f>
        <v>-16230.765691894763</v>
      </c>
      <c r="K617" s="1">
        <f t="shared" si="186"/>
        <v>-1787.1876445186344</v>
      </c>
      <c r="L617" s="1">
        <f t="shared" si="179"/>
        <v>1785400.4568741156</v>
      </c>
      <c r="N617" s="1">
        <f t="shared" si="187"/>
        <v>594</v>
      </c>
      <c r="O617" s="2">
        <f t="shared" si="192"/>
        <v>49</v>
      </c>
      <c r="P617" s="2">
        <f t="shared" si="193"/>
        <v>6</v>
      </c>
      <c r="Q617" s="2">
        <f t="shared" si="194"/>
        <v>49</v>
      </c>
      <c r="R617" s="1">
        <f t="shared" si="188"/>
        <v>75797884.202226877</v>
      </c>
      <c r="S617" s="4">
        <f>IF($G$4="mensual",S616,0)</f>
        <v>10000</v>
      </c>
      <c r="U617" s="1">
        <f t="shared" si="195"/>
        <v>604502.7142466323</v>
      </c>
      <c r="V617" s="1">
        <f t="shared" si="177"/>
        <v>-520.70122210231546</v>
      </c>
      <c r="X617" s="1">
        <f t="shared" si="180"/>
        <v>-76412.386916473508</v>
      </c>
      <c r="Y617" s="1">
        <f t="shared" si="181"/>
        <v>76335453.828334928</v>
      </c>
      <c r="AA617" s="2">
        <f>+Bono!J617</f>
        <v>770293.43618592457</v>
      </c>
      <c r="AC617" s="10">
        <f t="shared" si="182"/>
        <v>49.5</v>
      </c>
      <c r="AD617" s="1">
        <f t="shared" si="183"/>
        <v>78891147.721394971</v>
      </c>
    </row>
    <row r="618" spans="2:30">
      <c r="B618" s="1">
        <f t="shared" si="184"/>
        <v>595</v>
      </c>
      <c r="C618" s="2">
        <f t="shared" si="189"/>
        <v>49</v>
      </c>
      <c r="D618" s="2">
        <f t="shared" si="190"/>
        <v>7</v>
      </c>
      <c r="E618" s="2">
        <f t="shared" si="191"/>
        <v>78</v>
      </c>
      <c r="F618" s="1">
        <f t="shared" si="185"/>
        <v>1785400.4568741156</v>
      </c>
      <c r="H618" s="1">
        <f t="shared" si="178"/>
        <v>14237.033964943137</v>
      </c>
      <c r="I618" s="1">
        <v>0</v>
      </c>
      <c r="J618" s="1">
        <v>0</v>
      </c>
      <c r="K618" s="1">
        <f t="shared" si="186"/>
        <v>-1799.6374908390587</v>
      </c>
      <c r="L618" s="1">
        <f t="shared" si="179"/>
        <v>1797837.8533482198</v>
      </c>
      <c r="N618" s="1">
        <f t="shared" si="187"/>
        <v>595</v>
      </c>
      <c r="O618" s="2">
        <f t="shared" si="192"/>
        <v>49</v>
      </c>
      <c r="P618" s="2">
        <f t="shared" si="193"/>
        <v>7</v>
      </c>
      <c r="Q618" s="2">
        <f t="shared" si="194"/>
        <v>49</v>
      </c>
      <c r="R618" s="1">
        <f t="shared" si="188"/>
        <v>76335453.828334928</v>
      </c>
      <c r="S618" s="1">
        <f>+IF($G$4="mensual",S612,IF($G$4="trimestral",S612,IF($G$4="semestral",S612,0)))</f>
        <v>10000</v>
      </c>
      <c r="U618" s="1">
        <f t="shared" si="195"/>
        <v>608789.36993553117</v>
      </c>
      <c r="V618" s="1">
        <f t="shared" si="177"/>
        <v>-520.70122210231546</v>
      </c>
      <c r="X618" s="1">
        <f t="shared" si="180"/>
        <v>-76954.243198270458</v>
      </c>
      <c r="Y618" s="1">
        <f t="shared" si="181"/>
        <v>76876768.253850073</v>
      </c>
      <c r="AA618" s="2">
        <f>+Bono!J618</f>
        <v>775069.34483878571</v>
      </c>
      <c r="AC618" s="10">
        <f t="shared" si="182"/>
        <v>49.583333333333336</v>
      </c>
      <c r="AD618" s="1">
        <f t="shared" si="183"/>
        <v>79449675.452037081</v>
      </c>
    </row>
    <row r="619" spans="2:30">
      <c r="B619" s="1">
        <f t="shared" si="184"/>
        <v>596</v>
      </c>
      <c r="C619" s="2">
        <f t="shared" si="189"/>
        <v>49</v>
      </c>
      <c r="D619" s="2">
        <f t="shared" si="190"/>
        <v>8</v>
      </c>
      <c r="E619" s="2">
        <f t="shared" si="191"/>
        <v>78</v>
      </c>
      <c r="F619" s="1">
        <f t="shared" si="185"/>
        <v>1797837.8533482198</v>
      </c>
      <c r="H619" s="1">
        <f t="shared" si="178"/>
        <v>14336.211510997597</v>
      </c>
      <c r="I619" s="1">
        <v>0</v>
      </c>
      <c r="J619" s="1">
        <v>0</v>
      </c>
      <c r="K619" s="1">
        <f t="shared" si="186"/>
        <v>-1812.1740648592172</v>
      </c>
      <c r="L619" s="1">
        <f t="shared" si="179"/>
        <v>1810361.890794358</v>
      </c>
      <c r="N619" s="1">
        <f t="shared" si="187"/>
        <v>596</v>
      </c>
      <c r="O619" s="2">
        <f t="shared" si="192"/>
        <v>49</v>
      </c>
      <c r="P619" s="2">
        <f t="shared" si="193"/>
        <v>8</v>
      </c>
      <c r="Q619" s="2">
        <f t="shared" si="194"/>
        <v>49</v>
      </c>
      <c r="R619" s="1">
        <f t="shared" si="188"/>
        <v>76876768.253850073</v>
      </c>
      <c r="S619" s="4">
        <f>IF($G$4="mensual",S618,0)</f>
        <v>10000</v>
      </c>
      <c r="U619" s="1">
        <f t="shared" si="195"/>
        <v>613105.88718078029</v>
      </c>
      <c r="V619" s="1">
        <f t="shared" si="177"/>
        <v>-520.70122210231546</v>
      </c>
      <c r="X619" s="1">
        <f t="shared" si="180"/>
        <v>-77499.874141030843</v>
      </c>
      <c r="Y619" s="1">
        <f t="shared" si="181"/>
        <v>77421853.565667704</v>
      </c>
      <c r="AA619" s="2">
        <f>+Bono!J619</f>
        <v>779874.86467926565</v>
      </c>
      <c r="AC619" s="10">
        <f t="shared" si="182"/>
        <v>49.666666666666664</v>
      </c>
      <c r="AD619" s="1">
        <f t="shared" si="183"/>
        <v>80012090.321141317</v>
      </c>
    </row>
    <row r="620" spans="2:30">
      <c r="B620" s="1">
        <f t="shared" si="184"/>
        <v>597</v>
      </c>
      <c r="C620" s="2">
        <f t="shared" si="189"/>
        <v>49</v>
      </c>
      <c r="D620" s="2">
        <f t="shared" si="190"/>
        <v>9</v>
      </c>
      <c r="E620" s="2">
        <f t="shared" si="191"/>
        <v>78</v>
      </c>
      <c r="F620" s="1">
        <f t="shared" si="185"/>
        <v>1810361.890794358</v>
      </c>
      <c r="H620" s="1">
        <f t="shared" si="178"/>
        <v>14436.079944329951</v>
      </c>
      <c r="I620" s="1">
        <v>0</v>
      </c>
      <c r="J620" s="69">
        <f>-SUM(F620:H620)*$J$21</f>
        <v>-16423.181736648196</v>
      </c>
      <c r="K620" s="1">
        <f t="shared" si="186"/>
        <v>-1808.37478900204</v>
      </c>
      <c r="L620" s="1">
        <f t="shared" si="179"/>
        <v>1806566.4142130378</v>
      </c>
      <c r="N620" s="1">
        <f t="shared" si="187"/>
        <v>597</v>
      </c>
      <c r="O620" s="2">
        <f t="shared" si="192"/>
        <v>49</v>
      </c>
      <c r="P620" s="2">
        <f t="shared" si="193"/>
        <v>9</v>
      </c>
      <c r="Q620" s="2">
        <f t="shared" si="194"/>
        <v>49</v>
      </c>
      <c r="R620" s="1">
        <f t="shared" si="188"/>
        <v>77421853.565667704</v>
      </c>
      <c r="S620" s="4">
        <f>IF($G$4="mensual",S619,0)</f>
        <v>10000</v>
      </c>
      <c r="U620" s="1">
        <f t="shared" si="195"/>
        <v>617452.47400294698</v>
      </c>
      <c r="V620" s="1">
        <f t="shared" si="177"/>
        <v>-520.70122210231546</v>
      </c>
      <c r="X620" s="1">
        <f t="shared" si="180"/>
        <v>-78049.306039670642</v>
      </c>
      <c r="Y620" s="1">
        <f t="shared" si="181"/>
        <v>77970736.032408863</v>
      </c>
      <c r="AA620" s="2">
        <f>+Bono!J620</f>
        <v>777640.71822538611</v>
      </c>
      <c r="AC620" s="10">
        <f t="shared" si="182"/>
        <v>49.75</v>
      </c>
      <c r="AD620" s="1">
        <f t="shared" si="183"/>
        <v>80554943.164847285</v>
      </c>
    </row>
    <row r="621" spans="2:30">
      <c r="B621" s="1">
        <f t="shared" si="184"/>
        <v>598</v>
      </c>
      <c r="C621" s="2">
        <f t="shared" si="189"/>
        <v>49</v>
      </c>
      <c r="D621" s="2">
        <f t="shared" si="190"/>
        <v>10</v>
      </c>
      <c r="E621" s="2">
        <f t="shared" si="191"/>
        <v>78</v>
      </c>
      <c r="F621" s="1">
        <f t="shared" si="185"/>
        <v>1806566.4142130378</v>
      </c>
      <c r="H621" s="1">
        <f t="shared" si="178"/>
        <v>14405.814281075889</v>
      </c>
      <c r="I621" s="1">
        <v>0</v>
      </c>
      <c r="J621" s="1">
        <v>0</v>
      </c>
      <c r="K621" s="1">
        <f t="shared" si="186"/>
        <v>-1820.9722284941138</v>
      </c>
      <c r="L621" s="1">
        <f t="shared" si="179"/>
        <v>1819151.2562656198</v>
      </c>
      <c r="N621" s="1">
        <f t="shared" si="187"/>
        <v>598</v>
      </c>
      <c r="O621" s="2">
        <f t="shared" si="192"/>
        <v>49</v>
      </c>
      <c r="P621" s="2">
        <f t="shared" si="193"/>
        <v>10</v>
      </c>
      <c r="Q621" s="2">
        <f t="shared" si="194"/>
        <v>49</v>
      </c>
      <c r="R621" s="1">
        <f t="shared" si="188"/>
        <v>77970736.032408863</v>
      </c>
      <c r="S621" s="4">
        <f>IF($G$4="mensual",S612,IF($G$4="trimestral",S612,0))</f>
        <v>10000</v>
      </c>
      <c r="U621" s="1">
        <f t="shared" si="195"/>
        <v>621829.339871704</v>
      </c>
      <c r="V621" s="1">
        <f t="shared" si="177"/>
        <v>-520.70122210231546</v>
      </c>
      <c r="X621" s="1">
        <f t="shared" si="180"/>
        <v>-78602.565372280573</v>
      </c>
      <c r="Y621" s="1">
        <f t="shared" si="181"/>
        <v>78523442.105686188</v>
      </c>
      <c r="AA621" s="2">
        <f>+Bono!J621</f>
        <v>782462.18087912374</v>
      </c>
      <c r="AC621" s="10">
        <f t="shared" si="182"/>
        <v>49.833333333333336</v>
      </c>
      <c r="AD621" s="1">
        <f t="shared" si="183"/>
        <v>81125055.542830944</v>
      </c>
    </row>
    <row r="622" spans="2:30">
      <c r="B622" s="1">
        <f t="shared" si="184"/>
        <v>599</v>
      </c>
      <c r="C622" s="2">
        <f t="shared" si="189"/>
        <v>49</v>
      </c>
      <c r="D622" s="2">
        <f t="shared" si="190"/>
        <v>11</v>
      </c>
      <c r="E622" s="2">
        <f t="shared" si="191"/>
        <v>78</v>
      </c>
      <c r="F622" s="1">
        <f t="shared" si="185"/>
        <v>1819151.2562656198</v>
      </c>
      <c r="H622" s="1">
        <f t="shared" si="178"/>
        <v>14506.167578878751</v>
      </c>
      <c r="I622" s="1">
        <v>0</v>
      </c>
      <c r="J622" s="1">
        <v>0</v>
      </c>
      <c r="K622" s="1">
        <f t="shared" si="186"/>
        <v>-1833.6574238444987</v>
      </c>
      <c r="L622" s="1">
        <f t="shared" si="179"/>
        <v>1831823.766420654</v>
      </c>
      <c r="N622" s="1">
        <f t="shared" si="187"/>
        <v>599</v>
      </c>
      <c r="O622" s="2">
        <f t="shared" si="192"/>
        <v>49</v>
      </c>
      <c r="P622" s="2">
        <f t="shared" si="193"/>
        <v>11</v>
      </c>
      <c r="Q622" s="2">
        <f t="shared" si="194"/>
        <v>49</v>
      </c>
      <c r="R622" s="1">
        <f t="shared" si="188"/>
        <v>78523442.105686188</v>
      </c>
      <c r="S622" s="1">
        <f>IF($G$17="si",S610*(1+$G$20),S610)</f>
        <v>10000</v>
      </c>
      <c r="U622" s="1">
        <f t="shared" si="195"/>
        <v>626236.69571592542</v>
      </c>
      <c r="V622" s="1">
        <f t="shared" si="177"/>
        <v>-520.70122210231546</v>
      </c>
      <c r="X622" s="1">
        <f t="shared" si="180"/>
        <v>-79159.678801402115</v>
      </c>
      <c r="Y622" s="1">
        <f t="shared" si="181"/>
        <v>79079998.421378598</v>
      </c>
      <c r="AA622" s="2">
        <f>+Bono!J622</f>
        <v>787313.53716056957</v>
      </c>
      <c r="AC622" s="10">
        <f t="shared" si="182"/>
        <v>49.916666666666664</v>
      </c>
      <c r="AD622" s="1">
        <f t="shared" si="183"/>
        <v>81699135.724959821</v>
      </c>
    </row>
    <row r="623" spans="2:30">
      <c r="B623" s="1">
        <f t="shared" si="184"/>
        <v>600</v>
      </c>
      <c r="C623" s="2">
        <f t="shared" si="189"/>
        <v>49</v>
      </c>
      <c r="D623" s="2">
        <f t="shared" si="190"/>
        <v>12</v>
      </c>
      <c r="E623" s="2">
        <f t="shared" si="191"/>
        <v>78</v>
      </c>
      <c r="F623" s="1">
        <f t="shared" si="185"/>
        <v>1831823.766420654</v>
      </c>
      <c r="H623" s="1">
        <f t="shared" si="178"/>
        <v>14607.219954441704</v>
      </c>
      <c r="I623" s="1">
        <v>0</v>
      </c>
      <c r="J623" s="69">
        <f>-SUM(F623:H623)*$J$21</f>
        <v>-16617.878877375864</v>
      </c>
      <c r="K623" s="1">
        <f t="shared" si="186"/>
        <v>-1829.8131074977198</v>
      </c>
      <c r="L623" s="1">
        <f t="shared" si="179"/>
        <v>1827983.2943902221</v>
      </c>
      <c r="N623" s="1">
        <f t="shared" si="187"/>
        <v>600</v>
      </c>
      <c r="O623" s="2">
        <f t="shared" si="192"/>
        <v>49</v>
      </c>
      <c r="P623" s="2">
        <f t="shared" si="193"/>
        <v>12</v>
      </c>
      <c r="Q623" s="2">
        <f t="shared" si="194"/>
        <v>49</v>
      </c>
      <c r="R623" s="1">
        <f t="shared" si="188"/>
        <v>79079998.421378598</v>
      </c>
      <c r="S623" s="4">
        <f>IF($G$4="mensual",S622,0)</f>
        <v>10000</v>
      </c>
      <c r="U623" s="1">
        <f t="shared" si="195"/>
        <v>630674.75393384998</v>
      </c>
      <c r="V623" s="1">
        <f t="shared" si="177"/>
        <v>-520.70122210231546</v>
      </c>
      <c r="X623" s="1">
        <f t="shared" si="180"/>
        <v>-79720.673175312448</v>
      </c>
      <c r="Y623" s="1">
        <f t="shared" si="181"/>
        <v>79640431.800915033</v>
      </c>
      <c r="AA623" s="2">
        <f>+Bono!J623</f>
        <v>785058.08077031642</v>
      </c>
      <c r="AC623" s="10">
        <f t="shared" si="182"/>
        <v>50</v>
      </c>
      <c r="AD623" s="1">
        <f t="shared" si="183"/>
        <v>82253473.176075563</v>
      </c>
    </row>
    <row r="624" spans="2:30">
      <c r="B624" s="1">
        <f t="shared" si="184"/>
        <v>601</v>
      </c>
      <c r="C624" s="2">
        <f t="shared" si="189"/>
        <v>50</v>
      </c>
      <c r="D624" s="2">
        <f t="shared" si="190"/>
        <v>1</v>
      </c>
      <c r="E624" s="2">
        <f t="shared" si="191"/>
        <v>79</v>
      </c>
      <c r="F624" s="1">
        <f t="shared" si="185"/>
        <v>1827983.2943902221</v>
      </c>
      <c r="H624" s="1">
        <f t="shared" si="178"/>
        <v>14576.595491157761</v>
      </c>
      <c r="I624" s="1">
        <v>0</v>
      </c>
      <c r="J624" s="1">
        <v>0</v>
      </c>
      <c r="K624" s="1">
        <f t="shared" si="186"/>
        <v>-1842.5598898813798</v>
      </c>
      <c r="L624" s="1">
        <f t="shared" si="179"/>
        <v>1840717.3299914985</v>
      </c>
      <c r="N624" s="1">
        <f t="shared" si="187"/>
        <v>601</v>
      </c>
      <c r="O624" s="2">
        <f t="shared" si="192"/>
        <v>50</v>
      </c>
      <c r="P624" s="2">
        <f t="shared" si="193"/>
        <v>1</v>
      </c>
      <c r="Q624" s="2">
        <f t="shared" si="194"/>
        <v>50</v>
      </c>
      <c r="R624" s="1">
        <f t="shared" si="188"/>
        <v>79640431.800915033</v>
      </c>
      <c r="S624" s="1">
        <f>IF($G$17="si",S612*(1+$G$20),S612)</f>
        <v>10000</v>
      </c>
      <c r="U624" s="1">
        <f t="shared" si="195"/>
        <v>635143.72840331867</v>
      </c>
      <c r="V624" s="1">
        <f>V623*(1+$G$18)</f>
        <v>-541.52927098640805</v>
      </c>
      <c r="X624" s="1">
        <f t="shared" si="180"/>
        <v>-80285.575529318347</v>
      </c>
      <c r="Y624" s="1">
        <f t="shared" si="181"/>
        <v>80204748.424518034</v>
      </c>
      <c r="AA624" s="2">
        <f>+Bono!J624</f>
        <v>789925.53193219344</v>
      </c>
      <c r="AC624" s="10">
        <f t="shared" si="182"/>
        <v>50.083333333333336</v>
      </c>
      <c r="AD624" s="1">
        <f t="shared" si="183"/>
        <v>82835391.286441728</v>
      </c>
    </row>
    <row r="625" spans="2:30">
      <c r="B625" s="1">
        <f t="shared" si="184"/>
        <v>602</v>
      </c>
      <c r="C625" s="2">
        <f t="shared" si="189"/>
        <v>50</v>
      </c>
      <c r="D625" s="2">
        <f t="shared" si="190"/>
        <v>2</v>
      </c>
      <c r="E625" s="2">
        <f t="shared" si="191"/>
        <v>79</v>
      </c>
      <c r="F625" s="1">
        <f t="shared" si="185"/>
        <v>1840717.3299914985</v>
      </c>
      <c r="H625" s="1">
        <f t="shared" si="178"/>
        <v>14678.138479269001</v>
      </c>
      <c r="I625" s="1">
        <v>0</v>
      </c>
      <c r="J625" s="1">
        <v>0</v>
      </c>
      <c r="K625" s="1">
        <f t="shared" si="186"/>
        <v>-1855.3954684707676</v>
      </c>
      <c r="L625" s="1">
        <f t="shared" si="179"/>
        <v>1853540.0730022967</v>
      </c>
      <c r="N625" s="1">
        <f t="shared" si="187"/>
        <v>602</v>
      </c>
      <c r="O625" s="2">
        <f t="shared" si="192"/>
        <v>50</v>
      </c>
      <c r="P625" s="2">
        <f t="shared" si="193"/>
        <v>2</v>
      </c>
      <c r="Q625" s="2">
        <f t="shared" si="194"/>
        <v>50</v>
      </c>
      <c r="R625" s="1">
        <f t="shared" si="188"/>
        <v>80204748.424518034</v>
      </c>
      <c r="S625" s="4">
        <f>IF($G$4="mensual",S624,0)</f>
        <v>10000</v>
      </c>
      <c r="U625" s="1">
        <f t="shared" si="195"/>
        <v>639643.66840629373</v>
      </c>
      <c r="V625" s="1">
        <f>V624</f>
        <v>-541.52927098640805</v>
      </c>
      <c r="X625" s="1">
        <f t="shared" si="180"/>
        <v>-80854.392092924332</v>
      </c>
      <c r="Y625" s="1">
        <f t="shared" si="181"/>
        <v>80772996.171560407</v>
      </c>
      <c r="AA625" s="2">
        <f>+Bono!J625</f>
        <v>794823.16185586352</v>
      </c>
      <c r="AC625" s="10">
        <f t="shared" si="182"/>
        <v>50.166666666666664</v>
      </c>
      <c r="AD625" s="1">
        <f t="shared" si="183"/>
        <v>83421359.406418562</v>
      </c>
    </row>
    <row r="626" spans="2:30">
      <c r="B626" s="1">
        <f t="shared" si="184"/>
        <v>603</v>
      </c>
      <c r="C626" s="2">
        <f t="shared" si="189"/>
        <v>50</v>
      </c>
      <c r="D626" s="2">
        <f t="shared" si="190"/>
        <v>3</v>
      </c>
      <c r="E626" s="2">
        <f t="shared" si="191"/>
        <v>79</v>
      </c>
      <c r="F626" s="1">
        <f t="shared" si="185"/>
        <v>1853540.0730022967</v>
      </c>
      <c r="H626" s="1">
        <f t="shared" si="178"/>
        <v>14780.38883272085</v>
      </c>
      <c r="I626" s="1">
        <v>0</v>
      </c>
      <c r="J626" s="69">
        <f>-SUM(F626:H626)*$J$21</f>
        <v>-16814.88415651516</v>
      </c>
      <c r="K626" s="1">
        <f t="shared" si="186"/>
        <v>-1851.5055776785025</v>
      </c>
      <c r="L626" s="1">
        <f t="shared" si="179"/>
        <v>1849654.072100824</v>
      </c>
      <c r="N626" s="1">
        <f t="shared" si="187"/>
        <v>603</v>
      </c>
      <c r="O626" s="2">
        <f t="shared" si="192"/>
        <v>50</v>
      </c>
      <c r="P626" s="2">
        <f t="shared" si="193"/>
        <v>3</v>
      </c>
      <c r="Q626" s="2">
        <f t="shared" si="194"/>
        <v>50</v>
      </c>
      <c r="R626" s="1">
        <f t="shared" si="188"/>
        <v>80772996.171560407</v>
      </c>
      <c r="S626" s="4">
        <f>IF($G$4="mensual",S625,0)</f>
        <v>10000</v>
      </c>
      <c r="U626" s="1">
        <f t="shared" si="195"/>
        <v>644174.95573961781</v>
      </c>
      <c r="V626" s="1">
        <f t="shared" si="177"/>
        <v>-541.52927098640805</v>
      </c>
      <c r="X626" s="1">
        <f t="shared" si="180"/>
        <v>-81427.171127300026</v>
      </c>
      <c r="Y626" s="1">
        <f t="shared" si="181"/>
        <v>81345202.426901728</v>
      </c>
      <c r="AA626" s="2">
        <f>+Bono!J626</f>
        <v>792546.19226888765</v>
      </c>
      <c r="AC626" s="10">
        <f t="shared" si="182"/>
        <v>50.25</v>
      </c>
      <c r="AD626" s="1">
        <f t="shared" si="183"/>
        <v>83987402.691271439</v>
      </c>
    </row>
    <row r="627" spans="2:30">
      <c r="B627" s="1">
        <f t="shared" si="184"/>
        <v>604</v>
      </c>
      <c r="C627" s="2">
        <f t="shared" si="189"/>
        <v>50</v>
      </c>
      <c r="D627" s="2">
        <f t="shared" si="190"/>
        <v>4</v>
      </c>
      <c r="E627" s="2">
        <f t="shared" si="191"/>
        <v>79</v>
      </c>
      <c r="F627" s="1">
        <f t="shared" si="185"/>
        <v>1849654.072100824</v>
      </c>
      <c r="H627" s="1">
        <f t="shared" si="178"/>
        <v>14749.401315825658</v>
      </c>
      <c r="I627" s="1">
        <v>0</v>
      </c>
      <c r="J627" s="1">
        <v>0</v>
      </c>
      <c r="K627" s="1">
        <f t="shared" si="186"/>
        <v>-1864.4034734166498</v>
      </c>
      <c r="L627" s="1">
        <f t="shared" si="179"/>
        <v>1862539.0699432332</v>
      </c>
      <c r="N627" s="1">
        <f t="shared" si="187"/>
        <v>604</v>
      </c>
      <c r="O627" s="2">
        <f t="shared" si="192"/>
        <v>50</v>
      </c>
      <c r="P627" s="2">
        <f t="shared" si="193"/>
        <v>4</v>
      </c>
      <c r="Q627" s="2">
        <f t="shared" si="194"/>
        <v>50</v>
      </c>
      <c r="R627" s="1">
        <f t="shared" si="188"/>
        <v>81345202.426901728</v>
      </c>
      <c r="S627" s="4">
        <f>IF($G$4="mensual",S624,IF($G$4="trimestral",S624,0))</f>
        <v>10000</v>
      </c>
      <c r="U627" s="1">
        <f t="shared" si="195"/>
        <v>648737.80877400667</v>
      </c>
      <c r="V627" s="1">
        <f t="shared" si="177"/>
        <v>-541.52927098640805</v>
      </c>
      <c r="X627" s="1">
        <f t="shared" si="180"/>
        <v>-82003.940235675735</v>
      </c>
      <c r="Y627" s="1">
        <f t="shared" si="181"/>
        <v>81921394.766169071</v>
      </c>
      <c r="AA627" s="2">
        <f>+Bono!J627</f>
        <v>797460.07059062307</v>
      </c>
      <c r="AC627" s="10">
        <f t="shared" si="182"/>
        <v>50.333333333333336</v>
      </c>
      <c r="AD627" s="1">
        <f t="shared" si="183"/>
        <v>84581393.906702936</v>
      </c>
    </row>
    <row r="628" spans="2:30">
      <c r="B628" s="1">
        <f t="shared" si="184"/>
        <v>605</v>
      </c>
      <c r="C628" s="2">
        <f t="shared" si="189"/>
        <v>50</v>
      </c>
      <c r="D628" s="2">
        <f t="shared" si="190"/>
        <v>5</v>
      </c>
      <c r="E628" s="2">
        <f t="shared" si="191"/>
        <v>79</v>
      </c>
      <c r="F628" s="1">
        <f t="shared" si="185"/>
        <v>1862539.0699432332</v>
      </c>
      <c r="H628" s="1">
        <f t="shared" si="178"/>
        <v>14852.148098047152</v>
      </c>
      <c r="I628" s="1">
        <v>0</v>
      </c>
      <c r="J628" s="1">
        <v>0</v>
      </c>
      <c r="K628" s="1">
        <f t="shared" si="186"/>
        <v>-1877.3912180412804</v>
      </c>
      <c r="L628" s="1">
        <f t="shared" si="179"/>
        <v>1875513.826823239</v>
      </c>
      <c r="N628" s="1">
        <f t="shared" si="187"/>
        <v>605</v>
      </c>
      <c r="O628" s="2">
        <f t="shared" si="192"/>
        <v>50</v>
      </c>
      <c r="P628" s="2">
        <f t="shared" si="193"/>
        <v>5</v>
      </c>
      <c r="Q628" s="2">
        <f t="shared" si="194"/>
        <v>50</v>
      </c>
      <c r="R628" s="1">
        <f t="shared" si="188"/>
        <v>81921394.766169071</v>
      </c>
      <c r="S628" s="4">
        <f>IF($G$4="mensual",S627,0)</f>
        <v>10000</v>
      </c>
      <c r="U628" s="1">
        <f t="shared" si="195"/>
        <v>653332.44740138308</v>
      </c>
      <c r="V628" s="1">
        <f t="shared" si="177"/>
        <v>-541.52927098640805</v>
      </c>
      <c r="X628" s="1">
        <f t="shared" si="180"/>
        <v>-82584.727213570455</v>
      </c>
      <c r="Y628" s="1">
        <f t="shared" si="181"/>
        <v>82501600.957085893</v>
      </c>
      <c r="AA628" s="2">
        <f>+Bono!J628</f>
        <v>802404.41552792781</v>
      </c>
      <c r="AC628" s="10">
        <f t="shared" si="182"/>
        <v>50.416666666666664</v>
      </c>
      <c r="AD628" s="1">
        <f t="shared" si="183"/>
        <v>85179519.199437052</v>
      </c>
    </row>
    <row r="629" spans="2:30">
      <c r="B629" s="1">
        <f t="shared" si="184"/>
        <v>606</v>
      </c>
      <c r="C629" s="2">
        <f t="shared" si="189"/>
        <v>50</v>
      </c>
      <c r="D629" s="2">
        <f t="shared" si="190"/>
        <v>6</v>
      </c>
      <c r="E629" s="2">
        <f t="shared" si="191"/>
        <v>79</v>
      </c>
      <c r="F629" s="1">
        <f t="shared" si="185"/>
        <v>1875513.826823239</v>
      </c>
      <c r="H629" s="1">
        <f t="shared" si="178"/>
        <v>14955.610631439204</v>
      </c>
      <c r="I629" s="1">
        <v>0</v>
      </c>
      <c r="J629" s="69">
        <f>-SUM(F629:H629)*$J$21</f>
        <v>-17014.224937092105</v>
      </c>
      <c r="K629" s="1">
        <f t="shared" si="186"/>
        <v>-1873.455212517586</v>
      </c>
      <c r="L629" s="1">
        <f t="shared" si="179"/>
        <v>1871581.7573050684</v>
      </c>
      <c r="N629" s="1">
        <f t="shared" si="187"/>
        <v>606</v>
      </c>
      <c r="O629" s="2">
        <f t="shared" si="192"/>
        <v>50</v>
      </c>
      <c r="P629" s="2">
        <f t="shared" si="193"/>
        <v>6</v>
      </c>
      <c r="Q629" s="2">
        <f t="shared" si="194"/>
        <v>50</v>
      </c>
      <c r="R629" s="1">
        <f t="shared" si="188"/>
        <v>82501600.957085893</v>
      </c>
      <c r="S629" s="4">
        <f>IF($G$4="mensual",S628,0)</f>
        <v>10000</v>
      </c>
      <c r="U629" s="1">
        <f t="shared" si="195"/>
        <v>657959.0930454731</v>
      </c>
      <c r="V629" s="1">
        <f t="shared" si="177"/>
        <v>-541.52927098640805</v>
      </c>
      <c r="X629" s="1">
        <f t="shared" si="180"/>
        <v>-83169.56005013136</v>
      </c>
      <c r="Y629" s="1">
        <f t="shared" si="181"/>
        <v>83085848.960810244</v>
      </c>
      <c r="AA629" s="2">
        <f>+Bono!J629</f>
        <v>800105.72754512401</v>
      </c>
      <c r="AC629" s="10">
        <f t="shared" si="182"/>
        <v>50.5</v>
      </c>
      <c r="AD629" s="1">
        <f t="shared" si="183"/>
        <v>85757536.445660442</v>
      </c>
    </row>
    <row r="630" spans="2:30">
      <c r="B630" s="1">
        <f t="shared" si="184"/>
        <v>607</v>
      </c>
      <c r="C630" s="2">
        <f t="shared" si="189"/>
        <v>50</v>
      </c>
      <c r="D630" s="2">
        <f t="shared" si="190"/>
        <v>7</v>
      </c>
      <c r="E630" s="2">
        <f t="shared" si="191"/>
        <v>79</v>
      </c>
      <c r="F630" s="1">
        <f t="shared" si="185"/>
        <v>1871581.7573050684</v>
      </c>
      <c r="H630" s="1">
        <f t="shared" si="178"/>
        <v>14924.255756925098</v>
      </c>
      <c r="I630" s="1">
        <v>0</v>
      </c>
      <c r="J630" s="1">
        <v>0</v>
      </c>
      <c r="K630" s="1">
        <f t="shared" si="186"/>
        <v>-1886.5060130619936</v>
      </c>
      <c r="L630" s="1">
        <f t="shared" si="179"/>
        <v>1884619.5070489314</v>
      </c>
      <c r="N630" s="1">
        <f t="shared" si="187"/>
        <v>607</v>
      </c>
      <c r="O630" s="2">
        <f t="shared" si="192"/>
        <v>50</v>
      </c>
      <c r="P630" s="2">
        <f t="shared" si="193"/>
        <v>7</v>
      </c>
      <c r="Q630" s="2">
        <f t="shared" si="194"/>
        <v>50</v>
      </c>
      <c r="R630" s="1">
        <f t="shared" si="188"/>
        <v>83085848.960810244</v>
      </c>
      <c r="S630" s="1">
        <f>+IF($G$4="mensual",S624,IF($G$4="trimestral",S624,IF($G$4="semestral",S624,0)))</f>
        <v>10000</v>
      </c>
      <c r="U630" s="1">
        <f t="shared" si="195"/>
        <v>662617.96867247787</v>
      </c>
      <c r="V630" s="1">
        <f t="shared" si="177"/>
        <v>-541.52927098640805</v>
      </c>
      <c r="X630" s="1">
        <f t="shared" si="180"/>
        <v>-83758.466929482733</v>
      </c>
      <c r="Y630" s="1">
        <f t="shared" si="181"/>
        <v>83674166.933282256</v>
      </c>
      <c r="AA630" s="2">
        <f>+Bono!J630</f>
        <v>805066.47586242389</v>
      </c>
      <c r="AC630" s="10">
        <f t="shared" si="182"/>
        <v>50.583333333333336</v>
      </c>
      <c r="AD630" s="1">
        <f t="shared" si="183"/>
        <v>86363852.916193619</v>
      </c>
    </row>
    <row r="631" spans="2:30">
      <c r="B631" s="1">
        <f t="shared" si="184"/>
        <v>608</v>
      </c>
      <c r="C631" s="2">
        <f t="shared" si="189"/>
        <v>50</v>
      </c>
      <c r="D631" s="2">
        <f t="shared" si="190"/>
        <v>8</v>
      </c>
      <c r="E631" s="2">
        <f t="shared" si="191"/>
        <v>79</v>
      </c>
      <c r="F631" s="1">
        <f t="shared" si="185"/>
        <v>1884619.5070489314</v>
      </c>
      <c r="H631" s="1">
        <f t="shared" si="178"/>
        <v>15028.220604259566</v>
      </c>
      <c r="I631" s="1">
        <v>0</v>
      </c>
      <c r="J631" s="1">
        <v>0</v>
      </c>
      <c r="K631" s="1">
        <f t="shared" si="186"/>
        <v>-1899.6477276531909</v>
      </c>
      <c r="L631" s="1">
        <f t="shared" si="179"/>
        <v>1897748.0799255378</v>
      </c>
      <c r="N631" s="1">
        <f t="shared" si="187"/>
        <v>608</v>
      </c>
      <c r="O631" s="2">
        <f t="shared" si="192"/>
        <v>50</v>
      </c>
      <c r="P631" s="2">
        <f t="shared" si="193"/>
        <v>8</v>
      </c>
      <c r="Q631" s="2">
        <f t="shared" si="194"/>
        <v>50</v>
      </c>
      <c r="R631" s="1">
        <f t="shared" si="188"/>
        <v>83674166.933282256</v>
      </c>
      <c r="S631" s="4">
        <f>IF($G$4="mensual",S630,0)</f>
        <v>10000</v>
      </c>
      <c r="U631" s="1">
        <f t="shared" si="195"/>
        <v>667309.29880181758</v>
      </c>
      <c r="V631" s="1">
        <f t="shared" si="177"/>
        <v>-541.52927098640805</v>
      </c>
      <c r="X631" s="1">
        <f t="shared" si="180"/>
        <v>-84351.476232084082</v>
      </c>
      <c r="Y631" s="1">
        <f t="shared" si="181"/>
        <v>84266583.226581007</v>
      </c>
      <c r="AA631" s="2">
        <f>+Bono!J631</f>
        <v>810057.98139470222</v>
      </c>
      <c r="AC631" s="10">
        <f t="shared" si="182"/>
        <v>50.666666666666664</v>
      </c>
      <c r="AD631" s="1">
        <f t="shared" si="183"/>
        <v>86974389.287901253</v>
      </c>
    </row>
    <row r="632" spans="2:30">
      <c r="B632" s="1">
        <f t="shared" si="184"/>
        <v>609</v>
      </c>
      <c r="C632" s="2">
        <f t="shared" si="189"/>
        <v>50</v>
      </c>
      <c r="D632" s="2">
        <f t="shared" si="190"/>
        <v>9</v>
      </c>
      <c r="E632" s="2">
        <f t="shared" si="191"/>
        <v>79</v>
      </c>
      <c r="F632" s="1">
        <f t="shared" si="185"/>
        <v>1897748.0799255378</v>
      </c>
      <c r="H632" s="1">
        <f t="shared" si="178"/>
        <v>15132.909688008724</v>
      </c>
      <c r="I632" s="1">
        <v>0</v>
      </c>
      <c r="J632" s="69">
        <f>-SUM(F632:H632)*$J$21</f>
        <v>-17215.92890652192</v>
      </c>
      <c r="K632" s="1">
        <f t="shared" si="186"/>
        <v>-1895.6650607070246</v>
      </c>
      <c r="L632" s="1">
        <f t="shared" si="179"/>
        <v>1893769.3956463174</v>
      </c>
      <c r="N632" s="1">
        <f t="shared" si="187"/>
        <v>609</v>
      </c>
      <c r="O632" s="2">
        <f t="shared" si="192"/>
        <v>50</v>
      </c>
      <c r="P632" s="2">
        <f t="shared" si="193"/>
        <v>9</v>
      </c>
      <c r="Q632" s="2">
        <f t="shared" si="194"/>
        <v>50</v>
      </c>
      <c r="R632" s="1">
        <f t="shared" si="188"/>
        <v>84266583.226581007</v>
      </c>
      <c r="S632" s="4">
        <f>IF($G$4="mensual",S631,0)</f>
        <v>10000</v>
      </c>
      <c r="U632" s="1">
        <f t="shared" si="195"/>
        <v>672033.30951695249</v>
      </c>
      <c r="V632" s="1">
        <f t="shared" si="177"/>
        <v>-541.52927098640805</v>
      </c>
      <c r="X632" s="1">
        <f t="shared" si="180"/>
        <v>-84948.616536097965</v>
      </c>
      <c r="Y632" s="1">
        <f t="shared" si="181"/>
        <v>84863126.390290871</v>
      </c>
      <c r="AA632" s="2">
        <f>+Bono!J632</f>
        <v>807737.36785971664</v>
      </c>
      <c r="AC632" s="10">
        <f t="shared" si="182"/>
        <v>50.75</v>
      </c>
      <c r="AD632" s="1">
        <f t="shared" si="183"/>
        <v>87564633.153796911</v>
      </c>
    </row>
    <row r="633" spans="2:30">
      <c r="B633" s="1">
        <f t="shared" si="184"/>
        <v>610</v>
      </c>
      <c r="C633" s="2">
        <f t="shared" si="189"/>
        <v>50</v>
      </c>
      <c r="D633" s="2">
        <f t="shared" si="190"/>
        <v>10</v>
      </c>
      <c r="E633" s="2">
        <f t="shared" si="191"/>
        <v>79</v>
      </c>
      <c r="F633" s="1">
        <f t="shared" si="185"/>
        <v>1893769.3956463174</v>
      </c>
      <c r="H633" s="1">
        <f t="shared" si="178"/>
        <v>15101.183100843948</v>
      </c>
      <c r="I633" s="1">
        <v>0</v>
      </c>
      <c r="J633" s="1">
        <v>0</v>
      </c>
      <c r="K633" s="1">
        <f t="shared" si="186"/>
        <v>-1908.8705787471615</v>
      </c>
      <c r="L633" s="1">
        <f t="shared" si="179"/>
        <v>1906961.7081684142</v>
      </c>
      <c r="N633" s="1">
        <f t="shared" si="187"/>
        <v>610</v>
      </c>
      <c r="O633" s="2">
        <f t="shared" si="192"/>
        <v>50</v>
      </c>
      <c r="P633" s="2">
        <f t="shared" si="193"/>
        <v>10</v>
      </c>
      <c r="Q633" s="2">
        <f t="shared" si="194"/>
        <v>50</v>
      </c>
      <c r="R633" s="1">
        <f t="shared" si="188"/>
        <v>84863126.390290871</v>
      </c>
      <c r="S633" s="4">
        <f>IF($G$4="mensual",S624,IF($G$4="trimestral",S624,0))</f>
        <v>10000</v>
      </c>
      <c r="U633" s="1">
        <f t="shared" si="195"/>
        <v>676790.22847627744</v>
      </c>
      <c r="V633" s="1">
        <f t="shared" si="177"/>
        <v>-541.52927098640805</v>
      </c>
      <c r="X633" s="1">
        <f t="shared" si="180"/>
        <v>-85549.916618767151</v>
      </c>
      <c r="Y633" s="1">
        <f t="shared" si="181"/>
        <v>85463825.172877386</v>
      </c>
      <c r="AA633" s="2">
        <f>+Bono!J633</f>
        <v>812745.43323218252</v>
      </c>
      <c r="AC633" s="10">
        <f t="shared" si="182"/>
        <v>50.833333333333336</v>
      </c>
      <c r="AD633" s="1">
        <f t="shared" si="183"/>
        <v>88183532.314277992</v>
      </c>
    </row>
    <row r="634" spans="2:30">
      <c r="B634" s="1">
        <f t="shared" si="184"/>
        <v>611</v>
      </c>
      <c r="C634" s="2">
        <f t="shared" si="189"/>
        <v>50</v>
      </c>
      <c r="D634" s="2">
        <f t="shared" si="190"/>
        <v>11</v>
      </c>
      <c r="E634" s="2">
        <f t="shared" si="191"/>
        <v>79</v>
      </c>
      <c r="F634" s="1">
        <f t="shared" si="185"/>
        <v>1906961.7081684142</v>
      </c>
      <c r="H634" s="1">
        <f t="shared" si="178"/>
        <v>15206.380453477133</v>
      </c>
      <c r="I634" s="1">
        <v>0</v>
      </c>
      <c r="J634" s="1">
        <v>0</v>
      </c>
      <c r="K634" s="1">
        <f t="shared" si="186"/>
        <v>-1922.1680886218915</v>
      </c>
      <c r="L634" s="1">
        <f t="shared" si="179"/>
        <v>1920245.9205332694</v>
      </c>
      <c r="N634" s="1">
        <f t="shared" si="187"/>
        <v>611</v>
      </c>
      <c r="O634" s="2">
        <f t="shared" si="192"/>
        <v>50</v>
      </c>
      <c r="P634" s="2">
        <f t="shared" si="193"/>
        <v>11</v>
      </c>
      <c r="Q634" s="2">
        <f t="shared" si="194"/>
        <v>50</v>
      </c>
      <c r="R634" s="1">
        <f t="shared" si="188"/>
        <v>85463825.172877386</v>
      </c>
      <c r="S634" s="1">
        <f>IF($G$17="si",S622*(1+$G$20),S622)</f>
        <v>10000</v>
      </c>
      <c r="U634" s="1">
        <f t="shared" si="195"/>
        <v>681580.28492409387</v>
      </c>
      <c r="V634" s="1">
        <f t="shared" si="177"/>
        <v>-541.52927098640805</v>
      </c>
      <c r="X634" s="1">
        <f t="shared" si="180"/>
        <v>-86155.405457801477</v>
      </c>
      <c r="Y634" s="1">
        <f t="shared" si="181"/>
        <v>86068708.52307269</v>
      </c>
      <c r="AA634" s="2">
        <f>+Bono!J634</f>
        <v>817784.54919085733</v>
      </c>
      <c r="AC634" s="10">
        <f t="shared" si="182"/>
        <v>50.916666666666664</v>
      </c>
      <c r="AD634" s="1">
        <f t="shared" si="183"/>
        <v>88806738.992796823</v>
      </c>
    </row>
    <row r="635" spans="2:30">
      <c r="B635" s="1">
        <f t="shared" si="184"/>
        <v>612</v>
      </c>
      <c r="C635" s="2">
        <f t="shared" si="189"/>
        <v>50</v>
      </c>
      <c r="D635" s="2">
        <f t="shared" si="190"/>
        <v>12</v>
      </c>
      <c r="E635" s="2">
        <f t="shared" si="191"/>
        <v>79</v>
      </c>
      <c r="F635" s="1">
        <f t="shared" si="185"/>
        <v>1920245.9205332694</v>
      </c>
      <c r="H635" s="1">
        <f t="shared" si="178"/>
        <v>15312.310628361869</v>
      </c>
      <c r="I635" s="1">
        <v>0</v>
      </c>
      <c r="J635" s="69">
        <f>-SUM(F635:H635)*$J$21</f>
        <v>-17420.024080454681</v>
      </c>
      <c r="K635" s="1">
        <f t="shared" si="186"/>
        <v>-1918.1382070811767</v>
      </c>
      <c r="L635" s="1">
        <f t="shared" si="179"/>
        <v>1916220.0688740953</v>
      </c>
      <c r="N635" s="1">
        <f t="shared" si="187"/>
        <v>612</v>
      </c>
      <c r="O635" s="2">
        <f t="shared" si="192"/>
        <v>50</v>
      </c>
      <c r="P635" s="2">
        <f t="shared" si="193"/>
        <v>12</v>
      </c>
      <c r="Q635" s="2">
        <f t="shared" si="194"/>
        <v>50</v>
      </c>
      <c r="R635" s="1">
        <f t="shared" si="188"/>
        <v>86068708.52307269</v>
      </c>
      <c r="S635" s="4">
        <f>IF($G$4="mensual",S634,0)</f>
        <v>10000</v>
      </c>
      <c r="U635" s="1">
        <f t="shared" si="195"/>
        <v>686403.70970165695</v>
      </c>
      <c r="V635" s="1">
        <f t="shared" si="177"/>
        <v>-541.52927098640805</v>
      </c>
      <c r="X635" s="1">
        <f t="shared" si="180"/>
        <v>-86765.112232774351</v>
      </c>
      <c r="Y635" s="1">
        <f t="shared" si="181"/>
        <v>86677805.591270581</v>
      </c>
      <c r="AA635" s="2">
        <f>+Bono!J635</f>
        <v>815441.80097141885</v>
      </c>
      <c r="AC635" s="10">
        <f t="shared" si="182"/>
        <v>51</v>
      </c>
      <c r="AD635" s="1">
        <f t="shared" si="183"/>
        <v>89409467.46111609</v>
      </c>
    </row>
    <row r="636" spans="2:30">
      <c r="B636" s="1">
        <f t="shared" si="184"/>
        <v>613</v>
      </c>
      <c r="C636" s="2">
        <f t="shared" si="189"/>
        <v>51</v>
      </c>
      <c r="D636" s="2">
        <f t="shared" si="190"/>
        <v>1</v>
      </c>
      <c r="E636" s="2">
        <f t="shared" si="191"/>
        <v>80</v>
      </c>
      <c r="F636" s="1">
        <f t="shared" si="185"/>
        <v>1916220.0688740953</v>
      </c>
      <c r="H636" s="1">
        <f t="shared" si="178"/>
        <v>15280.20792188568</v>
      </c>
      <c r="I636" s="1">
        <v>0</v>
      </c>
      <c r="J636" s="1">
        <v>0</v>
      </c>
      <c r="K636" s="1">
        <f t="shared" si="186"/>
        <v>-1931.5002767959811</v>
      </c>
      <c r="L636" s="1">
        <f t="shared" si="179"/>
        <v>1929568.7765191849</v>
      </c>
      <c r="N636" s="1">
        <f t="shared" si="187"/>
        <v>613</v>
      </c>
      <c r="O636" s="2">
        <f t="shared" si="192"/>
        <v>51</v>
      </c>
      <c r="P636" s="2">
        <f t="shared" si="193"/>
        <v>1</v>
      </c>
      <c r="Q636" s="2">
        <f t="shared" si="194"/>
        <v>51</v>
      </c>
      <c r="R636" s="1">
        <f t="shared" si="188"/>
        <v>86677805.591270581</v>
      </c>
      <c r="S636" s="1">
        <f>IF($G$17="si",S624*(1+$G$20),S624)</f>
        <v>10000</v>
      </c>
      <c r="U636" s="1">
        <f t="shared" si="195"/>
        <v>691260.73525830056</v>
      </c>
      <c r="V636" s="1">
        <f>V635*(1+$G$18)</f>
        <v>-563.19044182586435</v>
      </c>
      <c r="X636" s="1">
        <f t="shared" si="180"/>
        <v>-87379.066326528875</v>
      </c>
      <c r="Y636" s="1">
        <f t="shared" si="181"/>
        <v>87291124.069760516</v>
      </c>
      <c r="AA636" s="2">
        <f>+Bono!J636</f>
        <v>820497.6347228362</v>
      </c>
      <c r="AC636" s="10">
        <f t="shared" si="182"/>
        <v>51.083333333333336</v>
      </c>
      <c r="AD636" s="1">
        <f t="shared" si="183"/>
        <v>90041190.481002524</v>
      </c>
    </row>
    <row r="637" spans="2:30">
      <c r="B637" s="1">
        <f t="shared" si="184"/>
        <v>614</v>
      </c>
      <c r="C637" s="2">
        <f t="shared" si="189"/>
        <v>51</v>
      </c>
      <c r="D637" s="2">
        <f t="shared" si="190"/>
        <v>2</v>
      </c>
      <c r="E637" s="2">
        <f t="shared" si="191"/>
        <v>80</v>
      </c>
      <c r="F637" s="1">
        <f t="shared" si="185"/>
        <v>1929568.7765191849</v>
      </c>
      <c r="H637" s="1">
        <f t="shared" si="178"/>
        <v>15386.652391192005</v>
      </c>
      <c r="I637" s="1">
        <v>0</v>
      </c>
      <c r="J637" s="1">
        <v>0</v>
      </c>
      <c r="K637" s="1">
        <f t="shared" si="186"/>
        <v>-1944.9554289103771</v>
      </c>
      <c r="L637" s="1">
        <f t="shared" si="179"/>
        <v>1943010.4734814665</v>
      </c>
      <c r="N637" s="1">
        <f t="shared" si="187"/>
        <v>614</v>
      </c>
      <c r="O637" s="2">
        <f t="shared" si="192"/>
        <v>51</v>
      </c>
      <c r="P637" s="2">
        <f t="shared" si="193"/>
        <v>2</v>
      </c>
      <c r="Q637" s="2">
        <f t="shared" si="194"/>
        <v>51</v>
      </c>
      <c r="R637" s="1">
        <f t="shared" si="188"/>
        <v>87291124.069760516</v>
      </c>
      <c r="S637" s="4">
        <f>IF($G$4="mensual",S636,0)</f>
        <v>10000</v>
      </c>
      <c r="U637" s="1">
        <f t="shared" si="195"/>
        <v>696151.42293342086</v>
      </c>
      <c r="V637" s="1">
        <f t="shared" ref="V637:V700" si="196">V636</f>
        <v>-563.19044182586435</v>
      </c>
      <c r="X637" s="1">
        <f t="shared" si="180"/>
        <v>-87997.275492693938</v>
      </c>
      <c r="Y637" s="1">
        <f t="shared" si="181"/>
        <v>87908715.026759401</v>
      </c>
      <c r="AA637" s="2">
        <f>+Bono!J637</f>
        <v>825584.81522995268</v>
      </c>
      <c r="AC637" s="10">
        <f t="shared" si="182"/>
        <v>51.166666666666664</v>
      </c>
      <c r="AD637" s="1">
        <f t="shared" si="183"/>
        <v>90677310.315470815</v>
      </c>
    </row>
    <row r="638" spans="2:30">
      <c r="B638" s="1">
        <f t="shared" si="184"/>
        <v>615</v>
      </c>
      <c r="C638" s="2">
        <f t="shared" si="189"/>
        <v>51</v>
      </c>
      <c r="D638" s="2">
        <f t="shared" si="190"/>
        <v>3</v>
      </c>
      <c r="E638" s="2">
        <f t="shared" si="191"/>
        <v>80</v>
      </c>
      <c r="F638" s="1">
        <f t="shared" si="185"/>
        <v>1943010.4734814665</v>
      </c>
      <c r="H638" s="1">
        <f t="shared" si="178"/>
        <v>15493.838370372008</v>
      </c>
      <c r="I638" s="1">
        <v>0</v>
      </c>
      <c r="J638" s="69">
        <f>-SUM(F638:H638)*$J$21</f>
        <v>-17626.538806666551</v>
      </c>
      <c r="K638" s="1">
        <f t="shared" si="186"/>
        <v>-1940.877773045172</v>
      </c>
      <c r="L638" s="1">
        <f t="shared" si="179"/>
        <v>1938936.8952721269</v>
      </c>
      <c r="N638" s="1">
        <f t="shared" si="187"/>
        <v>615</v>
      </c>
      <c r="O638" s="2">
        <f t="shared" si="192"/>
        <v>51</v>
      </c>
      <c r="P638" s="2">
        <f t="shared" si="193"/>
        <v>3</v>
      </c>
      <c r="Q638" s="2">
        <f t="shared" si="194"/>
        <v>51</v>
      </c>
      <c r="R638" s="1">
        <f t="shared" si="188"/>
        <v>87908715.026759401</v>
      </c>
      <c r="S638" s="4">
        <f>IF($G$4="mensual",S637,0)</f>
        <v>10000</v>
      </c>
      <c r="U638" s="1">
        <f t="shared" si="195"/>
        <v>701076.17995215103</v>
      </c>
      <c r="V638" s="1">
        <f t="shared" si="196"/>
        <v>-563.19044182586435</v>
      </c>
      <c r="X638" s="1">
        <f t="shared" si="180"/>
        <v>-88619.791206711554</v>
      </c>
      <c r="Y638" s="1">
        <f t="shared" si="181"/>
        <v>88530608.225062996</v>
      </c>
      <c r="AA638" s="2">
        <f>+Bono!J638</f>
        <v>823219.72119902587</v>
      </c>
      <c r="AC638" s="10">
        <f t="shared" si="182"/>
        <v>51.25</v>
      </c>
      <c r="AD638" s="1">
        <f t="shared" si="183"/>
        <v>91292764.841534138</v>
      </c>
    </row>
    <row r="639" spans="2:30">
      <c r="B639" s="1">
        <f t="shared" si="184"/>
        <v>616</v>
      </c>
      <c r="C639" s="2">
        <f t="shared" si="189"/>
        <v>51</v>
      </c>
      <c r="D639" s="2">
        <f t="shared" si="190"/>
        <v>4</v>
      </c>
      <c r="E639" s="2">
        <f t="shared" si="191"/>
        <v>80</v>
      </c>
      <c r="F639" s="1">
        <f t="shared" si="185"/>
        <v>1938936.8952721269</v>
      </c>
      <c r="H639" s="1">
        <f t="shared" si="178"/>
        <v>15461.355085682611</v>
      </c>
      <c r="I639" s="1">
        <v>0</v>
      </c>
      <c r="J639" s="1">
        <v>0</v>
      </c>
      <c r="K639" s="1">
        <f t="shared" si="186"/>
        <v>-1954.3982503578095</v>
      </c>
      <c r="L639" s="1">
        <f t="shared" si="179"/>
        <v>1952443.8521074518</v>
      </c>
      <c r="N639" s="1">
        <f t="shared" si="187"/>
        <v>616</v>
      </c>
      <c r="O639" s="2">
        <f t="shared" si="192"/>
        <v>51</v>
      </c>
      <c r="P639" s="2">
        <f t="shared" si="193"/>
        <v>4</v>
      </c>
      <c r="Q639" s="2">
        <f t="shared" si="194"/>
        <v>51</v>
      </c>
      <c r="R639" s="1">
        <f t="shared" si="188"/>
        <v>88530608.225062996</v>
      </c>
      <c r="S639" s="4">
        <f>IF($G$4="mensual",S636,IF($G$4="trimestral",S636,0))</f>
        <v>10000</v>
      </c>
      <c r="U639" s="1">
        <f t="shared" si="195"/>
        <v>706035.24364720401</v>
      </c>
      <c r="V639" s="1">
        <f t="shared" si="196"/>
        <v>-563.19044182586435</v>
      </c>
      <c r="X639" s="1">
        <f t="shared" si="180"/>
        <v>-89246.643468710201</v>
      </c>
      <c r="Y639" s="1">
        <f t="shared" si="181"/>
        <v>89156833.634799659</v>
      </c>
      <c r="AA639" s="2">
        <f>+Bono!J639</f>
        <v>828323.77895803715</v>
      </c>
      <c r="AC639" s="10">
        <f t="shared" si="182"/>
        <v>51.333333333333336</v>
      </c>
      <c r="AD639" s="1">
        <f t="shared" si="183"/>
        <v>91937601.265865147</v>
      </c>
    </row>
    <row r="640" spans="2:30">
      <c r="B640" s="1">
        <f t="shared" si="184"/>
        <v>617</v>
      </c>
      <c r="C640" s="2">
        <f t="shared" si="189"/>
        <v>51</v>
      </c>
      <c r="D640" s="2">
        <f t="shared" si="190"/>
        <v>5</v>
      </c>
      <c r="E640" s="2">
        <f t="shared" si="191"/>
        <v>80</v>
      </c>
      <c r="F640" s="1">
        <f t="shared" si="185"/>
        <v>1952443.8521074518</v>
      </c>
      <c r="H640" s="1">
        <f t="shared" si="178"/>
        <v>15569.061456254633</v>
      </c>
      <c r="I640" s="1">
        <v>0</v>
      </c>
      <c r="J640" s="1">
        <v>0</v>
      </c>
      <c r="K640" s="1">
        <f t="shared" si="186"/>
        <v>-1968.0129135637064</v>
      </c>
      <c r="L640" s="1">
        <f t="shared" si="179"/>
        <v>1966044.9006501427</v>
      </c>
      <c r="N640" s="1">
        <f t="shared" si="187"/>
        <v>617</v>
      </c>
      <c r="O640" s="2">
        <f t="shared" si="192"/>
        <v>51</v>
      </c>
      <c r="P640" s="2">
        <f t="shared" si="193"/>
        <v>5</v>
      </c>
      <c r="Q640" s="2">
        <f t="shared" si="194"/>
        <v>51</v>
      </c>
      <c r="R640" s="1">
        <f t="shared" si="188"/>
        <v>89156833.634799659</v>
      </c>
      <c r="S640" s="4">
        <f>IF($G$4="mensual",S639,0)</f>
        <v>10000</v>
      </c>
      <c r="U640" s="1">
        <f t="shared" si="195"/>
        <v>711028.85300459201</v>
      </c>
      <c r="V640" s="1">
        <f t="shared" si="196"/>
        <v>-563.19044182586435</v>
      </c>
      <c r="X640" s="1">
        <f t="shared" si="180"/>
        <v>-89877.862487804246</v>
      </c>
      <c r="Y640" s="1">
        <f t="shared" si="181"/>
        <v>89787421.434874609</v>
      </c>
      <c r="AA640" s="2">
        <f>+Bono!J640</f>
        <v>833459.48246718838</v>
      </c>
      <c r="AC640" s="10">
        <f t="shared" si="182"/>
        <v>51.416666666666664</v>
      </c>
      <c r="AD640" s="1">
        <f t="shared" si="183"/>
        <v>92586925.817991942</v>
      </c>
    </row>
    <row r="641" spans="2:30">
      <c r="B641" s="1">
        <f t="shared" si="184"/>
        <v>618</v>
      </c>
      <c r="C641" s="2">
        <f t="shared" si="189"/>
        <v>51</v>
      </c>
      <c r="D641" s="2">
        <f t="shared" si="190"/>
        <v>6</v>
      </c>
      <c r="E641" s="2">
        <f t="shared" si="191"/>
        <v>80</v>
      </c>
      <c r="F641" s="1">
        <f t="shared" si="185"/>
        <v>1966044.9006501427</v>
      </c>
      <c r="H641" s="1">
        <f t="shared" si="178"/>
        <v>15677.518127314388</v>
      </c>
      <c r="I641" s="1">
        <v>0</v>
      </c>
      <c r="J641" s="69">
        <f>-SUM(F641:H641)*$J$21</f>
        <v>-17835.501768997114</v>
      </c>
      <c r="K641" s="1">
        <f t="shared" si="186"/>
        <v>-1963.8869170084599</v>
      </c>
      <c r="L641" s="1">
        <f t="shared" si="179"/>
        <v>1961923.0300914512</v>
      </c>
      <c r="N641" s="1">
        <f t="shared" si="187"/>
        <v>618</v>
      </c>
      <c r="O641" s="2">
        <f t="shared" si="192"/>
        <v>51</v>
      </c>
      <c r="P641" s="2">
        <f t="shared" si="193"/>
        <v>6</v>
      </c>
      <c r="Q641" s="2">
        <f t="shared" si="194"/>
        <v>51</v>
      </c>
      <c r="R641" s="1">
        <f t="shared" si="188"/>
        <v>89787421.434874609</v>
      </c>
      <c r="S641" s="4">
        <f>IF($G$4="mensual",S640,0)</f>
        <v>10000</v>
      </c>
      <c r="U641" s="1">
        <f t="shared" si="195"/>
        <v>716057.24867514311</v>
      </c>
      <c r="V641" s="1">
        <f t="shared" si="196"/>
        <v>-563.19044182586435</v>
      </c>
      <c r="X641" s="1">
        <f t="shared" si="180"/>
        <v>-90513.478683549751</v>
      </c>
      <c r="Y641" s="1">
        <f t="shared" si="181"/>
        <v>90422402.014424369</v>
      </c>
      <c r="AA641" s="2">
        <f>+Bono!J641</f>
        <v>831071.82948394713</v>
      </c>
      <c r="AC641" s="10">
        <f t="shared" si="182"/>
        <v>51.5</v>
      </c>
      <c r="AD641" s="1">
        <f t="shared" si="183"/>
        <v>93215396.87399976</v>
      </c>
    </row>
    <row r="642" spans="2:30">
      <c r="B642" s="1">
        <f t="shared" si="184"/>
        <v>619</v>
      </c>
      <c r="C642" s="2">
        <f t="shared" si="189"/>
        <v>51</v>
      </c>
      <c r="D642" s="2">
        <f t="shared" si="190"/>
        <v>7</v>
      </c>
      <c r="E642" s="2">
        <f t="shared" si="191"/>
        <v>80</v>
      </c>
      <c r="F642" s="1">
        <f t="shared" si="185"/>
        <v>1961923.0300914512</v>
      </c>
      <c r="H642" s="1">
        <f t="shared" si="178"/>
        <v>15644.649752649619</v>
      </c>
      <c r="I642" s="1">
        <v>0</v>
      </c>
      <c r="J642" s="1">
        <v>0</v>
      </c>
      <c r="K642" s="1">
        <f t="shared" si="186"/>
        <v>-1977.5676798441009</v>
      </c>
      <c r="L642" s="1">
        <f t="shared" si="179"/>
        <v>1975590.1121642569</v>
      </c>
      <c r="N642" s="1">
        <f t="shared" si="187"/>
        <v>619</v>
      </c>
      <c r="O642" s="2">
        <f t="shared" si="192"/>
        <v>51</v>
      </c>
      <c r="P642" s="2">
        <f t="shared" si="193"/>
        <v>7</v>
      </c>
      <c r="Q642" s="2">
        <f t="shared" si="194"/>
        <v>51</v>
      </c>
      <c r="R642" s="1">
        <f t="shared" si="188"/>
        <v>90422402.014424369</v>
      </c>
      <c r="S642" s="1">
        <f>+IF($G$4="mensual",S636,IF($G$4="trimestral",S636,IF($G$4="semestral",S636,0)))</f>
        <v>10000</v>
      </c>
      <c r="U642" s="1">
        <f t="shared" si="195"/>
        <v>721120.67298609961</v>
      </c>
      <c r="V642" s="1">
        <f t="shared" si="196"/>
        <v>-563.19044182586435</v>
      </c>
      <c r="X642" s="1">
        <f t="shared" si="180"/>
        <v>-91153.52268741047</v>
      </c>
      <c r="Y642" s="1">
        <f t="shared" si="181"/>
        <v>91061805.974281237</v>
      </c>
      <c r="AA642" s="2">
        <f>+Bono!J642</f>
        <v>836224.57122511312</v>
      </c>
      <c r="AC642" s="10">
        <f t="shared" si="182"/>
        <v>51.583333333333336</v>
      </c>
      <c r="AD642" s="1">
        <f t="shared" si="183"/>
        <v>93873620.657670602</v>
      </c>
    </row>
    <row r="643" spans="2:30">
      <c r="B643" s="1">
        <f t="shared" si="184"/>
        <v>620</v>
      </c>
      <c r="C643" s="2">
        <f t="shared" si="189"/>
        <v>51</v>
      </c>
      <c r="D643" s="2">
        <f t="shared" si="190"/>
        <v>8</v>
      </c>
      <c r="E643" s="2">
        <f t="shared" si="191"/>
        <v>80</v>
      </c>
      <c r="F643" s="1">
        <f t="shared" si="185"/>
        <v>1975590.1121642569</v>
      </c>
      <c r="H643" s="1">
        <f t="shared" si="178"/>
        <v>15753.632984351523</v>
      </c>
      <c r="I643" s="1">
        <v>0</v>
      </c>
      <c r="J643" s="1">
        <v>0</v>
      </c>
      <c r="K643" s="1">
        <f t="shared" si="186"/>
        <v>-1991.3437451486086</v>
      </c>
      <c r="L643" s="1">
        <f t="shared" si="179"/>
        <v>1989352.40140346</v>
      </c>
      <c r="N643" s="1">
        <f t="shared" si="187"/>
        <v>620</v>
      </c>
      <c r="O643" s="2">
        <f t="shared" si="192"/>
        <v>51</v>
      </c>
      <c r="P643" s="2">
        <f t="shared" si="193"/>
        <v>8</v>
      </c>
      <c r="Q643" s="2">
        <f t="shared" si="194"/>
        <v>51</v>
      </c>
      <c r="R643" s="1">
        <f t="shared" si="188"/>
        <v>91061805.974281237</v>
      </c>
      <c r="S643" s="4">
        <f>IF($G$4="mensual",S642,0)</f>
        <v>10000</v>
      </c>
      <c r="U643" s="1">
        <f t="shared" si="195"/>
        <v>726219.36995279533</v>
      </c>
      <c r="V643" s="1">
        <f t="shared" si="196"/>
        <v>-563.19044182586435</v>
      </c>
      <c r="X643" s="1">
        <f t="shared" si="180"/>
        <v>-91798.025344234033</v>
      </c>
      <c r="Y643" s="1">
        <f t="shared" si="181"/>
        <v>91705664.128447965</v>
      </c>
      <c r="AA643" s="2">
        <f>+Bono!J643</f>
        <v>841409.26056275552</v>
      </c>
      <c r="AC643" s="10">
        <f t="shared" si="182"/>
        <v>51.666666666666664</v>
      </c>
      <c r="AD643" s="1">
        <f t="shared" si="183"/>
        <v>94536425.790414184</v>
      </c>
    </row>
    <row r="644" spans="2:30">
      <c r="B644" s="1">
        <f t="shared" si="184"/>
        <v>621</v>
      </c>
      <c r="C644" s="2">
        <f t="shared" si="189"/>
        <v>51</v>
      </c>
      <c r="D644" s="2">
        <f t="shared" si="190"/>
        <v>9</v>
      </c>
      <c r="E644" s="2">
        <f t="shared" si="191"/>
        <v>80</v>
      </c>
      <c r="F644" s="1">
        <f t="shared" si="185"/>
        <v>1989352.40140346</v>
      </c>
      <c r="H644" s="1">
        <f t="shared" si="178"/>
        <v>15863.375411368119</v>
      </c>
      <c r="I644" s="1">
        <v>0</v>
      </c>
      <c r="J644" s="69">
        <f>-SUM(F644:H644)*$J$21</f>
        <v>-18046.941991333457</v>
      </c>
      <c r="K644" s="1">
        <f t="shared" si="186"/>
        <v>-1987.1688348234948</v>
      </c>
      <c r="L644" s="1">
        <f t="shared" si="179"/>
        <v>1985181.6659886714</v>
      </c>
      <c r="N644" s="1">
        <f t="shared" si="187"/>
        <v>621</v>
      </c>
      <c r="O644" s="2">
        <f t="shared" si="192"/>
        <v>51</v>
      </c>
      <c r="P644" s="2">
        <f t="shared" si="193"/>
        <v>9</v>
      </c>
      <c r="Q644" s="2">
        <f t="shared" si="194"/>
        <v>51</v>
      </c>
      <c r="R644" s="1">
        <f t="shared" si="188"/>
        <v>91705664.128447965</v>
      </c>
      <c r="S644" s="4">
        <f>IF($G$4="mensual",S643,0)</f>
        <v>10000</v>
      </c>
      <c r="U644" s="1">
        <f t="shared" si="195"/>
        <v>731353.58529041568</v>
      </c>
      <c r="V644" s="1">
        <f t="shared" si="196"/>
        <v>-563.19044182586435</v>
      </c>
      <c r="X644" s="1">
        <f t="shared" si="180"/>
        <v>-92447.017713738387</v>
      </c>
      <c r="Y644" s="1">
        <f t="shared" si="181"/>
        <v>92354007.505582809</v>
      </c>
      <c r="AA644" s="2">
        <f>+Bono!J644</f>
        <v>838998.83345337457</v>
      </c>
      <c r="AC644" s="10">
        <f t="shared" si="182"/>
        <v>51.75</v>
      </c>
      <c r="AD644" s="1">
        <f t="shared" si="183"/>
        <v>95178188.00502485</v>
      </c>
    </row>
    <row r="645" spans="2:30">
      <c r="B645" s="1">
        <f t="shared" si="184"/>
        <v>622</v>
      </c>
      <c r="C645" s="2">
        <f t="shared" si="189"/>
        <v>51</v>
      </c>
      <c r="D645" s="2">
        <f t="shared" si="190"/>
        <v>10</v>
      </c>
      <c r="E645" s="2">
        <f t="shared" si="191"/>
        <v>80</v>
      </c>
      <c r="F645" s="1">
        <f t="shared" si="185"/>
        <v>1985181.6659886714</v>
      </c>
      <c r="H645" s="1">
        <f t="shared" si="178"/>
        <v>15830.117381478793</v>
      </c>
      <c r="I645" s="1">
        <v>0</v>
      </c>
      <c r="J645" s="1">
        <v>0</v>
      </c>
      <c r="K645" s="1">
        <f t="shared" si="186"/>
        <v>-2001.0117833701504</v>
      </c>
      <c r="L645" s="1">
        <f t="shared" si="179"/>
        <v>1999010.7715867802</v>
      </c>
      <c r="N645" s="1">
        <f t="shared" si="187"/>
        <v>622</v>
      </c>
      <c r="O645" s="2">
        <f t="shared" si="192"/>
        <v>51</v>
      </c>
      <c r="P645" s="2">
        <f t="shared" si="193"/>
        <v>10</v>
      </c>
      <c r="Q645" s="2">
        <f t="shared" si="194"/>
        <v>51</v>
      </c>
      <c r="R645" s="1">
        <f t="shared" si="188"/>
        <v>92354007.505582809</v>
      </c>
      <c r="S645" s="4">
        <f>IF($G$4="mensual",S636,IF($G$4="trimestral",S636,0))</f>
        <v>10000</v>
      </c>
      <c r="U645" s="1">
        <f t="shared" si="195"/>
        <v>736523.56642583862</v>
      </c>
      <c r="V645" s="1">
        <f t="shared" si="196"/>
        <v>-563.19044182586435</v>
      </c>
      <c r="X645" s="1">
        <f t="shared" si="180"/>
        <v>-93100.531072008656</v>
      </c>
      <c r="Y645" s="1">
        <f t="shared" si="181"/>
        <v>93006867.350494817</v>
      </c>
      <c r="AA645" s="2">
        <f>+Bono!J645</f>
        <v>844200.72353862668</v>
      </c>
      <c r="AC645" s="10">
        <f t="shared" si="182"/>
        <v>51.833333333333336</v>
      </c>
      <c r="AD645" s="1">
        <f t="shared" si="183"/>
        <v>95850078.845620215</v>
      </c>
    </row>
    <row r="646" spans="2:30">
      <c r="B646" s="1">
        <f t="shared" si="184"/>
        <v>623</v>
      </c>
      <c r="C646" s="2">
        <f t="shared" si="189"/>
        <v>51</v>
      </c>
      <c r="D646" s="2">
        <f t="shared" si="190"/>
        <v>11</v>
      </c>
      <c r="E646" s="2">
        <f t="shared" si="191"/>
        <v>80</v>
      </c>
      <c r="F646" s="1">
        <f t="shared" si="185"/>
        <v>1999010.7715867802</v>
      </c>
      <c r="H646" s="1">
        <f t="shared" si="178"/>
        <v>15940.392611524252</v>
      </c>
      <c r="I646" s="1">
        <v>0</v>
      </c>
      <c r="J646" s="1">
        <v>0</v>
      </c>
      <c r="K646" s="1">
        <f t="shared" si="186"/>
        <v>-2014.9511641983045</v>
      </c>
      <c r="L646" s="1">
        <f t="shared" si="179"/>
        <v>2012936.2130341062</v>
      </c>
      <c r="N646" s="1">
        <f t="shared" si="187"/>
        <v>623</v>
      </c>
      <c r="O646" s="2">
        <f t="shared" si="192"/>
        <v>51</v>
      </c>
      <c r="P646" s="2">
        <f t="shared" si="193"/>
        <v>11</v>
      </c>
      <c r="Q646" s="2">
        <f t="shared" si="194"/>
        <v>51</v>
      </c>
      <c r="R646" s="1">
        <f t="shared" si="188"/>
        <v>93006867.350494817</v>
      </c>
      <c r="S646" s="1">
        <f>IF($G$17="si",S634*(1+$G$20),S634)</f>
        <v>10000</v>
      </c>
      <c r="U646" s="1">
        <f t="shared" si="195"/>
        <v>741729.56250955933</v>
      </c>
      <c r="V646" s="1">
        <f t="shared" si="196"/>
        <v>-563.19044182586435</v>
      </c>
      <c r="X646" s="1">
        <f t="shared" si="180"/>
        <v>-93758.596913004381</v>
      </c>
      <c r="Y646" s="1">
        <f t="shared" si="181"/>
        <v>93664275.125649542</v>
      </c>
      <c r="AA646" s="2">
        <f>+Bono!J646</f>
        <v>849434.86594578926</v>
      </c>
      <c r="AC646" s="10">
        <f t="shared" si="182"/>
        <v>51.916666666666664</v>
      </c>
      <c r="AD646" s="1">
        <f t="shared" si="183"/>
        <v>96526646.204629436</v>
      </c>
    </row>
    <row r="647" spans="2:30">
      <c r="B647" s="1">
        <f t="shared" si="184"/>
        <v>624</v>
      </c>
      <c r="C647" s="2">
        <f t="shared" si="189"/>
        <v>51</v>
      </c>
      <c r="D647" s="2">
        <f t="shared" si="190"/>
        <v>12</v>
      </c>
      <c r="E647" s="2">
        <f t="shared" si="191"/>
        <v>80</v>
      </c>
      <c r="F647" s="1">
        <f t="shared" si="185"/>
        <v>2012936.2130341062</v>
      </c>
      <c r="H647" s="1">
        <f t="shared" si="178"/>
        <v>16051.436037159707</v>
      </c>
      <c r="I647" s="1">
        <v>0</v>
      </c>
      <c r="J647" s="69">
        <f>-SUM(F647:H647)*$J$21</f>
        <v>-18260.888841641397</v>
      </c>
      <c r="K647" s="1">
        <f t="shared" si="186"/>
        <v>-2010.7267602296247</v>
      </c>
      <c r="L647" s="1">
        <f t="shared" si="179"/>
        <v>2008716.033469395</v>
      </c>
      <c r="N647" s="1">
        <f t="shared" si="187"/>
        <v>624</v>
      </c>
      <c r="O647" s="2">
        <f t="shared" si="192"/>
        <v>51</v>
      </c>
      <c r="P647" s="2">
        <f t="shared" si="193"/>
        <v>12</v>
      </c>
      <c r="Q647" s="2">
        <f t="shared" si="194"/>
        <v>51</v>
      </c>
      <c r="R647" s="1">
        <f t="shared" si="188"/>
        <v>93664275.125649542</v>
      </c>
      <c r="S647" s="4">
        <f>IF($G$4="mensual",S646,0)</f>
        <v>10000</v>
      </c>
      <c r="U647" s="1">
        <f t="shared" si="195"/>
        <v>746971.82442769629</v>
      </c>
      <c r="V647" s="1">
        <f t="shared" si="196"/>
        <v>-563.19044182586435</v>
      </c>
      <c r="X647" s="1">
        <f t="shared" si="180"/>
        <v>-94421.246950077242</v>
      </c>
      <c r="Y647" s="1">
        <f t="shared" si="181"/>
        <v>94326262.512685329</v>
      </c>
      <c r="AA647" s="2">
        <f>+Bono!J647</f>
        <v>847001.44748405321</v>
      </c>
      <c r="AC647" s="10">
        <f t="shared" si="182"/>
        <v>52</v>
      </c>
      <c r="AD647" s="1">
        <f t="shared" si="183"/>
        <v>97181979.993638769</v>
      </c>
    </row>
    <row r="648" spans="2:30">
      <c r="B648" s="1">
        <f t="shared" si="184"/>
        <v>625</v>
      </c>
      <c r="C648" s="2">
        <f t="shared" si="189"/>
        <v>52</v>
      </c>
      <c r="D648" s="2">
        <f t="shared" si="190"/>
        <v>1</v>
      </c>
      <c r="E648" s="2">
        <f t="shared" si="191"/>
        <v>81</v>
      </c>
      <c r="F648" s="1">
        <f t="shared" si="185"/>
        <v>2008716.033469395</v>
      </c>
      <c r="H648" s="1">
        <f t="shared" si="178"/>
        <v>16017.783732675509</v>
      </c>
      <c r="I648" s="1">
        <v>0</v>
      </c>
      <c r="J648" s="1">
        <v>0</v>
      </c>
      <c r="K648" s="1">
        <f t="shared" si="186"/>
        <v>-2024.7338172020704</v>
      </c>
      <c r="L648" s="1">
        <f t="shared" si="179"/>
        <v>2022709.0833848685</v>
      </c>
      <c r="N648" s="1">
        <f t="shared" si="187"/>
        <v>625</v>
      </c>
      <c r="O648" s="2">
        <f t="shared" si="192"/>
        <v>52</v>
      </c>
      <c r="P648" s="2">
        <f t="shared" si="193"/>
        <v>1</v>
      </c>
      <c r="Q648" s="2">
        <f t="shared" si="194"/>
        <v>52</v>
      </c>
      <c r="R648" s="1">
        <f t="shared" si="188"/>
        <v>94326262.512685329</v>
      </c>
      <c r="S648" s="1">
        <f>IF($G$17="si",S636*(1+$G$20),S636)</f>
        <v>10000</v>
      </c>
      <c r="U648" s="1">
        <f t="shared" si="195"/>
        <v>752250.60481408273</v>
      </c>
      <c r="V648" s="1">
        <f>V647*(1+$G$18)</f>
        <v>-585.71805949889892</v>
      </c>
      <c r="X648" s="1">
        <f t="shared" si="180"/>
        <v>-95088.513117499417</v>
      </c>
      <c r="Y648" s="1">
        <f t="shared" si="181"/>
        <v>94992838.886322424</v>
      </c>
      <c r="AA648" s="2">
        <f>+Bono!J648</f>
        <v>852252.95470454125</v>
      </c>
      <c r="AC648" s="10">
        <f t="shared" si="182"/>
        <v>52.083333333333336</v>
      </c>
      <c r="AD648" s="1">
        <f t="shared" si="183"/>
        <v>97867800.924411833</v>
      </c>
    </row>
    <row r="649" spans="2:30">
      <c r="B649" s="1">
        <f t="shared" si="184"/>
        <v>626</v>
      </c>
      <c r="C649" s="2">
        <f t="shared" si="189"/>
        <v>52</v>
      </c>
      <c r="D649" s="2">
        <f t="shared" si="190"/>
        <v>2</v>
      </c>
      <c r="E649" s="2">
        <f t="shared" si="191"/>
        <v>81</v>
      </c>
      <c r="F649" s="1">
        <f t="shared" si="185"/>
        <v>2022709.0833848685</v>
      </c>
      <c r="H649" s="1">
        <f t="shared" si="178"/>
        <v>16129.366277730154</v>
      </c>
      <c r="I649" s="1">
        <v>0</v>
      </c>
      <c r="J649" s="1">
        <v>0</v>
      </c>
      <c r="K649" s="1">
        <f t="shared" si="186"/>
        <v>-2038.8384496625986</v>
      </c>
      <c r="L649" s="1">
        <f t="shared" si="179"/>
        <v>2036799.611212936</v>
      </c>
      <c r="N649" s="1">
        <f t="shared" si="187"/>
        <v>626</v>
      </c>
      <c r="O649" s="2">
        <f t="shared" si="192"/>
        <v>52</v>
      </c>
      <c r="P649" s="2">
        <f t="shared" si="193"/>
        <v>2</v>
      </c>
      <c r="Q649" s="2">
        <f t="shared" si="194"/>
        <v>52</v>
      </c>
      <c r="R649" s="1">
        <f t="shared" si="188"/>
        <v>94992838.886322424</v>
      </c>
      <c r="S649" s="4">
        <f>IF($G$4="mensual",S648,0)</f>
        <v>10000</v>
      </c>
      <c r="U649" s="1">
        <f t="shared" si="195"/>
        <v>757565.97842405434</v>
      </c>
      <c r="V649" s="1">
        <f>V648</f>
        <v>-585.71805949889892</v>
      </c>
      <c r="X649" s="1">
        <f t="shared" si="180"/>
        <v>-95760.404864746481</v>
      </c>
      <c r="Y649" s="1">
        <f t="shared" si="181"/>
        <v>95664058.741822243</v>
      </c>
      <c r="AA649" s="2">
        <f>+Bono!J649</f>
        <v>857537.02187893353</v>
      </c>
      <c r="AC649" s="10">
        <f t="shared" si="182"/>
        <v>52.166666666666664</v>
      </c>
      <c r="AD649" s="1">
        <f t="shared" si="183"/>
        <v>98558395.37491411</v>
      </c>
    </row>
    <row r="650" spans="2:30">
      <c r="B650" s="1">
        <f t="shared" si="184"/>
        <v>627</v>
      </c>
      <c r="C650" s="2">
        <f t="shared" si="189"/>
        <v>52</v>
      </c>
      <c r="D650" s="2">
        <f t="shared" si="190"/>
        <v>3</v>
      </c>
      <c r="E650" s="2">
        <f t="shared" si="191"/>
        <v>81</v>
      </c>
      <c r="F650" s="1">
        <f t="shared" si="185"/>
        <v>2036799.611212936</v>
      </c>
      <c r="H650" s="1">
        <f t="shared" si="178"/>
        <v>16241.726125348541</v>
      </c>
      <c r="I650" s="1">
        <v>0</v>
      </c>
      <c r="J650" s="69">
        <f>-SUM(F650:H650)*$J$21</f>
        <v>-18477.372036044562</v>
      </c>
      <c r="K650" s="1">
        <f t="shared" si="186"/>
        <v>-2034.5639653022401</v>
      </c>
      <c r="L650" s="1">
        <f t="shared" si="179"/>
        <v>2032529.4013369379</v>
      </c>
      <c r="N650" s="1">
        <f t="shared" si="187"/>
        <v>627</v>
      </c>
      <c r="O650" s="2">
        <f t="shared" si="192"/>
        <v>52</v>
      </c>
      <c r="P650" s="2">
        <f t="shared" si="193"/>
        <v>3</v>
      </c>
      <c r="Q650" s="2">
        <f t="shared" si="194"/>
        <v>52</v>
      </c>
      <c r="R650" s="1">
        <f t="shared" si="188"/>
        <v>95664058.741822243</v>
      </c>
      <c r="S650" s="4">
        <f>IF($G$4="mensual",S649,0)</f>
        <v>10000</v>
      </c>
      <c r="U650" s="1">
        <f t="shared" si="195"/>
        <v>762918.37981047831</v>
      </c>
      <c r="V650" s="1">
        <f t="shared" si="196"/>
        <v>-585.71805949889892</v>
      </c>
      <c r="X650" s="1">
        <f t="shared" si="180"/>
        <v>-96436.977121632721</v>
      </c>
      <c r="Y650" s="1">
        <f t="shared" si="181"/>
        <v>96339954.426451594</v>
      </c>
      <c r="AA650" s="2">
        <f>+Bono!J650</f>
        <v>855080.3927666602</v>
      </c>
      <c r="AC650" s="10">
        <f t="shared" si="182"/>
        <v>52.25</v>
      </c>
      <c r="AD650" s="1">
        <f t="shared" si="183"/>
        <v>99227564.220555186</v>
      </c>
    </row>
    <row r="651" spans="2:30">
      <c r="B651" s="1">
        <f t="shared" si="184"/>
        <v>628</v>
      </c>
      <c r="C651" s="2">
        <f t="shared" si="189"/>
        <v>52</v>
      </c>
      <c r="D651" s="2">
        <f t="shared" si="190"/>
        <v>4</v>
      </c>
      <c r="E651" s="2">
        <f t="shared" si="191"/>
        <v>81</v>
      </c>
      <c r="F651" s="1">
        <f t="shared" si="185"/>
        <v>2032529.4013369379</v>
      </c>
      <c r="H651" s="1">
        <f t="shared" si="178"/>
        <v>16207.674872136442</v>
      </c>
      <c r="I651" s="1">
        <v>0</v>
      </c>
      <c r="J651" s="1">
        <v>0</v>
      </c>
      <c r="K651" s="1">
        <f t="shared" si="186"/>
        <v>-2048.7370762090745</v>
      </c>
      <c r="L651" s="1">
        <f t="shared" si="179"/>
        <v>2046688.3391328652</v>
      </c>
      <c r="N651" s="1">
        <f t="shared" si="187"/>
        <v>628</v>
      </c>
      <c r="O651" s="2">
        <f t="shared" si="192"/>
        <v>52</v>
      </c>
      <c r="P651" s="2">
        <f t="shared" si="193"/>
        <v>4</v>
      </c>
      <c r="Q651" s="2">
        <f t="shared" si="194"/>
        <v>52</v>
      </c>
      <c r="R651" s="1">
        <f t="shared" si="188"/>
        <v>96339954.426451594</v>
      </c>
      <c r="S651" s="4">
        <f>IF($G$4="mensual",S648,IF($G$4="trimestral",S648,0))</f>
        <v>10000</v>
      </c>
      <c r="U651" s="1">
        <f t="shared" si="195"/>
        <v>768308.06691500288</v>
      </c>
      <c r="V651" s="1">
        <f t="shared" si="196"/>
        <v>-585.71805949889892</v>
      </c>
      <c r="X651" s="1">
        <f t="shared" si="180"/>
        <v>-97118.262493366594</v>
      </c>
      <c r="Y651" s="1">
        <f t="shared" si="181"/>
        <v>97020558.512813732</v>
      </c>
      <c r="AA651" s="2">
        <f>+Bono!J651</f>
        <v>860381.99038500001</v>
      </c>
      <c r="AC651" s="10">
        <f t="shared" si="182"/>
        <v>52.333333333333336</v>
      </c>
      <c r="AD651" s="1">
        <f t="shared" si="183"/>
        <v>99927628.842331588</v>
      </c>
    </row>
    <row r="652" spans="2:30">
      <c r="B652" s="1">
        <f t="shared" si="184"/>
        <v>629</v>
      </c>
      <c r="C652" s="2">
        <f t="shared" si="189"/>
        <v>52</v>
      </c>
      <c r="D652" s="2">
        <f t="shared" si="190"/>
        <v>5</v>
      </c>
      <c r="E652" s="2">
        <f t="shared" si="191"/>
        <v>81</v>
      </c>
      <c r="F652" s="1">
        <f t="shared" si="185"/>
        <v>2046688.3391328652</v>
      </c>
      <c r="H652" s="1">
        <f t="shared" si="178"/>
        <v>16320.580230445279</v>
      </c>
      <c r="I652" s="1">
        <v>0</v>
      </c>
      <c r="J652" s="1">
        <v>0</v>
      </c>
      <c r="K652" s="1">
        <f t="shared" si="186"/>
        <v>-2063.0089193633107</v>
      </c>
      <c r="L652" s="1">
        <f t="shared" si="179"/>
        <v>2060945.9104439472</v>
      </c>
      <c r="N652" s="1">
        <f t="shared" si="187"/>
        <v>629</v>
      </c>
      <c r="O652" s="2">
        <f t="shared" si="192"/>
        <v>52</v>
      </c>
      <c r="P652" s="2">
        <f t="shared" si="193"/>
        <v>5</v>
      </c>
      <c r="Q652" s="2">
        <f t="shared" si="194"/>
        <v>52</v>
      </c>
      <c r="R652" s="1">
        <f t="shared" si="188"/>
        <v>97020558.512813732</v>
      </c>
      <c r="S652" s="4">
        <f>IF($G$4="mensual",S651,0)</f>
        <v>10000</v>
      </c>
      <c r="U652" s="1">
        <f t="shared" si="195"/>
        <v>773735.2994761403</v>
      </c>
      <c r="V652" s="1">
        <f t="shared" si="196"/>
        <v>-585.71805949889892</v>
      </c>
      <c r="X652" s="1">
        <f t="shared" si="180"/>
        <v>-97804.293812289878</v>
      </c>
      <c r="Y652" s="1">
        <f t="shared" si="181"/>
        <v>97705903.800418094</v>
      </c>
      <c r="AA652" s="2">
        <f>+Bono!J652</f>
        <v>865716.45852352085</v>
      </c>
      <c r="AC652" s="10">
        <f t="shared" si="182"/>
        <v>52.416666666666664</v>
      </c>
      <c r="AD652" s="1">
        <f t="shared" si="183"/>
        <v>100632566.16938557</v>
      </c>
    </row>
    <row r="653" spans="2:30">
      <c r="B653" s="1">
        <f t="shared" si="184"/>
        <v>630</v>
      </c>
      <c r="C653" s="2">
        <f t="shared" si="189"/>
        <v>52</v>
      </c>
      <c r="D653" s="2">
        <f t="shared" si="190"/>
        <v>6</v>
      </c>
      <c r="E653" s="2">
        <f t="shared" si="191"/>
        <v>81</v>
      </c>
      <c r="F653" s="1">
        <f t="shared" si="185"/>
        <v>2060945.9104439472</v>
      </c>
      <c r="H653" s="1">
        <f t="shared" si="178"/>
        <v>16434.272106254957</v>
      </c>
      <c r="I653" s="1">
        <v>0</v>
      </c>
      <c r="J653" s="69">
        <f>-SUM(F653:H653)*$J$21</f>
        <v>-18696.42164295182</v>
      </c>
      <c r="K653" s="1">
        <f t="shared" si="186"/>
        <v>-2058.6837609072504</v>
      </c>
      <c r="L653" s="1">
        <f t="shared" si="179"/>
        <v>2056625.077146343</v>
      </c>
      <c r="N653" s="1">
        <f t="shared" si="187"/>
        <v>630</v>
      </c>
      <c r="O653" s="2">
        <f t="shared" si="192"/>
        <v>52</v>
      </c>
      <c r="P653" s="2">
        <f t="shared" si="193"/>
        <v>6</v>
      </c>
      <c r="Q653" s="2">
        <f t="shared" si="194"/>
        <v>52</v>
      </c>
      <c r="R653" s="1">
        <f t="shared" si="188"/>
        <v>97705903.800418094</v>
      </c>
      <c r="S653" s="4">
        <f>IF($G$4="mensual",S652,0)</f>
        <v>10000</v>
      </c>
      <c r="U653" s="1">
        <f t="shared" si="195"/>
        <v>779200.33904178487</v>
      </c>
      <c r="V653" s="1">
        <f t="shared" si="196"/>
        <v>-585.71805949889892</v>
      </c>
      <c r="X653" s="1">
        <f t="shared" si="180"/>
        <v>-98495.104139459887</v>
      </c>
      <c r="Y653" s="1">
        <f t="shared" si="181"/>
        <v>98396023.317260921</v>
      </c>
      <c r="AA653" s="2">
        <f>+Bono!J653</f>
        <v>863236.39737079875</v>
      </c>
      <c r="AC653" s="10">
        <f t="shared" si="182"/>
        <v>52.5</v>
      </c>
      <c r="AD653" s="1">
        <f t="shared" si="183"/>
        <v>101315884.79177806</v>
      </c>
    </row>
    <row r="654" spans="2:30">
      <c r="B654" s="1">
        <f t="shared" si="184"/>
        <v>631</v>
      </c>
      <c r="C654" s="2">
        <f t="shared" si="189"/>
        <v>52</v>
      </c>
      <c r="D654" s="2">
        <f t="shared" si="190"/>
        <v>7</v>
      </c>
      <c r="E654" s="2">
        <f t="shared" si="191"/>
        <v>81</v>
      </c>
      <c r="F654" s="1">
        <f t="shared" si="185"/>
        <v>2056625.077146343</v>
      </c>
      <c r="H654" s="1">
        <f t="shared" si="178"/>
        <v>16399.817174769978</v>
      </c>
      <c r="I654" s="1">
        <v>0</v>
      </c>
      <c r="J654" s="1">
        <v>0</v>
      </c>
      <c r="K654" s="1">
        <f t="shared" si="186"/>
        <v>-2073.0248943211132</v>
      </c>
      <c r="L654" s="1">
        <f t="shared" si="179"/>
        <v>2070951.8694267918</v>
      </c>
      <c r="N654" s="1">
        <f t="shared" si="187"/>
        <v>631</v>
      </c>
      <c r="O654" s="2">
        <f t="shared" si="192"/>
        <v>52</v>
      </c>
      <c r="P654" s="2">
        <f t="shared" si="193"/>
        <v>7</v>
      </c>
      <c r="Q654" s="2">
        <f t="shared" si="194"/>
        <v>52</v>
      </c>
      <c r="R654" s="1">
        <f t="shared" si="188"/>
        <v>98396023.317260921</v>
      </c>
      <c r="S654" s="1">
        <f>+IF($G$4="mensual",S648,IF($G$4="trimestral",S648,IF($G$4="semestral",S648,0)))</f>
        <v>10000</v>
      </c>
      <c r="U654" s="1">
        <f t="shared" si="195"/>
        <v>784703.44898181688</v>
      </c>
      <c r="V654" s="1">
        <f t="shared" si="196"/>
        <v>-585.71805949889892</v>
      </c>
      <c r="X654" s="1">
        <f t="shared" si="180"/>
        <v>-99190.726766242748</v>
      </c>
      <c r="Y654" s="1">
        <f t="shared" si="181"/>
        <v>99090950.321417004</v>
      </c>
      <c r="AA654" s="2">
        <f>+Bono!J654</f>
        <v>868588.56316372228</v>
      </c>
      <c r="AC654" s="10">
        <f t="shared" si="182"/>
        <v>52.583333333333336</v>
      </c>
      <c r="AD654" s="1">
        <f t="shared" si="183"/>
        <v>102030490.75400752</v>
      </c>
    </row>
    <row r="655" spans="2:30">
      <c r="B655" s="1">
        <f t="shared" si="184"/>
        <v>632</v>
      </c>
      <c r="C655" s="2">
        <f t="shared" si="189"/>
        <v>52</v>
      </c>
      <c r="D655" s="2">
        <f t="shared" si="190"/>
        <v>8</v>
      </c>
      <c r="E655" s="2">
        <f t="shared" si="191"/>
        <v>81</v>
      </c>
      <c r="F655" s="1">
        <f t="shared" si="185"/>
        <v>2070951.8694267918</v>
      </c>
      <c r="H655" s="1">
        <f t="shared" si="178"/>
        <v>16514.06102831001</v>
      </c>
      <c r="I655" s="1">
        <v>0</v>
      </c>
      <c r="J655" s="1">
        <v>0</v>
      </c>
      <c r="K655" s="1">
        <f t="shared" si="186"/>
        <v>-2087.4659304551019</v>
      </c>
      <c r="L655" s="1">
        <f t="shared" si="179"/>
        <v>2085378.4645246468</v>
      </c>
      <c r="N655" s="1">
        <f t="shared" si="187"/>
        <v>632</v>
      </c>
      <c r="O655" s="2">
        <f t="shared" si="192"/>
        <v>52</v>
      </c>
      <c r="P655" s="2">
        <f t="shared" si="193"/>
        <v>8</v>
      </c>
      <c r="Q655" s="2">
        <f t="shared" si="194"/>
        <v>52</v>
      </c>
      <c r="R655" s="1">
        <f t="shared" si="188"/>
        <v>99090950.321417004</v>
      </c>
      <c r="S655" s="4">
        <f>IF($G$4="mensual",S654,0)</f>
        <v>10000</v>
      </c>
      <c r="U655" s="1">
        <f t="shared" si="195"/>
        <v>790244.89450079482</v>
      </c>
      <c r="V655" s="1">
        <f t="shared" si="196"/>
        <v>-585.71805949889892</v>
      </c>
      <c r="X655" s="1">
        <f t="shared" si="180"/>
        <v>-99891.195215917804</v>
      </c>
      <c r="Y655" s="1">
        <f t="shared" si="181"/>
        <v>99790718.30264239</v>
      </c>
      <c r="AA655" s="2">
        <f>+Bono!J655</f>
        <v>873973.91300537472</v>
      </c>
      <c r="AC655" s="10">
        <f t="shared" si="182"/>
        <v>52.666666666666664</v>
      </c>
      <c r="AD655" s="1">
        <f t="shared" si="183"/>
        <v>102750070.68017241</v>
      </c>
    </row>
    <row r="656" spans="2:30">
      <c r="B656" s="1">
        <f t="shared" si="184"/>
        <v>633</v>
      </c>
      <c r="C656" s="2">
        <f t="shared" si="189"/>
        <v>52</v>
      </c>
      <c r="D656" s="2">
        <f t="shared" si="190"/>
        <v>9</v>
      </c>
      <c r="E656" s="2">
        <f t="shared" si="191"/>
        <v>81</v>
      </c>
      <c r="F656" s="1">
        <f t="shared" si="185"/>
        <v>2085378.4645246468</v>
      </c>
      <c r="H656" s="1">
        <f t="shared" si="178"/>
        <v>16629.100723531239</v>
      </c>
      <c r="I656" s="1">
        <v>0</v>
      </c>
      <c r="J656" s="69">
        <f>-SUM(F656:H656)*$J$21</f>
        <v>-18918.068087233602</v>
      </c>
      <c r="K656" s="1">
        <f t="shared" si="186"/>
        <v>-2083.0894971609441</v>
      </c>
      <c r="L656" s="1">
        <f t="shared" si="179"/>
        <v>2081006.4076637833</v>
      </c>
      <c r="N656" s="1">
        <f t="shared" si="187"/>
        <v>633</v>
      </c>
      <c r="O656" s="2">
        <f t="shared" si="192"/>
        <v>52</v>
      </c>
      <c r="P656" s="2">
        <f t="shared" si="193"/>
        <v>9</v>
      </c>
      <c r="Q656" s="2">
        <f t="shared" si="194"/>
        <v>52</v>
      </c>
      <c r="R656" s="1">
        <f t="shared" si="188"/>
        <v>99790718.30264239</v>
      </c>
      <c r="S656" s="4">
        <f>IF($G$4="mensual",S655,0)</f>
        <v>10000</v>
      </c>
      <c r="U656" s="1">
        <f t="shared" si="195"/>
        <v>795824.94265073654</v>
      </c>
      <c r="V656" s="1">
        <f t="shared" si="196"/>
        <v>-585.71805949889892</v>
      </c>
      <c r="X656" s="1">
        <f t="shared" si="180"/>
        <v>-100596.54324529313</v>
      </c>
      <c r="Y656" s="1">
        <f t="shared" si="181"/>
        <v>100495360.98398834</v>
      </c>
      <c r="AA656" s="2">
        <f>+Bono!J656</f>
        <v>871470.19631061086</v>
      </c>
      <c r="AC656" s="10">
        <f t="shared" si="182"/>
        <v>52.75</v>
      </c>
      <c r="AD656" s="1">
        <f t="shared" si="183"/>
        <v>103447837.58796273</v>
      </c>
    </row>
    <row r="657" spans="2:30">
      <c r="B657" s="1">
        <f t="shared" si="184"/>
        <v>634</v>
      </c>
      <c r="C657" s="2">
        <f t="shared" si="189"/>
        <v>52</v>
      </c>
      <c r="D657" s="2">
        <f t="shared" si="190"/>
        <v>10</v>
      </c>
      <c r="E657" s="2">
        <f t="shared" si="191"/>
        <v>81</v>
      </c>
      <c r="F657" s="1">
        <f t="shared" si="185"/>
        <v>2081006.4076637833</v>
      </c>
      <c r="H657" s="1">
        <f t="shared" si="178"/>
        <v>16594.237328159561</v>
      </c>
      <c r="I657" s="1">
        <v>0</v>
      </c>
      <c r="J657" s="1">
        <v>0</v>
      </c>
      <c r="K657" s="1">
        <f t="shared" si="186"/>
        <v>-2097.6006449919428</v>
      </c>
      <c r="L657" s="1">
        <f t="shared" si="179"/>
        <v>2095503.0443469507</v>
      </c>
      <c r="N657" s="1">
        <f t="shared" si="187"/>
        <v>634</v>
      </c>
      <c r="O657" s="2">
        <f t="shared" si="192"/>
        <v>52</v>
      </c>
      <c r="P657" s="2">
        <f t="shared" si="193"/>
        <v>10</v>
      </c>
      <c r="Q657" s="2">
        <f t="shared" si="194"/>
        <v>52</v>
      </c>
      <c r="R657" s="1">
        <f t="shared" si="188"/>
        <v>100495360.98398834</v>
      </c>
      <c r="S657" s="4">
        <f>IF($G$4="mensual",S648,IF($G$4="trimestral",S648,0))</f>
        <v>10000</v>
      </c>
      <c r="U657" s="1">
        <f t="shared" si="195"/>
        <v>801443.8623439885</v>
      </c>
      <c r="V657" s="1">
        <f t="shared" si="196"/>
        <v>-585.71805949889892</v>
      </c>
      <c r="X657" s="1">
        <f t="shared" si="180"/>
        <v>-101306.80484633234</v>
      </c>
      <c r="Y657" s="1">
        <f t="shared" si="181"/>
        <v>101204912.3234265</v>
      </c>
      <c r="AA657" s="2">
        <f>+Bono!J657</f>
        <v>876873.41261202272</v>
      </c>
      <c r="AC657" s="10">
        <f t="shared" si="182"/>
        <v>52.833333333333336</v>
      </c>
      <c r="AD657" s="1">
        <f t="shared" si="183"/>
        <v>104177288.78038546</v>
      </c>
    </row>
    <row r="658" spans="2:30">
      <c r="B658" s="1">
        <f t="shared" si="184"/>
        <v>635</v>
      </c>
      <c r="C658" s="2">
        <f t="shared" si="189"/>
        <v>52</v>
      </c>
      <c r="D658" s="2">
        <f t="shared" si="190"/>
        <v>11</v>
      </c>
      <c r="E658" s="2">
        <f t="shared" si="191"/>
        <v>81</v>
      </c>
      <c r="F658" s="1">
        <f t="shared" si="185"/>
        <v>2095503.0443469507</v>
      </c>
      <c r="H658" s="1">
        <f t="shared" si="178"/>
        <v>16709.835544817939</v>
      </c>
      <c r="I658" s="1">
        <v>0</v>
      </c>
      <c r="J658" s="1">
        <v>0</v>
      </c>
      <c r="K658" s="1">
        <f t="shared" si="186"/>
        <v>-2112.2128798917688</v>
      </c>
      <c r="L658" s="1">
        <f t="shared" si="179"/>
        <v>2110100.6670118766</v>
      </c>
      <c r="N658" s="1">
        <f t="shared" si="187"/>
        <v>635</v>
      </c>
      <c r="O658" s="2">
        <f t="shared" si="192"/>
        <v>52</v>
      </c>
      <c r="P658" s="2">
        <f t="shared" si="193"/>
        <v>11</v>
      </c>
      <c r="Q658" s="2">
        <f t="shared" si="194"/>
        <v>52</v>
      </c>
      <c r="R658" s="1">
        <f t="shared" si="188"/>
        <v>101204912.3234265</v>
      </c>
      <c r="S658" s="1">
        <f>IF($G$17="si",S646*(1+$G$20),S646)</f>
        <v>10000</v>
      </c>
      <c r="U658" s="1">
        <f t="shared" si="195"/>
        <v>807101.92436618509</v>
      </c>
      <c r="V658" s="1">
        <f t="shared" si="196"/>
        <v>-585.71805949889892</v>
      </c>
      <c r="X658" s="1">
        <f t="shared" si="180"/>
        <v>-102022.0142477927</v>
      </c>
      <c r="Y658" s="1">
        <f t="shared" si="181"/>
        <v>101919406.51548541</v>
      </c>
      <c r="AA658" s="2">
        <f>+Bono!J658</f>
        <v>882310.12948123761</v>
      </c>
      <c r="AC658" s="10">
        <f t="shared" si="182"/>
        <v>52.916666666666664</v>
      </c>
      <c r="AD658" s="1">
        <f t="shared" si="183"/>
        <v>104911817.31197852</v>
      </c>
    </row>
    <row r="659" spans="2:30">
      <c r="B659" s="1">
        <f t="shared" si="184"/>
        <v>636</v>
      </c>
      <c r="C659" s="2">
        <f t="shared" si="189"/>
        <v>52</v>
      </c>
      <c r="D659" s="2">
        <f t="shared" si="190"/>
        <v>12</v>
      </c>
      <c r="E659" s="2">
        <f t="shared" si="191"/>
        <v>81</v>
      </c>
      <c r="F659" s="1">
        <f t="shared" si="185"/>
        <v>2110100.6670118766</v>
      </c>
      <c r="H659" s="1">
        <f t="shared" si="178"/>
        <v>16826.239037876203</v>
      </c>
      <c r="I659" s="1">
        <v>0</v>
      </c>
      <c r="J659" s="69">
        <f>-SUM(F659:H659)*$J$21</f>
        <v>-19142.342154447775</v>
      </c>
      <c r="K659" s="1">
        <f t="shared" si="186"/>
        <v>-2107.7845638953049</v>
      </c>
      <c r="L659" s="1">
        <f t="shared" si="179"/>
        <v>2105676.7793314094</v>
      </c>
      <c r="N659" s="1">
        <f t="shared" si="187"/>
        <v>636</v>
      </c>
      <c r="O659" s="2">
        <f t="shared" si="192"/>
        <v>52</v>
      </c>
      <c r="P659" s="2">
        <f t="shared" si="193"/>
        <v>12</v>
      </c>
      <c r="Q659" s="2">
        <f t="shared" si="194"/>
        <v>52</v>
      </c>
      <c r="R659" s="1">
        <f t="shared" si="188"/>
        <v>101919406.51548541</v>
      </c>
      <c r="S659" s="4">
        <f>IF($G$4="mensual",S658,0)</f>
        <v>10000</v>
      </c>
      <c r="U659" s="1">
        <f t="shared" si="195"/>
        <v>812799.40138929896</v>
      </c>
      <c r="V659" s="1">
        <f t="shared" si="196"/>
        <v>-585.71805949889892</v>
      </c>
      <c r="X659" s="1">
        <f t="shared" si="180"/>
        <v>-102742.20591687471</v>
      </c>
      <c r="Y659" s="1">
        <f t="shared" si="181"/>
        <v>102638877.99289833</v>
      </c>
      <c r="AA659" s="2">
        <f>+Bono!J659</f>
        <v>879782.53161101625</v>
      </c>
      <c r="AC659" s="10">
        <f t="shared" si="182"/>
        <v>53</v>
      </c>
      <c r="AD659" s="1">
        <f t="shared" si="183"/>
        <v>105624337.30384076</v>
      </c>
    </row>
    <row r="660" spans="2:30">
      <c r="B660" s="1">
        <f t="shared" si="184"/>
        <v>637</v>
      </c>
      <c r="C660" s="2">
        <f t="shared" si="189"/>
        <v>53</v>
      </c>
      <c r="D660" s="2">
        <f t="shared" si="190"/>
        <v>1</v>
      </c>
      <c r="E660" s="2">
        <f t="shared" si="191"/>
        <v>82</v>
      </c>
      <c r="F660" s="1">
        <f t="shared" si="185"/>
        <v>2105676.7793314094</v>
      </c>
      <c r="H660" s="1">
        <f t="shared" si="178"/>
        <v>16790.962336270462</v>
      </c>
      <c r="I660" s="1">
        <v>0</v>
      </c>
      <c r="J660" s="1">
        <v>0</v>
      </c>
      <c r="K660" s="1">
        <f t="shared" si="186"/>
        <v>-2122.46774166768</v>
      </c>
      <c r="L660" s="1">
        <f t="shared" si="179"/>
        <v>2120345.2739260122</v>
      </c>
      <c r="N660" s="1">
        <f t="shared" si="187"/>
        <v>637</v>
      </c>
      <c r="O660" s="2">
        <f t="shared" si="192"/>
        <v>53</v>
      </c>
      <c r="P660" s="2">
        <f t="shared" si="193"/>
        <v>1</v>
      </c>
      <c r="Q660" s="2">
        <f t="shared" si="194"/>
        <v>53</v>
      </c>
      <c r="R660" s="1">
        <f t="shared" si="188"/>
        <v>102638877.99289833</v>
      </c>
      <c r="S660" s="1">
        <f>IF($G$17="si",S648*(1+$G$20),S648)</f>
        <v>10000</v>
      </c>
      <c r="U660" s="1">
        <f t="shared" si="195"/>
        <v>818536.56798478041</v>
      </c>
      <c r="V660" s="1">
        <f>V659*(1+$G$18)</f>
        <v>-609.14678187885488</v>
      </c>
      <c r="X660" s="1">
        <f t="shared" si="180"/>
        <v>-103467.4145608831</v>
      </c>
      <c r="Y660" s="1">
        <f t="shared" si="181"/>
        <v>103363337.99954034</v>
      </c>
      <c r="AA660" s="2">
        <f>+Bono!J660</f>
        <v>885237.28535546188</v>
      </c>
      <c r="AC660" s="10">
        <f t="shared" si="182"/>
        <v>53.083333333333336</v>
      </c>
      <c r="AD660" s="1">
        <f t="shared" si="183"/>
        <v>106368920.55882183</v>
      </c>
    </row>
    <row r="661" spans="2:30">
      <c r="B661" s="1">
        <f t="shared" si="184"/>
        <v>638</v>
      </c>
      <c r="C661" s="2">
        <f t="shared" si="189"/>
        <v>53</v>
      </c>
      <c r="D661" s="2">
        <f t="shared" si="190"/>
        <v>2</v>
      </c>
      <c r="E661" s="2">
        <f t="shared" si="191"/>
        <v>82</v>
      </c>
      <c r="F661" s="1">
        <f t="shared" si="185"/>
        <v>2120345.2739260122</v>
      </c>
      <c r="H661" s="1">
        <f t="shared" si="178"/>
        <v>16907.930972048442</v>
      </c>
      <c r="I661" s="1">
        <v>0</v>
      </c>
      <c r="J661" s="1">
        <v>0</v>
      </c>
      <c r="K661" s="1">
        <f t="shared" si="186"/>
        <v>-2137.2532048980606</v>
      </c>
      <c r="L661" s="1">
        <f t="shared" si="179"/>
        <v>2135115.9516931628</v>
      </c>
      <c r="N661" s="1">
        <f t="shared" si="187"/>
        <v>638</v>
      </c>
      <c r="O661" s="2">
        <f t="shared" si="192"/>
        <v>53</v>
      </c>
      <c r="P661" s="2">
        <f t="shared" si="193"/>
        <v>2</v>
      </c>
      <c r="Q661" s="2">
        <f t="shared" si="194"/>
        <v>53</v>
      </c>
      <c r="R661" s="1">
        <f t="shared" si="188"/>
        <v>103363337.99954034</v>
      </c>
      <c r="S661" s="4">
        <f>IF($G$4="mensual",S660,0)</f>
        <v>10000</v>
      </c>
      <c r="U661" s="1">
        <f t="shared" si="195"/>
        <v>824313.51381286839</v>
      </c>
      <c r="V661" s="1">
        <f>V660</f>
        <v>-609.14678187885488</v>
      </c>
      <c r="X661" s="1">
        <f t="shared" si="180"/>
        <v>-104197.65151335322</v>
      </c>
      <c r="Y661" s="1">
        <f t="shared" si="181"/>
        <v>104092844.71505798</v>
      </c>
      <c r="AA661" s="2">
        <f>+Bono!J661</f>
        <v>890725.85920583538</v>
      </c>
      <c r="AC661" s="10">
        <f t="shared" si="182"/>
        <v>53.166666666666664</v>
      </c>
      <c r="AD661" s="1">
        <f t="shared" si="183"/>
        <v>107118686.52595699</v>
      </c>
    </row>
    <row r="662" spans="2:30">
      <c r="B662" s="1">
        <f t="shared" si="184"/>
        <v>639</v>
      </c>
      <c r="C662" s="2">
        <f t="shared" si="189"/>
        <v>53</v>
      </c>
      <c r="D662" s="2">
        <f t="shared" si="190"/>
        <v>3</v>
      </c>
      <c r="E662" s="2">
        <f t="shared" si="191"/>
        <v>82</v>
      </c>
      <c r="F662" s="1">
        <f t="shared" si="185"/>
        <v>2135115.9516931628</v>
      </c>
      <c r="H662" s="1">
        <f t="shared" si="178"/>
        <v>17025.714430793785</v>
      </c>
      <c r="I662" s="1">
        <v>0</v>
      </c>
      <c r="J662" s="69">
        <f>-SUM(F662:H662)*$J$21</f>
        <v>-19369.274995115611</v>
      </c>
      <c r="K662" s="1">
        <f t="shared" si="186"/>
        <v>-2132.7723911288408</v>
      </c>
      <c r="L662" s="1">
        <f t="shared" si="179"/>
        <v>2130639.618737712</v>
      </c>
      <c r="N662" s="1">
        <f t="shared" si="187"/>
        <v>639</v>
      </c>
      <c r="O662" s="2">
        <f t="shared" si="192"/>
        <v>53</v>
      </c>
      <c r="P662" s="2">
        <f t="shared" si="193"/>
        <v>3</v>
      </c>
      <c r="Q662" s="2">
        <f t="shared" si="194"/>
        <v>53</v>
      </c>
      <c r="R662" s="1">
        <f t="shared" si="188"/>
        <v>104092844.71505798</v>
      </c>
      <c r="S662" s="4">
        <f>IF($G$4="mensual",S661,0)</f>
        <v>10000</v>
      </c>
      <c r="U662" s="1">
        <f t="shared" si="195"/>
        <v>830130.70280623448</v>
      </c>
      <c r="V662" s="1">
        <f t="shared" si="196"/>
        <v>-609.14678187885488</v>
      </c>
      <c r="X662" s="1">
        <f t="shared" si="180"/>
        <v>-104932.97541786422</v>
      </c>
      <c r="Y662" s="1">
        <f t="shared" si="181"/>
        <v>104827433.29566447</v>
      </c>
      <c r="AA662" s="2">
        <f>+Bono!J662</f>
        <v>888174.15237458388</v>
      </c>
      <c r="AC662" s="10">
        <f t="shared" si="182"/>
        <v>53.25</v>
      </c>
      <c r="AD662" s="1">
        <f t="shared" si="183"/>
        <v>107846247.06677677</v>
      </c>
    </row>
    <row r="663" spans="2:30">
      <c r="B663" s="1">
        <f t="shared" si="184"/>
        <v>640</v>
      </c>
      <c r="C663" s="2">
        <f t="shared" si="189"/>
        <v>53</v>
      </c>
      <c r="D663" s="2">
        <f t="shared" si="190"/>
        <v>4</v>
      </c>
      <c r="E663" s="2">
        <f t="shared" si="191"/>
        <v>82</v>
      </c>
      <c r="F663" s="1">
        <f t="shared" si="185"/>
        <v>2130639.618737712</v>
      </c>
      <c r="H663" s="1">
        <f t="shared" si="178"/>
        <v>16990.019523200492</v>
      </c>
      <c r="I663" s="1">
        <v>0</v>
      </c>
      <c r="J663" s="1">
        <v>0</v>
      </c>
      <c r="K663" s="1">
        <f t="shared" si="186"/>
        <v>-2147.6296382609125</v>
      </c>
      <c r="L663" s="1">
        <f t="shared" si="179"/>
        <v>2145482.0086226519</v>
      </c>
      <c r="N663" s="1">
        <f t="shared" si="187"/>
        <v>640</v>
      </c>
      <c r="O663" s="2">
        <f t="shared" si="192"/>
        <v>53</v>
      </c>
      <c r="P663" s="2">
        <f t="shared" si="193"/>
        <v>4</v>
      </c>
      <c r="Q663" s="2">
        <f t="shared" si="194"/>
        <v>53</v>
      </c>
      <c r="R663" s="1">
        <f t="shared" si="188"/>
        <v>104827433.29566447</v>
      </c>
      <c r="S663" s="4">
        <f>IF($G$4="mensual",S660,IF($G$4="trimestral",S660,0))</f>
        <v>10000</v>
      </c>
      <c r="U663" s="1">
        <f t="shared" si="195"/>
        <v>835988.41530545964</v>
      </c>
      <c r="V663" s="1">
        <f t="shared" si="196"/>
        <v>-609.14678187885488</v>
      </c>
      <c r="X663" s="1">
        <f t="shared" si="180"/>
        <v>-105673.42171096994</v>
      </c>
      <c r="Y663" s="1">
        <f t="shared" si="181"/>
        <v>105567139.1424771</v>
      </c>
      <c r="AA663" s="2">
        <f>+Bono!J663</f>
        <v>893680.9351411314</v>
      </c>
      <c r="AC663" s="10">
        <f t="shared" si="182"/>
        <v>53.333333333333336</v>
      </c>
      <c r="AD663" s="1">
        <f t="shared" si="183"/>
        <v>108606302.08624087</v>
      </c>
    </row>
    <row r="664" spans="2:30">
      <c r="B664" s="1">
        <f t="shared" si="184"/>
        <v>641</v>
      </c>
      <c r="C664" s="2">
        <f t="shared" si="189"/>
        <v>53</v>
      </c>
      <c r="D664" s="2">
        <f t="shared" si="190"/>
        <v>5</v>
      </c>
      <c r="E664" s="2">
        <f t="shared" si="191"/>
        <v>82</v>
      </c>
      <c r="F664" s="1">
        <f t="shared" si="185"/>
        <v>2145482.0086226519</v>
      </c>
      <c r="H664" s="1">
        <f t="shared" ref="H664:H727" si="197">SUM(F664:G664)*$G$8</f>
        <v>17108.374824443545</v>
      </c>
      <c r="I664" s="1">
        <v>0</v>
      </c>
      <c r="J664" s="1">
        <v>0</v>
      </c>
      <c r="K664" s="1">
        <f t="shared" si="186"/>
        <v>-2162.5903834470955</v>
      </c>
      <c r="L664" s="1">
        <f t="shared" ref="L664:L727" si="198">SUM(F664:K664)</f>
        <v>2160427.793063648</v>
      </c>
      <c r="N664" s="1">
        <f t="shared" si="187"/>
        <v>641</v>
      </c>
      <c r="O664" s="2">
        <f t="shared" si="192"/>
        <v>53</v>
      </c>
      <c r="P664" s="2">
        <f t="shared" si="193"/>
        <v>5</v>
      </c>
      <c r="Q664" s="2">
        <f t="shared" si="194"/>
        <v>53</v>
      </c>
      <c r="R664" s="1">
        <f t="shared" si="188"/>
        <v>105567139.1424771</v>
      </c>
      <c r="S664" s="4">
        <f>IF($G$4="mensual",S663,0)</f>
        <v>10000</v>
      </c>
      <c r="U664" s="1">
        <f t="shared" si="195"/>
        <v>841886.9336040247</v>
      </c>
      <c r="V664" s="1">
        <f t="shared" si="196"/>
        <v>-609.14678187885488</v>
      </c>
      <c r="X664" s="1">
        <f t="shared" ref="X664:X727" si="199">-SUM(R664:U664)*0.1%</f>
        <v>-106419.02607608114</v>
      </c>
      <c r="Y664" s="1">
        <f t="shared" ref="Y664:Y727" si="200">SUM(R664:X664)</f>
        <v>106311997.90322317</v>
      </c>
      <c r="AA664" s="2">
        <f>+Bono!J664</f>
        <v>899221.86059957882</v>
      </c>
      <c r="AC664" s="10">
        <f t="shared" ref="AC664:AC727" si="201">+B664/12</f>
        <v>53.416666666666664</v>
      </c>
      <c r="AD664" s="1">
        <f t="shared" ref="AD664:AD727" si="202">+AA664+Y664+L664</f>
        <v>109371647.5568864</v>
      </c>
    </row>
    <row r="665" spans="2:30">
      <c r="B665" s="1">
        <f t="shared" ref="B665:B728" si="203">+B664+1</f>
        <v>642</v>
      </c>
      <c r="C665" s="2">
        <f t="shared" si="189"/>
        <v>53</v>
      </c>
      <c r="D665" s="2">
        <f t="shared" si="190"/>
        <v>6</v>
      </c>
      <c r="E665" s="2">
        <f t="shared" si="191"/>
        <v>82</v>
      </c>
      <c r="F665" s="1">
        <f t="shared" ref="F665:F728" si="204">L664</f>
        <v>2160427.793063648</v>
      </c>
      <c r="H665" s="1">
        <f t="shared" si="197"/>
        <v>17227.554608396171</v>
      </c>
      <c r="I665" s="1">
        <v>0</v>
      </c>
      <c r="J665" s="69">
        <f>-SUM(F665:H665)*$J$21</f>
        <v>-19598.898129048401</v>
      </c>
      <c r="K665" s="1">
        <f t="shared" ref="K665:K728" si="205">-SUM(F665:J665)*0.1%</f>
        <v>-2158.0564495429962</v>
      </c>
      <c r="L665" s="1">
        <f t="shared" si="198"/>
        <v>2155898.3930934528</v>
      </c>
      <c r="N665" s="1">
        <f t="shared" ref="N665:N728" si="206">+N664+1</f>
        <v>642</v>
      </c>
      <c r="O665" s="2">
        <f t="shared" si="192"/>
        <v>53</v>
      </c>
      <c r="P665" s="2">
        <f t="shared" si="193"/>
        <v>6</v>
      </c>
      <c r="Q665" s="2">
        <f t="shared" si="194"/>
        <v>53</v>
      </c>
      <c r="R665" s="1">
        <f t="shared" ref="R665:R728" si="207">Y664</f>
        <v>106311997.90322317</v>
      </c>
      <c r="S665" s="4">
        <f>IF($G$4="mensual",S664,0)</f>
        <v>10000</v>
      </c>
      <c r="U665" s="1">
        <f t="shared" si="195"/>
        <v>847826.54196191311</v>
      </c>
      <c r="V665" s="1">
        <f t="shared" si="196"/>
        <v>-609.14678187885488</v>
      </c>
      <c r="X665" s="1">
        <f t="shared" si="199"/>
        <v>-107169.82444518508</v>
      </c>
      <c r="Y665" s="1">
        <f t="shared" si="200"/>
        <v>107062045.47395802</v>
      </c>
      <c r="AA665" s="2">
        <f>+Bono!J665</f>
        <v>896645.81484903942</v>
      </c>
      <c r="AC665" s="10">
        <f t="shared" si="201"/>
        <v>53.5</v>
      </c>
      <c r="AD665" s="1">
        <f t="shared" si="202"/>
        <v>110114589.6819005</v>
      </c>
    </row>
    <row r="666" spans="2:30">
      <c r="B666" s="1">
        <f t="shared" si="203"/>
        <v>643</v>
      </c>
      <c r="C666" s="2">
        <f t="shared" si="189"/>
        <v>53</v>
      </c>
      <c r="D666" s="2">
        <f t="shared" si="190"/>
        <v>7</v>
      </c>
      <c r="E666" s="2">
        <f t="shared" si="191"/>
        <v>82</v>
      </c>
      <c r="F666" s="1">
        <f t="shared" si="204"/>
        <v>2155898.3930934528</v>
      </c>
      <c r="H666" s="1">
        <f t="shared" si="197"/>
        <v>17191.436536975161</v>
      </c>
      <c r="I666" s="1">
        <v>0</v>
      </c>
      <c r="J666" s="1">
        <v>0</v>
      </c>
      <c r="K666" s="1">
        <f t="shared" si="205"/>
        <v>-2173.0898296304281</v>
      </c>
      <c r="L666" s="1">
        <f t="shared" si="198"/>
        <v>2170916.7398007978</v>
      </c>
      <c r="N666" s="1">
        <f t="shared" si="206"/>
        <v>643</v>
      </c>
      <c r="O666" s="2">
        <f t="shared" si="192"/>
        <v>53</v>
      </c>
      <c r="P666" s="2">
        <f t="shared" si="193"/>
        <v>7</v>
      </c>
      <c r="Q666" s="2">
        <f t="shared" si="194"/>
        <v>53</v>
      </c>
      <c r="R666" s="1">
        <f t="shared" si="207"/>
        <v>107062045.47395802</v>
      </c>
      <c r="S666" s="1">
        <f>+IF($G$4="mensual",S660,IF($G$4="trimestral",S660,IF($G$4="semestral",S660,0)))</f>
        <v>10000</v>
      </c>
      <c r="U666" s="1">
        <f t="shared" si="195"/>
        <v>853807.52661931096</v>
      </c>
      <c r="V666" s="1">
        <f t="shared" si="196"/>
        <v>-609.14678187885488</v>
      </c>
      <c r="X666" s="1">
        <f t="shared" si="199"/>
        <v>-107925.85300057734</v>
      </c>
      <c r="Y666" s="1">
        <f t="shared" si="200"/>
        <v>107817318.00079487</v>
      </c>
      <c r="AA666" s="2">
        <f>+Bono!J666</f>
        <v>902205.12290558068</v>
      </c>
      <c r="AC666" s="10">
        <f t="shared" si="201"/>
        <v>53.583333333333336</v>
      </c>
      <c r="AD666" s="1">
        <f t="shared" si="202"/>
        <v>110890439.86350125</v>
      </c>
    </row>
    <row r="667" spans="2:30">
      <c r="B667" s="1">
        <f t="shared" si="203"/>
        <v>644</v>
      </c>
      <c r="C667" s="2">
        <f t="shared" si="189"/>
        <v>53</v>
      </c>
      <c r="D667" s="2">
        <f t="shared" si="190"/>
        <v>8</v>
      </c>
      <c r="E667" s="2">
        <f t="shared" si="191"/>
        <v>82</v>
      </c>
      <c r="F667" s="1">
        <f t="shared" si="204"/>
        <v>2170916.7398007978</v>
      </c>
      <c r="H667" s="1">
        <f t="shared" si="197"/>
        <v>17311.194942629496</v>
      </c>
      <c r="I667" s="1">
        <v>0</v>
      </c>
      <c r="J667" s="1">
        <v>0</v>
      </c>
      <c r="K667" s="1">
        <f t="shared" si="205"/>
        <v>-2188.2279347434273</v>
      </c>
      <c r="L667" s="1">
        <f t="shared" si="198"/>
        <v>2186039.7068086839</v>
      </c>
      <c r="N667" s="1">
        <f t="shared" si="206"/>
        <v>644</v>
      </c>
      <c r="O667" s="2">
        <f t="shared" si="192"/>
        <v>53</v>
      </c>
      <c r="P667" s="2">
        <f t="shared" si="193"/>
        <v>8</v>
      </c>
      <c r="Q667" s="2">
        <f t="shared" si="194"/>
        <v>53</v>
      </c>
      <c r="R667" s="1">
        <f t="shared" si="207"/>
        <v>107817318.00079487</v>
      </c>
      <c r="S667" s="4">
        <f>IF($G$4="mensual",S666,0)</f>
        <v>10000</v>
      </c>
      <c r="U667" s="1">
        <f t="shared" si="195"/>
        <v>859830.17581040098</v>
      </c>
      <c r="V667" s="1">
        <f t="shared" si="196"/>
        <v>-609.14678187885488</v>
      </c>
      <c r="X667" s="1">
        <f t="shared" si="199"/>
        <v>-108687.14817660527</v>
      </c>
      <c r="Y667" s="1">
        <f t="shared" si="200"/>
        <v>108577851.88164678</v>
      </c>
      <c r="AA667" s="2">
        <f>+Bono!J667</f>
        <v>907798.89931691217</v>
      </c>
      <c r="AC667" s="10">
        <f t="shared" si="201"/>
        <v>53.666666666666664</v>
      </c>
      <c r="AD667" s="1">
        <f t="shared" si="202"/>
        <v>111671690.48777238</v>
      </c>
    </row>
    <row r="668" spans="2:30">
      <c r="B668" s="1">
        <f t="shared" si="203"/>
        <v>645</v>
      </c>
      <c r="C668" s="2">
        <f t="shared" si="189"/>
        <v>53</v>
      </c>
      <c r="D668" s="2">
        <f t="shared" si="190"/>
        <v>9</v>
      </c>
      <c r="E668" s="2">
        <f t="shared" si="191"/>
        <v>82</v>
      </c>
      <c r="F668" s="1">
        <f t="shared" si="204"/>
        <v>2186039.7068086839</v>
      </c>
      <c r="H668" s="1">
        <f t="shared" si="197"/>
        <v>17431.787605252059</v>
      </c>
      <c r="I668" s="1">
        <v>0</v>
      </c>
      <c r="J668" s="69">
        <f>-SUM(F668:H668)*$J$21</f>
        <v>-19831.243449725425</v>
      </c>
      <c r="K668" s="1">
        <f t="shared" si="205"/>
        <v>-2183.6402509642107</v>
      </c>
      <c r="L668" s="1">
        <f t="shared" si="198"/>
        <v>2181456.6107132467</v>
      </c>
      <c r="N668" s="1">
        <f t="shared" si="206"/>
        <v>645</v>
      </c>
      <c r="O668" s="2">
        <f t="shared" si="192"/>
        <v>53</v>
      </c>
      <c r="P668" s="2">
        <f t="shared" si="193"/>
        <v>9</v>
      </c>
      <c r="Q668" s="2">
        <f t="shared" si="194"/>
        <v>53</v>
      </c>
      <c r="R668" s="1">
        <f t="shared" si="207"/>
        <v>108577851.88164678</v>
      </c>
      <c r="S668" s="4">
        <f>IF($G$4="mensual",S667,0)</f>
        <v>10000</v>
      </c>
      <c r="U668" s="1">
        <f t="shared" si="195"/>
        <v>865894.77977725328</v>
      </c>
      <c r="V668" s="1">
        <f t="shared" si="196"/>
        <v>-609.14678187885488</v>
      </c>
      <c r="X668" s="1">
        <f t="shared" si="199"/>
        <v>-109453.74666142404</v>
      </c>
      <c r="Y668" s="1">
        <f t="shared" si="200"/>
        <v>109343683.76798074</v>
      </c>
      <c r="AA668" s="2">
        <f>+Bono!J668</f>
        <v>905198.28249541891</v>
      </c>
      <c r="AC668" s="10">
        <f t="shared" si="201"/>
        <v>53.75</v>
      </c>
      <c r="AD668" s="1">
        <f t="shared" si="202"/>
        <v>112430338.66118941</v>
      </c>
    </row>
    <row r="669" spans="2:30">
      <c r="B669" s="1">
        <f t="shared" si="203"/>
        <v>646</v>
      </c>
      <c r="C669" s="2">
        <f t="shared" si="189"/>
        <v>53</v>
      </c>
      <c r="D669" s="2">
        <f t="shared" si="190"/>
        <v>10</v>
      </c>
      <c r="E669" s="2">
        <f t="shared" si="191"/>
        <v>82</v>
      </c>
      <c r="F669" s="1">
        <f t="shared" si="204"/>
        <v>2181456.6107132467</v>
      </c>
      <c r="H669" s="1">
        <f t="shared" si="197"/>
        <v>17395.241353387883</v>
      </c>
      <c r="I669" s="1">
        <v>0</v>
      </c>
      <c r="J669" s="1">
        <v>0</v>
      </c>
      <c r="K669" s="1">
        <f t="shared" si="205"/>
        <v>-2198.8518520666348</v>
      </c>
      <c r="L669" s="1">
        <f t="shared" si="198"/>
        <v>2196653.0002145679</v>
      </c>
      <c r="N669" s="1">
        <f t="shared" si="206"/>
        <v>646</v>
      </c>
      <c r="O669" s="2">
        <f t="shared" si="192"/>
        <v>53</v>
      </c>
      <c r="P669" s="2">
        <f t="shared" si="193"/>
        <v>10</v>
      </c>
      <c r="Q669" s="2">
        <f t="shared" si="194"/>
        <v>53</v>
      </c>
      <c r="R669" s="1">
        <f t="shared" si="207"/>
        <v>109343683.76798074</v>
      </c>
      <c r="S669" s="4">
        <f>IF($G$4="mensual",S660,IF($G$4="trimestral",S660,0))</f>
        <v>10000</v>
      </c>
      <c r="U669" s="1">
        <f t="shared" si="195"/>
        <v>872001.63078381249</v>
      </c>
      <c r="V669" s="1">
        <f t="shared" si="196"/>
        <v>-609.14678187885488</v>
      </c>
      <c r="X669" s="1">
        <f t="shared" si="199"/>
        <v>-110225.68539876456</v>
      </c>
      <c r="Y669" s="1">
        <f t="shared" si="200"/>
        <v>110114850.56658392</v>
      </c>
      <c r="AA669" s="2">
        <f>+Bono!J669</f>
        <v>910810.61684339237</v>
      </c>
      <c r="AC669" s="10">
        <f t="shared" si="201"/>
        <v>53.833333333333336</v>
      </c>
      <c r="AD669" s="1">
        <f t="shared" si="202"/>
        <v>113222314.18364187</v>
      </c>
    </row>
    <row r="670" spans="2:30">
      <c r="B670" s="1">
        <f t="shared" si="203"/>
        <v>647</v>
      </c>
      <c r="C670" s="2">
        <f t="shared" si="189"/>
        <v>53</v>
      </c>
      <c r="D670" s="2">
        <f t="shared" si="190"/>
        <v>11</v>
      </c>
      <c r="E670" s="2">
        <f t="shared" si="191"/>
        <v>82</v>
      </c>
      <c r="F670" s="1">
        <f t="shared" si="204"/>
        <v>2196653.0002145679</v>
      </c>
      <c r="H670" s="1">
        <f t="shared" si="197"/>
        <v>17516.419497283736</v>
      </c>
      <c r="I670" s="1">
        <v>0</v>
      </c>
      <c r="J670" s="1">
        <v>0</v>
      </c>
      <c r="K670" s="1">
        <f t="shared" si="205"/>
        <v>-2214.1694197118518</v>
      </c>
      <c r="L670" s="1">
        <f t="shared" si="198"/>
        <v>2211955.2502921396</v>
      </c>
      <c r="N670" s="1">
        <f t="shared" si="206"/>
        <v>647</v>
      </c>
      <c r="O670" s="2">
        <f t="shared" si="192"/>
        <v>53</v>
      </c>
      <c r="P670" s="2">
        <f t="shared" si="193"/>
        <v>11</v>
      </c>
      <c r="Q670" s="2">
        <f t="shared" si="194"/>
        <v>53</v>
      </c>
      <c r="R670" s="1">
        <f t="shared" si="207"/>
        <v>110114850.56658392</v>
      </c>
      <c r="S670" s="1">
        <f>IF($G$17="si",S658*(1+$G$20),S658)</f>
        <v>10000</v>
      </c>
      <c r="U670" s="1">
        <f t="shared" si="195"/>
        <v>878151.02312998241</v>
      </c>
      <c r="V670" s="1">
        <f t="shared" si="196"/>
        <v>-609.14678187885488</v>
      </c>
      <c r="X670" s="1">
        <f t="shared" si="199"/>
        <v>-111003.00158971391</v>
      </c>
      <c r="Y670" s="1">
        <f t="shared" si="200"/>
        <v>110891389.44134231</v>
      </c>
      <c r="AA670" s="2">
        <f>+Bono!J670</f>
        <v>916457.74831531383</v>
      </c>
      <c r="AC670" s="10">
        <f t="shared" si="201"/>
        <v>53.916666666666664</v>
      </c>
      <c r="AD670" s="1">
        <f t="shared" si="202"/>
        <v>114019802.43994977</v>
      </c>
    </row>
    <row r="671" spans="2:30">
      <c r="B671" s="1">
        <f t="shared" si="203"/>
        <v>648</v>
      </c>
      <c r="C671" s="2">
        <f t="shared" si="189"/>
        <v>53</v>
      </c>
      <c r="D671" s="2">
        <f t="shared" si="190"/>
        <v>12</v>
      </c>
      <c r="E671" s="2">
        <f t="shared" si="191"/>
        <v>82</v>
      </c>
      <c r="F671" s="1">
        <f t="shared" si="204"/>
        <v>2211955.2502921396</v>
      </c>
      <c r="H671" s="1">
        <f t="shared" si="197"/>
        <v>17638.441788280496</v>
      </c>
      <c r="I671" s="1">
        <v>0</v>
      </c>
      <c r="J671" s="69">
        <f>-SUM(F671:H671)*$J$21</f>
        <v>-20066.343228723781</v>
      </c>
      <c r="K671" s="1">
        <f t="shared" si="205"/>
        <v>-2209.5273488516964</v>
      </c>
      <c r="L671" s="1">
        <f t="shared" si="198"/>
        <v>2207317.8215028443</v>
      </c>
      <c r="N671" s="1">
        <f t="shared" si="206"/>
        <v>648</v>
      </c>
      <c r="O671" s="2">
        <f t="shared" si="192"/>
        <v>53</v>
      </c>
      <c r="P671" s="2">
        <f t="shared" si="193"/>
        <v>12</v>
      </c>
      <c r="Q671" s="2">
        <f t="shared" si="194"/>
        <v>53</v>
      </c>
      <c r="R671" s="1">
        <f t="shared" si="207"/>
        <v>110891389.44134231</v>
      </c>
      <c r="S671" s="4">
        <f>IF($G$4="mensual",S670,0)</f>
        <v>10000</v>
      </c>
      <c r="U671" s="1">
        <f t="shared" si="195"/>
        <v>884343.25316580874</v>
      </c>
      <c r="V671" s="1">
        <f t="shared" si="196"/>
        <v>-609.14678187885488</v>
      </c>
      <c r="X671" s="1">
        <f t="shared" si="199"/>
        <v>-111785.73269450813</v>
      </c>
      <c r="Y671" s="1">
        <f t="shared" si="200"/>
        <v>111673337.81503174</v>
      </c>
      <c r="AA671" s="2">
        <f>+Bono!J671</f>
        <v>913832.32605687086</v>
      </c>
      <c r="AC671" s="10">
        <f t="shared" si="201"/>
        <v>54</v>
      </c>
      <c r="AD671" s="1">
        <f t="shared" si="202"/>
        <v>114794487.96259145</v>
      </c>
    </row>
    <row r="672" spans="2:30">
      <c r="B672" s="1">
        <f t="shared" si="203"/>
        <v>649</v>
      </c>
      <c r="C672" s="2">
        <f t="shared" si="189"/>
        <v>54</v>
      </c>
      <c r="D672" s="2">
        <f t="shared" si="190"/>
        <v>1</v>
      </c>
      <c r="E672" s="2">
        <f t="shared" si="191"/>
        <v>83</v>
      </c>
      <c r="F672" s="1">
        <f t="shared" si="204"/>
        <v>2207317.8215028443</v>
      </c>
      <c r="H672" s="1">
        <f t="shared" si="197"/>
        <v>17601.462279885614</v>
      </c>
      <c r="I672" s="1">
        <v>0</v>
      </c>
      <c r="J672" s="1">
        <v>0</v>
      </c>
      <c r="K672" s="1">
        <f t="shared" si="205"/>
        <v>-2224.91928378273</v>
      </c>
      <c r="L672" s="1">
        <f t="shared" si="198"/>
        <v>2222694.3644989473</v>
      </c>
      <c r="N672" s="1">
        <f t="shared" si="206"/>
        <v>649</v>
      </c>
      <c r="O672" s="2">
        <f t="shared" si="192"/>
        <v>54</v>
      </c>
      <c r="P672" s="2">
        <f t="shared" si="193"/>
        <v>1</v>
      </c>
      <c r="Q672" s="2">
        <f t="shared" si="194"/>
        <v>54</v>
      </c>
      <c r="R672" s="1">
        <f t="shared" si="207"/>
        <v>111673337.81503174</v>
      </c>
      <c r="S672" s="1">
        <f>IF($G$17="si",S660*(1+$G$20),S660)</f>
        <v>10000</v>
      </c>
      <c r="U672" s="1">
        <f t="shared" si="195"/>
        <v>890578.61930576118</v>
      </c>
      <c r="V672" s="1">
        <f>V671*(1+$G$18)</f>
        <v>-633.51265315400906</v>
      </c>
      <c r="X672" s="1">
        <f t="shared" si="199"/>
        <v>-112573.9164343375</v>
      </c>
      <c r="Y672" s="1">
        <f t="shared" si="200"/>
        <v>112460709.00525001</v>
      </c>
      <c r="AA672" s="2">
        <f>+Bono!J672</f>
        <v>919498.19247641251</v>
      </c>
      <c r="AC672" s="10">
        <f t="shared" si="201"/>
        <v>54.083333333333336</v>
      </c>
      <c r="AD672" s="1">
        <f t="shared" si="202"/>
        <v>115602901.56222536</v>
      </c>
    </row>
    <row r="673" spans="2:30">
      <c r="B673" s="1">
        <f t="shared" si="203"/>
        <v>650</v>
      </c>
      <c r="C673" s="2">
        <f t="shared" si="189"/>
        <v>54</v>
      </c>
      <c r="D673" s="2">
        <f t="shared" si="190"/>
        <v>2</v>
      </c>
      <c r="E673" s="2">
        <f t="shared" si="191"/>
        <v>83</v>
      </c>
      <c r="F673" s="1">
        <f t="shared" si="204"/>
        <v>2222694.3644989473</v>
      </c>
      <c r="H673" s="1">
        <f t="shared" si="197"/>
        <v>17724.076993047616</v>
      </c>
      <c r="I673" s="1">
        <v>0</v>
      </c>
      <c r="J673" s="1">
        <v>0</v>
      </c>
      <c r="K673" s="1">
        <f t="shared" si="205"/>
        <v>-2240.4184414919951</v>
      </c>
      <c r="L673" s="1">
        <f t="shared" si="198"/>
        <v>2238178.0230505029</v>
      </c>
      <c r="N673" s="1">
        <f t="shared" si="206"/>
        <v>650</v>
      </c>
      <c r="O673" s="2">
        <f t="shared" si="192"/>
        <v>54</v>
      </c>
      <c r="P673" s="2">
        <f t="shared" si="193"/>
        <v>2</v>
      </c>
      <c r="Q673" s="2">
        <f t="shared" si="194"/>
        <v>54</v>
      </c>
      <c r="R673" s="1">
        <f t="shared" si="207"/>
        <v>112460709.00525001</v>
      </c>
      <c r="S673" s="4">
        <f>IF($G$4="mensual",S672,0)</f>
        <v>10000</v>
      </c>
      <c r="U673" s="1">
        <f t="shared" si="195"/>
        <v>896857.22774623474</v>
      </c>
      <c r="V673" s="1">
        <f>V672</f>
        <v>-633.51265315400906</v>
      </c>
      <c r="X673" s="1">
        <f t="shared" si="199"/>
        <v>-113367.56623299624</v>
      </c>
      <c r="Y673" s="1">
        <f t="shared" si="200"/>
        <v>113253565.15411009</v>
      </c>
      <c r="AA673" s="2">
        <f>+Bono!J673</f>
        <v>925199.18792495504</v>
      </c>
      <c r="AC673" s="10">
        <f t="shared" si="201"/>
        <v>54.166666666666664</v>
      </c>
      <c r="AD673" s="1">
        <f t="shared" si="202"/>
        <v>116416942.36508554</v>
      </c>
    </row>
    <row r="674" spans="2:30">
      <c r="B674" s="1">
        <f t="shared" si="203"/>
        <v>651</v>
      </c>
      <c r="C674" s="2">
        <f t="shared" si="189"/>
        <v>54</v>
      </c>
      <c r="D674" s="2">
        <f t="shared" si="190"/>
        <v>3</v>
      </c>
      <c r="E674" s="2">
        <f t="shared" si="191"/>
        <v>83</v>
      </c>
      <c r="F674" s="1">
        <f t="shared" si="204"/>
        <v>2238178.0230505029</v>
      </c>
      <c r="H674" s="1">
        <f t="shared" si="197"/>
        <v>17847.545860690916</v>
      </c>
      <c r="I674" s="1">
        <v>0</v>
      </c>
      <c r="J674" s="69">
        <f>-SUM(F674:H674)*$J$21</f>
        <v>-20304.230120200747</v>
      </c>
      <c r="K674" s="1">
        <f t="shared" si="205"/>
        <v>-2235.7213387909933</v>
      </c>
      <c r="L674" s="1">
        <f t="shared" si="198"/>
        <v>2233485.6174522024</v>
      </c>
      <c r="N674" s="1">
        <f t="shared" si="206"/>
        <v>651</v>
      </c>
      <c r="O674" s="2">
        <f t="shared" si="192"/>
        <v>54</v>
      </c>
      <c r="P674" s="2">
        <f t="shared" si="193"/>
        <v>3</v>
      </c>
      <c r="Q674" s="2">
        <f t="shared" si="194"/>
        <v>54</v>
      </c>
      <c r="R674" s="1">
        <f t="shared" si="207"/>
        <v>113253565.15411009</v>
      </c>
      <c r="S674" s="4">
        <f>IF($G$4="mensual",S673,0)</f>
        <v>10000</v>
      </c>
      <c r="U674" s="1">
        <f t="shared" si="195"/>
        <v>903179.57401716488</v>
      </c>
      <c r="V674" s="1">
        <f t="shared" si="196"/>
        <v>-633.51265315400906</v>
      </c>
      <c r="X674" s="1">
        <f t="shared" si="199"/>
        <v>-114166.74472812726</v>
      </c>
      <c r="Y674" s="1">
        <f t="shared" si="200"/>
        <v>114051944.47074597</v>
      </c>
      <c r="AA674" s="2">
        <f>+Bono!J674</f>
        <v>922548.72362811572</v>
      </c>
      <c r="AC674" s="10">
        <f t="shared" si="201"/>
        <v>54.25</v>
      </c>
      <c r="AD674" s="1">
        <f t="shared" si="202"/>
        <v>117207978.81182629</v>
      </c>
    </row>
    <row r="675" spans="2:30">
      <c r="B675" s="1">
        <f t="shared" si="203"/>
        <v>652</v>
      </c>
      <c r="C675" s="2">
        <f t="shared" si="189"/>
        <v>54</v>
      </c>
      <c r="D675" s="2">
        <f t="shared" si="190"/>
        <v>4</v>
      </c>
      <c r="E675" s="2">
        <f t="shared" si="191"/>
        <v>83</v>
      </c>
      <c r="F675" s="1">
        <f t="shared" si="204"/>
        <v>2233485.6174522024</v>
      </c>
      <c r="H675" s="1">
        <f t="shared" si="197"/>
        <v>17810.127959500693</v>
      </c>
      <c r="I675" s="1">
        <v>0</v>
      </c>
      <c r="J675" s="1">
        <v>0</v>
      </c>
      <c r="K675" s="1">
        <f t="shared" si="205"/>
        <v>-2251.2957454117031</v>
      </c>
      <c r="L675" s="1">
        <f t="shared" si="198"/>
        <v>2249044.449666291</v>
      </c>
      <c r="N675" s="1">
        <f t="shared" si="206"/>
        <v>652</v>
      </c>
      <c r="O675" s="2">
        <f t="shared" si="192"/>
        <v>54</v>
      </c>
      <c r="P675" s="2">
        <f t="shared" si="193"/>
        <v>4</v>
      </c>
      <c r="Q675" s="2">
        <f t="shared" si="194"/>
        <v>54</v>
      </c>
      <c r="R675" s="1">
        <f t="shared" si="207"/>
        <v>114051944.47074597</v>
      </c>
      <c r="S675" s="4">
        <f>IF($G$4="mensual",S672,IF($G$4="trimestral",S672,0))</f>
        <v>10000</v>
      </c>
      <c r="U675" s="1">
        <f t="shared" si="195"/>
        <v>909545.96280355158</v>
      </c>
      <c r="V675" s="1">
        <f t="shared" si="196"/>
        <v>-633.51265315400906</v>
      </c>
      <c r="X675" s="1">
        <f t="shared" si="199"/>
        <v>-114971.49043354952</v>
      </c>
      <c r="Y675" s="1">
        <f t="shared" si="200"/>
        <v>114855885.43046282</v>
      </c>
      <c r="AA675" s="2">
        <f>+Bono!J675</f>
        <v>928268.63272363856</v>
      </c>
      <c r="AC675" s="10">
        <f t="shared" si="201"/>
        <v>54.333333333333336</v>
      </c>
      <c r="AD675" s="1">
        <f t="shared" si="202"/>
        <v>118033198.51285276</v>
      </c>
    </row>
    <row r="676" spans="2:30">
      <c r="B676" s="1">
        <f t="shared" si="203"/>
        <v>653</v>
      </c>
      <c r="C676" s="2">
        <f t="shared" ref="C676:C739" si="208">C664+1</f>
        <v>54</v>
      </c>
      <c r="D676" s="2">
        <f t="shared" ref="D676:D739" si="209">D664</f>
        <v>5</v>
      </c>
      <c r="E676" s="2">
        <f t="shared" ref="E676:E739" si="210">E664+1</f>
        <v>83</v>
      </c>
      <c r="F676" s="1">
        <f t="shared" si="204"/>
        <v>2249044.449666291</v>
      </c>
      <c r="H676" s="1">
        <f t="shared" si="197"/>
        <v>17934.196272485588</v>
      </c>
      <c r="I676" s="1">
        <v>0</v>
      </c>
      <c r="J676" s="1">
        <v>0</v>
      </c>
      <c r="K676" s="1">
        <f t="shared" si="205"/>
        <v>-2266.9786459387765</v>
      </c>
      <c r="L676" s="1">
        <f t="shared" si="198"/>
        <v>2264711.6672928375</v>
      </c>
      <c r="N676" s="1">
        <f t="shared" si="206"/>
        <v>653</v>
      </c>
      <c r="O676" s="2">
        <f t="shared" ref="O676:O739" si="211">O664+1</f>
        <v>54</v>
      </c>
      <c r="P676" s="2">
        <f t="shared" ref="P676:P739" si="212">P664</f>
        <v>5</v>
      </c>
      <c r="Q676" s="2">
        <f t="shared" ref="Q676:Q739" si="213">Q664+1</f>
        <v>54</v>
      </c>
      <c r="R676" s="1">
        <f t="shared" si="207"/>
        <v>114855885.43046282</v>
      </c>
      <c r="S676" s="4">
        <f>IF($G$4="mensual",S675,0)</f>
        <v>10000</v>
      </c>
      <c r="U676" s="1">
        <f t="shared" ref="U676:U739" si="214">SUM(R676:T676)*$G$8</f>
        <v>915956.70091288141</v>
      </c>
      <c r="V676" s="1">
        <f t="shared" si="196"/>
        <v>-633.51265315400906</v>
      </c>
      <c r="X676" s="1">
        <f t="shared" si="199"/>
        <v>-115781.8421313757</v>
      </c>
      <c r="Y676" s="1">
        <f t="shared" si="200"/>
        <v>115665426.77659117</v>
      </c>
      <c r="AA676" s="2">
        <f>+Bono!J676</f>
        <v>934024.00591902202</v>
      </c>
      <c r="AC676" s="10">
        <f t="shared" si="201"/>
        <v>54.416666666666664</v>
      </c>
      <c r="AD676" s="1">
        <f t="shared" si="202"/>
        <v>118864162.44980302</v>
      </c>
    </row>
    <row r="677" spans="2:30">
      <c r="B677" s="1">
        <f t="shared" si="203"/>
        <v>654</v>
      </c>
      <c r="C677" s="2">
        <f t="shared" si="208"/>
        <v>54</v>
      </c>
      <c r="D677" s="2">
        <f t="shared" si="209"/>
        <v>6</v>
      </c>
      <c r="E677" s="2">
        <f t="shared" si="210"/>
        <v>83</v>
      </c>
      <c r="F677" s="1">
        <f t="shared" si="204"/>
        <v>2264711.6672928375</v>
      </c>
      <c r="H677" s="1">
        <f t="shared" si="197"/>
        <v>18059.128865969866</v>
      </c>
      <c r="I677" s="1">
        <v>0</v>
      </c>
      <c r="J677" s="69">
        <f>-SUM(F677:H677)*$J$21</f>
        <v>-20544.93716542927</v>
      </c>
      <c r="K677" s="1">
        <f t="shared" si="205"/>
        <v>-2262.2258589933781</v>
      </c>
      <c r="L677" s="1">
        <f t="shared" si="198"/>
        <v>2259963.6331343846</v>
      </c>
      <c r="N677" s="1">
        <f t="shared" si="206"/>
        <v>654</v>
      </c>
      <c r="O677" s="2">
        <f t="shared" si="211"/>
        <v>54</v>
      </c>
      <c r="P677" s="2">
        <f t="shared" si="212"/>
        <v>6</v>
      </c>
      <c r="Q677" s="2">
        <f t="shared" si="213"/>
        <v>54</v>
      </c>
      <c r="R677" s="1">
        <f t="shared" si="207"/>
        <v>115665426.77659117</v>
      </c>
      <c r="S677" s="4">
        <f>IF($G$4="mensual",S676,0)</f>
        <v>10000</v>
      </c>
      <c r="U677" s="1">
        <f t="shared" si="214"/>
        <v>922412.09728991264</v>
      </c>
      <c r="V677" s="1">
        <f t="shared" si="196"/>
        <v>-633.51265315400906</v>
      </c>
      <c r="X677" s="1">
        <f t="shared" si="199"/>
        <v>-116597.83887388109</v>
      </c>
      <c r="Y677" s="1">
        <f t="shared" si="200"/>
        <v>116480607.52235405</v>
      </c>
      <c r="AA677" s="2">
        <f>+Bono!J677</f>
        <v>931348.26072556642</v>
      </c>
      <c r="AC677" s="10">
        <f t="shared" si="201"/>
        <v>54.5</v>
      </c>
      <c r="AD677" s="1">
        <f t="shared" si="202"/>
        <v>119671919.416214</v>
      </c>
    </row>
    <row r="678" spans="2:30">
      <c r="B678" s="1">
        <f t="shared" si="203"/>
        <v>655</v>
      </c>
      <c r="C678" s="2">
        <f t="shared" si="208"/>
        <v>54</v>
      </c>
      <c r="D678" s="2">
        <f t="shared" si="209"/>
        <v>7</v>
      </c>
      <c r="E678" s="2">
        <f t="shared" si="210"/>
        <v>83</v>
      </c>
      <c r="F678" s="1">
        <f t="shared" si="204"/>
        <v>2259963.6331343846</v>
      </c>
      <c r="H678" s="1">
        <f t="shared" si="197"/>
        <v>18021.267374829131</v>
      </c>
      <c r="I678" s="1">
        <v>0</v>
      </c>
      <c r="J678" s="1">
        <v>0</v>
      </c>
      <c r="K678" s="1">
        <f t="shared" si="205"/>
        <v>-2277.9849005092137</v>
      </c>
      <c r="L678" s="1">
        <f t="shared" si="198"/>
        <v>2275706.9156087046</v>
      </c>
      <c r="N678" s="1">
        <f t="shared" si="206"/>
        <v>655</v>
      </c>
      <c r="O678" s="2">
        <f t="shared" si="211"/>
        <v>54</v>
      </c>
      <c r="P678" s="2">
        <f t="shared" si="212"/>
        <v>7</v>
      </c>
      <c r="Q678" s="2">
        <f t="shared" si="213"/>
        <v>54</v>
      </c>
      <c r="R678" s="1">
        <f t="shared" si="207"/>
        <v>116480607.52235405</v>
      </c>
      <c r="S678" s="1">
        <f>+IF($G$4="mensual",S672,IF($G$4="trimestral",S672,IF($G$4="semestral",S672,0)))</f>
        <v>10000</v>
      </c>
      <c r="U678" s="1">
        <f t="shared" si="214"/>
        <v>928912.46303156437</v>
      </c>
      <c r="V678" s="1">
        <f t="shared" si="196"/>
        <v>-633.51265315400906</v>
      </c>
      <c r="X678" s="1">
        <f t="shared" si="199"/>
        <v>-117419.51998538562</v>
      </c>
      <c r="Y678" s="1">
        <f t="shared" si="200"/>
        <v>117301466.95274706</v>
      </c>
      <c r="AA678" s="2">
        <f>+Bono!J678</f>
        <v>937122.72797177662</v>
      </c>
      <c r="AC678" s="10">
        <f t="shared" si="201"/>
        <v>54.583333333333336</v>
      </c>
      <c r="AD678" s="1">
        <f t="shared" si="202"/>
        <v>120514296.59632754</v>
      </c>
    </row>
    <row r="679" spans="2:30">
      <c r="B679" s="1">
        <f t="shared" si="203"/>
        <v>656</v>
      </c>
      <c r="C679" s="2">
        <f t="shared" si="208"/>
        <v>54</v>
      </c>
      <c r="D679" s="2">
        <f t="shared" si="209"/>
        <v>8</v>
      </c>
      <c r="E679" s="2">
        <f t="shared" si="210"/>
        <v>83</v>
      </c>
      <c r="F679" s="1">
        <f t="shared" si="204"/>
        <v>2275706.9156087046</v>
      </c>
      <c r="H679" s="1">
        <f t="shared" si="197"/>
        <v>18146.806520091257</v>
      </c>
      <c r="I679" s="1">
        <v>0</v>
      </c>
      <c r="J679" s="1">
        <v>0</v>
      </c>
      <c r="K679" s="1">
        <f t="shared" si="205"/>
        <v>-2293.8537221287961</v>
      </c>
      <c r="L679" s="1">
        <f t="shared" si="198"/>
        <v>2291559.8684066669</v>
      </c>
      <c r="N679" s="1">
        <f t="shared" si="206"/>
        <v>656</v>
      </c>
      <c r="O679" s="2">
        <f t="shared" si="211"/>
        <v>54</v>
      </c>
      <c r="P679" s="2">
        <f t="shared" si="212"/>
        <v>8</v>
      </c>
      <c r="Q679" s="2">
        <f t="shared" si="213"/>
        <v>54</v>
      </c>
      <c r="R679" s="1">
        <f t="shared" si="207"/>
        <v>117301466.95274706</v>
      </c>
      <c r="S679" s="4">
        <f>IF($G$4="mensual",S678,0)</f>
        <v>10000</v>
      </c>
      <c r="U679" s="1">
        <f t="shared" si="214"/>
        <v>935458.11140190822</v>
      </c>
      <c r="V679" s="1">
        <f t="shared" si="196"/>
        <v>-633.51265315400906</v>
      </c>
      <c r="X679" s="1">
        <f t="shared" si="199"/>
        <v>-118246.92506414898</v>
      </c>
      <c r="Y679" s="1">
        <f t="shared" si="200"/>
        <v>118128044.62643167</v>
      </c>
      <c r="AA679" s="2">
        <f>+Bono!J679</f>
        <v>942932.99758471001</v>
      </c>
      <c r="AC679" s="10">
        <f t="shared" si="201"/>
        <v>54.666666666666664</v>
      </c>
      <c r="AD679" s="1">
        <f t="shared" si="202"/>
        <v>121362537.49242306</v>
      </c>
    </row>
    <row r="680" spans="2:30">
      <c r="B680" s="1">
        <f t="shared" si="203"/>
        <v>657</v>
      </c>
      <c r="C680" s="2">
        <f t="shared" si="208"/>
        <v>54</v>
      </c>
      <c r="D680" s="2">
        <f t="shared" si="209"/>
        <v>9</v>
      </c>
      <c r="E680" s="2">
        <f t="shared" si="210"/>
        <v>83</v>
      </c>
      <c r="F680" s="1">
        <f t="shared" si="204"/>
        <v>2291559.8684066669</v>
      </c>
      <c r="H680" s="1">
        <f t="shared" si="197"/>
        <v>18273.220191914992</v>
      </c>
      <c r="I680" s="1">
        <v>0</v>
      </c>
      <c r="J680" s="69">
        <f>-SUM(F680:H680)*$J$21</f>
        <v>-20788.497797387241</v>
      </c>
      <c r="K680" s="1">
        <f t="shared" si="205"/>
        <v>-2289.0445908011948</v>
      </c>
      <c r="L680" s="1">
        <f t="shared" si="198"/>
        <v>2286755.5462103938</v>
      </c>
      <c r="N680" s="1">
        <f t="shared" si="206"/>
        <v>657</v>
      </c>
      <c r="O680" s="2">
        <f t="shared" si="211"/>
        <v>54</v>
      </c>
      <c r="P680" s="2">
        <f t="shared" si="212"/>
        <v>9</v>
      </c>
      <c r="Q680" s="2">
        <f t="shared" si="213"/>
        <v>54</v>
      </c>
      <c r="R680" s="1">
        <f t="shared" si="207"/>
        <v>118128044.62643167</v>
      </c>
      <c r="S680" s="4">
        <f>IF($G$4="mensual",S679,0)</f>
        <v>10000</v>
      </c>
      <c r="U680" s="1">
        <f t="shared" si="214"/>
        <v>942049.3578472659</v>
      </c>
      <c r="V680" s="1">
        <f t="shared" si="196"/>
        <v>-633.51265315400906</v>
      </c>
      <c r="X680" s="1">
        <f t="shared" si="199"/>
        <v>-119080.09398427895</v>
      </c>
      <c r="Y680" s="1">
        <f t="shared" si="200"/>
        <v>118960380.37764151</v>
      </c>
      <c r="AA680" s="2">
        <f>+Bono!J680</f>
        <v>940231.73035811936</v>
      </c>
      <c r="AC680" s="10">
        <f t="shared" si="201"/>
        <v>54.75</v>
      </c>
      <c r="AD680" s="1">
        <f t="shared" si="202"/>
        <v>122187367.65421003</v>
      </c>
    </row>
    <row r="681" spans="2:30">
      <c r="B681" s="1">
        <f t="shared" si="203"/>
        <v>658</v>
      </c>
      <c r="C681" s="2">
        <f t="shared" si="208"/>
        <v>54</v>
      </c>
      <c r="D681" s="2">
        <f t="shared" si="209"/>
        <v>10</v>
      </c>
      <c r="E681" s="2">
        <f t="shared" si="210"/>
        <v>83</v>
      </c>
      <c r="F681" s="1">
        <f t="shared" si="204"/>
        <v>2286755.5462103938</v>
      </c>
      <c r="H681" s="1">
        <f t="shared" si="197"/>
        <v>18234.909852056211</v>
      </c>
      <c r="I681" s="1">
        <v>0</v>
      </c>
      <c r="J681" s="1">
        <v>0</v>
      </c>
      <c r="K681" s="1">
        <f t="shared" si="205"/>
        <v>-2304.99045606245</v>
      </c>
      <c r="L681" s="1">
        <f t="shared" si="198"/>
        <v>2302685.4656063877</v>
      </c>
      <c r="N681" s="1">
        <f t="shared" si="206"/>
        <v>658</v>
      </c>
      <c r="O681" s="2">
        <f t="shared" si="211"/>
        <v>54</v>
      </c>
      <c r="P681" s="2">
        <f t="shared" si="212"/>
        <v>10</v>
      </c>
      <c r="Q681" s="2">
        <f t="shared" si="213"/>
        <v>54</v>
      </c>
      <c r="R681" s="1">
        <f t="shared" si="207"/>
        <v>118960380.37764151</v>
      </c>
      <c r="S681" s="4">
        <f>IF($G$4="mensual",S672,IF($G$4="trimestral",S672,0))</f>
        <v>10000</v>
      </c>
      <c r="U681" s="1">
        <f t="shared" si="214"/>
        <v>948686.52001141023</v>
      </c>
      <c r="V681" s="1">
        <f t="shared" si="196"/>
        <v>-633.51265315400906</v>
      </c>
      <c r="X681" s="1">
        <f t="shared" si="199"/>
        <v>-119919.06689765293</v>
      </c>
      <c r="Y681" s="1">
        <f t="shared" si="200"/>
        <v>119798514.31810212</v>
      </c>
      <c r="AA681" s="2">
        <f>+Bono!J681</f>
        <v>946061.2761464701</v>
      </c>
      <c r="AC681" s="10">
        <f t="shared" si="201"/>
        <v>54.833333333333336</v>
      </c>
      <c r="AD681" s="1">
        <f t="shared" si="202"/>
        <v>123047261.05985498</v>
      </c>
    </row>
    <row r="682" spans="2:30">
      <c r="B682" s="1">
        <f t="shared" si="203"/>
        <v>659</v>
      </c>
      <c r="C682" s="2">
        <f t="shared" si="208"/>
        <v>54</v>
      </c>
      <c r="D682" s="2">
        <f t="shared" si="209"/>
        <v>11</v>
      </c>
      <c r="E682" s="2">
        <f t="shared" si="210"/>
        <v>83</v>
      </c>
      <c r="F682" s="1">
        <f t="shared" si="204"/>
        <v>2302685.4656063877</v>
      </c>
      <c r="H682" s="1">
        <f t="shared" si="197"/>
        <v>18361.937266340985</v>
      </c>
      <c r="I682" s="1">
        <v>0</v>
      </c>
      <c r="J682" s="1">
        <v>0</v>
      </c>
      <c r="K682" s="1">
        <f t="shared" si="205"/>
        <v>-2321.0474028727285</v>
      </c>
      <c r="L682" s="1">
        <f t="shared" si="198"/>
        <v>2318726.3554698559</v>
      </c>
      <c r="N682" s="1">
        <f t="shared" si="206"/>
        <v>659</v>
      </c>
      <c r="O682" s="2">
        <f t="shared" si="211"/>
        <v>54</v>
      </c>
      <c r="P682" s="2">
        <f t="shared" si="212"/>
        <v>11</v>
      </c>
      <c r="Q682" s="2">
        <f t="shared" si="213"/>
        <v>54</v>
      </c>
      <c r="R682" s="1">
        <f t="shared" si="207"/>
        <v>119798514.31810212</v>
      </c>
      <c r="S682" s="1">
        <f>IF($G$17="si",S670*(1+$G$20),S670)</f>
        <v>10000</v>
      </c>
      <c r="U682" s="1">
        <f t="shared" si="214"/>
        <v>955369.9177508736</v>
      </c>
      <c r="V682" s="1">
        <f t="shared" si="196"/>
        <v>-633.51265315400906</v>
      </c>
      <c r="X682" s="1">
        <f t="shared" si="199"/>
        <v>-120763.88423585301</v>
      </c>
      <c r="Y682" s="1">
        <f t="shared" si="200"/>
        <v>120642486.83896399</v>
      </c>
      <c r="AA682" s="2">
        <f>+Bono!J682</f>
        <v>951926.96579489415</v>
      </c>
      <c r="AC682" s="10">
        <f t="shared" si="201"/>
        <v>54.916666666666664</v>
      </c>
      <c r="AD682" s="1">
        <f t="shared" si="202"/>
        <v>123913140.16022873</v>
      </c>
    </row>
    <row r="683" spans="2:30">
      <c r="B683" s="1">
        <f t="shared" si="203"/>
        <v>660</v>
      </c>
      <c r="C683" s="2">
        <f t="shared" si="208"/>
        <v>54</v>
      </c>
      <c r="D683" s="2">
        <f t="shared" si="209"/>
        <v>12</v>
      </c>
      <c r="E683" s="2">
        <f t="shared" si="210"/>
        <v>83</v>
      </c>
      <c r="F683" s="1">
        <f t="shared" si="204"/>
        <v>2318726.3554698559</v>
      </c>
      <c r="H683" s="1">
        <f t="shared" si="197"/>
        <v>18489.84957471686</v>
      </c>
      <c r="I683" s="1">
        <v>0</v>
      </c>
      <c r="J683" s="69">
        <f>-SUM(F683:H683)*$J$21</f>
        <v>-21034.945845401158</v>
      </c>
      <c r="K683" s="1">
        <f t="shared" si="205"/>
        <v>-2316.1812591991716</v>
      </c>
      <c r="L683" s="1">
        <f t="shared" si="198"/>
        <v>2313865.0779399723</v>
      </c>
      <c r="N683" s="1">
        <f t="shared" si="206"/>
        <v>660</v>
      </c>
      <c r="O683" s="2">
        <f t="shared" si="211"/>
        <v>54</v>
      </c>
      <c r="P683" s="2">
        <f t="shared" si="212"/>
        <v>12</v>
      </c>
      <c r="Q683" s="2">
        <f t="shared" si="213"/>
        <v>54</v>
      </c>
      <c r="R683" s="1">
        <f t="shared" si="207"/>
        <v>120642486.83896399</v>
      </c>
      <c r="S683" s="4">
        <f>IF($G$4="mensual",S682,0)</f>
        <v>10000</v>
      </c>
      <c r="U683" s="1">
        <f t="shared" si="214"/>
        <v>962099.87315036205</v>
      </c>
      <c r="V683" s="1">
        <f t="shared" si="196"/>
        <v>-633.51265315400906</v>
      </c>
      <c r="X683" s="1">
        <f t="shared" si="199"/>
        <v>-121614.58671211435</v>
      </c>
      <c r="Y683" s="1">
        <f t="shared" si="200"/>
        <v>121492338.61274908</v>
      </c>
      <c r="AA683" s="2">
        <f>+Bono!J683</f>
        <v>949199.93309861969</v>
      </c>
      <c r="AC683" s="10">
        <f t="shared" si="201"/>
        <v>55</v>
      </c>
      <c r="AD683" s="1">
        <f t="shared" si="202"/>
        <v>124755403.62378767</v>
      </c>
    </row>
    <row r="684" spans="2:30">
      <c r="B684" s="1">
        <f t="shared" si="203"/>
        <v>661</v>
      </c>
      <c r="C684" s="2">
        <f t="shared" si="208"/>
        <v>55</v>
      </c>
      <c r="D684" s="2">
        <f t="shared" si="209"/>
        <v>1</v>
      </c>
      <c r="E684" s="2">
        <f t="shared" si="210"/>
        <v>84</v>
      </c>
      <c r="F684" s="1">
        <f t="shared" si="204"/>
        <v>2313865.0779399723</v>
      </c>
      <c r="H684" s="1">
        <f t="shared" si="197"/>
        <v>18451.085065029692</v>
      </c>
      <c r="I684" s="1">
        <v>0</v>
      </c>
      <c r="J684" s="1">
        <v>0</v>
      </c>
      <c r="K684" s="1">
        <f t="shared" si="205"/>
        <v>-2332.3161630050017</v>
      </c>
      <c r="L684" s="1">
        <f t="shared" si="198"/>
        <v>2329983.846841997</v>
      </c>
      <c r="N684" s="1">
        <f t="shared" si="206"/>
        <v>661</v>
      </c>
      <c r="O684" s="2">
        <f t="shared" si="211"/>
        <v>55</v>
      </c>
      <c r="P684" s="2">
        <f t="shared" si="212"/>
        <v>1</v>
      </c>
      <c r="Q684" s="2">
        <f t="shared" si="213"/>
        <v>55</v>
      </c>
      <c r="R684" s="1">
        <f t="shared" si="207"/>
        <v>121492338.61274908</v>
      </c>
      <c r="S684" s="1">
        <f>IF($G$17="si",S672*(1+$G$20),S672)</f>
        <v>10000</v>
      </c>
      <c r="U684" s="1">
        <f t="shared" si="214"/>
        <v>968876.7105382774</v>
      </c>
      <c r="V684" s="1">
        <f>V683*(1+$G$18)</f>
        <v>-658.85315928016939</v>
      </c>
      <c r="X684" s="1">
        <f t="shared" si="199"/>
        <v>-122471.21532328737</v>
      </c>
      <c r="Y684" s="1">
        <f t="shared" si="200"/>
        <v>122348085.2548048</v>
      </c>
      <c r="AA684" s="2">
        <f>+Bono!J684</f>
        <v>955085.0827842087</v>
      </c>
      <c r="AC684" s="10">
        <f t="shared" si="201"/>
        <v>55.083333333333336</v>
      </c>
      <c r="AD684" s="1">
        <f t="shared" si="202"/>
        <v>125633154.184431</v>
      </c>
    </row>
    <row r="685" spans="2:30">
      <c r="B685" s="1">
        <f t="shared" si="203"/>
        <v>662</v>
      </c>
      <c r="C685" s="2">
        <f t="shared" si="208"/>
        <v>55</v>
      </c>
      <c r="D685" s="2">
        <f t="shared" si="209"/>
        <v>2</v>
      </c>
      <c r="E685" s="2">
        <f t="shared" si="210"/>
        <v>84</v>
      </c>
      <c r="F685" s="1">
        <f t="shared" si="204"/>
        <v>2329983.846841997</v>
      </c>
      <c r="H685" s="1">
        <f t="shared" si="197"/>
        <v>18579.618391795484</v>
      </c>
      <c r="I685" s="1">
        <v>0</v>
      </c>
      <c r="J685" s="1">
        <v>0</v>
      </c>
      <c r="K685" s="1">
        <f t="shared" si="205"/>
        <v>-2348.5634652337926</v>
      </c>
      <c r="L685" s="1">
        <f t="shared" si="198"/>
        <v>2346214.9017685587</v>
      </c>
      <c r="N685" s="1">
        <f t="shared" si="206"/>
        <v>662</v>
      </c>
      <c r="O685" s="2">
        <f t="shared" si="211"/>
        <v>55</v>
      </c>
      <c r="P685" s="2">
        <f t="shared" si="212"/>
        <v>2</v>
      </c>
      <c r="Q685" s="2">
        <f t="shared" si="213"/>
        <v>55</v>
      </c>
      <c r="R685" s="1">
        <f t="shared" si="207"/>
        <v>122348085.2548048</v>
      </c>
      <c r="S685" s="4">
        <f>IF($G$4="mensual",S684,0)</f>
        <v>10000</v>
      </c>
      <c r="U685" s="1">
        <f t="shared" si="214"/>
        <v>975700.5544335926</v>
      </c>
      <c r="V685" s="1">
        <f>V684</f>
        <v>-658.85315928016939</v>
      </c>
      <c r="X685" s="1">
        <f t="shared" si="199"/>
        <v>-123333.78580923841</v>
      </c>
      <c r="Y685" s="1">
        <f t="shared" si="200"/>
        <v>123209793.17026989</v>
      </c>
      <c r="AA685" s="2">
        <f>+Bono!J685</f>
        <v>961006.72108048352</v>
      </c>
      <c r="AC685" s="10">
        <f t="shared" si="201"/>
        <v>55.166666666666664</v>
      </c>
      <c r="AD685" s="1">
        <f t="shared" si="202"/>
        <v>126517014.79311894</v>
      </c>
    </row>
    <row r="686" spans="2:30">
      <c r="B686" s="1">
        <f t="shared" si="203"/>
        <v>663</v>
      </c>
      <c r="C686" s="2">
        <f t="shared" si="208"/>
        <v>55</v>
      </c>
      <c r="D686" s="2">
        <f t="shared" si="209"/>
        <v>3</v>
      </c>
      <c r="E686" s="2">
        <f t="shared" si="210"/>
        <v>84</v>
      </c>
      <c r="F686" s="1">
        <f t="shared" si="204"/>
        <v>2346214.9017685587</v>
      </c>
      <c r="H686" s="1">
        <f t="shared" si="197"/>
        <v>18709.047103089139</v>
      </c>
      <c r="I686" s="1">
        <v>0</v>
      </c>
      <c r="J686" s="69">
        <f>-SUM(F686:H686)*$J$21</f>
        <v>-21284.315539844833</v>
      </c>
      <c r="K686" s="1">
        <f t="shared" si="205"/>
        <v>-2343.639633331803</v>
      </c>
      <c r="L686" s="1">
        <f t="shared" si="198"/>
        <v>2341295.9936984712</v>
      </c>
      <c r="N686" s="1">
        <f t="shared" si="206"/>
        <v>663</v>
      </c>
      <c r="O686" s="2">
        <f t="shared" si="211"/>
        <v>55</v>
      </c>
      <c r="P686" s="2">
        <f t="shared" si="212"/>
        <v>3</v>
      </c>
      <c r="Q686" s="2">
        <f t="shared" si="213"/>
        <v>55</v>
      </c>
      <c r="R686" s="1">
        <f t="shared" si="207"/>
        <v>123209793.17026989</v>
      </c>
      <c r="S686" s="4">
        <f>IF($G$4="mensual",S685,0)</f>
        <v>10000</v>
      </c>
      <c r="U686" s="1">
        <f t="shared" si="214"/>
        <v>982571.93436020904</v>
      </c>
      <c r="V686" s="1">
        <f t="shared" si="196"/>
        <v>-658.85315928016939</v>
      </c>
      <c r="X686" s="1">
        <f t="shared" si="199"/>
        <v>-124202.36510463009</v>
      </c>
      <c r="Y686" s="1">
        <f t="shared" si="200"/>
        <v>124077503.88636619</v>
      </c>
      <c r="AA686" s="2">
        <f>+Bono!J686</f>
        <v>958253.67715600808</v>
      </c>
      <c r="AC686" s="10">
        <f t="shared" si="201"/>
        <v>55.25</v>
      </c>
      <c r="AD686" s="1">
        <f t="shared" si="202"/>
        <v>127377053.55722067</v>
      </c>
    </row>
    <row r="687" spans="2:30">
      <c r="B687" s="1">
        <f t="shared" si="203"/>
        <v>664</v>
      </c>
      <c r="C687" s="2">
        <f t="shared" si="208"/>
        <v>55</v>
      </c>
      <c r="D687" s="2">
        <f t="shared" si="209"/>
        <v>4</v>
      </c>
      <c r="E687" s="2">
        <f t="shared" si="210"/>
        <v>84</v>
      </c>
      <c r="F687" s="1">
        <f t="shared" si="204"/>
        <v>2341295.9936984712</v>
      </c>
      <c r="H687" s="1">
        <f t="shared" si="197"/>
        <v>18669.823039381394</v>
      </c>
      <c r="I687" s="1">
        <v>0</v>
      </c>
      <c r="J687" s="1">
        <v>0</v>
      </c>
      <c r="K687" s="1">
        <f t="shared" si="205"/>
        <v>-2359.9658167378525</v>
      </c>
      <c r="L687" s="1">
        <f t="shared" si="198"/>
        <v>2357605.8509211144</v>
      </c>
      <c r="N687" s="1">
        <f t="shared" si="206"/>
        <v>664</v>
      </c>
      <c r="O687" s="2">
        <f t="shared" si="211"/>
        <v>55</v>
      </c>
      <c r="P687" s="2">
        <f t="shared" si="212"/>
        <v>4</v>
      </c>
      <c r="Q687" s="2">
        <f t="shared" si="213"/>
        <v>55</v>
      </c>
      <c r="R687" s="1">
        <f t="shared" si="207"/>
        <v>124077503.88636619</v>
      </c>
      <c r="S687" s="4">
        <f>IF($G$4="mensual",S684,IF($G$4="trimestral",S684,0))</f>
        <v>10000</v>
      </c>
      <c r="U687" s="1">
        <f t="shared" si="214"/>
        <v>989491.18146202562</v>
      </c>
      <c r="V687" s="1">
        <f t="shared" si="196"/>
        <v>-658.85315928016939</v>
      </c>
      <c r="X687" s="1">
        <f t="shared" si="199"/>
        <v>-125076.9950678282</v>
      </c>
      <c r="Y687" s="1">
        <f t="shared" si="200"/>
        <v>124951259.21960109</v>
      </c>
      <c r="AA687" s="2">
        <f>+Bono!J687</f>
        <v>964194.96110492223</v>
      </c>
      <c r="AC687" s="10">
        <f t="shared" si="201"/>
        <v>55.333333333333336</v>
      </c>
      <c r="AD687" s="1">
        <f t="shared" si="202"/>
        <v>128273060.03162713</v>
      </c>
    </row>
    <row r="688" spans="2:30">
      <c r="B688" s="1">
        <f t="shared" si="203"/>
        <v>665</v>
      </c>
      <c r="C688" s="2">
        <f t="shared" si="208"/>
        <v>55</v>
      </c>
      <c r="D688" s="2">
        <f t="shared" si="209"/>
        <v>5</v>
      </c>
      <c r="E688" s="2">
        <f t="shared" si="210"/>
        <v>84</v>
      </c>
      <c r="F688" s="1">
        <f t="shared" si="204"/>
        <v>2357605.8509211144</v>
      </c>
      <c r="H688" s="1">
        <f t="shared" si="197"/>
        <v>18799.88013125012</v>
      </c>
      <c r="I688" s="1">
        <v>0</v>
      </c>
      <c r="J688" s="1">
        <v>0</v>
      </c>
      <c r="K688" s="1">
        <f t="shared" si="205"/>
        <v>-2376.4057310523649</v>
      </c>
      <c r="L688" s="1">
        <f t="shared" si="198"/>
        <v>2374029.3253213125</v>
      </c>
      <c r="N688" s="1">
        <f t="shared" si="206"/>
        <v>665</v>
      </c>
      <c r="O688" s="2">
        <f t="shared" si="211"/>
        <v>55</v>
      </c>
      <c r="P688" s="2">
        <f t="shared" si="212"/>
        <v>5</v>
      </c>
      <c r="Q688" s="2">
        <f t="shared" si="213"/>
        <v>55</v>
      </c>
      <c r="R688" s="1">
        <f t="shared" si="207"/>
        <v>124951259.21960109</v>
      </c>
      <c r="S688" s="4">
        <f>IF($G$4="mensual",S687,0)</f>
        <v>10000</v>
      </c>
      <c r="U688" s="1">
        <f t="shared" si="214"/>
        <v>996458.62918974436</v>
      </c>
      <c r="V688" s="1">
        <f t="shared" si="196"/>
        <v>-658.85315928016939</v>
      </c>
      <c r="X688" s="1">
        <f t="shared" si="199"/>
        <v>-125957.71784879084</v>
      </c>
      <c r="Y688" s="1">
        <f t="shared" si="200"/>
        <v>125831101.27778277</v>
      </c>
      <c r="AA688" s="2">
        <f>+Bono!J688</f>
        <v>970173.0817034659</v>
      </c>
      <c r="AC688" s="10">
        <f t="shared" si="201"/>
        <v>55.416666666666664</v>
      </c>
      <c r="AD688" s="1">
        <f t="shared" si="202"/>
        <v>129175303.68480755</v>
      </c>
    </row>
    <row r="689" spans="2:30">
      <c r="B689" s="1">
        <f t="shared" si="203"/>
        <v>666</v>
      </c>
      <c r="C689" s="2">
        <f t="shared" si="208"/>
        <v>55</v>
      </c>
      <c r="D689" s="2">
        <f t="shared" si="209"/>
        <v>6</v>
      </c>
      <c r="E689" s="2">
        <f t="shared" si="210"/>
        <v>84</v>
      </c>
      <c r="F689" s="1">
        <f t="shared" si="204"/>
        <v>2374029.3253213125</v>
      </c>
      <c r="H689" s="1">
        <f t="shared" si="197"/>
        <v>18930.843222447806</v>
      </c>
      <c r="I689" s="1">
        <v>0</v>
      </c>
      <c r="J689" s="69">
        <f>-SUM(F689:H689)*$J$21</f>
        <v>-21536.641516893844</v>
      </c>
      <c r="K689" s="1">
        <f t="shared" si="205"/>
        <v>-2371.4235270268664</v>
      </c>
      <c r="L689" s="1">
        <f t="shared" si="198"/>
        <v>2369052.1034998395</v>
      </c>
      <c r="N689" s="1">
        <f t="shared" si="206"/>
        <v>666</v>
      </c>
      <c r="O689" s="2">
        <f t="shared" si="211"/>
        <v>55</v>
      </c>
      <c r="P689" s="2">
        <f t="shared" si="212"/>
        <v>6</v>
      </c>
      <c r="Q689" s="2">
        <f t="shared" si="213"/>
        <v>55</v>
      </c>
      <c r="R689" s="1">
        <f t="shared" si="207"/>
        <v>125831101.27778277</v>
      </c>
      <c r="S689" s="4">
        <f>IF($G$4="mensual",S688,0)</f>
        <v>10000</v>
      </c>
      <c r="U689" s="1">
        <f t="shared" si="214"/>
        <v>1003474.6133169407</v>
      </c>
      <c r="V689" s="1">
        <f t="shared" si="196"/>
        <v>-658.85315928016939</v>
      </c>
      <c r="X689" s="1">
        <f t="shared" si="199"/>
        <v>-126844.57589109971</v>
      </c>
      <c r="Y689" s="1">
        <f t="shared" si="200"/>
        <v>126717072.46204934</v>
      </c>
      <c r="AA689" s="2">
        <f>+Bono!J689</f>
        <v>967393.77844815643</v>
      </c>
      <c r="AC689" s="10">
        <f t="shared" si="201"/>
        <v>55.5</v>
      </c>
      <c r="AD689" s="1">
        <f t="shared" si="202"/>
        <v>130053518.34399733</v>
      </c>
    </row>
    <row r="690" spans="2:30">
      <c r="B690" s="1">
        <f t="shared" si="203"/>
        <v>667</v>
      </c>
      <c r="C690" s="2">
        <f t="shared" si="208"/>
        <v>55</v>
      </c>
      <c r="D690" s="2">
        <f t="shared" si="209"/>
        <v>7</v>
      </c>
      <c r="E690" s="2">
        <f t="shared" si="210"/>
        <v>84</v>
      </c>
      <c r="F690" s="1">
        <f t="shared" si="204"/>
        <v>2369052.1034998395</v>
      </c>
      <c r="H690" s="1">
        <f t="shared" si="197"/>
        <v>18891.154156697576</v>
      </c>
      <c r="I690" s="1">
        <v>0</v>
      </c>
      <c r="J690" s="1">
        <v>0</v>
      </c>
      <c r="K690" s="1">
        <f t="shared" si="205"/>
        <v>-2387.9432576565368</v>
      </c>
      <c r="L690" s="1">
        <f t="shared" si="198"/>
        <v>2385555.3143988806</v>
      </c>
      <c r="N690" s="1">
        <f t="shared" si="206"/>
        <v>667</v>
      </c>
      <c r="O690" s="2">
        <f t="shared" si="211"/>
        <v>55</v>
      </c>
      <c r="P690" s="2">
        <f t="shared" si="212"/>
        <v>7</v>
      </c>
      <c r="Q690" s="2">
        <f t="shared" si="213"/>
        <v>55</v>
      </c>
      <c r="R690" s="1">
        <f t="shared" si="207"/>
        <v>126717072.46204934</v>
      </c>
      <c r="S690" s="1">
        <f>+IF($G$4="mensual",S684,IF($G$4="trimestral",S684,IF($G$4="semestral",S684,0)))</f>
        <v>10000</v>
      </c>
      <c r="U690" s="1">
        <f t="shared" si="214"/>
        <v>1010539.4719562446</v>
      </c>
      <c r="V690" s="1">
        <f t="shared" si="196"/>
        <v>-658.85315928016939</v>
      </c>
      <c r="X690" s="1">
        <f t="shared" si="199"/>
        <v>-127737.61193400557</v>
      </c>
      <c r="Y690" s="1">
        <f t="shared" si="200"/>
        <v>127609215.46891229</v>
      </c>
      <c r="AA690" s="2">
        <f>+Bono!J690</f>
        <v>973391.73208526801</v>
      </c>
      <c r="AC690" s="10">
        <f t="shared" si="201"/>
        <v>55.583333333333336</v>
      </c>
      <c r="AD690" s="1">
        <f t="shared" si="202"/>
        <v>130968162.51539645</v>
      </c>
    </row>
    <row r="691" spans="2:30">
      <c r="B691" s="1">
        <f t="shared" si="203"/>
        <v>668</v>
      </c>
      <c r="C691" s="2">
        <f t="shared" si="208"/>
        <v>55</v>
      </c>
      <c r="D691" s="2">
        <f t="shared" si="209"/>
        <v>8</v>
      </c>
      <c r="E691" s="2">
        <f t="shared" si="210"/>
        <v>84</v>
      </c>
      <c r="F691" s="1">
        <f t="shared" si="204"/>
        <v>2385555.3143988806</v>
      </c>
      <c r="H691" s="1">
        <f t="shared" si="197"/>
        <v>19022.753077934343</v>
      </c>
      <c r="I691" s="1">
        <v>0</v>
      </c>
      <c r="J691" s="1">
        <v>0</v>
      </c>
      <c r="K691" s="1">
        <f t="shared" si="205"/>
        <v>-2404.5780674768152</v>
      </c>
      <c r="L691" s="1">
        <f t="shared" si="198"/>
        <v>2402173.4894093382</v>
      </c>
      <c r="N691" s="1">
        <f t="shared" si="206"/>
        <v>668</v>
      </c>
      <c r="O691" s="2">
        <f t="shared" si="211"/>
        <v>55</v>
      </c>
      <c r="P691" s="2">
        <f t="shared" si="212"/>
        <v>8</v>
      </c>
      <c r="Q691" s="2">
        <f t="shared" si="213"/>
        <v>55</v>
      </c>
      <c r="R691" s="1">
        <f t="shared" si="207"/>
        <v>127609215.46891229</v>
      </c>
      <c r="S691" s="4">
        <f>IF($G$4="mensual",S690,0)</f>
        <v>10000</v>
      </c>
      <c r="U691" s="1">
        <f t="shared" si="214"/>
        <v>1017653.5455756341</v>
      </c>
      <c r="V691" s="1">
        <f t="shared" si="196"/>
        <v>-658.85315928016939</v>
      </c>
      <c r="X691" s="1">
        <f t="shared" si="199"/>
        <v>-128636.86901448792</v>
      </c>
      <c r="Y691" s="1">
        <f t="shared" si="200"/>
        <v>128507573.29231416</v>
      </c>
      <c r="AA691" s="2">
        <f>+Bono!J691</f>
        <v>979426.87373064912</v>
      </c>
      <c r="AC691" s="10">
        <f t="shared" si="201"/>
        <v>55.666666666666664</v>
      </c>
      <c r="AD691" s="1">
        <f t="shared" si="202"/>
        <v>131889173.65545414</v>
      </c>
    </row>
    <row r="692" spans="2:30">
      <c r="B692" s="1">
        <f t="shared" si="203"/>
        <v>669</v>
      </c>
      <c r="C692" s="2">
        <f t="shared" si="208"/>
        <v>55</v>
      </c>
      <c r="D692" s="2">
        <f t="shared" si="209"/>
        <v>9</v>
      </c>
      <c r="E692" s="2">
        <f t="shared" si="210"/>
        <v>84</v>
      </c>
      <c r="F692" s="1">
        <f t="shared" si="204"/>
        <v>2402173.4894093382</v>
      </c>
      <c r="H692" s="1">
        <f t="shared" si="197"/>
        <v>19155.268739139832</v>
      </c>
      <c r="I692" s="1">
        <v>0</v>
      </c>
      <c r="J692" s="69">
        <f>-SUM(F692:H692)*$J$21</f>
        <v>-21791.958823336303</v>
      </c>
      <c r="K692" s="1">
        <f t="shared" si="205"/>
        <v>-2399.5367993251416</v>
      </c>
      <c r="L692" s="1">
        <f t="shared" si="198"/>
        <v>2397137.2625258164</v>
      </c>
      <c r="N692" s="1">
        <f t="shared" si="206"/>
        <v>669</v>
      </c>
      <c r="O692" s="2">
        <f t="shared" si="211"/>
        <v>55</v>
      </c>
      <c r="P692" s="2">
        <f t="shared" si="212"/>
        <v>9</v>
      </c>
      <c r="Q692" s="2">
        <f t="shared" si="213"/>
        <v>55</v>
      </c>
      <c r="R692" s="1">
        <f t="shared" si="207"/>
        <v>128507573.29231416</v>
      </c>
      <c r="S692" s="4">
        <f>IF($G$4="mensual",S691,0)</f>
        <v>10000</v>
      </c>
      <c r="U692" s="1">
        <f t="shared" si="214"/>
        <v>1024817.177014845</v>
      </c>
      <c r="V692" s="1">
        <f t="shared" si="196"/>
        <v>-658.85315928016939</v>
      </c>
      <c r="X692" s="1">
        <f t="shared" si="199"/>
        <v>-129542.390469329</v>
      </c>
      <c r="Y692" s="1">
        <f t="shared" si="200"/>
        <v>129412189.22570039</v>
      </c>
      <c r="AA692" s="2">
        <f>+Bono!J692</f>
        <v>976621.06067539752</v>
      </c>
      <c r="AC692" s="10">
        <f t="shared" si="201"/>
        <v>55.75</v>
      </c>
      <c r="AD692" s="1">
        <f t="shared" si="202"/>
        <v>132785947.5489016</v>
      </c>
    </row>
    <row r="693" spans="2:30">
      <c r="B693" s="1">
        <f t="shared" si="203"/>
        <v>670</v>
      </c>
      <c r="C693" s="2">
        <f t="shared" si="208"/>
        <v>55</v>
      </c>
      <c r="D693" s="2">
        <f t="shared" si="209"/>
        <v>10</v>
      </c>
      <c r="E693" s="2">
        <f t="shared" si="210"/>
        <v>84</v>
      </c>
      <c r="F693" s="1">
        <f t="shared" si="204"/>
        <v>2397137.2625258164</v>
      </c>
      <c r="H693" s="1">
        <f t="shared" si="197"/>
        <v>19115.109158738811</v>
      </c>
      <c r="I693" s="1">
        <v>0</v>
      </c>
      <c r="J693" s="1">
        <v>0</v>
      </c>
      <c r="K693" s="1">
        <f t="shared" si="205"/>
        <v>-2416.2523716845553</v>
      </c>
      <c r="L693" s="1">
        <f t="shared" si="198"/>
        <v>2413836.1193128708</v>
      </c>
      <c r="N693" s="1">
        <f t="shared" si="206"/>
        <v>670</v>
      </c>
      <c r="O693" s="2">
        <f t="shared" si="211"/>
        <v>55</v>
      </c>
      <c r="P693" s="2">
        <f t="shared" si="212"/>
        <v>10</v>
      </c>
      <c r="Q693" s="2">
        <f t="shared" si="213"/>
        <v>55</v>
      </c>
      <c r="R693" s="1">
        <f t="shared" si="207"/>
        <v>129412189.22570039</v>
      </c>
      <c r="S693" s="4">
        <f>IF($G$4="mensual",S684,IF($G$4="trimestral",S684,0))</f>
        <v>10000</v>
      </c>
      <c r="U693" s="1">
        <f t="shared" si="214"/>
        <v>1032030.7115018907</v>
      </c>
      <c r="V693" s="1">
        <f t="shared" si="196"/>
        <v>-658.85315928016939</v>
      </c>
      <c r="X693" s="1">
        <f t="shared" si="199"/>
        <v>-130454.21993720229</v>
      </c>
      <c r="Y693" s="1">
        <f t="shared" si="200"/>
        <v>130323106.86410581</v>
      </c>
      <c r="AA693" s="2">
        <f>+Bono!J693</f>
        <v>982676.22453261644</v>
      </c>
      <c r="AC693" s="10">
        <f t="shared" si="201"/>
        <v>55.833333333333336</v>
      </c>
      <c r="AD693" s="1">
        <f t="shared" si="202"/>
        <v>133719619.20795129</v>
      </c>
    </row>
    <row r="694" spans="2:30">
      <c r="B694" s="1">
        <f t="shared" si="203"/>
        <v>671</v>
      </c>
      <c r="C694" s="2">
        <f t="shared" si="208"/>
        <v>55</v>
      </c>
      <c r="D694" s="2">
        <f t="shared" si="209"/>
        <v>11</v>
      </c>
      <c r="E694" s="2">
        <f t="shared" si="210"/>
        <v>84</v>
      </c>
      <c r="F694" s="1">
        <f t="shared" si="204"/>
        <v>2413836.1193128708</v>
      </c>
      <c r="H694" s="1">
        <f t="shared" si="197"/>
        <v>19248.268187760932</v>
      </c>
      <c r="I694" s="1">
        <v>0</v>
      </c>
      <c r="J694" s="1">
        <v>0</v>
      </c>
      <c r="K694" s="1">
        <f t="shared" si="205"/>
        <v>-2433.0843875006317</v>
      </c>
      <c r="L694" s="1">
        <f t="shared" si="198"/>
        <v>2430651.3031131309</v>
      </c>
      <c r="N694" s="1">
        <f t="shared" si="206"/>
        <v>671</v>
      </c>
      <c r="O694" s="2">
        <f t="shared" si="211"/>
        <v>55</v>
      </c>
      <c r="P694" s="2">
        <f t="shared" si="212"/>
        <v>11</v>
      </c>
      <c r="Q694" s="2">
        <f t="shared" si="213"/>
        <v>55</v>
      </c>
      <c r="R694" s="1">
        <f t="shared" si="207"/>
        <v>130323106.86410581</v>
      </c>
      <c r="S694" s="1">
        <f>IF($G$17="si",S682*(1+$G$20),S682)</f>
        <v>10000</v>
      </c>
      <c r="U694" s="1">
        <f t="shared" si="214"/>
        <v>1039294.4966697008</v>
      </c>
      <c r="V694" s="1">
        <f t="shared" si="196"/>
        <v>-658.85315928016939</v>
      </c>
      <c r="X694" s="1">
        <f t="shared" si="199"/>
        <v>-131372.40136077549</v>
      </c>
      <c r="Y694" s="1">
        <f t="shared" si="200"/>
        <v>131240370.10625544</v>
      </c>
      <c r="AA694" s="2">
        <f>+Bono!J694</f>
        <v>988768.93110810558</v>
      </c>
      <c r="AC694" s="10">
        <f t="shared" si="201"/>
        <v>55.916666666666664</v>
      </c>
      <c r="AD694" s="1">
        <f t="shared" si="202"/>
        <v>134659790.34047666</v>
      </c>
    </row>
    <row r="695" spans="2:30">
      <c r="B695" s="1">
        <f t="shared" si="203"/>
        <v>672</v>
      </c>
      <c r="C695" s="2">
        <f t="shared" si="208"/>
        <v>55</v>
      </c>
      <c r="D695" s="2">
        <f t="shared" si="209"/>
        <v>12</v>
      </c>
      <c r="E695" s="2">
        <f t="shared" si="210"/>
        <v>84</v>
      </c>
      <c r="F695" s="1">
        <f t="shared" si="204"/>
        <v>2430651.3031131309</v>
      </c>
      <c r="H695" s="1">
        <f t="shared" si="197"/>
        <v>19382.354824722035</v>
      </c>
      <c r="I695" s="1">
        <v>0</v>
      </c>
      <c r="J695" s="69">
        <f>-SUM(F695:H695)*$J$21</f>
        <v>-22050.302921440678</v>
      </c>
      <c r="K695" s="1">
        <f t="shared" si="205"/>
        <v>-2427.9833550164121</v>
      </c>
      <c r="L695" s="1">
        <f t="shared" si="198"/>
        <v>2425555.3716613958</v>
      </c>
      <c r="N695" s="1">
        <f t="shared" si="206"/>
        <v>672</v>
      </c>
      <c r="O695" s="2">
        <f t="shared" si="211"/>
        <v>55</v>
      </c>
      <c r="P695" s="2">
        <f t="shared" si="212"/>
        <v>12</v>
      </c>
      <c r="Q695" s="2">
        <f t="shared" si="213"/>
        <v>55</v>
      </c>
      <c r="R695" s="1">
        <f t="shared" si="207"/>
        <v>131240370.10625544</v>
      </c>
      <c r="S695" s="4">
        <f>IF($G$4="mensual",S694,0)</f>
        <v>10000</v>
      </c>
      <c r="U695" s="1">
        <f t="shared" si="214"/>
        <v>1046608.8825728736</v>
      </c>
      <c r="V695" s="1">
        <f t="shared" si="196"/>
        <v>-658.85315928016939</v>
      </c>
      <c r="X695" s="1">
        <f t="shared" si="199"/>
        <v>-132296.97898882831</v>
      </c>
      <c r="Y695" s="1">
        <f t="shared" si="200"/>
        <v>132164023.15668021</v>
      </c>
      <c r="AA695" s="2">
        <f>+Bono!J695</f>
        <v>985936.35539475712</v>
      </c>
      <c r="AC695" s="10">
        <f t="shared" si="201"/>
        <v>56</v>
      </c>
      <c r="AD695" s="1">
        <f t="shared" si="202"/>
        <v>135575514.88373637</v>
      </c>
    </row>
    <row r="696" spans="2:30">
      <c r="B696" s="1">
        <f t="shared" si="203"/>
        <v>673</v>
      </c>
      <c r="C696" s="2">
        <f t="shared" si="208"/>
        <v>56</v>
      </c>
      <c r="D696" s="2">
        <f t="shared" si="209"/>
        <v>1</v>
      </c>
      <c r="E696" s="2">
        <f t="shared" si="210"/>
        <v>85</v>
      </c>
      <c r="F696" s="1">
        <f t="shared" si="204"/>
        <v>2425555.3716613958</v>
      </c>
      <c r="H696" s="1">
        <f t="shared" si="197"/>
        <v>19341.719151709833</v>
      </c>
      <c r="I696" s="1">
        <v>0</v>
      </c>
      <c r="J696" s="1">
        <v>0</v>
      </c>
      <c r="K696" s="1">
        <f t="shared" si="205"/>
        <v>-2444.8970908131055</v>
      </c>
      <c r="L696" s="1">
        <f t="shared" si="198"/>
        <v>2442452.1937222923</v>
      </c>
      <c r="N696" s="1">
        <f t="shared" si="206"/>
        <v>673</v>
      </c>
      <c r="O696" s="2">
        <f t="shared" si="211"/>
        <v>56</v>
      </c>
      <c r="P696" s="2">
        <f t="shared" si="212"/>
        <v>1</v>
      </c>
      <c r="Q696" s="2">
        <f t="shared" si="213"/>
        <v>56</v>
      </c>
      <c r="R696" s="1">
        <f t="shared" si="207"/>
        <v>132164023.15668021</v>
      </c>
      <c r="S696" s="1">
        <f>IF($G$17="si",S684*(1+$G$20),S684)</f>
        <v>10000</v>
      </c>
      <c r="U696" s="1">
        <f t="shared" si="214"/>
        <v>1053974.2217045461</v>
      </c>
      <c r="V696" s="1">
        <f>V695*(1+$G$18)</f>
        <v>-685.2072856513762</v>
      </c>
      <c r="X696" s="1">
        <f t="shared" si="199"/>
        <v>-133227.99737838475</v>
      </c>
      <c r="Y696" s="1">
        <f t="shared" si="200"/>
        <v>133094084.17372072</v>
      </c>
      <c r="AA696" s="2">
        <f>+Bono!J696</f>
        <v>992049.27515974338</v>
      </c>
      <c r="AC696" s="10">
        <f t="shared" si="201"/>
        <v>56.083333333333336</v>
      </c>
      <c r="AD696" s="1">
        <f t="shared" si="202"/>
        <v>136528585.64260274</v>
      </c>
    </row>
    <row r="697" spans="2:30">
      <c r="B697" s="1">
        <f t="shared" si="203"/>
        <v>674</v>
      </c>
      <c r="C697" s="2">
        <f t="shared" si="208"/>
        <v>56</v>
      </c>
      <c r="D697" s="2">
        <f t="shared" si="209"/>
        <v>2</v>
      </c>
      <c r="E697" s="2">
        <f t="shared" si="210"/>
        <v>85</v>
      </c>
      <c r="F697" s="1">
        <f t="shared" si="204"/>
        <v>2442452.1937222923</v>
      </c>
      <c r="H697" s="1">
        <f t="shared" si="197"/>
        <v>19476.456783625621</v>
      </c>
      <c r="I697" s="1">
        <v>0</v>
      </c>
      <c r="J697" s="1">
        <v>0</v>
      </c>
      <c r="K697" s="1">
        <f t="shared" si="205"/>
        <v>-2461.9286505059181</v>
      </c>
      <c r="L697" s="1">
        <f t="shared" si="198"/>
        <v>2459466.7218554122</v>
      </c>
      <c r="N697" s="1">
        <f t="shared" si="206"/>
        <v>674</v>
      </c>
      <c r="O697" s="2">
        <f t="shared" si="211"/>
        <v>56</v>
      </c>
      <c r="P697" s="2">
        <f t="shared" si="212"/>
        <v>2</v>
      </c>
      <c r="Q697" s="2">
        <f t="shared" si="213"/>
        <v>56</v>
      </c>
      <c r="R697" s="1">
        <f t="shared" si="207"/>
        <v>133094084.17372072</v>
      </c>
      <c r="S697" s="4">
        <f>IF($G$4="mensual",S696,0)</f>
        <v>10000</v>
      </c>
      <c r="U697" s="1">
        <f t="shared" si="214"/>
        <v>1061390.658861876</v>
      </c>
      <c r="V697" s="1">
        <f>V696</f>
        <v>-685.2072856513762</v>
      </c>
      <c r="X697" s="1">
        <f t="shared" si="199"/>
        <v>-134165.47483258261</v>
      </c>
      <c r="Y697" s="1">
        <f t="shared" si="200"/>
        <v>134030624.15046436</v>
      </c>
      <c r="AA697" s="2">
        <f>+Bono!J697</f>
        <v>998200.09573632735</v>
      </c>
      <c r="AC697" s="10">
        <f t="shared" si="201"/>
        <v>56.166666666666664</v>
      </c>
      <c r="AD697" s="1">
        <f t="shared" si="202"/>
        <v>137488290.96805608</v>
      </c>
    </row>
    <row r="698" spans="2:30">
      <c r="B698" s="1">
        <f t="shared" si="203"/>
        <v>675</v>
      </c>
      <c r="C698" s="2">
        <f t="shared" si="208"/>
        <v>56</v>
      </c>
      <c r="D698" s="2">
        <f t="shared" si="209"/>
        <v>3</v>
      </c>
      <c r="E698" s="2">
        <f t="shared" si="210"/>
        <v>85</v>
      </c>
      <c r="F698" s="1">
        <f t="shared" si="204"/>
        <v>2459466.7218554122</v>
      </c>
      <c r="H698" s="1">
        <f t="shared" si="197"/>
        <v>19612.133020290654</v>
      </c>
      <c r="I698" s="1">
        <v>0</v>
      </c>
      <c r="J698" s="69">
        <f>-SUM(F698:H698)*$J$21</f>
        <v>-22311.70969388133</v>
      </c>
      <c r="K698" s="1">
        <f t="shared" si="205"/>
        <v>-2456.7671451818219</v>
      </c>
      <c r="L698" s="1">
        <f t="shared" si="198"/>
        <v>2454310.3780366397</v>
      </c>
      <c r="N698" s="1">
        <f t="shared" si="206"/>
        <v>675</v>
      </c>
      <c r="O698" s="2">
        <f t="shared" si="211"/>
        <v>56</v>
      </c>
      <c r="P698" s="2">
        <f t="shared" si="212"/>
        <v>3</v>
      </c>
      <c r="Q698" s="2">
        <f t="shared" si="213"/>
        <v>56</v>
      </c>
      <c r="R698" s="1">
        <f t="shared" si="207"/>
        <v>134030624.15046436</v>
      </c>
      <c r="S698" s="4">
        <f>IF($G$4="mensual",S697,0)</f>
        <v>10000</v>
      </c>
      <c r="U698" s="1">
        <f t="shared" si="214"/>
        <v>1068858.760153712</v>
      </c>
      <c r="V698" s="1">
        <f t="shared" si="196"/>
        <v>-685.2072856513762</v>
      </c>
      <c r="X698" s="1">
        <f t="shared" si="199"/>
        <v>-135109.48291061807</v>
      </c>
      <c r="Y698" s="1">
        <f t="shared" si="200"/>
        <v>134973688.22042182</v>
      </c>
      <c r="AA698" s="2">
        <f>+Bono!J698</f>
        <v>995340.50209489267</v>
      </c>
      <c r="AC698" s="10">
        <f t="shared" si="201"/>
        <v>56.25</v>
      </c>
      <c r="AD698" s="1">
        <f t="shared" si="202"/>
        <v>138423339.10055336</v>
      </c>
    </row>
    <row r="699" spans="2:30">
      <c r="B699" s="1">
        <f t="shared" si="203"/>
        <v>676</v>
      </c>
      <c r="C699" s="2">
        <f t="shared" si="208"/>
        <v>56</v>
      </c>
      <c r="D699" s="2">
        <f t="shared" si="209"/>
        <v>4</v>
      </c>
      <c r="E699" s="2">
        <f t="shared" si="210"/>
        <v>85</v>
      </c>
      <c r="F699" s="1">
        <f t="shared" si="204"/>
        <v>2454310.3780366397</v>
      </c>
      <c r="H699" s="1">
        <f t="shared" si="197"/>
        <v>19571.015610580049</v>
      </c>
      <c r="I699" s="1">
        <v>0</v>
      </c>
      <c r="J699" s="1">
        <v>0</v>
      </c>
      <c r="K699" s="1">
        <f t="shared" si="205"/>
        <v>-2473.8813936472197</v>
      </c>
      <c r="L699" s="1">
        <f t="shared" si="198"/>
        <v>2471407.5122535722</v>
      </c>
      <c r="N699" s="1">
        <f t="shared" si="206"/>
        <v>676</v>
      </c>
      <c r="O699" s="2">
        <f t="shared" si="211"/>
        <v>56</v>
      </c>
      <c r="P699" s="2">
        <f t="shared" si="212"/>
        <v>4</v>
      </c>
      <c r="Q699" s="2">
        <f t="shared" si="213"/>
        <v>56</v>
      </c>
      <c r="R699" s="1">
        <f t="shared" si="207"/>
        <v>134973688.22042182</v>
      </c>
      <c r="S699" s="4">
        <f>IF($G$4="mensual",S696,IF($G$4="trimestral",S696,0))</f>
        <v>10000</v>
      </c>
      <c r="U699" s="1">
        <f t="shared" si="214"/>
        <v>1076378.8854810065</v>
      </c>
      <c r="V699" s="1">
        <f t="shared" si="196"/>
        <v>-685.2072856513762</v>
      </c>
      <c r="X699" s="1">
        <f t="shared" si="199"/>
        <v>-136060.06710590282</v>
      </c>
      <c r="Y699" s="1">
        <f t="shared" si="200"/>
        <v>135923321.83151129</v>
      </c>
      <c r="AA699" s="2">
        <f>+Bono!J699</f>
        <v>1001511.7286602333</v>
      </c>
      <c r="AC699" s="10">
        <f t="shared" si="201"/>
        <v>56.333333333333336</v>
      </c>
      <c r="AD699" s="1">
        <f t="shared" si="202"/>
        <v>139396241.0724251</v>
      </c>
    </row>
    <row r="700" spans="2:30">
      <c r="B700" s="1">
        <f t="shared" si="203"/>
        <v>677</v>
      </c>
      <c r="C700" s="2">
        <f t="shared" si="208"/>
        <v>56</v>
      </c>
      <c r="D700" s="2">
        <f t="shared" si="209"/>
        <v>5</v>
      </c>
      <c r="E700" s="2">
        <f t="shared" si="210"/>
        <v>85</v>
      </c>
      <c r="F700" s="1">
        <f t="shared" si="204"/>
        <v>2471407.5122535722</v>
      </c>
      <c r="H700" s="1">
        <f t="shared" si="197"/>
        <v>19707.350559757684</v>
      </c>
      <c r="I700" s="1">
        <v>0</v>
      </c>
      <c r="J700" s="1">
        <v>0</v>
      </c>
      <c r="K700" s="1">
        <f t="shared" si="205"/>
        <v>-2491.1148628133296</v>
      </c>
      <c r="L700" s="1">
        <f t="shared" si="198"/>
        <v>2488623.7479505166</v>
      </c>
      <c r="N700" s="1">
        <f t="shared" si="206"/>
        <v>677</v>
      </c>
      <c r="O700" s="2">
        <f t="shared" si="211"/>
        <v>56</v>
      </c>
      <c r="P700" s="2">
        <f t="shared" si="212"/>
        <v>5</v>
      </c>
      <c r="Q700" s="2">
        <f t="shared" si="213"/>
        <v>56</v>
      </c>
      <c r="R700" s="1">
        <f t="shared" si="207"/>
        <v>135923321.83151129</v>
      </c>
      <c r="S700" s="4">
        <f>IF($G$4="mensual",S699,0)</f>
        <v>10000</v>
      </c>
      <c r="U700" s="1">
        <f t="shared" si="214"/>
        <v>1083951.3972518409</v>
      </c>
      <c r="V700" s="1">
        <f t="shared" si="196"/>
        <v>-685.2072856513762</v>
      </c>
      <c r="X700" s="1">
        <f t="shared" si="199"/>
        <v>-137017.27322876314</v>
      </c>
      <c r="Y700" s="1">
        <f t="shared" si="200"/>
        <v>136879570.74824873</v>
      </c>
      <c r="AA700" s="2">
        <f>+Bono!J700</f>
        <v>1007721.217546097</v>
      </c>
      <c r="AC700" s="10">
        <f t="shared" si="201"/>
        <v>56.416666666666664</v>
      </c>
      <c r="AD700" s="1">
        <f t="shared" si="202"/>
        <v>140375915.71374536</v>
      </c>
    </row>
    <row r="701" spans="2:30">
      <c r="B701" s="1">
        <f t="shared" si="203"/>
        <v>678</v>
      </c>
      <c r="C701" s="2">
        <f t="shared" si="208"/>
        <v>56</v>
      </c>
      <c r="D701" s="2">
        <f t="shared" si="209"/>
        <v>6</v>
      </c>
      <c r="E701" s="2">
        <f t="shared" si="210"/>
        <v>85</v>
      </c>
      <c r="F701" s="1">
        <f t="shared" si="204"/>
        <v>2488623.7479505166</v>
      </c>
      <c r="H701" s="1">
        <f t="shared" si="197"/>
        <v>19844.635240862226</v>
      </c>
      <c r="I701" s="1">
        <v>0</v>
      </c>
      <c r="J701" s="69">
        <f>-SUM(F701:H701)*$J$21</f>
        <v>-22576.215448722411</v>
      </c>
      <c r="K701" s="1">
        <f t="shared" si="205"/>
        <v>-2485.8921677426565</v>
      </c>
      <c r="L701" s="1">
        <f t="shared" si="198"/>
        <v>2483406.2755749137</v>
      </c>
      <c r="N701" s="1">
        <f t="shared" si="206"/>
        <v>678</v>
      </c>
      <c r="O701" s="2">
        <f t="shared" si="211"/>
        <v>56</v>
      </c>
      <c r="P701" s="2">
        <f t="shared" si="212"/>
        <v>6</v>
      </c>
      <c r="Q701" s="2">
        <f t="shared" si="213"/>
        <v>56</v>
      </c>
      <c r="R701" s="1">
        <f t="shared" si="207"/>
        <v>136879570.74824873</v>
      </c>
      <c r="S701" s="4">
        <f>IF($G$4="mensual",S700,0)</f>
        <v>10000</v>
      </c>
      <c r="U701" s="1">
        <f t="shared" si="214"/>
        <v>1091576.6603988924</v>
      </c>
      <c r="V701" s="1">
        <f t="shared" ref="V701:V755" si="215">V700</f>
        <v>-685.2072856513762</v>
      </c>
      <c r="X701" s="1">
        <f t="shared" si="199"/>
        <v>-137981.14740864764</v>
      </c>
      <c r="Y701" s="1">
        <f t="shared" si="200"/>
        <v>137842481.05395335</v>
      </c>
      <c r="AA701" s="2">
        <f>+Bono!J701</f>
        <v>1004834.3482717478</v>
      </c>
      <c r="AC701" s="10">
        <f t="shared" si="201"/>
        <v>56.5</v>
      </c>
      <c r="AD701" s="1">
        <f t="shared" si="202"/>
        <v>141330721.67780003</v>
      </c>
    </row>
    <row r="702" spans="2:30">
      <c r="B702" s="1">
        <f t="shared" si="203"/>
        <v>679</v>
      </c>
      <c r="C702" s="2">
        <f t="shared" si="208"/>
        <v>56</v>
      </c>
      <c r="D702" s="2">
        <f t="shared" si="209"/>
        <v>7</v>
      </c>
      <c r="E702" s="2">
        <f t="shared" si="210"/>
        <v>85</v>
      </c>
      <c r="F702" s="1">
        <f t="shared" si="204"/>
        <v>2483406.2755749137</v>
      </c>
      <c r="H702" s="1">
        <f t="shared" si="197"/>
        <v>19803.030383455243</v>
      </c>
      <c r="I702" s="1">
        <v>0</v>
      </c>
      <c r="J702" s="1">
        <v>0</v>
      </c>
      <c r="K702" s="1">
        <f t="shared" si="205"/>
        <v>-2503.209305958369</v>
      </c>
      <c r="L702" s="1">
        <f t="shared" si="198"/>
        <v>2500706.0966524105</v>
      </c>
      <c r="N702" s="1">
        <f t="shared" si="206"/>
        <v>679</v>
      </c>
      <c r="O702" s="2">
        <f t="shared" si="211"/>
        <v>56</v>
      </c>
      <c r="P702" s="2">
        <f t="shared" si="212"/>
        <v>7</v>
      </c>
      <c r="Q702" s="2">
        <f t="shared" si="213"/>
        <v>56</v>
      </c>
      <c r="R702" s="1">
        <f t="shared" si="207"/>
        <v>137842481.05395335</v>
      </c>
      <c r="S702" s="1">
        <f>+IF($G$4="mensual",S696,IF($G$4="trimestral",S696,IF($G$4="semestral",S696,0)))</f>
        <v>10000</v>
      </c>
      <c r="U702" s="1">
        <f t="shared" si="214"/>
        <v>1099255.0423970197</v>
      </c>
      <c r="V702" s="1">
        <f t="shared" si="215"/>
        <v>-685.2072856513762</v>
      </c>
      <c r="X702" s="1">
        <f t="shared" si="199"/>
        <v>-138951.73609635039</v>
      </c>
      <c r="Y702" s="1">
        <f t="shared" si="200"/>
        <v>138812099.15296838</v>
      </c>
      <c r="AA702" s="2">
        <f>+Bono!J702</f>
        <v>1011064.4377846029</v>
      </c>
      <c r="AC702" s="10">
        <f t="shared" si="201"/>
        <v>56.583333333333336</v>
      </c>
      <c r="AD702" s="1">
        <f t="shared" si="202"/>
        <v>142323869.68740541</v>
      </c>
    </row>
    <row r="703" spans="2:30">
      <c r="B703" s="1">
        <f t="shared" si="203"/>
        <v>680</v>
      </c>
      <c r="C703" s="2">
        <f t="shared" si="208"/>
        <v>56</v>
      </c>
      <c r="D703" s="2">
        <f t="shared" si="209"/>
        <v>8</v>
      </c>
      <c r="E703" s="2">
        <f t="shared" si="210"/>
        <v>85</v>
      </c>
      <c r="F703" s="1">
        <f t="shared" si="204"/>
        <v>2500706.0966524105</v>
      </c>
      <c r="H703" s="1">
        <f t="shared" si="197"/>
        <v>19940.98158612211</v>
      </c>
      <c r="I703" s="1">
        <v>0</v>
      </c>
      <c r="J703" s="1">
        <v>0</v>
      </c>
      <c r="K703" s="1">
        <f t="shared" si="205"/>
        <v>-2520.6470782385327</v>
      </c>
      <c r="L703" s="1">
        <f t="shared" si="198"/>
        <v>2518126.431160294</v>
      </c>
      <c r="N703" s="1">
        <f t="shared" si="206"/>
        <v>680</v>
      </c>
      <c r="O703" s="2">
        <f t="shared" si="211"/>
        <v>56</v>
      </c>
      <c r="P703" s="2">
        <f t="shared" si="212"/>
        <v>8</v>
      </c>
      <c r="Q703" s="2">
        <f t="shared" si="213"/>
        <v>56</v>
      </c>
      <c r="R703" s="1">
        <f t="shared" si="207"/>
        <v>138812099.15296838</v>
      </c>
      <c r="S703" s="4">
        <f>IF($G$4="mensual",S702,0)</f>
        <v>10000</v>
      </c>
      <c r="U703" s="1">
        <f t="shared" si="214"/>
        <v>1106986.913280972</v>
      </c>
      <c r="V703" s="1">
        <f t="shared" si="215"/>
        <v>-685.2072856513762</v>
      </c>
      <c r="X703" s="1">
        <f t="shared" si="199"/>
        <v>-139929.08606624935</v>
      </c>
      <c r="Y703" s="1">
        <f t="shared" si="200"/>
        <v>139788471.77289745</v>
      </c>
      <c r="AA703" s="2">
        <f>+Bono!J703</f>
        <v>1017333.1545750833</v>
      </c>
      <c r="AC703" s="10">
        <f t="shared" si="201"/>
        <v>56.666666666666664</v>
      </c>
      <c r="AD703" s="1">
        <f t="shared" si="202"/>
        <v>143323931.35863283</v>
      </c>
    </row>
    <row r="704" spans="2:30">
      <c r="B704" s="1">
        <f t="shared" si="203"/>
        <v>681</v>
      </c>
      <c r="C704" s="2">
        <f t="shared" si="208"/>
        <v>56</v>
      </c>
      <c r="D704" s="2">
        <f t="shared" si="209"/>
        <v>9</v>
      </c>
      <c r="E704" s="2">
        <f t="shared" si="210"/>
        <v>85</v>
      </c>
      <c r="F704" s="1">
        <f t="shared" si="204"/>
        <v>2518126.431160294</v>
      </c>
      <c r="H704" s="1">
        <f t="shared" si="197"/>
        <v>20079.893779806451</v>
      </c>
      <c r="I704" s="1">
        <v>0</v>
      </c>
      <c r="J704" s="69">
        <f>-SUM(F704:H704)*$J$21</f>
        <v>-22843.856924460906</v>
      </c>
      <c r="K704" s="1">
        <f t="shared" si="205"/>
        <v>-2515.3624680156395</v>
      </c>
      <c r="L704" s="1">
        <f t="shared" si="198"/>
        <v>2512847.1055476237</v>
      </c>
      <c r="N704" s="1">
        <f t="shared" si="206"/>
        <v>681</v>
      </c>
      <c r="O704" s="2">
        <f t="shared" si="211"/>
        <v>56</v>
      </c>
      <c r="P704" s="2">
        <f t="shared" si="212"/>
        <v>9</v>
      </c>
      <c r="Q704" s="2">
        <f t="shared" si="213"/>
        <v>56</v>
      </c>
      <c r="R704" s="1">
        <f t="shared" si="207"/>
        <v>139788471.77289745</v>
      </c>
      <c r="S704" s="4">
        <f>IF($G$4="mensual",S703,0)</f>
        <v>10000</v>
      </c>
      <c r="U704" s="1">
        <f t="shared" si="214"/>
        <v>1114772.6456632232</v>
      </c>
      <c r="V704" s="1">
        <f t="shared" si="215"/>
        <v>-685.2072856513762</v>
      </c>
      <c r="X704" s="1">
        <f t="shared" si="199"/>
        <v>-140913.24441856067</v>
      </c>
      <c r="Y704" s="1">
        <f t="shared" si="200"/>
        <v>140771645.96685648</v>
      </c>
      <c r="AA704" s="2">
        <f>+Bono!J704</f>
        <v>1014418.7495049278</v>
      </c>
      <c r="AC704" s="10">
        <f t="shared" si="201"/>
        <v>56.75</v>
      </c>
      <c r="AD704" s="1">
        <f t="shared" si="202"/>
        <v>144298911.82190904</v>
      </c>
    </row>
    <row r="705" spans="2:30">
      <c r="B705" s="1">
        <f t="shared" si="203"/>
        <v>682</v>
      </c>
      <c r="C705" s="2">
        <f t="shared" si="208"/>
        <v>56</v>
      </c>
      <c r="D705" s="2">
        <f t="shared" si="209"/>
        <v>10</v>
      </c>
      <c r="E705" s="2">
        <f t="shared" si="210"/>
        <v>85</v>
      </c>
      <c r="F705" s="1">
        <f t="shared" si="204"/>
        <v>2512847.1055476237</v>
      </c>
      <c r="H705" s="1">
        <f t="shared" si="197"/>
        <v>20037.795696001111</v>
      </c>
      <c r="I705" s="1">
        <v>0</v>
      </c>
      <c r="J705" s="1">
        <v>0</v>
      </c>
      <c r="K705" s="1">
        <f t="shared" si="205"/>
        <v>-2532.8849012436249</v>
      </c>
      <c r="L705" s="1">
        <f t="shared" si="198"/>
        <v>2530352.016342381</v>
      </c>
      <c r="N705" s="1">
        <f t="shared" si="206"/>
        <v>682</v>
      </c>
      <c r="O705" s="2">
        <f t="shared" si="211"/>
        <v>56</v>
      </c>
      <c r="P705" s="2">
        <f t="shared" si="212"/>
        <v>10</v>
      </c>
      <c r="Q705" s="2">
        <f t="shared" si="213"/>
        <v>56</v>
      </c>
      <c r="R705" s="1">
        <f t="shared" si="207"/>
        <v>140771645.96685648</v>
      </c>
      <c r="S705" s="4">
        <f>IF($G$4="mensual",S696,IF($G$4="trimestral",S696,0))</f>
        <v>10000</v>
      </c>
      <c r="U705" s="1">
        <f t="shared" si="214"/>
        <v>1122612.6147519269</v>
      </c>
      <c r="V705" s="1">
        <f t="shared" si="215"/>
        <v>-685.2072856513762</v>
      </c>
      <c r="X705" s="1">
        <f t="shared" si="199"/>
        <v>-141904.25858160842</v>
      </c>
      <c r="Y705" s="1">
        <f t="shared" si="200"/>
        <v>141761669.11574116</v>
      </c>
      <c r="AA705" s="2">
        <f>+Bono!J705</f>
        <v>1020708.2634171504</v>
      </c>
      <c r="AC705" s="10">
        <f t="shared" si="201"/>
        <v>56.833333333333336</v>
      </c>
      <c r="AD705" s="1">
        <f t="shared" si="202"/>
        <v>145312729.39550069</v>
      </c>
    </row>
    <row r="706" spans="2:30">
      <c r="B706" s="1">
        <f t="shared" si="203"/>
        <v>683</v>
      </c>
      <c r="C706" s="2">
        <f t="shared" si="208"/>
        <v>56</v>
      </c>
      <c r="D706" s="2">
        <f t="shared" si="209"/>
        <v>11</v>
      </c>
      <c r="E706" s="2">
        <f t="shared" si="210"/>
        <v>85</v>
      </c>
      <c r="F706" s="1">
        <f t="shared" si="204"/>
        <v>2530352.016342381</v>
      </c>
      <c r="H706" s="1">
        <f t="shared" si="197"/>
        <v>20177.382312873939</v>
      </c>
      <c r="I706" s="1">
        <v>0</v>
      </c>
      <c r="J706" s="1">
        <v>0</v>
      </c>
      <c r="K706" s="1">
        <f t="shared" si="205"/>
        <v>-2550.5293986552551</v>
      </c>
      <c r="L706" s="1">
        <f t="shared" si="198"/>
        <v>2547978.8692565998</v>
      </c>
      <c r="N706" s="1">
        <f t="shared" si="206"/>
        <v>683</v>
      </c>
      <c r="O706" s="2">
        <f t="shared" si="211"/>
        <v>56</v>
      </c>
      <c r="P706" s="2">
        <f t="shared" si="212"/>
        <v>11</v>
      </c>
      <c r="Q706" s="2">
        <f t="shared" si="213"/>
        <v>56</v>
      </c>
      <c r="R706" s="1">
        <f t="shared" si="207"/>
        <v>141761669.11574116</v>
      </c>
      <c r="S706" s="1">
        <f>IF($G$17="si",S694*(1+$G$20),S694)</f>
        <v>10000</v>
      </c>
      <c r="U706" s="1">
        <f t="shared" si="214"/>
        <v>1130507.1983689987</v>
      </c>
      <c r="V706" s="1">
        <f t="shared" si="215"/>
        <v>-685.2072856513762</v>
      </c>
      <c r="X706" s="1">
        <f t="shared" si="199"/>
        <v>-142902.17631411017</v>
      </c>
      <c r="Y706" s="1">
        <f t="shared" si="200"/>
        <v>142758588.9305104</v>
      </c>
      <c r="AA706" s="2">
        <f>+Bono!J706</f>
        <v>1027036.7730451672</v>
      </c>
      <c r="AC706" s="10">
        <f t="shared" si="201"/>
        <v>56.916666666666664</v>
      </c>
      <c r="AD706" s="1">
        <f t="shared" si="202"/>
        <v>146333604.57281214</v>
      </c>
    </row>
    <row r="707" spans="2:30">
      <c r="B707" s="1">
        <f t="shared" si="203"/>
        <v>684</v>
      </c>
      <c r="C707" s="2">
        <f t="shared" si="208"/>
        <v>56</v>
      </c>
      <c r="D707" s="2">
        <f t="shared" si="209"/>
        <v>12</v>
      </c>
      <c r="E707" s="2">
        <f t="shared" si="210"/>
        <v>85</v>
      </c>
      <c r="F707" s="1">
        <f t="shared" si="204"/>
        <v>2547978.8692565998</v>
      </c>
      <c r="H707" s="1">
        <f t="shared" si="197"/>
        <v>20317.94131333155</v>
      </c>
      <c r="I707" s="1">
        <v>0</v>
      </c>
      <c r="J707" s="69">
        <f>-SUM(F707:H707)*$J$21</f>
        <v>-23114.671295129385</v>
      </c>
      <c r="K707" s="1">
        <f t="shared" si="205"/>
        <v>-2545.182139274802</v>
      </c>
      <c r="L707" s="1">
        <f t="shared" si="198"/>
        <v>2542636.9571355274</v>
      </c>
      <c r="N707" s="1">
        <f t="shared" si="206"/>
        <v>684</v>
      </c>
      <c r="O707" s="2">
        <f t="shared" si="211"/>
        <v>56</v>
      </c>
      <c r="P707" s="2">
        <f t="shared" si="212"/>
        <v>12</v>
      </c>
      <c r="Q707" s="2">
        <f t="shared" si="213"/>
        <v>56</v>
      </c>
      <c r="R707" s="1">
        <f t="shared" si="207"/>
        <v>142758588.9305104</v>
      </c>
      <c r="S707" s="4">
        <f>IF($G$4="mensual",S706,0)</f>
        <v>10000</v>
      </c>
      <c r="U707" s="1">
        <f t="shared" si="214"/>
        <v>1138456.7769683255</v>
      </c>
      <c r="V707" s="1">
        <f t="shared" si="215"/>
        <v>-685.2072856513762</v>
      </c>
      <c r="X707" s="1">
        <f t="shared" si="199"/>
        <v>-143907.04570747874</v>
      </c>
      <c r="Y707" s="1">
        <f t="shared" si="200"/>
        <v>143762453.45448563</v>
      </c>
      <c r="AA707" s="2">
        <f>+Bono!J707</f>
        <v>1024094.5695348049</v>
      </c>
      <c r="AC707" s="10">
        <f t="shared" si="201"/>
        <v>57</v>
      </c>
      <c r="AD707" s="1">
        <f t="shared" si="202"/>
        <v>147329184.98115596</v>
      </c>
    </row>
    <row r="708" spans="2:30">
      <c r="B708" s="1">
        <f t="shared" si="203"/>
        <v>685</v>
      </c>
      <c r="C708" s="2">
        <f t="shared" si="208"/>
        <v>57</v>
      </c>
      <c r="D708" s="2">
        <f t="shared" si="209"/>
        <v>1</v>
      </c>
      <c r="E708" s="2">
        <f t="shared" si="210"/>
        <v>86</v>
      </c>
      <c r="F708" s="1">
        <f t="shared" si="204"/>
        <v>2542636.9571355274</v>
      </c>
      <c r="H708" s="1">
        <f t="shared" si="197"/>
        <v>20275.344155919258</v>
      </c>
      <c r="I708" s="1">
        <v>0</v>
      </c>
      <c r="J708" s="1">
        <v>0</v>
      </c>
      <c r="K708" s="1">
        <f t="shared" si="205"/>
        <v>-2562.9123012914465</v>
      </c>
      <c r="L708" s="1">
        <f t="shared" si="198"/>
        <v>2560349.3889901554</v>
      </c>
      <c r="N708" s="1">
        <f t="shared" si="206"/>
        <v>685</v>
      </c>
      <c r="O708" s="2">
        <f t="shared" si="211"/>
        <v>57</v>
      </c>
      <c r="P708" s="2">
        <f t="shared" si="212"/>
        <v>1</v>
      </c>
      <c r="Q708" s="2">
        <f t="shared" si="213"/>
        <v>57</v>
      </c>
      <c r="R708" s="1">
        <f t="shared" si="207"/>
        <v>143762453.45448563</v>
      </c>
      <c r="S708" s="1">
        <f>IF($G$17="si",S696*(1+$G$20),S696)</f>
        <v>10000</v>
      </c>
      <c r="U708" s="1">
        <f t="shared" si="214"/>
        <v>1146461.7336540986</v>
      </c>
      <c r="V708" s="1">
        <f>V707*(1+$G$18)</f>
        <v>-712.61557707743123</v>
      </c>
      <c r="X708" s="1">
        <f t="shared" si="199"/>
        <v>-144918.91518813974</v>
      </c>
      <c r="Y708" s="1">
        <f t="shared" si="200"/>
        <v>144773283.65737453</v>
      </c>
      <c r="AA708" s="2">
        <f>+Bono!J708</f>
        <v>1030444.0746535384</v>
      </c>
      <c r="AC708" s="10">
        <f t="shared" si="201"/>
        <v>57.083333333333336</v>
      </c>
      <c r="AD708" s="1">
        <f t="shared" si="202"/>
        <v>148364077.12101823</v>
      </c>
    </row>
    <row r="709" spans="2:30">
      <c r="B709" s="1">
        <f t="shared" si="203"/>
        <v>686</v>
      </c>
      <c r="C709" s="2">
        <f t="shared" si="208"/>
        <v>57</v>
      </c>
      <c r="D709" s="2">
        <f t="shared" si="209"/>
        <v>2</v>
      </c>
      <c r="E709" s="2">
        <f t="shared" si="210"/>
        <v>86</v>
      </c>
      <c r="F709" s="1">
        <f t="shared" si="204"/>
        <v>2560349.3889901554</v>
      </c>
      <c r="H709" s="1">
        <f t="shared" si="197"/>
        <v>20416.58557486545</v>
      </c>
      <c r="I709" s="1">
        <v>0</v>
      </c>
      <c r="J709" s="1">
        <v>0</v>
      </c>
      <c r="K709" s="1">
        <f t="shared" si="205"/>
        <v>-2580.7659745650208</v>
      </c>
      <c r="L709" s="1">
        <f t="shared" si="198"/>
        <v>2578185.2085904558</v>
      </c>
      <c r="N709" s="1">
        <f t="shared" si="206"/>
        <v>686</v>
      </c>
      <c r="O709" s="2">
        <f t="shared" si="211"/>
        <v>57</v>
      </c>
      <c r="P709" s="2">
        <f t="shared" si="212"/>
        <v>2</v>
      </c>
      <c r="Q709" s="2">
        <f t="shared" si="213"/>
        <v>57</v>
      </c>
      <c r="R709" s="1">
        <f t="shared" si="207"/>
        <v>144773283.65737453</v>
      </c>
      <c r="S709" s="4">
        <f>IF($G$4="mensual",S708,0)</f>
        <v>10000</v>
      </c>
      <c r="U709" s="1">
        <f t="shared" si="214"/>
        <v>1154522.2356417119</v>
      </c>
      <c r="V709" s="1">
        <f>V708</f>
        <v>-712.61557707743123</v>
      </c>
      <c r="X709" s="1">
        <f t="shared" si="199"/>
        <v>-145937.80589301625</v>
      </c>
      <c r="Y709" s="1">
        <f t="shared" si="200"/>
        <v>145791155.47154617</v>
      </c>
      <c r="AA709" s="2">
        <f>+Bono!J709</f>
        <v>1036832.947440505</v>
      </c>
      <c r="AC709" s="10">
        <f t="shared" si="201"/>
        <v>57.166666666666664</v>
      </c>
      <c r="AD709" s="1">
        <f t="shared" si="202"/>
        <v>149406173.62757713</v>
      </c>
    </row>
    <row r="710" spans="2:30">
      <c r="B710" s="1">
        <f t="shared" si="203"/>
        <v>687</v>
      </c>
      <c r="C710" s="2">
        <f t="shared" si="208"/>
        <v>57</v>
      </c>
      <c r="D710" s="2">
        <f t="shared" si="209"/>
        <v>3</v>
      </c>
      <c r="E710" s="2">
        <f t="shared" si="210"/>
        <v>86</v>
      </c>
      <c r="F710" s="1">
        <f t="shared" si="204"/>
        <v>2578185.2085904558</v>
      </c>
      <c r="H710" s="1">
        <f t="shared" si="197"/>
        <v>20558.810905022838</v>
      </c>
      <c r="I710" s="1">
        <v>0</v>
      </c>
      <c r="J710" s="69">
        <f>-SUM(F710:H710)*$J$21</f>
        <v>-23388.696175459314</v>
      </c>
      <c r="K710" s="1">
        <f t="shared" si="205"/>
        <v>-2575.3553233200196</v>
      </c>
      <c r="L710" s="1">
        <f t="shared" si="198"/>
        <v>2572779.9679966997</v>
      </c>
      <c r="N710" s="1">
        <f t="shared" si="206"/>
        <v>687</v>
      </c>
      <c r="O710" s="2">
        <f t="shared" si="211"/>
        <v>57</v>
      </c>
      <c r="P710" s="2">
        <f t="shared" si="212"/>
        <v>3</v>
      </c>
      <c r="Q710" s="2">
        <f t="shared" si="213"/>
        <v>57</v>
      </c>
      <c r="R710" s="1">
        <f t="shared" si="207"/>
        <v>145791155.47154617</v>
      </c>
      <c r="S710" s="4">
        <f>IF($G$4="mensual",S709,0)</f>
        <v>10000</v>
      </c>
      <c r="U710" s="1">
        <f t="shared" si="214"/>
        <v>1162638.8884265397</v>
      </c>
      <c r="V710" s="1">
        <f t="shared" si="215"/>
        <v>-712.61557707743123</v>
      </c>
      <c r="X710" s="1">
        <f t="shared" si="199"/>
        <v>-146963.79435997273</v>
      </c>
      <c r="Y710" s="1">
        <f t="shared" si="200"/>
        <v>146816117.95003566</v>
      </c>
      <c r="AA710" s="2">
        <f>+Bono!J710</f>
        <v>1033862.6803403564</v>
      </c>
      <c r="AC710" s="10">
        <f t="shared" si="201"/>
        <v>57.25</v>
      </c>
      <c r="AD710" s="1">
        <f t="shared" si="202"/>
        <v>150422760.5983727</v>
      </c>
    </row>
    <row r="711" spans="2:30">
      <c r="B711" s="1">
        <f t="shared" si="203"/>
        <v>688</v>
      </c>
      <c r="C711" s="2">
        <f t="shared" si="208"/>
        <v>57</v>
      </c>
      <c r="D711" s="2">
        <f t="shared" si="209"/>
        <v>4</v>
      </c>
      <c r="E711" s="2">
        <f t="shared" si="210"/>
        <v>86</v>
      </c>
      <c r="F711" s="1">
        <f t="shared" si="204"/>
        <v>2572779.9679966997</v>
      </c>
      <c r="H711" s="1">
        <f t="shared" si="197"/>
        <v>20515.708757476215</v>
      </c>
      <c r="I711" s="1">
        <v>0</v>
      </c>
      <c r="J711" s="1">
        <v>0</v>
      </c>
      <c r="K711" s="1">
        <f t="shared" si="205"/>
        <v>-2593.2956767541764</v>
      </c>
      <c r="L711" s="1">
        <f t="shared" si="198"/>
        <v>2590702.3810774218</v>
      </c>
      <c r="N711" s="1">
        <f t="shared" si="206"/>
        <v>688</v>
      </c>
      <c r="O711" s="2">
        <f t="shared" si="211"/>
        <v>57</v>
      </c>
      <c r="P711" s="2">
        <f t="shared" si="212"/>
        <v>4</v>
      </c>
      <c r="Q711" s="2">
        <f t="shared" si="213"/>
        <v>57</v>
      </c>
      <c r="R711" s="1">
        <f t="shared" si="207"/>
        <v>146816117.95003566</v>
      </c>
      <c r="S711" s="4">
        <f>IF($G$4="mensual",S708,IF($G$4="trimestral",S708,0))</f>
        <v>10000</v>
      </c>
      <c r="U711" s="1">
        <f t="shared" si="214"/>
        <v>1170812.083164372</v>
      </c>
      <c r="V711" s="1">
        <f t="shared" si="215"/>
        <v>-712.61557707743123</v>
      </c>
      <c r="X711" s="1">
        <f t="shared" si="199"/>
        <v>-147996.93003320004</v>
      </c>
      <c r="Y711" s="1">
        <f t="shared" si="200"/>
        <v>147848220.48758975</v>
      </c>
      <c r="AA711" s="2">
        <f>+Bono!J711</f>
        <v>1040272.748879115</v>
      </c>
      <c r="AC711" s="10">
        <f t="shared" si="201"/>
        <v>57.333333333333336</v>
      </c>
      <c r="AD711" s="1">
        <f t="shared" si="202"/>
        <v>151479195.61754626</v>
      </c>
    </row>
    <row r="712" spans="2:30">
      <c r="B712" s="1">
        <f t="shared" si="203"/>
        <v>689</v>
      </c>
      <c r="C712" s="2">
        <f t="shared" si="208"/>
        <v>57</v>
      </c>
      <c r="D712" s="2">
        <f t="shared" si="209"/>
        <v>5</v>
      </c>
      <c r="E712" s="2">
        <f t="shared" si="210"/>
        <v>86</v>
      </c>
      <c r="F712" s="1">
        <f t="shared" si="204"/>
        <v>2590702.3810774218</v>
      </c>
      <c r="H712" s="1">
        <f t="shared" si="197"/>
        <v>20658.624596206715</v>
      </c>
      <c r="I712" s="1">
        <v>0</v>
      </c>
      <c r="J712" s="1">
        <v>0</v>
      </c>
      <c r="K712" s="1">
        <f t="shared" si="205"/>
        <v>-2611.3610056736288</v>
      </c>
      <c r="L712" s="1">
        <f t="shared" si="198"/>
        <v>2608749.6446679551</v>
      </c>
      <c r="N712" s="1">
        <f t="shared" si="206"/>
        <v>689</v>
      </c>
      <c r="O712" s="2">
        <f t="shared" si="211"/>
        <v>57</v>
      </c>
      <c r="P712" s="2">
        <f t="shared" si="212"/>
        <v>5</v>
      </c>
      <c r="Q712" s="2">
        <f t="shared" si="213"/>
        <v>57</v>
      </c>
      <c r="R712" s="1">
        <f t="shared" si="207"/>
        <v>147848220.48758975</v>
      </c>
      <c r="S712" s="4">
        <f>IF($G$4="mensual",S711,0)</f>
        <v>10000</v>
      </c>
      <c r="U712" s="1">
        <f t="shared" si="214"/>
        <v>1179042.2137358563</v>
      </c>
      <c r="V712" s="1">
        <f t="shared" si="215"/>
        <v>-712.61557707743123</v>
      </c>
      <c r="X712" s="1">
        <f t="shared" si="199"/>
        <v>-149037.26270132558</v>
      </c>
      <c r="Y712" s="1">
        <f t="shared" si="200"/>
        <v>148887512.82304719</v>
      </c>
      <c r="AA712" s="2">
        <f>+Bono!J712</f>
        <v>1046722.5605863358</v>
      </c>
      <c r="AC712" s="10">
        <f t="shared" si="201"/>
        <v>57.416666666666664</v>
      </c>
      <c r="AD712" s="1">
        <f t="shared" si="202"/>
        <v>152542985.02830148</v>
      </c>
    </row>
    <row r="713" spans="2:30">
      <c r="B713" s="1">
        <f t="shared" si="203"/>
        <v>690</v>
      </c>
      <c r="C713" s="2">
        <f t="shared" si="208"/>
        <v>57</v>
      </c>
      <c r="D713" s="2">
        <f t="shared" si="209"/>
        <v>6</v>
      </c>
      <c r="E713" s="2">
        <f t="shared" si="210"/>
        <v>86</v>
      </c>
      <c r="F713" s="1">
        <f t="shared" si="204"/>
        <v>2608749.6446679551</v>
      </c>
      <c r="H713" s="1">
        <f t="shared" si="197"/>
        <v>20802.536010435069</v>
      </c>
      <c r="I713" s="1">
        <v>0</v>
      </c>
      <c r="J713" s="69">
        <f>-SUM(F713:H713)*$J$21</f>
        <v>-23665.969626105514</v>
      </c>
      <c r="K713" s="1">
        <f t="shared" si="205"/>
        <v>-2605.8862110522846</v>
      </c>
      <c r="L713" s="1">
        <f t="shared" si="198"/>
        <v>2603280.3248412325</v>
      </c>
      <c r="N713" s="1">
        <f t="shared" si="206"/>
        <v>690</v>
      </c>
      <c r="O713" s="2">
        <f t="shared" si="211"/>
        <v>57</v>
      </c>
      <c r="P713" s="2">
        <f t="shared" si="212"/>
        <v>6</v>
      </c>
      <c r="Q713" s="2">
        <f t="shared" si="213"/>
        <v>57</v>
      </c>
      <c r="R713" s="1">
        <f t="shared" si="207"/>
        <v>148887512.82304719</v>
      </c>
      <c r="S713" s="4">
        <f>IF($G$4="mensual",S712,0)</f>
        <v>10000</v>
      </c>
      <c r="U713" s="1">
        <f t="shared" si="214"/>
        <v>1187329.6767654773</v>
      </c>
      <c r="V713" s="1">
        <f t="shared" si="215"/>
        <v>-712.61557707743123</v>
      </c>
      <c r="X713" s="1">
        <f t="shared" si="199"/>
        <v>-150084.84249981266</v>
      </c>
      <c r="Y713" s="1">
        <f t="shared" si="200"/>
        <v>149934045.04173577</v>
      </c>
      <c r="AA713" s="2">
        <f>+Bono!J713</f>
        <v>1043723.9622177484</v>
      </c>
      <c r="AC713" s="10">
        <f t="shared" si="201"/>
        <v>57.5</v>
      </c>
      <c r="AD713" s="1">
        <f t="shared" si="202"/>
        <v>153581049.32879475</v>
      </c>
    </row>
    <row r="714" spans="2:30">
      <c r="B714" s="1">
        <f t="shared" si="203"/>
        <v>691</v>
      </c>
      <c r="C714" s="2">
        <f t="shared" si="208"/>
        <v>57</v>
      </c>
      <c r="D714" s="2">
        <f t="shared" si="209"/>
        <v>7</v>
      </c>
      <c r="E714" s="2">
        <f t="shared" si="210"/>
        <v>86</v>
      </c>
      <c r="F714" s="1">
        <f t="shared" si="204"/>
        <v>2603280.3248412325</v>
      </c>
      <c r="H714" s="1">
        <f t="shared" si="197"/>
        <v>20758.922886086195</v>
      </c>
      <c r="I714" s="1">
        <v>0</v>
      </c>
      <c r="J714" s="1">
        <v>0</v>
      </c>
      <c r="K714" s="1">
        <f t="shared" si="205"/>
        <v>-2624.0392477273185</v>
      </c>
      <c r="L714" s="1">
        <f t="shared" si="198"/>
        <v>2621415.2084795912</v>
      </c>
      <c r="N714" s="1">
        <f t="shared" si="206"/>
        <v>691</v>
      </c>
      <c r="O714" s="2">
        <f t="shared" si="211"/>
        <v>57</v>
      </c>
      <c r="P714" s="2">
        <f t="shared" si="212"/>
        <v>7</v>
      </c>
      <c r="Q714" s="2">
        <f t="shared" si="213"/>
        <v>57</v>
      </c>
      <c r="R714" s="1">
        <f t="shared" si="207"/>
        <v>149934045.04173577</v>
      </c>
      <c r="S714" s="1">
        <f>+IF($G$4="mensual",S708,IF($G$4="trimestral",S708,IF($G$4="semestral",S708,0)))</f>
        <v>10000</v>
      </c>
      <c r="U714" s="1">
        <f t="shared" si="214"/>
        <v>1195674.8716406722</v>
      </c>
      <c r="V714" s="1">
        <f t="shared" si="215"/>
        <v>-712.61557707743123</v>
      </c>
      <c r="X714" s="1">
        <f t="shared" si="199"/>
        <v>-151139.71991337647</v>
      </c>
      <c r="Y714" s="1">
        <f t="shared" si="200"/>
        <v>150987867.57788602</v>
      </c>
      <c r="AA714" s="2">
        <f>+Bono!J714</f>
        <v>1050195.1718479847</v>
      </c>
      <c r="AC714" s="10">
        <f t="shared" si="201"/>
        <v>57.583333333333336</v>
      </c>
      <c r="AD714" s="1">
        <f t="shared" si="202"/>
        <v>154659477.9582136</v>
      </c>
    </row>
    <row r="715" spans="2:30">
      <c r="B715" s="1">
        <f t="shared" si="203"/>
        <v>692</v>
      </c>
      <c r="C715" s="2">
        <f t="shared" si="208"/>
        <v>57</v>
      </c>
      <c r="D715" s="2">
        <f t="shared" si="209"/>
        <v>8</v>
      </c>
      <c r="E715" s="2">
        <f t="shared" si="210"/>
        <v>86</v>
      </c>
      <c r="F715" s="1">
        <f t="shared" si="204"/>
        <v>2621415.2084795912</v>
      </c>
      <c r="H715" s="1">
        <f t="shared" si="197"/>
        <v>20903.532994880297</v>
      </c>
      <c r="I715" s="1">
        <v>0</v>
      </c>
      <c r="J715" s="1">
        <v>0</v>
      </c>
      <c r="K715" s="1">
        <f t="shared" si="205"/>
        <v>-2642.3187414744716</v>
      </c>
      <c r="L715" s="1">
        <f t="shared" si="198"/>
        <v>2639676.4227329972</v>
      </c>
      <c r="N715" s="1">
        <f t="shared" si="206"/>
        <v>692</v>
      </c>
      <c r="O715" s="2">
        <f t="shared" si="211"/>
        <v>57</v>
      </c>
      <c r="P715" s="2">
        <f t="shared" si="212"/>
        <v>8</v>
      </c>
      <c r="Q715" s="2">
        <f t="shared" si="213"/>
        <v>57</v>
      </c>
      <c r="R715" s="1">
        <f t="shared" si="207"/>
        <v>150987867.57788602</v>
      </c>
      <c r="S715" s="4">
        <f>IF($G$4="mensual",S714,0)</f>
        <v>10000</v>
      </c>
      <c r="U715" s="1">
        <f t="shared" si="214"/>
        <v>1204078.2005310778</v>
      </c>
      <c r="V715" s="1">
        <f t="shared" si="215"/>
        <v>-712.61557707743123</v>
      </c>
      <c r="X715" s="1">
        <f t="shared" si="199"/>
        <v>-152201.94577841708</v>
      </c>
      <c r="Y715" s="1">
        <f t="shared" si="200"/>
        <v>152049031.21706158</v>
      </c>
      <c r="AA715" s="2">
        <f>+Bono!J715</f>
        <v>1056706.5037285422</v>
      </c>
      <c r="AC715" s="10">
        <f t="shared" si="201"/>
        <v>57.666666666666664</v>
      </c>
      <c r="AD715" s="1">
        <f t="shared" si="202"/>
        <v>155745414.14352313</v>
      </c>
    </row>
    <row r="716" spans="2:30">
      <c r="B716" s="1">
        <f t="shared" si="203"/>
        <v>693</v>
      </c>
      <c r="C716" s="2">
        <f t="shared" si="208"/>
        <v>57</v>
      </c>
      <c r="D716" s="2">
        <f t="shared" si="209"/>
        <v>9</v>
      </c>
      <c r="E716" s="2">
        <f t="shared" si="210"/>
        <v>86</v>
      </c>
      <c r="F716" s="1">
        <f t="shared" si="204"/>
        <v>2639676.4227329972</v>
      </c>
      <c r="H716" s="1">
        <f t="shared" si="197"/>
        <v>21049.150481739256</v>
      </c>
      <c r="I716" s="1">
        <v>0</v>
      </c>
      <c r="J716" s="69">
        <f>-SUM(F716:H716)*$J$21</f>
        <v>-23946.53015893263</v>
      </c>
      <c r="K716" s="1">
        <f t="shared" si="205"/>
        <v>-2636.7790430558034</v>
      </c>
      <c r="L716" s="1">
        <f t="shared" si="198"/>
        <v>2634142.2640127479</v>
      </c>
      <c r="N716" s="1">
        <f t="shared" si="206"/>
        <v>693</v>
      </c>
      <c r="O716" s="2">
        <f t="shared" si="211"/>
        <v>57</v>
      </c>
      <c r="P716" s="2">
        <f t="shared" si="212"/>
        <v>9</v>
      </c>
      <c r="Q716" s="2">
        <f t="shared" si="213"/>
        <v>57</v>
      </c>
      <c r="R716" s="1">
        <f t="shared" si="207"/>
        <v>152049031.21706158</v>
      </c>
      <c r="S716" s="4">
        <f>IF($G$4="mensual",S715,0)</f>
        <v>10000</v>
      </c>
      <c r="U716" s="1">
        <f t="shared" si="214"/>
        <v>1212540.0684079104</v>
      </c>
      <c r="V716" s="1">
        <f t="shared" si="215"/>
        <v>-712.61557707743123</v>
      </c>
      <c r="X716" s="1">
        <f t="shared" si="199"/>
        <v>-153271.57128546952</v>
      </c>
      <c r="Y716" s="1">
        <f t="shared" si="200"/>
        <v>153117587.09860697</v>
      </c>
      <c r="AA716" s="2">
        <f>+Bono!J716</f>
        <v>1053679.3038596665</v>
      </c>
      <c r="AC716" s="10">
        <f t="shared" si="201"/>
        <v>57.75</v>
      </c>
      <c r="AD716" s="1">
        <f t="shared" si="202"/>
        <v>156805408.66647941</v>
      </c>
    </row>
    <row r="717" spans="2:30">
      <c r="B717" s="1">
        <f t="shared" si="203"/>
        <v>694</v>
      </c>
      <c r="C717" s="2">
        <f t="shared" si="208"/>
        <v>57</v>
      </c>
      <c r="D717" s="2">
        <f t="shared" si="209"/>
        <v>10</v>
      </c>
      <c r="E717" s="2">
        <f t="shared" si="210"/>
        <v>86</v>
      </c>
      <c r="F717" s="1">
        <f t="shared" si="204"/>
        <v>2634142.2640127479</v>
      </c>
      <c r="H717" s="1">
        <f t="shared" si="197"/>
        <v>21005.020322948145</v>
      </c>
      <c r="I717" s="1">
        <v>0</v>
      </c>
      <c r="J717" s="1">
        <v>0</v>
      </c>
      <c r="K717" s="1">
        <f t="shared" si="205"/>
        <v>-2655.147284335696</v>
      </c>
      <c r="L717" s="1">
        <f t="shared" si="198"/>
        <v>2652492.1370513602</v>
      </c>
      <c r="N717" s="1">
        <f t="shared" si="206"/>
        <v>694</v>
      </c>
      <c r="O717" s="2">
        <f t="shared" si="211"/>
        <v>57</v>
      </c>
      <c r="P717" s="2">
        <f t="shared" si="212"/>
        <v>10</v>
      </c>
      <c r="Q717" s="2">
        <f t="shared" si="213"/>
        <v>57</v>
      </c>
      <c r="R717" s="1">
        <f t="shared" si="207"/>
        <v>153117587.09860697</v>
      </c>
      <c r="S717" s="4">
        <f>IF($G$4="mensual",S708,IF($G$4="trimestral",S708,0))</f>
        <v>10000</v>
      </c>
      <c r="U717" s="1">
        <f t="shared" si="214"/>
        <v>1221060.8830634844</v>
      </c>
      <c r="V717" s="1">
        <f t="shared" si="215"/>
        <v>-712.61557707743123</v>
      </c>
      <c r="X717" s="1">
        <f t="shared" si="199"/>
        <v>-154348.64798167048</v>
      </c>
      <c r="Y717" s="1">
        <f t="shared" si="200"/>
        <v>154193586.71811172</v>
      </c>
      <c r="AA717" s="2">
        <f>+Bono!J717</f>
        <v>1060212.2377628309</v>
      </c>
      <c r="AC717" s="10">
        <f t="shared" si="201"/>
        <v>57.833333333333336</v>
      </c>
      <c r="AD717" s="1">
        <f t="shared" si="202"/>
        <v>157906291.09292594</v>
      </c>
    </row>
    <row r="718" spans="2:30">
      <c r="B718" s="1">
        <f t="shared" si="203"/>
        <v>695</v>
      </c>
      <c r="C718" s="2">
        <f t="shared" si="208"/>
        <v>57</v>
      </c>
      <c r="D718" s="2">
        <f t="shared" si="209"/>
        <v>11</v>
      </c>
      <c r="E718" s="2">
        <f t="shared" si="210"/>
        <v>86</v>
      </c>
      <c r="F718" s="1">
        <f t="shared" si="204"/>
        <v>2652492.1370513602</v>
      </c>
      <c r="H718" s="1">
        <f t="shared" si="197"/>
        <v>21151.344787410595</v>
      </c>
      <c r="I718" s="1">
        <v>0</v>
      </c>
      <c r="J718" s="1">
        <v>0</v>
      </c>
      <c r="K718" s="1">
        <f t="shared" si="205"/>
        <v>-2673.6434818387706</v>
      </c>
      <c r="L718" s="1">
        <f t="shared" si="198"/>
        <v>2670969.8383569317</v>
      </c>
      <c r="N718" s="1">
        <f t="shared" si="206"/>
        <v>695</v>
      </c>
      <c r="O718" s="2">
        <f t="shared" si="211"/>
        <v>57</v>
      </c>
      <c r="P718" s="2">
        <f t="shared" si="212"/>
        <v>11</v>
      </c>
      <c r="Q718" s="2">
        <f t="shared" si="213"/>
        <v>57</v>
      </c>
      <c r="R718" s="1">
        <f t="shared" si="207"/>
        <v>154193586.71811172</v>
      </c>
      <c r="S718" s="1">
        <f>IF($G$17="si",S706*(1+$G$20),S706)</f>
        <v>10000</v>
      </c>
      <c r="U718" s="1">
        <f t="shared" si="214"/>
        <v>1229641.0551308622</v>
      </c>
      <c r="V718" s="1">
        <f t="shared" si="215"/>
        <v>-712.61557707743123</v>
      </c>
      <c r="X718" s="1">
        <f t="shared" si="199"/>
        <v>-155433.2277732426</v>
      </c>
      <c r="Y718" s="1">
        <f t="shared" si="200"/>
        <v>155277081.92989227</v>
      </c>
      <c r="AA718" s="2">
        <f>+Bono!J718</f>
        <v>1066785.6766139683</v>
      </c>
      <c r="AC718" s="10">
        <f t="shared" si="201"/>
        <v>57.916666666666664</v>
      </c>
      <c r="AD718" s="1">
        <f t="shared" si="202"/>
        <v>159014837.44486317</v>
      </c>
    </row>
    <row r="719" spans="2:30">
      <c r="B719" s="1">
        <f t="shared" si="203"/>
        <v>696</v>
      </c>
      <c r="C719" s="2">
        <f t="shared" si="208"/>
        <v>57</v>
      </c>
      <c r="D719" s="2">
        <f t="shared" si="209"/>
        <v>12</v>
      </c>
      <c r="E719" s="2">
        <f t="shared" si="210"/>
        <v>86</v>
      </c>
      <c r="F719" s="1">
        <f t="shared" si="204"/>
        <v>2670969.8383569317</v>
      </c>
      <c r="H719" s="1">
        <f t="shared" si="197"/>
        <v>21298.688572424562</v>
      </c>
      <c r="I719" s="1">
        <v>0</v>
      </c>
      <c r="J719" s="69">
        <f>-SUM(F719:H719)*$J$21</f>
        <v>-24230.416742364207</v>
      </c>
      <c r="K719" s="1">
        <f t="shared" si="205"/>
        <v>-2668.0381101869916</v>
      </c>
      <c r="L719" s="1">
        <f t="shared" si="198"/>
        <v>2665370.0720768049</v>
      </c>
      <c r="N719" s="1">
        <f t="shared" si="206"/>
        <v>696</v>
      </c>
      <c r="O719" s="2">
        <f t="shared" si="211"/>
        <v>57</v>
      </c>
      <c r="P719" s="2">
        <f t="shared" si="212"/>
        <v>12</v>
      </c>
      <c r="Q719" s="2">
        <f t="shared" si="213"/>
        <v>57</v>
      </c>
      <c r="R719" s="1">
        <f t="shared" si="207"/>
        <v>155277081.92989227</v>
      </c>
      <c r="S719" s="4">
        <f>IF($G$4="mensual",S718,0)</f>
        <v>10000</v>
      </c>
      <c r="U719" s="1">
        <f t="shared" si="214"/>
        <v>1238280.9981036452</v>
      </c>
      <c r="V719" s="1">
        <f t="shared" si="215"/>
        <v>-712.61557707743123</v>
      </c>
      <c r="X719" s="1">
        <f t="shared" si="199"/>
        <v>-156525.36292799591</v>
      </c>
      <c r="Y719" s="1">
        <f t="shared" si="200"/>
        <v>156368124.94949085</v>
      </c>
      <c r="AA719" s="2">
        <f>+Bono!J719</f>
        <v>1063729.6024354054</v>
      </c>
      <c r="AC719" s="10">
        <f t="shared" si="201"/>
        <v>58</v>
      </c>
      <c r="AD719" s="1">
        <f t="shared" si="202"/>
        <v>160097224.62400305</v>
      </c>
    </row>
    <row r="720" spans="2:30">
      <c r="B720" s="1">
        <f t="shared" si="203"/>
        <v>697</v>
      </c>
      <c r="C720" s="2">
        <f t="shared" si="208"/>
        <v>58</v>
      </c>
      <c r="D720" s="2">
        <f t="shared" si="209"/>
        <v>1</v>
      </c>
      <c r="E720" s="2">
        <f t="shared" si="210"/>
        <v>87</v>
      </c>
      <c r="F720" s="1">
        <f t="shared" si="204"/>
        <v>2665370.0720768049</v>
      </c>
      <c r="H720" s="1">
        <f t="shared" si="197"/>
        <v>21254.03524973779</v>
      </c>
      <c r="I720" s="1">
        <v>0</v>
      </c>
      <c r="J720" s="1">
        <v>0</v>
      </c>
      <c r="K720" s="1">
        <f t="shared" si="205"/>
        <v>-2686.6241073265428</v>
      </c>
      <c r="L720" s="1">
        <f t="shared" si="198"/>
        <v>2683937.4832192166</v>
      </c>
      <c r="N720" s="1">
        <f t="shared" si="206"/>
        <v>697</v>
      </c>
      <c r="O720" s="2">
        <f t="shared" si="211"/>
        <v>58</v>
      </c>
      <c r="P720" s="2">
        <f t="shared" si="212"/>
        <v>1</v>
      </c>
      <c r="Q720" s="2">
        <f t="shared" si="213"/>
        <v>58</v>
      </c>
      <c r="R720" s="1">
        <f t="shared" si="207"/>
        <v>156368124.94949085</v>
      </c>
      <c r="S720" s="1">
        <f>IF($G$17="si",S708*(1+$G$20),S708)</f>
        <v>10000</v>
      </c>
      <c r="U720" s="1">
        <f t="shared" si="214"/>
        <v>1246981.1283558994</v>
      </c>
      <c r="V720" s="1">
        <f>V719*(1+$G$18)</f>
        <v>-741.1202001605285</v>
      </c>
      <c r="X720" s="1">
        <f t="shared" si="199"/>
        <v>-157625.10607784675</v>
      </c>
      <c r="Y720" s="1">
        <f t="shared" si="200"/>
        <v>157466739.85156873</v>
      </c>
      <c r="AA720" s="2">
        <f>+Bono!J720</f>
        <v>1070324.8493555018</v>
      </c>
      <c r="AC720" s="10">
        <f t="shared" si="201"/>
        <v>58.083333333333336</v>
      </c>
      <c r="AD720" s="1">
        <f t="shared" si="202"/>
        <v>161221002.18414342</v>
      </c>
    </row>
    <row r="721" spans="2:30">
      <c r="B721" s="1">
        <f t="shared" si="203"/>
        <v>698</v>
      </c>
      <c r="C721" s="2">
        <f t="shared" si="208"/>
        <v>58</v>
      </c>
      <c r="D721" s="2">
        <f t="shared" si="209"/>
        <v>2</v>
      </c>
      <c r="E721" s="2">
        <f t="shared" si="210"/>
        <v>87</v>
      </c>
      <c r="F721" s="1">
        <f t="shared" si="204"/>
        <v>2683937.4832192166</v>
      </c>
      <c r="H721" s="1">
        <f t="shared" si="197"/>
        <v>21402.094393588573</v>
      </c>
      <c r="I721" s="1">
        <v>0</v>
      </c>
      <c r="J721" s="1">
        <v>0</v>
      </c>
      <c r="K721" s="1">
        <f t="shared" si="205"/>
        <v>-2705.3395776128054</v>
      </c>
      <c r="L721" s="1">
        <f t="shared" si="198"/>
        <v>2702634.2380351922</v>
      </c>
      <c r="N721" s="1">
        <f t="shared" si="206"/>
        <v>698</v>
      </c>
      <c r="O721" s="2">
        <f t="shared" si="211"/>
        <v>58</v>
      </c>
      <c r="P721" s="2">
        <f t="shared" si="212"/>
        <v>2</v>
      </c>
      <c r="Q721" s="2">
        <f t="shared" si="213"/>
        <v>58</v>
      </c>
      <c r="R721" s="1">
        <f t="shared" si="207"/>
        <v>157466739.85156873</v>
      </c>
      <c r="S721" s="4">
        <f>IF($G$4="mensual",S720,0)</f>
        <v>10000</v>
      </c>
      <c r="U721" s="1">
        <f t="shared" si="214"/>
        <v>1255741.6378623547</v>
      </c>
      <c r="V721" s="1">
        <f>V720</f>
        <v>-741.1202001605285</v>
      </c>
      <c r="X721" s="1">
        <f t="shared" si="199"/>
        <v>-158732.48148943108</v>
      </c>
      <c r="Y721" s="1">
        <f t="shared" si="200"/>
        <v>158573007.88774151</v>
      </c>
      <c r="AA721" s="2">
        <f>+Bono!J721</f>
        <v>1076960.987571504</v>
      </c>
      <c r="AC721" s="10">
        <f t="shared" si="201"/>
        <v>58.166666666666664</v>
      </c>
      <c r="AD721" s="1">
        <f t="shared" si="202"/>
        <v>162352603.11334822</v>
      </c>
    </row>
    <row r="722" spans="2:30">
      <c r="B722" s="1">
        <f t="shared" si="203"/>
        <v>699</v>
      </c>
      <c r="C722" s="2">
        <f t="shared" si="208"/>
        <v>58</v>
      </c>
      <c r="D722" s="2">
        <f t="shared" si="209"/>
        <v>3</v>
      </c>
      <c r="E722" s="2">
        <f t="shared" si="210"/>
        <v>87</v>
      </c>
      <c r="F722" s="1">
        <f t="shared" si="204"/>
        <v>2702634.2380351922</v>
      </c>
      <c r="H722" s="1">
        <f t="shared" si="197"/>
        <v>21551.184942055945</v>
      </c>
      <c r="I722" s="1">
        <v>0</v>
      </c>
      <c r="J722" s="69">
        <f>-SUM(F722:H722)*$J$21</f>
        <v>-24517.668806795238</v>
      </c>
      <c r="K722" s="1">
        <f t="shared" si="205"/>
        <v>-2699.667754170453</v>
      </c>
      <c r="L722" s="1">
        <f t="shared" si="198"/>
        <v>2696968.0864162827</v>
      </c>
      <c r="N722" s="1">
        <f t="shared" si="206"/>
        <v>699</v>
      </c>
      <c r="O722" s="2">
        <f t="shared" si="211"/>
        <v>58</v>
      </c>
      <c r="P722" s="2">
        <f t="shared" si="212"/>
        <v>3</v>
      </c>
      <c r="Q722" s="2">
        <f t="shared" si="213"/>
        <v>58</v>
      </c>
      <c r="R722" s="1">
        <f t="shared" si="207"/>
        <v>158573007.88774151</v>
      </c>
      <c r="S722" s="4">
        <f>IF($G$4="mensual",S721,0)</f>
        <v>10000</v>
      </c>
      <c r="U722" s="1">
        <f t="shared" si="214"/>
        <v>1264563.1745348042</v>
      </c>
      <c r="V722" s="1">
        <f t="shared" si="215"/>
        <v>-741.1202001605285</v>
      </c>
      <c r="X722" s="1">
        <f t="shared" si="199"/>
        <v>-159847.57106227631</v>
      </c>
      <c r="Y722" s="1">
        <f t="shared" si="200"/>
        <v>159686982.37101388</v>
      </c>
      <c r="AA722" s="2">
        <f>+Bono!J722</f>
        <v>1073875.7636717197</v>
      </c>
      <c r="AC722" s="10">
        <f t="shared" si="201"/>
        <v>58.25</v>
      </c>
      <c r="AD722" s="1">
        <f t="shared" si="202"/>
        <v>163457826.22110188</v>
      </c>
    </row>
    <row r="723" spans="2:30">
      <c r="B723" s="1">
        <f t="shared" si="203"/>
        <v>700</v>
      </c>
      <c r="C723" s="2">
        <f t="shared" si="208"/>
        <v>58</v>
      </c>
      <c r="D723" s="2">
        <f t="shared" si="209"/>
        <v>4</v>
      </c>
      <c r="E723" s="2">
        <f t="shared" si="210"/>
        <v>87</v>
      </c>
      <c r="F723" s="1">
        <f t="shared" si="204"/>
        <v>2696968.0864162827</v>
      </c>
      <c r="H723" s="1">
        <f t="shared" si="197"/>
        <v>21506.002253355302</v>
      </c>
      <c r="I723" s="1">
        <v>0</v>
      </c>
      <c r="J723" s="1">
        <v>0</v>
      </c>
      <c r="K723" s="1">
        <f t="shared" si="205"/>
        <v>-2718.4740886696381</v>
      </c>
      <c r="L723" s="1">
        <f t="shared" si="198"/>
        <v>2715755.6145809684</v>
      </c>
      <c r="N723" s="1">
        <f t="shared" si="206"/>
        <v>700</v>
      </c>
      <c r="O723" s="2">
        <f t="shared" si="211"/>
        <v>58</v>
      </c>
      <c r="P723" s="2">
        <f t="shared" si="212"/>
        <v>4</v>
      </c>
      <c r="Q723" s="2">
        <f t="shared" si="213"/>
        <v>58</v>
      </c>
      <c r="R723" s="1">
        <f t="shared" si="207"/>
        <v>159686982.37101388</v>
      </c>
      <c r="S723" s="4">
        <f>IF($G$4="mensual",S720,IF($G$4="trimestral",S720,0))</f>
        <v>10000</v>
      </c>
      <c r="U723" s="1">
        <f t="shared" si="214"/>
        <v>1273446.1634986335</v>
      </c>
      <c r="V723" s="1">
        <f t="shared" si="215"/>
        <v>-741.1202001605285</v>
      </c>
      <c r="X723" s="1">
        <f t="shared" si="199"/>
        <v>-160970.42853451252</v>
      </c>
      <c r="Y723" s="1">
        <f t="shared" si="200"/>
        <v>160808716.98577785</v>
      </c>
      <c r="AA723" s="2">
        <f>+Bono!J723</f>
        <v>1080533.9179683633</v>
      </c>
      <c r="AC723" s="10">
        <f t="shared" si="201"/>
        <v>58.333333333333336</v>
      </c>
      <c r="AD723" s="1">
        <f t="shared" si="202"/>
        <v>164605006.51832718</v>
      </c>
    </row>
    <row r="724" spans="2:30">
      <c r="B724" s="1">
        <f t="shared" si="203"/>
        <v>701</v>
      </c>
      <c r="C724" s="2">
        <f t="shared" si="208"/>
        <v>58</v>
      </c>
      <c r="D724" s="2">
        <f t="shared" si="209"/>
        <v>5</v>
      </c>
      <c r="E724" s="2">
        <f t="shared" si="210"/>
        <v>87</v>
      </c>
      <c r="F724" s="1">
        <f t="shared" si="204"/>
        <v>2715755.6145809684</v>
      </c>
      <c r="H724" s="1">
        <f t="shared" si="197"/>
        <v>21655.816641252488</v>
      </c>
      <c r="I724" s="1">
        <v>0</v>
      </c>
      <c r="J724" s="1">
        <v>0</v>
      </c>
      <c r="K724" s="1">
        <f t="shared" si="205"/>
        <v>-2737.4114312222209</v>
      </c>
      <c r="L724" s="1">
        <f t="shared" si="198"/>
        <v>2734674.0197909987</v>
      </c>
      <c r="N724" s="1">
        <f t="shared" si="206"/>
        <v>701</v>
      </c>
      <c r="O724" s="2">
        <f t="shared" si="211"/>
        <v>58</v>
      </c>
      <c r="P724" s="2">
        <f t="shared" si="212"/>
        <v>5</v>
      </c>
      <c r="Q724" s="2">
        <f t="shared" si="213"/>
        <v>58</v>
      </c>
      <c r="R724" s="1">
        <f t="shared" si="207"/>
        <v>160808716.98577785</v>
      </c>
      <c r="S724" s="4">
        <f>IF($G$4="mensual",S723,0)</f>
        <v>10000</v>
      </c>
      <c r="U724" s="1">
        <f t="shared" si="214"/>
        <v>1282391.0328407236</v>
      </c>
      <c r="V724" s="1">
        <f t="shared" si="215"/>
        <v>-741.1202001605285</v>
      </c>
      <c r="X724" s="1">
        <f t="shared" si="199"/>
        <v>-162101.1080186186</v>
      </c>
      <c r="Y724" s="1">
        <f t="shared" si="200"/>
        <v>161938265.79039982</v>
      </c>
      <c r="AA724" s="2">
        <f>+Bono!J724</f>
        <v>1087233.3535939441</v>
      </c>
      <c r="AC724" s="10">
        <f t="shared" si="201"/>
        <v>58.416666666666664</v>
      </c>
      <c r="AD724" s="1">
        <f t="shared" si="202"/>
        <v>165760173.16378477</v>
      </c>
    </row>
    <row r="725" spans="2:30">
      <c r="B725" s="1">
        <f t="shared" si="203"/>
        <v>702</v>
      </c>
      <c r="C725" s="2">
        <f t="shared" si="208"/>
        <v>58</v>
      </c>
      <c r="D725" s="2">
        <f t="shared" si="209"/>
        <v>6</v>
      </c>
      <c r="E725" s="2">
        <f t="shared" si="210"/>
        <v>87</v>
      </c>
      <c r="F725" s="1">
        <f t="shared" si="204"/>
        <v>2734674.0197909987</v>
      </c>
      <c r="H725" s="1">
        <f t="shared" si="197"/>
        <v>21806.674661088175</v>
      </c>
      <c r="I725" s="1">
        <v>0</v>
      </c>
      <c r="J725" s="69">
        <f>-SUM(F725:H725)*$J$21</f>
        <v>-24808.326250068785</v>
      </c>
      <c r="K725" s="1">
        <f t="shared" si="205"/>
        <v>-2731.6723682020183</v>
      </c>
      <c r="L725" s="1">
        <f t="shared" si="198"/>
        <v>2728940.6958338162</v>
      </c>
      <c r="N725" s="1">
        <f t="shared" si="206"/>
        <v>702</v>
      </c>
      <c r="O725" s="2">
        <f t="shared" si="211"/>
        <v>58</v>
      </c>
      <c r="P725" s="2">
        <f t="shared" si="212"/>
        <v>6</v>
      </c>
      <c r="Q725" s="2">
        <f t="shared" si="213"/>
        <v>58</v>
      </c>
      <c r="R725" s="1">
        <f t="shared" si="207"/>
        <v>161938265.79039982</v>
      </c>
      <c r="S725" s="4">
        <f>IF($G$4="mensual",S724,0)</f>
        <v>10000</v>
      </c>
      <c r="U725" s="1">
        <f t="shared" si="214"/>
        <v>1291398.2136300795</v>
      </c>
      <c r="V725" s="1">
        <f t="shared" si="215"/>
        <v>-741.1202001605285</v>
      </c>
      <c r="X725" s="1">
        <f t="shared" si="199"/>
        <v>-163239.66400402991</v>
      </c>
      <c r="Y725" s="1">
        <f t="shared" si="200"/>
        <v>163075683.21982571</v>
      </c>
      <c r="AA725" s="2">
        <f>+Bono!J725</f>
        <v>1084118.7019344494</v>
      </c>
      <c r="AC725" s="10">
        <f t="shared" si="201"/>
        <v>58.5</v>
      </c>
      <c r="AD725" s="1">
        <f t="shared" si="202"/>
        <v>166888742.61759397</v>
      </c>
    </row>
    <row r="726" spans="2:30">
      <c r="B726" s="1">
        <f t="shared" si="203"/>
        <v>703</v>
      </c>
      <c r="C726" s="2">
        <f t="shared" si="208"/>
        <v>58</v>
      </c>
      <c r="D726" s="2">
        <f t="shared" si="209"/>
        <v>7</v>
      </c>
      <c r="E726" s="2">
        <f t="shared" si="210"/>
        <v>87</v>
      </c>
      <c r="F726" s="1">
        <f t="shared" si="204"/>
        <v>2728940.6958338162</v>
      </c>
      <c r="H726" s="1">
        <f t="shared" si="197"/>
        <v>21760.956330729205</v>
      </c>
      <c r="I726" s="1">
        <v>0</v>
      </c>
      <c r="J726" s="1">
        <v>0</v>
      </c>
      <c r="K726" s="1">
        <f t="shared" si="205"/>
        <v>-2750.7016521645455</v>
      </c>
      <c r="L726" s="1">
        <f t="shared" si="198"/>
        <v>2747950.9505123808</v>
      </c>
      <c r="N726" s="1">
        <f t="shared" si="206"/>
        <v>703</v>
      </c>
      <c r="O726" s="2">
        <f t="shared" si="211"/>
        <v>58</v>
      </c>
      <c r="P726" s="2">
        <f t="shared" si="212"/>
        <v>7</v>
      </c>
      <c r="Q726" s="2">
        <f t="shared" si="213"/>
        <v>58</v>
      </c>
      <c r="R726" s="1">
        <f t="shared" si="207"/>
        <v>163075683.21982571</v>
      </c>
      <c r="S726" s="1">
        <f>+IF($G$4="mensual",S720,IF($G$4="trimestral",S720,IF($G$4="semestral",S720,0)))</f>
        <v>10000</v>
      </c>
      <c r="U726" s="1">
        <f t="shared" si="214"/>
        <v>1300468.1399386046</v>
      </c>
      <c r="V726" s="1">
        <f t="shared" si="215"/>
        <v>-741.1202001605285</v>
      </c>
      <c r="X726" s="1">
        <f t="shared" si="199"/>
        <v>-164386.15135976431</v>
      </c>
      <c r="Y726" s="1">
        <f t="shared" si="200"/>
        <v>164221024.08820438</v>
      </c>
      <c r="AA726" s="2">
        <f>+Bono!J726</f>
        <v>1090840.363636429</v>
      </c>
      <c r="AC726" s="10">
        <f t="shared" si="201"/>
        <v>58.583333333333336</v>
      </c>
      <c r="AD726" s="1">
        <f t="shared" si="202"/>
        <v>168059815.4023532</v>
      </c>
    </row>
    <row r="727" spans="2:30">
      <c r="B727" s="1">
        <f t="shared" si="203"/>
        <v>704</v>
      </c>
      <c r="C727" s="2">
        <f t="shared" si="208"/>
        <v>58</v>
      </c>
      <c r="D727" s="2">
        <f t="shared" si="209"/>
        <v>8</v>
      </c>
      <c r="E727" s="2">
        <f t="shared" si="210"/>
        <v>87</v>
      </c>
      <c r="F727" s="1">
        <f t="shared" si="204"/>
        <v>2747950.9505123808</v>
      </c>
      <c r="H727" s="1">
        <f t="shared" si="197"/>
        <v>21912.546771125304</v>
      </c>
      <c r="I727" s="1">
        <v>0</v>
      </c>
      <c r="J727" s="1">
        <v>0</v>
      </c>
      <c r="K727" s="1">
        <f t="shared" si="205"/>
        <v>-2769.8634972835061</v>
      </c>
      <c r="L727" s="1">
        <f t="shared" si="198"/>
        <v>2767093.6337862229</v>
      </c>
      <c r="N727" s="1">
        <f t="shared" si="206"/>
        <v>704</v>
      </c>
      <c r="O727" s="2">
        <f t="shared" si="211"/>
        <v>58</v>
      </c>
      <c r="P727" s="2">
        <f t="shared" si="212"/>
        <v>8</v>
      </c>
      <c r="Q727" s="2">
        <f t="shared" si="213"/>
        <v>58</v>
      </c>
      <c r="R727" s="1">
        <f t="shared" si="207"/>
        <v>164221024.08820438</v>
      </c>
      <c r="S727" s="4">
        <f>IF($G$4="mensual",S726,0)</f>
        <v>10000</v>
      </c>
      <c r="U727" s="1">
        <f t="shared" si="214"/>
        <v>1309601.2488620186</v>
      </c>
      <c r="V727" s="1">
        <f t="shared" si="215"/>
        <v>-741.1202001605285</v>
      </c>
      <c r="X727" s="1">
        <f t="shared" si="199"/>
        <v>-165540.62533706642</v>
      </c>
      <c r="Y727" s="1">
        <f t="shared" si="200"/>
        <v>165374343.59152919</v>
      </c>
      <c r="AA727" s="2">
        <f>+Bono!J727</f>
        <v>1097603.7004206255</v>
      </c>
      <c r="AC727" s="10">
        <f t="shared" si="201"/>
        <v>58.666666666666664</v>
      </c>
      <c r="AD727" s="1">
        <f t="shared" si="202"/>
        <v>169239040.92573604</v>
      </c>
    </row>
    <row r="728" spans="2:30">
      <c r="B728" s="1">
        <f t="shared" si="203"/>
        <v>705</v>
      </c>
      <c r="C728" s="2">
        <f t="shared" si="208"/>
        <v>58</v>
      </c>
      <c r="D728" s="2">
        <f t="shared" si="209"/>
        <v>9</v>
      </c>
      <c r="E728" s="2">
        <f t="shared" si="210"/>
        <v>87</v>
      </c>
      <c r="F728" s="1">
        <f t="shared" si="204"/>
        <v>2767093.6337862229</v>
      </c>
      <c r="H728" s="1">
        <f t="shared" ref="H728:H755" si="216">SUM(F728:G728)*$G$8</f>
        <v>22065.193215736948</v>
      </c>
      <c r="I728" s="1">
        <v>0</v>
      </c>
      <c r="J728" s="69">
        <f>-SUM(F728:H728)*$J$21</f>
        <v>-25102.429443017641</v>
      </c>
      <c r="K728" s="1">
        <f t="shared" si="205"/>
        <v>-2764.0563975589425</v>
      </c>
      <c r="L728" s="1">
        <f t="shared" ref="L728:L755" si="217">SUM(F728:K728)</f>
        <v>2761292.3411613833</v>
      </c>
      <c r="N728" s="1">
        <f t="shared" si="206"/>
        <v>705</v>
      </c>
      <c r="O728" s="2">
        <f t="shared" si="211"/>
        <v>58</v>
      </c>
      <c r="P728" s="2">
        <f t="shared" si="212"/>
        <v>9</v>
      </c>
      <c r="Q728" s="2">
        <f t="shared" si="213"/>
        <v>58</v>
      </c>
      <c r="R728" s="1">
        <f t="shared" si="207"/>
        <v>165374343.59152919</v>
      </c>
      <c r="S728" s="4">
        <f>IF($G$4="mensual",S727,0)</f>
        <v>10000</v>
      </c>
      <c r="U728" s="1">
        <f t="shared" si="214"/>
        <v>1318797.980540924</v>
      </c>
      <c r="V728" s="1">
        <f t="shared" si="215"/>
        <v>-741.1202001605285</v>
      </c>
      <c r="X728" s="1">
        <f t="shared" ref="X728:X755" si="218">-SUM(R728:U728)*0.1%</f>
        <v>-166703.14157207013</v>
      </c>
      <c r="Y728" s="1">
        <f t="shared" ref="Y728:Y755" si="219">SUM(R728:X728)</f>
        <v>166535697.31029791</v>
      </c>
      <c r="AA728" s="2">
        <f>+Bono!J728</f>
        <v>1094459.3403109196</v>
      </c>
      <c r="AC728" s="10">
        <f t="shared" ref="AC728:AC755" si="220">+B728/12</f>
        <v>58.75</v>
      </c>
      <c r="AD728" s="1">
        <f t="shared" ref="AD728:AD755" si="221">+AA728+Y728+L728</f>
        <v>170391448.99177021</v>
      </c>
    </row>
    <row r="729" spans="2:30">
      <c r="B729" s="1">
        <f t="shared" ref="B729:B755" si="222">+B728+1</f>
        <v>706</v>
      </c>
      <c r="C729" s="2">
        <f t="shared" si="208"/>
        <v>58</v>
      </c>
      <c r="D729" s="2">
        <f t="shared" si="209"/>
        <v>10</v>
      </c>
      <c r="E729" s="2">
        <f t="shared" si="210"/>
        <v>87</v>
      </c>
      <c r="F729" s="1">
        <f t="shared" ref="F729:F755" si="223">L728</f>
        <v>2761292.3411613833</v>
      </c>
      <c r="H729" s="1">
        <f t="shared" si="216"/>
        <v>22018.932893677313</v>
      </c>
      <c r="I729" s="1">
        <v>0</v>
      </c>
      <c r="J729" s="1">
        <v>0</v>
      </c>
      <c r="K729" s="1">
        <f t="shared" ref="K729:K755" si="224">-SUM(F729:J729)*0.1%</f>
        <v>-2783.3112740550605</v>
      </c>
      <c r="L729" s="1">
        <f t="shared" si="217"/>
        <v>2780527.9627810055</v>
      </c>
      <c r="N729" s="1">
        <f t="shared" ref="N729:N755" si="225">+N728+1</f>
        <v>706</v>
      </c>
      <c r="O729" s="2">
        <f t="shared" si="211"/>
        <v>58</v>
      </c>
      <c r="P729" s="2">
        <f t="shared" si="212"/>
        <v>10</v>
      </c>
      <c r="Q729" s="2">
        <f t="shared" si="213"/>
        <v>58</v>
      </c>
      <c r="R729" s="1">
        <f t="shared" ref="R729:R755" si="226">Y728</f>
        <v>166535697.31029791</v>
      </c>
      <c r="S729" s="4">
        <f>IF($G$4="mensual",S720,IF($G$4="trimestral",S720,0))</f>
        <v>10000</v>
      </c>
      <c r="U729" s="1">
        <f t="shared" si="214"/>
        <v>1328058.7781820155</v>
      </c>
      <c r="V729" s="1">
        <f t="shared" si="215"/>
        <v>-741.1202001605285</v>
      </c>
      <c r="X729" s="1">
        <f t="shared" si="218"/>
        <v>-167873.75608847995</v>
      </c>
      <c r="Y729" s="1">
        <f t="shared" si="219"/>
        <v>167705141.21219131</v>
      </c>
      <c r="AA729" s="2">
        <f>+Bono!J729</f>
        <v>1101245.1151702732</v>
      </c>
      <c r="AC729" s="10">
        <f t="shared" si="220"/>
        <v>58.833333333333336</v>
      </c>
      <c r="AD729" s="1">
        <f t="shared" si="221"/>
        <v>171586914.2901426</v>
      </c>
    </row>
    <row r="730" spans="2:30">
      <c r="B730" s="1">
        <f t="shared" si="222"/>
        <v>707</v>
      </c>
      <c r="C730" s="2">
        <f t="shared" si="208"/>
        <v>58</v>
      </c>
      <c r="D730" s="2">
        <f t="shared" si="209"/>
        <v>11</v>
      </c>
      <c r="E730" s="2">
        <f t="shared" si="210"/>
        <v>87</v>
      </c>
      <c r="F730" s="1">
        <f t="shared" si="223"/>
        <v>2780527.9627810055</v>
      </c>
      <c r="H730" s="1">
        <f t="shared" si="216"/>
        <v>22172.320441709438</v>
      </c>
      <c r="I730" s="1">
        <v>0</v>
      </c>
      <c r="J730" s="1">
        <v>0</v>
      </c>
      <c r="K730" s="1">
        <f t="shared" si="224"/>
        <v>-2802.7002832227149</v>
      </c>
      <c r="L730" s="1">
        <f t="shared" si="217"/>
        <v>2799897.5829394921</v>
      </c>
      <c r="N730" s="1">
        <f t="shared" si="225"/>
        <v>707</v>
      </c>
      <c r="O730" s="2">
        <f t="shared" si="211"/>
        <v>58</v>
      </c>
      <c r="P730" s="2">
        <f t="shared" si="212"/>
        <v>11</v>
      </c>
      <c r="Q730" s="2">
        <f t="shared" si="213"/>
        <v>58</v>
      </c>
      <c r="R730" s="1">
        <f t="shared" si="226"/>
        <v>167705141.21219131</v>
      </c>
      <c r="S730" s="1">
        <f>IF($G$17="si",S718*(1+$G$20),S718)</f>
        <v>10000</v>
      </c>
      <c r="U730" s="1">
        <f t="shared" si="214"/>
        <v>1337384.0880794385</v>
      </c>
      <c r="V730" s="1">
        <f t="shared" si="215"/>
        <v>-741.1202001605285</v>
      </c>
      <c r="X730" s="1">
        <f t="shared" si="218"/>
        <v>-169052.52530027076</v>
      </c>
      <c r="Y730" s="1">
        <f t="shared" si="219"/>
        <v>168882731.65477034</v>
      </c>
      <c r="AA730" s="2">
        <f>+Bono!J730</f>
        <v>1108072.962620856</v>
      </c>
      <c r="AC730" s="10">
        <f t="shared" si="220"/>
        <v>58.916666666666664</v>
      </c>
      <c r="AD730" s="1">
        <f t="shared" si="221"/>
        <v>172790702.2003307</v>
      </c>
    </row>
    <row r="731" spans="2:30">
      <c r="B731" s="1">
        <f t="shared" si="222"/>
        <v>708</v>
      </c>
      <c r="C731" s="2">
        <f t="shared" si="208"/>
        <v>58</v>
      </c>
      <c r="D731" s="2">
        <f t="shared" si="209"/>
        <v>12</v>
      </c>
      <c r="E731" s="2">
        <f t="shared" si="210"/>
        <v>87</v>
      </c>
      <c r="F731" s="1">
        <f t="shared" si="223"/>
        <v>2799897.5829394921</v>
      </c>
      <c r="H731" s="1">
        <f t="shared" si="216"/>
        <v>22326.776512907734</v>
      </c>
      <c r="I731" s="1">
        <v>0</v>
      </c>
      <c r="J731" s="69">
        <f>-SUM(F731:H731)*$J$21</f>
        <v>-25400.019235071602</v>
      </c>
      <c r="K731" s="1">
        <f t="shared" si="224"/>
        <v>-2796.8243402173284</v>
      </c>
      <c r="L731" s="1">
        <f t="shared" si="217"/>
        <v>2794027.5158771109</v>
      </c>
      <c r="N731" s="1">
        <f t="shared" si="225"/>
        <v>708</v>
      </c>
      <c r="O731" s="2">
        <f t="shared" si="211"/>
        <v>58</v>
      </c>
      <c r="P731" s="2">
        <f t="shared" si="212"/>
        <v>12</v>
      </c>
      <c r="Q731" s="2">
        <f t="shared" si="213"/>
        <v>58</v>
      </c>
      <c r="R731" s="1">
        <f t="shared" si="226"/>
        <v>168882731.65477034</v>
      </c>
      <c r="S731" s="4">
        <f>IF($G$4="mensual",S730,0)</f>
        <v>10000</v>
      </c>
      <c r="U731" s="1">
        <f t="shared" si="214"/>
        <v>1346774.3596362988</v>
      </c>
      <c r="V731" s="1">
        <f t="shared" si="215"/>
        <v>-741.1202001605285</v>
      </c>
      <c r="X731" s="1">
        <f t="shared" si="218"/>
        <v>-170239.50601440665</v>
      </c>
      <c r="Y731" s="1">
        <f t="shared" si="219"/>
        <v>170068525.38819209</v>
      </c>
      <c r="AA731" s="2">
        <f>+Bono!J731</f>
        <v>1104898.6106931306</v>
      </c>
      <c r="AC731" s="10">
        <f t="shared" si="220"/>
        <v>59</v>
      </c>
      <c r="AD731" s="1">
        <f t="shared" si="221"/>
        <v>173967451.51476231</v>
      </c>
    </row>
    <row r="732" spans="2:30">
      <c r="B732" s="1">
        <f t="shared" si="222"/>
        <v>709</v>
      </c>
      <c r="C732" s="2">
        <f t="shared" si="208"/>
        <v>59</v>
      </c>
      <c r="D732" s="2">
        <f t="shared" si="209"/>
        <v>1</v>
      </c>
      <c r="E732" s="2">
        <f t="shared" si="210"/>
        <v>88</v>
      </c>
      <c r="F732" s="1">
        <f t="shared" si="223"/>
        <v>2794027.5158771109</v>
      </c>
      <c r="H732" s="1">
        <f t="shared" si="216"/>
        <v>22279.967773825225</v>
      </c>
      <c r="I732" s="1">
        <v>0</v>
      </c>
      <c r="J732" s="1">
        <v>0</v>
      </c>
      <c r="K732" s="1">
        <f t="shared" si="224"/>
        <v>-2816.3074836509363</v>
      </c>
      <c r="L732" s="1">
        <f t="shared" si="217"/>
        <v>2813491.1761672855</v>
      </c>
      <c r="N732" s="1">
        <f t="shared" si="225"/>
        <v>709</v>
      </c>
      <c r="O732" s="2">
        <f t="shared" si="211"/>
        <v>59</v>
      </c>
      <c r="P732" s="2">
        <f t="shared" si="212"/>
        <v>1</v>
      </c>
      <c r="Q732" s="2">
        <f t="shared" si="213"/>
        <v>59</v>
      </c>
      <c r="R732" s="1">
        <f t="shared" si="226"/>
        <v>170068525.38819209</v>
      </c>
      <c r="S732" s="1">
        <f>IF($G$17="si",S720*(1+$G$20),S720)</f>
        <v>10000</v>
      </c>
      <c r="U732" s="1">
        <f t="shared" si="214"/>
        <v>1356230.0453863179</v>
      </c>
      <c r="V732" s="1">
        <f>V731*(1+$G$18)</f>
        <v>-770.76500816694966</v>
      </c>
      <c r="X732" s="1">
        <f t="shared" si="218"/>
        <v>-171434.75543357839</v>
      </c>
      <c r="Y732" s="1">
        <f t="shared" si="219"/>
        <v>171262549.91313663</v>
      </c>
      <c r="AA732" s="2">
        <f>+Bono!J732</f>
        <v>1111749.1102397344</v>
      </c>
      <c r="AC732" s="10">
        <f t="shared" si="220"/>
        <v>59.083333333333336</v>
      </c>
      <c r="AD732" s="1">
        <f t="shared" si="221"/>
        <v>175187790.19954365</v>
      </c>
    </row>
    <row r="733" spans="2:30">
      <c r="B733" s="1">
        <f t="shared" si="222"/>
        <v>710</v>
      </c>
      <c r="C733" s="2">
        <f t="shared" si="208"/>
        <v>59</v>
      </c>
      <c r="D733" s="2">
        <f t="shared" si="209"/>
        <v>2</v>
      </c>
      <c r="E733" s="2">
        <f t="shared" si="210"/>
        <v>88</v>
      </c>
      <c r="F733" s="1">
        <f t="shared" si="223"/>
        <v>2813491.1761672855</v>
      </c>
      <c r="H733" s="1">
        <f t="shared" si="216"/>
        <v>22435.173734239554</v>
      </c>
      <c r="I733" s="1">
        <v>0</v>
      </c>
      <c r="J733" s="1">
        <v>0</v>
      </c>
      <c r="K733" s="1">
        <f t="shared" si="224"/>
        <v>-2835.9263499015256</v>
      </c>
      <c r="L733" s="1">
        <f t="shared" si="217"/>
        <v>2833090.4235516237</v>
      </c>
      <c r="N733" s="1">
        <f t="shared" si="225"/>
        <v>710</v>
      </c>
      <c r="O733" s="2">
        <f t="shared" si="211"/>
        <v>59</v>
      </c>
      <c r="P733" s="2">
        <f t="shared" si="212"/>
        <v>2</v>
      </c>
      <c r="Q733" s="2">
        <f t="shared" si="213"/>
        <v>59</v>
      </c>
      <c r="R733" s="1">
        <f t="shared" si="226"/>
        <v>171262549.91313663</v>
      </c>
      <c r="S733" s="4">
        <f>IF($G$4="mensual",S732,0)</f>
        <v>10000</v>
      </c>
      <c r="U733" s="1">
        <f t="shared" si="214"/>
        <v>1365751.3646237808</v>
      </c>
      <c r="V733" s="1">
        <f>V732</f>
        <v>-770.76500816694966</v>
      </c>
      <c r="X733" s="1">
        <f t="shared" si="218"/>
        <v>-172638.30127776042</v>
      </c>
      <c r="Y733" s="1">
        <f t="shared" si="219"/>
        <v>172464892.21147448</v>
      </c>
      <c r="AA733" s="2">
        <f>+Bono!J733</f>
        <v>1118642.0836781359</v>
      </c>
      <c r="AC733" s="10">
        <f t="shared" si="220"/>
        <v>59.166666666666664</v>
      </c>
      <c r="AD733" s="1">
        <f t="shared" si="221"/>
        <v>176416624.71870422</v>
      </c>
    </row>
    <row r="734" spans="2:30">
      <c r="B734" s="1">
        <f t="shared" si="222"/>
        <v>711</v>
      </c>
      <c r="C734" s="2">
        <f t="shared" si="208"/>
        <v>59</v>
      </c>
      <c r="D734" s="2">
        <f t="shared" si="209"/>
        <v>3</v>
      </c>
      <c r="E734" s="2">
        <f t="shared" si="210"/>
        <v>88</v>
      </c>
      <c r="F734" s="1">
        <f t="shared" si="223"/>
        <v>2833090.4235516237</v>
      </c>
      <c r="H734" s="1">
        <f t="shared" si="216"/>
        <v>22591.460885183093</v>
      </c>
      <c r="I734" s="1">
        <v>0</v>
      </c>
      <c r="J734" s="69">
        <f>-SUM(F734:H734)*$J$21</f>
        <v>-25701.136959931264</v>
      </c>
      <c r="K734" s="1">
        <f t="shared" si="224"/>
        <v>-2829.9807474768754</v>
      </c>
      <c r="L734" s="1">
        <f t="shared" si="217"/>
        <v>2827150.7667293986</v>
      </c>
      <c r="N734" s="1">
        <f t="shared" si="225"/>
        <v>711</v>
      </c>
      <c r="O734" s="2">
        <f t="shared" si="211"/>
        <v>59</v>
      </c>
      <c r="P734" s="2">
        <f t="shared" si="212"/>
        <v>3</v>
      </c>
      <c r="Q734" s="2">
        <f t="shared" si="213"/>
        <v>59</v>
      </c>
      <c r="R734" s="1">
        <f t="shared" si="226"/>
        <v>172464892.21147448</v>
      </c>
      <c r="S734" s="4">
        <f>IF($G$4="mensual",S733,0)</f>
        <v>10000</v>
      </c>
      <c r="U734" s="1">
        <f t="shared" si="214"/>
        <v>1375339.0109543377</v>
      </c>
      <c r="V734" s="1">
        <f t="shared" si="215"/>
        <v>-770.76500816694966</v>
      </c>
      <c r="X734" s="1">
        <f t="shared" si="218"/>
        <v>-173850.23122242882</v>
      </c>
      <c r="Y734" s="1">
        <f t="shared" si="219"/>
        <v>173675610.22619823</v>
      </c>
      <c r="AA734" s="2">
        <f>+Bono!J734</f>
        <v>1115437.4538617386</v>
      </c>
      <c r="AC734" s="10">
        <f t="shared" si="220"/>
        <v>59.25</v>
      </c>
      <c r="AD734" s="1">
        <f t="shared" si="221"/>
        <v>177618198.44678935</v>
      </c>
    </row>
    <row r="735" spans="2:30">
      <c r="B735" s="1">
        <f t="shared" si="222"/>
        <v>712</v>
      </c>
      <c r="C735" s="2">
        <f t="shared" si="208"/>
        <v>59</v>
      </c>
      <c r="D735" s="2">
        <f t="shared" si="209"/>
        <v>4</v>
      </c>
      <c r="E735" s="2">
        <f t="shared" si="210"/>
        <v>88</v>
      </c>
      <c r="F735" s="1">
        <f t="shared" si="223"/>
        <v>2827150.7667293986</v>
      </c>
      <c r="H735" s="1">
        <f t="shared" si="216"/>
        <v>22544.097227583174</v>
      </c>
      <c r="I735" s="1">
        <v>0</v>
      </c>
      <c r="J735" s="1">
        <v>0</v>
      </c>
      <c r="K735" s="1">
        <f t="shared" si="224"/>
        <v>-2849.6948639569819</v>
      </c>
      <c r="L735" s="1">
        <f t="shared" si="217"/>
        <v>2846845.1690930249</v>
      </c>
      <c r="N735" s="1">
        <f t="shared" si="225"/>
        <v>712</v>
      </c>
      <c r="O735" s="2">
        <f t="shared" si="211"/>
        <v>59</v>
      </c>
      <c r="P735" s="2">
        <f t="shared" si="212"/>
        <v>4</v>
      </c>
      <c r="Q735" s="2">
        <f t="shared" si="213"/>
        <v>59</v>
      </c>
      <c r="R735" s="1">
        <f t="shared" si="226"/>
        <v>173675610.22619823</v>
      </c>
      <c r="S735" s="4">
        <f>IF($G$4="mensual",S732,IF($G$4="trimestral",S732,0))</f>
        <v>10000</v>
      </c>
      <c r="U735" s="1">
        <f t="shared" si="214"/>
        <v>1384993.4464235483</v>
      </c>
      <c r="V735" s="1">
        <f t="shared" si="215"/>
        <v>-770.76500816694966</v>
      </c>
      <c r="X735" s="1">
        <f t="shared" si="218"/>
        <v>-175070.6036726218</v>
      </c>
      <c r="Y735" s="1">
        <f t="shared" si="219"/>
        <v>174894762.30394098</v>
      </c>
      <c r="AA735" s="2">
        <f>+Bono!J735</f>
        <v>1122353.2954584179</v>
      </c>
      <c r="AC735" s="10">
        <f t="shared" si="220"/>
        <v>59.333333333333336</v>
      </c>
      <c r="AD735" s="1">
        <f t="shared" si="221"/>
        <v>178863960.7684924</v>
      </c>
    </row>
    <row r="736" spans="2:30">
      <c r="B736" s="1">
        <f t="shared" si="222"/>
        <v>713</v>
      </c>
      <c r="C736" s="2">
        <f t="shared" si="208"/>
        <v>59</v>
      </c>
      <c r="D736" s="2">
        <f t="shared" si="209"/>
        <v>5</v>
      </c>
      <c r="E736" s="2">
        <f t="shared" si="210"/>
        <v>88</v>
      </c>
      <c r="F736" s="1">
        <f t="shared" si="223"/>
        <v>2846845.1690930249</v>
      </c>
      <c r="H736" s="1">
        <f t="shared" si="216"/>
        <v>22701.143157694063</v>
      </c>
      <c r="I736" s="1">
        <v>0</v>
      </c>
      <c r="J736" s="1">
        <v>0</v>
      </c>
      <c r="K736" s="1">
        <f t="shared" si="224"/>
        <v>-2869.546312250719</v>
      </c>
      <c r="L736" s="1">
        <f t="shared" si="217"/>
        <v>2866676.7659384683</v>
      </c>
      <c r="N736" s="1">
        <f t="shared" si="225"/>
        <v>713</v>
      </c>
      <c r="O736" s="2">
        <f t="shared" si="211"/>
        <v>59</v>
      </c>
      <c r="P736" s="2">
        <f t="shared" si="212"/>
        <v>5</v>
      </c>
      <c r="Q736" s="2">
        <f t="shared" si="213"/>
        <v>59</v>
      </c>
      <c r="R736" s="1">
        <f t="shared" si="226"/>
        <v>174894762.30394098</v>
      </c>
      <c r="S736" s="4">
        <f>IF($G$4="mensual",S735,0)</f>
        <v>10000</v>
      </c>
      <c r="U736" s="1">
        <f t="shared" si="214"/>
        <v>1394715.1362956588</v>
      </c>
      <c r="V736" s="1">
        <f t="shared" si="215"/>
        <v>-770.76500816694966</v>
      </c>
      <c r="X736" s="1">
        <f t="shared" si="218"/>
        <v>-176299.47744023663</v>
      </c>
      <c r="Y736" s="1">
        <f t="shared" si="219"/>
        <v>176122407.19778821</v>
      </c>
      <c r="AA736" s="2">
        <f>+Bono!J736</f>
        <v>1129312.0160751846</v>
      </c>
      <c r="AC736" s="10">
        <f t="shared" si="220"/>
        <v>59.416666666666664</v>
      </c>
      <c r="AD736" s="1">
        <f t="shared" si="221"/>
        <v>180118395.97980186</v>
      </c>
    </row>
    <row r="737" spans="2:30">
      <c r="B737" s="1">
        <f t="shared" si="222"/>
        <v>714</v>
      </c>
      <c r="C737" s="2">
        <f t="shared" si="208"/>
        <v>59</v>
      </c>
      <c r="D737" s="2">
        <f t="shared" si="209"/>
        <v>6</v>
      </c>
      <c r="E737" s="2">
        <f t="shared" si="210"/>
        <v>88</v>
      </c>
      <c r="F737" s="1">
        <f t="shared" si="223"/>
        <v>2866676.7659384683</v>
      </c>
      <c r="H737" s="1">
        <f t="shared" si="216"/>
        <v>22859.283095869032</v>
      </c>
      <c r="I737" s="1">
        <v>0</v>
      </c>
      <c r="J737" s="69">
        <f>-SUM(F737:H737)*$J$21</f>
        <v>-26005.82444130904</v>
      </c>
      <c r="K737" s="1">
        <f t="shared" si="224"/>
        <v>-2863.5302245930284</v>
      </c>
      <c r="L737" s="1">
        <f t="shared" si="217"/>
        <v>2860666.6943684355</v>
      </c>
      <c r="N737" s="1">
        <f t="shared" si="225"/>
        <v>714</v>
      </c>
      <c r="O737" s="2">
        <f t="shared" si="211"/>
        <v>59</v>
      </c>
      <c r="P737" s="2">
        <f t="shared" si="212"/>
        <v>6</v>
      </c>
      <c r="Q737" s="2">
        <f t="shared" si="213"/>
        <v>59</v>
      </c>
      <c r="R737" s="1">
        <f t="shared" si="226"/>
        <v>176122407.19778821</v>
      </c>
      <c r="S737" s="4">
        <f>IF($G$4="mensual",S736,0)</f>
        <v>10000</v>
      </c>
      <c r="U737" s="1">
        <f t="shared" si="214"/>
        <v>1404504.5490760233</v>
      </c>
      <c r="V737" s="1">
        <f t="shared" si="215"/>
        <v>-770.76500816694966</v>
      </c>
      <c r="X737" s="1">
        <f t="shared" si="218"/>
        <v>-177536.91174686424</v>
      </c>
      <c r="Y737" s="1">
        <f t="shared" si="219"/>
        <v>177358604.07010919</v>
      </c>
      <c r="AA737" s="2">
        <f>+Bono!J737</f>
        <v>1126076.8195708382</v>
      </c>
      <c r="AC737" s="10">
        <f t="shared" si="220"/>
        <v>59.5</v>
      </c>
      <c r="AD737" s="1">
        <f t="shared" si="221"/>
        <v>181345347.58404845</v>
      </c>
    </row>
    <row r="738" spans="2:30">
      <c r="B738" s="1">
        <f t="shared" si="222"/>
        <v>715</v>
      </c>
      <c r="C738" s="2">
        <f t="shared" si="208"/>
        <v>59</v>
      </c>
      <c r="D738" s="2">
        <f t="shared" si="209"/>
        <v>7</v>
      </c>
      <c r="E738" s="2">
        <f t="shared" si="210"/>
        <v>88</v>
      </c>
      <c r="F738" s="1">
        <f t="shared" si="223"/>
        <v>2860666.6943684355</v>
      </c>
      <c r="H738" s="1">
        <f t="shared" si="216"/>
        <v>22811.357941181832</v>
      </c>
      <c r="I738" s="1">
        <v>0</v>
      </c>
      <c r="J738" s="1">
        <v>0</v>
      </c>
      <c r="K738" s="1">
        <f t="shared" si="224"/>
        <v>-2883.4780523096174</v>
      </c>
      <c r="L738" s="1">
        <f t="shared" si="217"/>
        <v>2880594.5742573077</v>
      </c>
      <c r="N738" s="1">
        <f t="shared" si="225"/>
        <v>715</v>
      </c>
      <c r="O738" s="2">
        <f t="shared" si="211"/>
        <v>59</v>
      </c>
      <c r="P738" s="2">
        <f t="shared" si="212"/>
        <v>7</v>
      </c>
      <c r="Q738" s="2">
        <f t="shared" si="213"/>
        <v>59</v>
      </c>
      <c r="R738" s="1">
        <f t="shared" si="226"/>
        <v>177358604.07010919</v>
      </c>
      <c r="S738" s="1">
        <f>+IF($G$4="mensual",S732,IF($G$4="trimestral",S732,IF($G$4="semestral",S732,0)))</f>
        <v>10000</v>
      </c>
      <c r="U738" s="1">
        <f t="shared" si="214"/>
        <v>1414362.1565336825</v>
      </c>
      <c r="V738" s="1">
        <f t="shared" si="215"/>
        <v>-770.76500816694966</v>
      </c>
      <c r="X738" s="1">
        <f t="shared" si="218"/>
        <v>-178782.96622664289</v>
      </c>
      <c r="Y738" s="1">
        <f t="shared" si="219"/>
        <v>178603412.49540806</v>
      </c>
      <c r="AA738" s="2">
        <f>+Bono!J738</f>
        <v>1133058.626469004</v>
      </c>
      <c r="AC738" s="10">
        <f t="shared" si="220"/>
        <v>59.583333333333336</v>
      </c>
      <c r="AD738" s="1">
        <f t="shared" si="221"/>
        <v>182617065.69613439</v>
      </c>
    </row>
    <row r="739" spans="2:30">
      <c r="B739" s="1">
        <f t="shared" si="222"/>
        <v>716</v>
      </c>
      <c r="C739" s="2">
        <f t="shared" si="208"/>
        <v>59</v>
      </c>
      <c r="D739" s="2">
        <f t="shared" si="209"/>
        <v>8</v>
      </c>
      <c r="E739" s="2">
        <f t="shared" si="210"/>
        <v>88</v>
      </c>
      <c r="F739" s="1">
        <f t="shared" si="223"/>
        <v>2880594.5742573077</v>
      </c>
      <c r="H739" s="1">
        <f t="shared" si="216"/>
        <v>22970.265653866023</v>
      </c>
      <c r="I739" s="1">
        <v>0</v>
      </c>
      <c r="J739" s="1">
        <v>0</v>
      </c>
      <c r="K739" s="1">
        <f t="shared" si="224"/>
        <v>-2903.5648399111737</v>
      </c>
      <c r="L739" s="1">
        <f t="shared" si="217"/>
        <v>2900661.2750712624</v>
      </c>
      <c r="N739" s="1">
        <f t="shared" si="225"/>
        <v>716</v>
      </c>
      <c r="O739" s="2">
        <f t="shared" si="211"/>
        <v>59</v>
      </c>
      <c r="P739" s="2">
        <f t="shared" si="212"/>
        <v>8</v>
      </c>
      <c r="Q739" s="2">
        <f t="shared" si="213"/>
        <v>59</v>
      </c>
      <c r="R739" s="1">
        <f t="shared" si="226"/>
        <v>178603412.49540806</v>
      </c>
      <c r="S739" s="4">
        <f>IF($G$4="mensual",S738,0)</f>
        <v>10000</v>
      </c>
      <c r="U739" s="1">
        <f t="shared" si="214"/>
        <v>1424288.4337240981</v>
      </c>
      <c r="V739" s="1">
        <f t="shared" si="215"/>
        <v>-770.76500816694966</v>
      </c>
      <c r="X739" s="1">
        <f t="shared" si="218"/>
        <v>-180037.70092913217</v>
      </c>
      <c r="Y739" s="1">
        <f t="shared" si="219"/>
        <v>179856892.46319485</v>
      </c>
      <c r="AA739" s="2">
        <f>+Bono!J739</f>
        <v>1140083.7213797776</v>
      </c>
      <c r="AC739" s="10">
        <f t="shared" si="220"/>
        <v>59.666666666666664</v>
      </c>
      <c r="AD739" s="1">
        <f t="shared" si="221"/>
        <v>183897637.4596459</v>
      </c>
    </row>
    <row r="740" spans="2:30">
      <c r="B740" s="1">
        <f t="shared" si="222"/>
        <v>717</v>
      </c>
      <c r="C740" s="2">
        <f t="shared" ref="C740:C755" si="227">C728+1</f>
        <v>59</v>
      </c>
      <c r="D740" s="2">
        <f t="shared" ref="D740:D755" si="228">D728</f>
        <v>9</v>
      </c>
      <c r="E740" s="2">
        <f t="shared" ref="E740:E755" si="229">E728+1</f>
        <v>88</v>
      </c>
      <c r="F740" s="1">
        <f t="shared" si="223"/>
        <v>2900661.2750712624</v>
      </c>
      <c r="H740" s="1">
        <f t="shared" si="216"/>
        <v>23130.280344101295</v>
      </c>
      <c r="I740" s="1">
        <v>0</v>
      </c>
      <c r="J740" s="69">
        <f>-SUM(F740:H740)*$J$21</f>
        <v>-26314.123998738276</v>
      </c>
      <c r="K740" s="1">
        <f t="shared" si="224"/>
        <v>-2897.4774314166252</v>
      </c>
      <c r="L740" s="1">
        <f t="shared" si="217"/>
        <v>2894579.9539852086</v>
      </c>
      <c r="N740" s="1">
        <f t="shared" si="225"/>
        <v>717</v>
      </c>
      <c r="O740" s="2">
        <f t="shared" ref="O740:O755" si="230">O728+1</f>
        <v>59</v>
      </c>
      <c r="P740" s="2">
        <f t="shared" ref="P740:P755" si="231">P728</f>
        <v>9</v>
      </c>
      <c r="Q740" s="2">
        <f t="shared" ref="Q740:Q755" si="232">Q728+1</f>
        <v>59</v>
      </c>
      <c r="R740" s="1">
        <f t="shared" si="226"/>
        <v>179856892.46319485</v>
      </c>
      <c r="S740" s="4">
        <f>IF($G$4="mensual",S739,0)</f>
        <v>10000</v>
      </c>
      <c r="U740" s="1">
        <f t="shared" ref="U740:U755" si="233">SUM(R740:T740)*$G$8</f>
        <v>1434283.8590120478</v>
      </c>
      <c r="V740" s="1">
        <f t="shared" si="215"/>
        <v>-770.76500816694966</v>
      </c>
      <c r="X740" s="1">
        <f t="shared" si="218"/>
        <v>-181301.17632220688</v>
      </c>
      <c r="Y740" s="1">
        <f t="shared" si="219"/>
        <v>181119104.38087648</v>
      </c>
      <c r="AA740" s="2">
        <f>+Bono!J740</f>
        <v>1136817.6666335538</v>
      </c>
      <c r="AC740" s="10">
        <f t="shared" si="220"/>
        <v>59.75</v>
      </c>
      <c r="AD740" s="1">
        <f t="shared" si="221"/>
        <v>185150502.00149524</v>
      </c>
    </row>
    <row r="741" spans="2:30">
      <c r="B741" s="1">
        <f t="shared" si="222"/>
        <v>718</v>
      </c>
      <c r="C741" s="2">
        <f t="shared" si="227"/>
        <v>59</v>
      </c>
      <c r="D741" s="2">
        <f t="shared" si="228"/>
        <v>10</v>
      </c>
      <c r="E741" s="2">
        <f t="shared" si="229"/>
        <v>88</v>
      </c>
      <c r="F741" s="1">
        <f t="shared" si="223"/>
        <v>2894579.9539852086</v>
      </c>
      <c r="H741" s="1">
        <f t="shared" si="216"/>
        <v>23081.787035767851</v>
      </c>
      <c r="I741" s="1">
        <v>0</v>
      </c>
      <c r="J741" s="1">
        <v>0</v>
      </c>
      <c r="K741" s="1">
        <f t="shared" si="224"/>
        <v>-2917.6617410209765</v>
      </c>
      <c r="L741" s="1">
        <f t="shared" si="217"/>
        <v>2914744.0792799555</v>
      </c>
      <c r="N741" s="1">
        <f t="shared" si="225"/>
        <v>718</v>
      </c>
      <c r="O741" s="2">
        <f t="shared" si="230"/>
        <v>59</v>
      </c>
      <c r="P741" s="2">
        <f t="shared" si="231"/>
        <v>10</v>
      </c>
      <c r="Q741" s="2">
        <f t="shared" si="232"/>
        <v>59</v>
      </c>
      <c r="R741" s="1">
        <f t="shared" si="226"/>
        <v>181119104.38087648</v>
      </c>
      <c r="S741" s="4">
        <f>IF($G$4="mensual",S732,IF($G$4="trimestral",S732,0))</f>
        <v>10000</v>
      </c>
      <c r="U741" s="1">
        <f t="shared" si="233"/>
        <v>1444348.914094677</v>
      </c>
      <c r="V741" s="1">
        <f t="shared" si="215"/>
        <v>-770.76500816694966</v>
      </c>
      <c r="X741" s="1">
        <f t="shared" si="218"/>
        <v>-182573.45329497117</v>
      </c>
      <c r="Y741" s="1">
        <f t="shared" si="219"/>
        <v>182390109.07666802</v>
      </c>
      <c r="AA741" s="2">
        <f>+Bono!J741</f>
        <v>1143866.0680293695</v>
      </c>
      <c r="AC741" s="10">
        <f t="shared" si="220"/>
        <v>59.833333333333336</v>
      </c>
      <c r="AD741" s="1">
        <f t="shared" si="221"/>
        <v>186448719.22397736</v>
      </c>
    </row>
    <row r="742" spans="2:30">
      <c r="B742" s="1">
        <f t="shared" si="222"/>
        <v>719</v>
      </c>
      <c r="C742" s="2">
        <f t="shared" si="227"/>
        <v>59</v>
      </c>
      <c r="D742" s="2">
        <f t="shared" si="228"/>
        <v>11</v>
      </c>
      <c r="E742" s="2">
        <f t="shared" si="229"/>
        <v>88</v>
      </c>
      <c r="F742" s="1">
        <f t="shared" si="223"/>
        <v>2914744.0792799555</v>
      </c>
      <c r="H742" s="1">
        <f t="shared" si="216"/>
        <v>23242.57860249417</v>
      </c>
      <c r="I742" s="1">
        <v>0</v>
      </c>
      <c r="J742" s="1">
        <v>0</v>
      </c>
      <c r="K742" s="1">
        <f t="shared" si="224"/>
        <v>-2937.9866578824499</v>
      </c>
      <c r="L742" s="1">
        <f t="shared" si="217"/>
        <v>2935048.6712245671</v>
      </c>
      <c r="N742" s="1">
        <f t="shared" si="225"/>
        <v>719</v>
      </c>
      <c r="O742" s="2">
        <f t="shared" si="230"/>
        <v>59</v>
      </c>
      <c r="P742" s="2">
        <f t="shared" si="231"/>
        <v>11</v>
      </c>
      <c r="Q742" s="2">
        <f t="shared" si="232"/>
        <v>59</v>
      </c>
      <c r="R742" s="1">
        <f t="shared" si="226"/>
        <v>182390109.07666802</v>
      </c>
      <c r="S742" s="1">
        <f>IF($G$17="si",S730*(1+$G$20),S730)</f>
        <v>10000</v>
      </c>
      <c r="U742" s="1">
        <f t="shared" si="233"/>
        <v>1454484.084024715</v>
      </c>
      <c r="V742" s="1">
        <f t="shared" si="215"/>
        <v>-770.76500816694966</v>
      </c>
      <c r="X742" s="1">
        <f t="shared" si="218"/>
        <v>-183854.59316069275</v>
      </c>
      <c r="Y742" s="1">
        <f t="shared" si="219"/>
        <v>183669967.80252388</v>
      </c>
      <c r="AA742" s="2">
        <f>+Bono!J742</f>
        <v>1150958.1703314031</v>
      </c>
      <c r="AC742" s="10">
        <f t="shared" si="220"/>
        <v>59.916666666666664</v>
      </c>
      <c r="AD742" s="1">
        <f t="shared" si="221"/>
        <v>187755974.64407983</v>
      </c>
    </row>
    <row r="743" spans="2:30">
      <c r="B743" s="1">
        <f t="shared" si="222"/>
        <v>720</v>
      </c>
      <c r="C743" s="2">
        <f t="shared" si="227"/>
        <v>59</v>
      </c>
      <c r="D743" s="2">
        <f t="shared" si="228"/>
        <v>12</v>
      </c>
      <c r="E743" s="2">
        <f t="shared" si="229"/>
        <v>88</v>
      </c>
      <c r="F743" s="1">
        <f t="shared" si="223"/>
        <v>2935048.6712245671</v>
      </c>
      <c r="H743" s="1">
        <f t="shared" si="216"/>
        <v>23404.490270012095</v>
      </c>
      <c r="I743" s="1">
        <v>0</v>
      </c>
      <c r="J743" s="69">
        <f>-SUM(F743:H743)*$J$21</f>
        <v>-26626.078453451217</v>
      </c>
      <c r="K743" s="1">
        <f t="shared" si="224"/>
        <v>-2931.8270830411279</v>
      </c>
      <c r="L743" s="1">
        <f t="shared" si="217"/>
        <v>2928895.2559580868</v>
      </c>
      <c r="N743" s="1">
        <f t="shared" si="225"/>
        <v>720</v>
      </c>
      <c r="O743" s="2">
        <f t="shared" si="230"/>
        <v>59</v>
      </c>
      <c r="P743" s="2">
        <f t="shared" si="231"/>
        <v>12</v>
      </c>
      <c r="Q743" s="2">
        <f t="shared" si="232"/>
        <v>59</v>
      </c>
      <c r="R743" s="1">
        <f t="shared" si="226"/>
        <v>183669967.80252388</v>
      </c>
      <c r="S743" s="4">
        <f>IF($G$4="mensual",S742,0)</f>
        <v>10000</v>
      </c>
      <c r="U743" s="1">
        <f t="shared" si="233"/>
        <v>1464689.8572338475</v>
      </c>
      <c r="V743" s="1">
        <f t="shared" si="215"/>
        <v>-770.76500816694966</v>
      </c>
      <c r="X743" s="1">
        <f t="shared" si="218"/>
        <v>-185144.65765975774</v>
      </c>
      <c r="Y743" s="1">
        <f t="shared" si="219"/>
        <v>184958742.23708978</v>
      </c>
      <c r="AA743" s="2">
        <f>+Bono!J743</f>
        <v>1147660.9630084476</v>
      </c>
      <c r="AC743" s="10">
        <f t="shared" si="220"/>
        <v>60</v>
      </c>
      <c r="AD743" s="1">
        <f t="shared" si="221"/>
        <v>189035298.4560563</v>
      </c>
    </row>
    <row r="744" spans="2:30">
      <c r="B744" s="1">
        <f t="shared" si="222"/>
        <v>721</v>
      </c>
      <c r="C744" s="2">
        <f t="shared" si="227"/>
        <v>60</v>
      </c>
      <c r="D744" s="2">
        <f t="shared" si="228"/>
        <v>1</v>
      </c>
      <c r="E744" s="2">
        <f t="shared" si="229"/>
        <v>89</v>
      </c>
      <c r="F744" s="1">
        <f t="shared" si="223"/>
        <v>2928895.2559580868</v>
      </c>
      <c r="H744" s="1">
        <f t="shared" si="216"/>
        <v>23355.422072559821</v>
      </c>
      <c r="I744" s="1">
        <v>0</v>
      </c>
      <c r="J744" s="1">
        <v>0</v>
      </c>
      <c r="K744" s="1">
        <f t="shared" si="224"/>
        <v>-2952.2506780306467</v>
      </c>
      <c r="L744" s="1">
        <f t="shared" si="217"/>
        <v>2949298.4273526156</v>
      </c>
      <c r="N744" s="1">
        <f t="shared" si="225"/>
        <v>721</v>
      </c>
      <c r="O744" s="2">
        <f t="shared" si="230"/>
        <v>60</v>
      </c>
      <c r="P744" s="2">
        <f t="shared" si="231"/>
        <v>1</v>
      </c>
      <c r="Q744" s="2">
        <f t="shared" si="232"/>
        <v>60</v>
      </c>
      <c r="R744" s="1">
        <f t="shared" si="226"/>
        <v>184958742.23708978</v>
      </c>
      <c r="S744" s="1">
        <f>IF($G$17="si",S732*(1+$G$20),S732)</f>
        <v>10000</v>
      </c>
      <c r="U744" s="1">
        <f t="shared" si="233"/>
        <v>1474966.7255562569</v>
      </c>
      <c r="V744" s="1">
        <f>V743*(1+$G$18)</f>
        <v>-801.59560849362765</v>
      </c>
      <c r="X744" s="1">
        <f t="shared" si="218"/>
        <v>-186443.70896264605</v>
      </c>
      <c r="Y744" s="1">
        <f t="shared" si="219"/>
        <v>186256463.65807489</v>
      </c>
      <c r="AA744" s="2">
        <f>+Bono!J744</f>
        <v>1154776.5940995321</v>
      </c>
      <c r="AC744" s="10">
        <f t="shared" si="220"/>
        <v>60.083333333333336</v>
      </c>
      <c r="AD744" s="1">
        <f t="shared" si="221"/>
        <v>190360538.67952701</v>
      </c>
    </row>
    <row r="745" spans="2:30">
      <c r="B745" s="1">
        <f t="shared" si="222"/>
        <v>722</v>
      </c>
      <c r="C745" s="2">
        <f t="shared" si="227"/>
        <v>60</v>
      </c>
      <c r="D745" s="2">
        <f t="shared" si="228"/>
        <v>2</v>
      </c>
      <c r="E745" s="2">
        <f t="shared" si="229"/>
        <v>89</v>
      </c>
      <c r="F745" s="1">
        <f t="shared" si="223"/>
        <v>2949298.4273526156</v>
      </c>
      <c r="H745" s="1">
        <f t="shared" si="216"/>
        <v>23518.119826454786</v>
      </c>
      <c r="I745" s="1">
        <v>0</v>
      </c>
      <c r="J745" s="1">
        <v>0</v>
      </c>
      <c r="K745" s="1">
        <f t="shared" si="224"/>
        <v>-2972.8165471790703</v>
      </c>
      <c r="L745" s="1">
        <f t="shared" si="217"/>
        <v>2969843.7306318912</v>
      </c>
      <c r="N745" s="1">
        <f t="shared" si="225"/>
        <v>722</v>
      </c>
      <c r="O745" s="2">
        <f t="shared" si="230"/>
        <v>60</v>
      </c>
      <c r="P745" s="2">
        <f t="shared" si="231"/>
        <v>2</v>
      </c>
      <c r="Q745" s="2">
        <f t="shared" si="232"/>
        <v>60</v>
      </c>
      <c r="R745" s="1">
        <f t="shared" si="226"/>
        <v>186256463.65807489</v>
      </c>
      <c r="S745" s="4">
        <f>IF($G$4="mensual",S744,0)</f>
        <v>10000</v>
      </c>
      <c r="U745" s="1">
        <f t="shared" si="233"/>
        <v>1485314.9384047887</v>
      </c>
      <c r="V745" s="1">
        <f>V744</f>
        <v>-801.59560849362765</v>
      </c>
      <c r="X745" s="1">
        <f t="shared" si="218"/>
        <v>-187751.77859647968</v>
      </c>
      <c r="Y745" s="1">
        <f t="shared" si="219"/>
        <v>187563225.22227469</v>
      </c>
      <c r="AA745" s="2">
        <f>+Bono!J745</f>
        <v>1161936.3429287435</v>
      </c>
      <c r="AC745" s="10">
        <f t="shared" si="220"/>
        <v>60.166666666666664</v>
      </c>
      <c r="AD745" s="1">
        <f t="shared" si="221"/>
        <v>191695005.29583532</v>
      </c>
    </row>
    <row r="746" spans="2:30">
      <c r="B746" s="1">
        <f t="shared" si="222"/>
        <v>723</v>
      </c>
      <c r="C746" s="2">
        <f t="shared" si="227"/>
        <v>60</v>
      </c>
      <c r="D746" s="2">
        <f t="shared" si="228"/>
        <v>3</v>
      </c>
      <c r="E746" s="2">
        <f t="shared" si="229"/>
        <v>89</v>
      </c>
      <c r="F746" s="1">
        <f t="shared" si="223"/>
        <v>2969843.7306318912</v>
      </c>
      <c r="H746" s="1">
        <f t="shared" si="216"/>
        <v>23681.950959958143</v>
      </c>
      <c r="I746" s="1">
        <v>0</v>
      </c>
      <c r="J746" s="69">
        <f>-SUM(F746:H746)*$J$21</f>
        <v>-26941.731134326648</v>
      </c>
      <c r="K746" s="1">
        <f t="shared" si="224"/>
        <v>-2966.5839504575229</v>
      </c>
      <c r="L746" s="1">
        <f t="shared" si="217"/>
        <v>2963617.366507065</v>
      </c>
      <c r="N746" s="1">
        <f t="shared" si="225"/>
        <v>723</v>
      </c>
      <c r="O746" s="2">
        <f t="shared" si="230"/>
        <v>60</v>
      </c>
      <c r="P746" s="2">
        <f t="shared" si="231"/>
        <v>3</v>
      </c>
      <c r="Q746" s="2">
        <f t="shared" si="232"/>
        <v>60</v>
      </c>
      <c r="R746" s="1">
        <f t="shared" si="226"/>
        <v>187563225.22227469</v>
      </c>
      <c r="S746" s="4">
        <f>IF($G$4="mensual",S745,0)</f>
        <v>10000</v>
      </c>
      <c r="U746" s="1">
        <f t="shared" si="233"/>
        <v>1495735.2386248119</v>
      </c>
      <c r="V746" s="1">
        <f t="shared" si="215"/>
        <v>-801.59560849362765</v>
      </c>
      <c r="X746" s="1">
        <f t="shared" si="218"/>
        <v>-189068.96046089951</v>
      </c>
      <c r="Y746" s="1">
        <f t="shared" si="219"/>
        <v>188879089.9048301</v>
      </c>
      <c r="AA746" s="2">
        <f>+Bono!J746</f>
        <v>1158607.6858867505</v>
      </c>
      <c r="AC746" s="10">
        <f t="shared" si="220"/>
        <v>60.25</v>
      </c>
      <c r="AD746" s="1">
        <f t="shared" si="221"/>
        <v>193001314.95722389</v>
      </c>
    </row>
    <row r="747" spans="2:30">
      <c r="B747" s="1">
        <f t="shared" si="222"/>
        <v>724</v>
      </c>
      <c r="C747" s="2">
        <f t="shared" si="227"/>
        <v>60</v>
      </c>
      <c r="D747" s="2">
        <f t="shared" si="228"/>
        <v>4</v>
      </c>
      <c r="E747" s="2">
        <f t="shared" si="229"/>
        <v>89</v>
      </c>
      <c r="F747" s="1">
        <f t="shared" si="223"/>
        <v>2963617.366507065</v>
      </c>
      <c r="H747" s="1">
        <f t="shared" si="216"/>
        <v>23632.301058065292</v>
      </c>
      <c r="I747" s="1">
        <v>0</v>
      </c>
      <c r="J747" s="1">
        <v>0</v>
      </c>
      <c r="K747" s="1">
        <f t="shared" si="224"/>
        <v>-2987.24966756513</v>
      </c>
      <c r="L747" s="1">
        <f t="shared" si="217"/>
        <v>2984262.4178975648</v>
      </c>
      <c r="N747" s="1">
        <f t="shared" si="225"/>
        <v>724</v>
      </c>
      <c r="O747" s="2">
        <f t="shared" si="230"/>
        <v>60</v>
      </c>
      <c r="P747" s="2">
        <f t="shared" si="231"/>
        <v>4</v>
      </c>
      <c r="Q747" s="2">
        <f t="shared" si="232"/>
        <v>60</v>
      </c>
      <c r="R747" s="1">
        <f t="shared" si="226"/>
        <v>188879089.9048301</v>
      </c>
      <c r="S747" s="4">
        <f>IF($G$4="mensual",S744,IF($G$4="trimestral",S744,0))</f>
        <v>10000</v>
      </c>
      <c r="U747" s="1">
        <f t="shared" si="233"/>
        <v>1506228.1283889436</v>
      </c>
      <c r="V747" s="1">
        <f t="shared" si="215"/>
        <v>-801.59560849362765</v>
      </c>
      <c r="X747" s="1">
        <f t="shared" si="218"/>
        <v>-190395.31803321905</v>
      </c>
      <c r="Y747" s="1">
        <f t="shared" si="219"/>
        <v>190204121.11957732</v>
      </c>
      <c r="AA747" s="2">
        <f>+Bono!J747</f>
        <v>1165791.1879294217</v>
      </c>
      <c r="AC747" s="10">
        <f t="shared" si="220"/>
        <v>60.333333333333336</v>
      </c>
      <c r="AD747" s="1">
        <f t="shared" si="221"/>
        <v>194354174.72540429</v>
      </c>
    </row>
    <row r="748" spans="2:30">
      <c r="B748" s="1">
        <f t="shared" si="222"/>
        <v>725</v>
      </c>
      <c r="C748" s="2">
        <f t="shared" si="227"/>
        <v>60</v>
      </c>
      <c r="D748" s="2">
        <f t="shared" si="228"/>
        <v>5</v>
      </c>
      <c r="E748" s="2">
        <f t="shared" si="229"/>
        <v>89</v>
      </c>
      <c r="F748" s="1">
        <f t="shared" si="223"/>
        <v>2984262.4178975648</v>
      </c>
      <c r="H748" s="1">
        <f t="shared" si="216"/>
        <v>23796.927597015074</v>
      </c>
      <c r="I748" s="1">
        <v>0</v>
      </c>
      <c r="J748" s="1">
        <v>0</v>
      </c>
      <c r="K748" s="1">
        <f t="shared" si="224"/>
        <v>-3008.0593454945802</v>
      </c>
      <c r="L748" s="1">
        <f t="shared" si="217"/>
        <v>3005051.2861490855</v>
      </c>
      <c r="N748" s="1">
        <f t="shared" si="225"/>
        <v>725</v>
      </c>
      <c r="O748" s="2">
        <f t="shared" si="230"/>
        <v>60</v>
      </c>
      <c r="P748" s="2">
        <f t="shared" si="231"/>
        <v>5</v>
      </c>
      <c r="Q748" s="2">
        <f t="shared" si="232"/>
        <v>60</v>
      </c>
      <c r="R748" s="1">
        <f t="shared" si="226"/>
        <v>190204121.11957732</v>
      </c>
      <c r="S748" s="4">
        <f>IF($G$4="mensual",S747,0)</f>
        <v>10000</v>
      </c>
      <c r="U748" s="1">
        <f t="shared" si="233"/>
        <v>1516794.1133680188</v>
      </c>
      <c r="V748" s="1">
        <f t="shared" si="215"/>
        <v>-801.59560849362765</v>
      </c>
      <c r="X748" s="1">
        <f t="shared" si="218"/>
        <v>-191730.91523294532</v>
      </c>
      <c r="Y748" s="1">
        <f t="shared" si="219"/>
        <v>191538382.72210386</v>
      </c>
      <c r="AA748" s="2">
        <f>+Bono!J748</f>
        <v>1173019.2285179922</v>
      </c>
      <c r="AC748" s="10">
        <f t="shared" si="220"/>
        <v>60.416666666666664</v>
      </c>
      <c r="AD748" s="1">
        <f t="shared" si="221"/>
        <v>195716453.23677093</v>
      </c>
    </row>
    <row r="749" spans="2:30">
      <c r="B749" s="1">
        <f t="shared" si="222"/>
        <v>726</v>
      </c>
      <c r="C749" s="2">
        <f t="shared" si="227"/>
        <v>60</v>
      </c>
      <c r="D749" s="2">
        <f t="shared" si="228"/>
        <v>6</v>
      </c>
      <c r="E749" s="2">
        <f t="shared" si="229"/>
        <v>89</v>
      </c>
      <c r="F749" s="1">
        <f t="shared" si="223"/>
        <v>3005051.2861490855</v>
      </c>
      <c r="H749" s="1">
        <f t="shared" si="216"/>
        <v>23962.700951810679</v>
      </c>
      <c r="I749" s="1">
        <v>0</v>
      </c>
      <c r="J749" s="69">
        <f>-SUM(F749:H749)*$J$21</f>
        <v>-27261.125883908066</v>
      </c>
      <c r="K749" s="1">
        <f t="shared" si="224"/>
        <v>-3001.7528612169881</v>
      </c>
      <c r="L749" s="1">
        <f t="shared" si="217"/>
        <v>2998751.1083557708</v>
      </c>
      <c r="N749" s="1">
        <f t="shared" si="225"/>
        <v>726</v>
      </c>
      <c r="O749" s="2">
        <f t="shared" si="230"/>
        <v>60</v>
      </c>
      <c r="P749" s="2">
        <f t="shared" si="231"/>
        <v>6</v>
      </c>
      <c r="Q749" s="2">
        <f t="shared" si="232"/>
        <v>60</v>
      </c>
      <c r="R749" s="1">
        <f t="shared" si="226"/>
        <v>191538382.72210386</v>
      </c>
      <c r="S749" s="4">
        <f>IF($G$4="mensual",S748,0)</f>
        <v>10000</v>
      </c>
      <c r="U749" s="1">
        <f t="shared" si="233"/>
        <v>1527433.7027554596</v>
      </c>
      <c r="V749" s="1">
        <f t="shared" si="215"/>
        <v>-801.59560849362765</v>
      </c>
      <c r="X749" s="1">
        <f t="shared" si="218"/>
        <v>-193075.81642485931</v>
      </c>
      <c r="Y749" s="1">
        <f t="shared" si="219"/>
        <v>192881939.01282597</v>
      </c>
      <c r="AA749" s="2">
        <f>+Bono!J749</f>
        <v>1169658.8217804269</v>
      </c>
      <c r="AC749" s="10">
        <f t="shared" si="220"/>
        <v>60.5</v>
      </c>
      <c r="AD749" s="1">
        <f t="shared" si="221"/>
        <v>197050348.94296214</v>
      </c>
    </row>
    <row r="750" spans="2:30">
      <c r="B750" s="1">
        <f t="shared" si="222"/>
        <v>727</v>
      </c>
      <c r="C750" s="2">
        <f t="shared" si="227"/>
        <v>60</v>
      </c>
      <c r="D750" s="2">
        <f t="shared" si="228"/>
        <v>7</v>
      </c>
      <c r="E750" s="2">
        <f t="shared" si="229"/>
        <v>89</v>
      </c>
      <c r="F750" s="1">
        <f t="shared" si="223"/>
        <v>2998751.1083557708</v>
      </c>
      <c r="H750" s="1">
        <f t="shared" si="216"/>
        <v>23912.462449359726</v>
      </c>
      <c r="I750" s="1">
        <v>0</v>
      </c>
      <c r="J750" s="1">
        <v>0</v>
      </c>
      <c r="K750" s="1">
        <f t="shared" si="224"/>
        <v>-3022.6635708051308</v>
      </c>
      <c r="L750" s="1">
        <f t="shared" si="217"/>
        <v>3019640.9072343255</v>
      </c>
      <c r="N750" s="1">
        <f t="shared" si="225"/>
        <v>727</v>
      </c>
      <c r="O750" s="2">
        <f t="shared" si="230"/>
        <v>60</v>
      </c>
      <c r="P750" s="2">
        <f t="shared" si="231"/>
        <v>7</v>
      </c>
      <c r="Q750" s="2">
        <f t="shared" si="232"/>
        <v>60</v>
      </c>
      <c r="R750" s="1">
        <f t="shared" si="226"/>
        <v>192881939.01282597</v>
      </c>
      <c r="S750" s="1">
        <f>+IF($G$4="mensual",S744,IF($G$4="trimestral",S744,IF($G$4="semestral",S744,0)))</f>
        <v>10000</v>
      </c>
      <c r="U750" s="1">
        <f t="shared" si="233"/>
        <v>1538147.4092918148</v>
      </c>
      <c r="V750" s="1">
        <f t="shared" si="215"/>
        <v>-801.59560849362765</v>
      </c>
      <c r="X750" s="1">
        <f t="shared" si="218"/>
        <v>-194430.08642211778</v>
      </c>
      <c r="Y750" s="1">
        <f t="shared" si="219"/>
        <v>194234854.74008715</v>
      </c>
      <c r="AA750" s="2">
        <f>+Bono!J750</f>
        <v>1176910.8421474914</v>
      </c>
      <c r="AC750" s="10">
        <f t="shared" si="220"/>
        <v>60.583333333333336</v>
      </c>
      <c r="AD750" s="1">
        <f t="shared" si="221"/>
        <v>198431406.48946896</v>
      </c>
    </row>
    <row r="751" spans="2:30">
      <c r="B751" s="1">
        <f t="shared" si="222"/>
        <v>728</v>
      </c>
      <c r="C751" s="2">
        <f t="shared" si="227"/>
        <v>60</v>
      </c>
      <c r="D751" s="2">
        <f t="shared" si="228"/>
        <v>8</v>
      </c>
      <c r="E751" s="2">
        <f t="shared" si="229"/>
        <v>89</v>
      </c>
      <c r="F751" s="1">
        <f t="shared" si="223"/>
        <v>3019640.9072343255</v>
      </c>
      <c r="H751" s="1">
        <f t="shared" si="216"/>
        <v>24079.040639148876</v>
      </c>
      <c r="I751" s="1">
        <v>0</v>
      </c>
      <c r="J751" s="1">
        <v>0</v>
      </c>
      <c r="K751" s="1">
        <f t="shared" si="224"/>
        <v>-3043.7199478734747</v>
      </c>
      <c r="L751" s="1">
        <f t="shared" si="217"/>
        <v>3040676.2279256009</v>
      </c>
      <c r="N751" s="1">
        <f t="shared" si="225"/>
        <v>728</v>
      </c>
      <c r="O751" s="2">
        <f t="shared" si="230"/>
        <v>60</v>
      </c>
      <c r="P751" s="2">
        <f t="shared" si="231"/>
        <v>8</v>
      </c>
      <c r="Q751" s="2">
        <f t="shared" si="232"/>
        <v>60</v>
      </c>
      <c r="R751" s="1">
        <f t="shared" si="226"/>
        <v>194234854.74008715</v>
      </c>
      <c r="S751" s="4">
        <f>IF($G$4="mensual",S750,0)</f>
        <v>10000</v>
      </c>
      <c r="U751" s="1">
        <f t="shared" si="233"/>
        <v>1548935.7492894679</v>
      </c>
      <c r="V751" s="1">
        <f t="shared" si="215"/>
        <v>-801.59560849362765</v>
      </c>
      <c r="X751" s="1">
        <f t="shared" si="218"/>
        <v>-195793.79048937661</v>
      </c>
      <c r="Y751" s="1">
        <f t="shared" si="219"/>
        <v>195597195.10327873</v>
      </c>
      <c r="AA751" s="2">
        <f>+Bono!J751</f>
        <v>1184207.8258820141</v>
      </c>
      <c r="AC751" s="10">
        <f t="shared" si="220"/>
        <v>60.666666666666664</v>
      </c>
      <c r="AD751" s="1">
        <f t="shared" si="221"/>
        <v>199822079.15708634</v>
      </c>
    </row>
    <row r="752" spans="2:30">
      <c r="B752" s="1">
        <f t="shared" si="222"/>
        <v>729</v>
      </c>
      <c r="C752" s="2">
        <f t="shared" si="227"/>
        <v>60</v>
      </c>
      <c r="D752" s="2">
        <f t="shared" si="228"/>
        <v>9</v>
      </c>
      <c r="E752" s="2">
        <f t="shared" si="229"/>
        <v>89</v>
      </c>
      <c r="F752" s="1">
        <f t="shared" si="223"/>
        <v>3040676.2279256009</v>
      </c>
      <c r="H752" s="1">
        <f t="shared" si="216"/>
        <v>24246.779240308133</v>
      </c>
      <c r="I752" s="1">
        <v>0</v>
      </c>
      <c r="J752" s="69">
        <f>-SUM(F752:H752)*$J$21</f>
        <v>-27584.307064493187</v>
      </c>
      <c r="K752" s="1">
        <f t="shared" si="224"/>
        <v>-3037.3387001014162</v>
      </c>
      <c r="L752" s="1">
        <f t="shared" si="217"/>
        <v>3034301.3614013148</v>
      </c>
      <c r="N752" s="1">
        <f t="shared" si="225"/>
        <v>729</v>
      </c>
      <c r="O752" s="2">
        <f t="shared" si="230"/>
        <v>60</v>
      </c>
      <c r="P752" s="2">
        <f t="shared" si="231"/>
        <v>9</v>
      </c>
      <c r="Q752" s="2">
        <f t="shared" si="232"/>
        <v>60</v>
      </c>
      <c r="R752" s="1">
        <f t="shared" si="226"/>
        <v>195597195.10327873</v>
      </c>
      <c r="S752" s="4">
        <f>IF($G$4="mensual",S751,0)</f>
        <v>10000</v>
      </c>
      <c r="U752" s="1">
        <f t="shared" si="233"/>
        <v>1559799.2426575213</v>
      </c>
      <c r="V752" s="1">
        <f t="shared" si="215"/>
        <v>-801.59560849362765</v>
      </c>
      <c r="X752" s="1">
        <f t="shared" si="218"/>
        <v>-197166.99434593625</v>
      </c>
      <c r="Y752" s="1">
        <f t="shared" si="219"/>
        <v>196969025.7559818</v>
      </c>
      <c r="AA752" s="2">
        <f>+Bono!J752</f>
        <v>1180815.3666110788</v>
      </c>
      <c r="AC752" s="10">
        <f t="shared" si="220"/>
        <v>60.75</v>
      </c>
      <c r="AD752" s="1">
        <f t="shared" si="221"/>
        <v>201184142.48399422</v>
      </c>
    </row>
    <row r="753" spans="2:30">
      <c r="B753" s="1">
        <f t="shared" si="222"/>
        <v>730</v>
      </c>
      <c r="C753" s="2">
        <f t="shared" si="227"/>
        <v>60</v>
      </c>
      <c r="D753" s="2">
        <f t="shared" si="228"/>
        <v>10</v>
      </c>
      <c r="E753" s="2">
        <f t="shared" si="229"/>
        <v>89</v>
      </c>
      <c r="F753" s="1">
        <f t="shared" si="223"/>
        <v>3034301.3614013148</v>
      </c>
      <c r="H753" s="1">
        <f t="shared" si="216"/>
        <v>24195.945159427956</v>
      </c>
      <c r="I753" s="1">
        <v>0</v>
      </c>
      <c r="J753" s="1">
        <v>0</v>
      </c>
      <c r="K753" s="1">
        <f t="shared" si="224"/>
        <v>-3058.4973065607428</v>
      </c>
      <c r="L753" s="1">
        <f t="shared" si="217"/>
        <v>3055438.809254182</v>
      </c>
      <c r="N753" s="1">
        <f t="shared" si="225"/>
        <v>730</v>
      </c>
      <c r="O753" s="2">
        <f t="shared" si="230"/>
        <v>60</v>
      </c>
      <c r="P753" s="2">
        <f t="shared" si="231"/>
        <v>10</v>
      </c>
      <c r="Q753" s="2">
        <f t="shared" si="232"/>
        <v>60</v>
      </c>
      <c r="R753" s="1">
        <f t="shared" si="226"/>
        <v>196969025.7559818</v>
      </c>
      <c r="S753" s="4">
        <f>IF($G$4="mensual",S744,IF($G$4="trimestral",S744,0))</f>
        <v>10000</v>
      </c>
      <c r="U753" s="1">
        <f t="shared" si="233"/>
        <v>1570738.4129268504</v>
      </c>
      <c r="V753" s="1">
        <f t="shared" si="215"/>
        <v>-801.59560849362765</v>
      </c>
      <c r="X753" s="1">
        <f t="shared" si="218"/>
        <v>-198549.76416890867</v>
      </c>
      <c r="Y753" s="1">
        <f t="shared" si="219"/>
        <v>198350412.80913123</v>
      </c>
      <c r="AA753" s="2">
        <f>+Bono!J753</f>
        <v>1188136.5588501724</v>
      </c>
      <c r="AC753" s="10">
        <f t="shared" si="220"/>
        <v>60.833333333333336</v>
      </c>
      <c r="AD753" s="1">
        <f t="shared" si="221"/>
        <v>202593988.17723557</v>
      </c>
    </row>
    <row r="754" spans="2:30">
      <c r="B754" s="1">
        <f t="shared" si="222"/>
        <v>731</v>
      </c>
      <c r="C754" s="2">
        <f t="shared" si="227"/>
        <v>60</v>
      </c>
      <c r="D754" s="2">
        <f t="shared" si="228"/>
        <v>11</v>
      </c>
      <c r="E754" s="2">
        <f t="shared" si="229"/>
        <v>89</v>
      </c>
      <c r="F754" s="1">
        <f t="shared" si="223"/>
        <v>3055438.809254182</v>
      </c>
      <c r="H754" s="1">
        <f t="shared" si="216"/>
        <v>24364.49813691535</v>
      </c>
      <c r="I754" s="1">
        <v>0</v>
      </c>
      <c r="J754" s="1">
        <v>0</v>
      </c>
      <c r="K754" s="1">
        <f t="shared" si="224"/>
        <v>-3079.8033073910974</v>
      </c>
      <c r="L754" s="1">
        <f t="shared" si="217"/>
        <v>3076723.5040837061</v>
      </c>
      <c r="N754" s="1">
        <f t="shared" si="225"/>
        <v>731</v>
      </c>
      <c r="O754" s="2">
        <f t="shared" si="230"/>
        <v>60</v>
      </c>
      <c r="P754" s="2">
        <f t="shared" si="231"/>
        <v>11</v>
      </c>
      <c r="Q754" s="2">
        <f t="shared" si="232"/>
        <v>60</v>
      </c>
      <c r="R754" s="1">
        <f t="shared" si="226"/>
        <v>198350412.80913123</v>
      </c>
      <c r="S754" s="1">
        <f>IF($G$17="si",S742*(1+$G$20),S742)</f>
        <v>10000</v>
      </c>
      <c r="U754" s="1">
        <f t="shared" si="233"/>
        <v>1581753.7872753334</v>
      </c>
      <c r="V754" s="1">
        <f t="shared" si="215"/>
        <v>-801.59560849362765</v>
      </c>
      <c r="X754" s="1">
        <f t="shared" si="218"/>
        <v>-199942.16659640658</v>
      </c>
      <c r="Y754" s="1">
        <f t="shared" si="219"/>
        <v>199741422.83420166</v>
      </c>
      <c r="AA754" s="2">
        <f>+Bono!J754</f>
        <v>1195503.143330354</v>
      </c>
      <c r="AC754" s="10">
        <f t="shared" si="220"/>
        <v>60.916666666666664</v>
      </c>
      <c r="AD754" s="1">
        <f t="shared" si="221"/>
        <v>204013649.48161572</v>
      </c>
    </row>
    <row r="755" spans="2:30">
      <c r="B755" s="1">
        <f t="shared" si="222"/>
        <v>732</v>
      </c>
      <c r="C755" s="2">
        <f t="shared" si="227"/>
        <v>60</v>
      </c>
      <c r="D755" s="2">
        <f t="shared" si="228"/>
        <v>12</v>
      </c>
      <c r="E755" s="2">
        <f t="shared" si="229"/>
        <v>89</v>
      </c>
      <c r="F755" s="1">
        <f t="shared" si="223"/>
        <v>3076723.5040837061</v>
      </c>
      <c r="H755" s="1">
        <f t="shared" si="216"/>
        <v>24534.225282472336</v>
      </c>
      <c r="I755" s="1">
        <v>0</v>
      </c>
      <c r="J755" s="69">
        <f>-SUM(F755:H755)*$J$21</f>
        <v>-27911.319564295613</v>
      </c>
      <c r="K755" s="1">
        <f t="shared" si="224"/>
        <v>-3073.3464098018831</v>
      </c>
      <c r="L755" s="1">
        <f t="shared" si="217"/>
        <v>3070273.0633920813</v>
      </c>
      <c r="N755" s="1">
        <f t="shared" si="225"/>
        <v>732</v>
      </c>
      <c r="O755" s="2">
        <f t="shared" si="230"/>
        <v>60</v>
      </c>
      <c r="P755" s="2">
        <f t="shared" si="231"/>
        <v>12</v>
      </c>
      <c r="Q755" s="2">
        <f t="shared" si="232"/>
        <v>60</v>
      </c>
      <c r="R755" s="1">
        <f t="shared" si="226"/>
        <v>199741422.83420166</v>
      </c>
      <c r="S755" s="4">
        <f>IF($G$4="mensual",S754,0)</f>
        <v>10000</v>
      </c>
      <c r="U755" s="1">
        <f t="shared" si="233"/>
        <v>1592845.8965532579</v>
      </c>
      <c r="V755" s="1">
        <f t="shared" si="215"/>
        <v>-801.59560849362765</v>
      </c>
      <c r="X755" s="1">
        <f t="shared" si="218"/>
        <v>-201344.26873075491</v>
      </c>
      <c r="Y755" s="1">
        <f t="shared" si="219"/>
        <v>201142122.86641565</v>
      </c>
      <c r="AA755" s="2">
        <f>+Bono!J755</f>
        <v>1192078.3257996957</v>
      </c>
      <c r="AC755" s="10">
        <f t="shared" si="220"/>
        <v>61</v>
      </c>
      <c r="AD755" s="1">
        <f t="shared" si="221"/>
        <v>205404474.25560743</v>
      </c>
    </row>
  </sheetData>
  <sheetProtection password="FDA0" sheet="1" objects="1" scenarios="1" selectLockedCells="1"/>
  <mergeCells count="4">
    <mergeCell ref="C22:L22"/>
    <mergeCell ref="O22:Y22"/>
    <mergeCell ref="AK31:BA35"/>
    <mergeCell ref="AK36:BA39"/>
  </mergeCells>
  <phoneticPr fontId="0" type="noConversion"/>
  <pageMargins left="0.75" right="0.75" top="1" bottom="1" header="0" footer="0"/>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U755"/>
  <sheetViews>
    <sheetView workbookViewId="0">
      <selection activeCell="H21" sqref="H21"/>
    </sheetView>
  </sheetViews>
  <sheetFormatPr baseColWidth="10" defaultRowHeight="11.25"/>
  <cols>
    <col min="1" max="1" width="11.42578125" style="1"/>
    <col min="2" max="4" width="7" style="2" customWidth="1"/>
    <col min="5" max="8" width="11.42578125" style="1"/>
    <col min="9" max="9" width="15" style="1" bestFit="1" customWidth="1"/>
    <col min="10" max="11" width="11.42578125" style="1"/>
    <col min="12" max="12" width="11.42578125" style="1" customWidth="1"/>
    <col min="13" max="13" width="9.140625" style="1" customWidth="1"/>
    <col min="14" max="14" width="11.42578125" style="7"/>
    <col min="15" max="20" width="11.42578125" style="1"/>
    <col min="21" max="21" width="20.28515625" style="1" bestFit="1" customWidth="1"/>
    <col min="22" max="16384" width="11.42578125" style="1"/>
  </cols>
  <sheetData>
    <row r="1" spans="1:20" s="4" customFormat="1">
      <c r="A1" s="69"/>
      <c r="B1" s="70"/>
      <c r="C1" s="70"/>
      <c r="D1" s="70"/>
      <c r="E1" s="69"/>
      <c r="F1" s="69"/>
      <c r="G1" s="69"/>
      <c r="H1" s="69"/>
      <c r="I1" s="69"/>
      <c r="J1" s="69"/>
    </row>
    <row r="2" spans="1:20" s="4" customFormat="1">
      <c r="A2" s="69"/>
      <c r="B2" s="70"/>
      <c r="C2" s="70"/>
      <c r="D2" s="70"/>
      <c r="E2" s="69" t="s">
        <v>3</v>
      </c>
      <c r="F2" s="71">
        <f>+'OptiMaxx plus'!T7</f>
        <v>29</v>
      </c>
      <c r="G2" s="69"/>
      <c r="H2" s="69" t="s">
        <v>24</v>
      </c>
      <c r="I2" s="83">
        <f>+'OptiMaxx plus'!D12</f>
        <v>10000</v>
      </c>
      <c r="J2" s="69"/>
    </row>
    <row r="3" spans="1:20" s="4" customFormat="1">
      <c r="A3" s="69"/>
      <c r="B3" s="70"/>
      <c r="C3" s="70"/>
      <c r="D3" s="70"/>
      <c r="E3" s="69" t="s">
        <v>5</v>
      </c>
      <c r="F3" s="71">
        <f>+'OptiMaxx plus'!D12</f>
        <v>10000</v>
      </c>
      <c r="G3" s="69"/>
      <c r="H3" s="69"/>
      <c r="I3" s="72"/>
      <c r="J3" s="74"/>
    </row>
    <row r="4" spans="1:20" s="4" customFormat="1">
      <c r="A4" s="69"/>
      <c r="B4" s="70"/>
      <c r="C4" s="70"/>
      <c r="D4" s="70"/>
      <c r="E4" s="69" t="s">
        <v>11</v>
      </c>
      <c r="F4" s="71" t="str">
        <f>+'OptiMaxx plus'!K12</f>
        <v>Mensual</v>
      </c>
      <c r="G4" s="69"/>
      <c r="H4" s="69"/>
      <c r="I4" s="72"/>
      <c r="J4" s="74"/>
    </row>
    <row r="5" spans="1:20" s="4" customFormat="1">
      <c r="A5" s="69"/>
      <c r="B5" s="70"/>
      <c r="C5" s="70"/>
      <c r="D5" s="70"/>
      <c r="E5" s="69" t="s">
        <v>1</v>
      </c>
      <c r="F5" s="71">
        <f>+'OptiMaxx plus'!D15</f>
        <v>25</v>
      </c>
      <c r="G5" s="69"/>
      <c r="H5" s="69"/>
      <c r="I5" s="72"/>
      <c r="J5" s="74"/>
      <c r="S5" s="84" t="s">
        <v>16</v>
      </c>
      <c r="T5" s="84">
        <v>12</v>
      </c>
    </row>
    <row r="6" spans="1:20" s="4" customFormat="1">
      <c r="A6" s="69"/>
      <c r="B6" s="70"/>
      <c r="C6" s="70"/>
      <c r="D6" s="70"/>
      <c r="E6" s="69" t="s">
        <v>12</v>
      </c>
      <c r="F6" s="71"/>
      <c r="G6" s="69"/>
      <c r="H6" s="69"/>
      <c r="I6" s="72"/>
      <c r="J6" s="74"/>
      <c r="S6" s="84" t="s">
        <v>17</v>
      </c>
      <c r="T6" s="84">
        <v>4</v>
      </c>
    </row>
    <row r="7" spans="1:20" s="4" customFormat="1">
      <c r="A7" s="69"/>
      <c r="B7" s="70"/>
      <c r="C7" s="70"/>
      <c r="D7" s="70"/>
      <c r="E7" s="69" t="s">
        <v>13</v>
      </c>
      <c r="F7" s="75">
        <v>0.09</v>
      </c>
      <c r="G7" s="69"/>
      <c r="H7" s="69"/>
      <c r="I7" s="72"/>
      <c r="J7" s="74"/>
      <c r="S7" s="84" t="s">
        <v>18</v>
      </c>
      <c r="T7" s="84">
        <v>2</v>
      </c>
    </row>
    <row r="8" spans="1:20" s="4" customFormat="1">
      <c r="A8" s="69"/>
      <c r="B8" s="70"/>
      <c r="C8" s="70"/>
      <c r="D8" s="70"/>
      <c r="E8" s="69" t="s">
        <v>14</v>
      </c>
      <c r="F8" s="75">
        <f>(1+F7)^(0.0833333333333333)-1</f>
        <v>7.2073233161367156E-3</v>
      </c>
      <c r="G8" s="69"/>
      <c r="H8" s="69"/>
      <c r="I8" s="72"/>
      <c r="J8" s="74"/>
      <c r="S8" s="84" t="s">
        <v>19</v>
      </c>
      <c r="T8" s="84">
        <v>1</v>
      </c>
    </row>
    <row r="9" spans="1:20" s="4" customFormat="1">
      <c r="A9" s="69"/>
      <c r="B9" s="70"/>
      <c r="C9" s="70"/>
      <c r="D9" s="70"/>
      <c r="E9" s="69" t="s">
        <v>15</v>
      </c>
      <c r="F9" s="76">
        <f>+T26</f>
        <v>1</v>
      </c>
      <c r="G9" s="69"/>
      <c r="H9" s="69"/>
      <c r="I9" s="72"/>
      <c r="J9" s="74"/>
    </row>
    <row r="10" spans="1:20" s="4" customFormat="1">
      <c r="A10" s="69"/>
      <c r="B10" s="70"/>
      <c r="C10" s="70"/>
      <c r="D10" s="70"/>
      <c r="E10" s="69"/>
      <c r="F10" s="76"/>
      <c r="G10" s="69"/>
      <c r="H10" s="69"/>
      <c r="I10" s="72"/>
      <c r="J10" s="74"/>
    </row>
    <row r="11" spans="1:20" s="4" customFormat="1">
      <c r="A11" s="69"/>
      <c r="B11" s="70"/>
      <c r="C11" s="70"/>
      <c r="D11" s="70"/>
      <c r="E11" s="69"/>
      <c r="F11" s="76"/>
      <c r="G11" s="69"/>
      <c r="H11" s="69"/>
      <c r="I11" s="72"/>
      <c r="J11" s="74"/>
    </row>
    <row r="12" spans="1:20" s="4" customFormat="1">
      <c r="A12" s="69"/>
      <c r="B12" s="70"/>
      <c r="C12" s="70"/>
      <c r="D12" s="70"/>
      <c r="E12" s="69"/>
      <c r="F12" s="76"/>
      <c r="G12" s="69"/>
      <c r="H12" s="69"/>
      <c r="I12" s="72"/>
      <c r="J12" s="74"/>
    </row>
    <row r="13" spans="1:20" s="4" customFormat="1">
      <c r="A13" s="69"/>
      <c r="B13" s="70"/>
      <c r="C13" s="70"/>
      <c r="D13" s="70"/>
      <c r="E13" s="69"/>
      <c r="F13" s="76"/>
      <c r="G13" s="69"/>
      <c r="H13" s="69"/>
      <c r="I13" s="72"/>
      <c r="J13" s="74"/>
    </row>
    <row r="14" spans="1:20" s="4" customFormat="1">
      <c r="A14" s="69"/>
      <c r="B14" s="70"/>
      <c r="C14" s="70"/>
      <c r="D14" s="70"/>
      <c r="E14" s="69"/>
      <c r="F14" s="76"/>
      <c r="G14" s="69"/>
      <c r="H14" s="69"/>
      <c r="I14" s="72"/>
      <c r="J14" s="74"/>
    </row>
    <row r="15" spans="1:20" s="4" customFormat="1">
      <c r="A15" s="69"/>
      <c r="B15" s="70"/>
      <c r="C15" s="70"/>
      <c r="D15" s="70"/>
      <c r="E15" s="69"/>
      <c r="F15" s="76"/>
      <c r="G15" s="69"/>
      <c r="H15" s="69"/>
      <c r="I15" s="72"/>
      <c r="J15" s="74"/>
    </row>
    <row r="16" spans="1:20" s="4" customFormat="1">
      <c r="A16" s="69"/>
      <c r="B16" s="70"/>
      <c r="C16" s="70"/>
      <c r="D16" s="70"/>
      <c r="E16" s="69"/>
      <c r="F16" s="76"/>
      <c r="G16" s="69"/>
      <c r="H16" s="69"/>
      <c r="I16" s="72"/>
      <c r="J16" s="74"/>
    </row>
    <row r="17" spans="1:21" s="4" customFormat="1">
      <c r="A17" s="69"/>
      <c r="B17" s="70"/>
      <c r="C17" s="70"/>
      <c r="D17" s="70"/>
      <c r="E17" s="69" t="s">
        <v>20</v>
      </c>
      <c r="F17" s="71">
        <f>+'OptiMaxx plus'!J15</f>
        <v>0</v>
      </c>
      <c r="G17" s="69"/>
      <c r="H17" s="69"/>
      <c r="I17" s="72"/>
      <c r="J17" s="74"/>
    </row>
    <row r="18" spans="1:21" s="4" customFormat="1">
      <c r="A18" s="69"/>
      <c r="B18" s="70"/>
      <c r="C18" s="70"/>
      <c r="D18" s="70"/>
      <c r="E18" s="69" t="s">
        <v>21</v>
      </c>
      <c r="F18" s="76">
        <v>0.04</v>
      </c>
      <c r="G18" s="69"/>
      <c r="H18" s="69"/>
      <c r="I18" s="72"/>
      <c r="J18" s="69"/>
    </row>
    <row r="19" spans="1:21" s="4" customFormat="1">
      <c r="A19" s="69"/>
      <c r="B19" s="70"/>
      <c r="C19" s="70"/>
      <c r="D19" s="70"/>
      <c r="E19" s="69" t="s">
        <v>23</v>
      </c>
      <c r="F19" s="77">
        <v>5.08</v>
      </c>
      <c r="G19" s="69"/>
      <c r="H19" s="69"/>
      <c r="I19" s="72"/>
      <c r="J19" s="69"/>
    </row>
    <row r="20" spans="1:21" s="4" customFormat="1">
      <c r="B20" s="64"/>
      <c r="C20" s="64"/>
      <c r="D20" s="64"/>
      <c r="F20" s="68"/>
      <c r="I20" s="66"/>
      <c r="J20" s="67"/>
    </row>
    <row r="21" spans="1:21">
      <c r="F21" s="313"/>
      <c r="H21" s="313">
        <f>3.6%/4</f>
        <v>9.0000000000000011E-3</v>
      </c>
      <c r="N21" s="1"/>
    </row>
    <row r="22" spans="1:21">
      <c r="N22" s="1"/>
    </row>
    <row r="23" spans="1:21" ht="36.75" customHeight="1">
      <c r="B23" s="3" t="s">
        <v>0</v>
      </c>
      <c r="C23" s="3" t="s">
        <v>2</v>
      </c>
      <c r="D23" s="3" t="s">
        <v>3</v>
      </c>
      <c r="E23" s="3" t="s">
        <v>4</v>
      </c>
      <c r="F23" s="3" t="s">
        <v>6</v>
      </c>
      <c r="G23" s="3" t="s">
        <v>7</v>
      </c>
      <c r="H23" s="3" t="s">
        <v>9</v>
      </c>
      <c r="I23" s="3" t="s">
        <v>10</v>
      </c>
      <c r="J23" s="3" t="s">
        <v>22</v>
      </c>
      <c r="M23"/>
      <c r="N23" s="529" t="s">
        <v>24</v>
      </c>
      <c r="O23" s="529"/>
      <c r="P23" s="529"/>
      <c r="Q23" s="529"/>
      <c r="R23" s="529"/>
      <c r="S23"/>
      <c r="T23" s="51">
        <f>+I2*VLOOKUP(F4,$S$5:$T$8,2,0)</f>
        <v>120000</v>
      </c>
      <c r="U23" s="51" t="s">
        <v>24</v>
      </c>
    </row>
    <row r="24" spans="1:21" ht="12.75">
      <c r="A24" s="1">
        <v>1</v>
      </c>
      <c r="B24" s="2">
        <v>0</v>
      </c>
      <c r="C24" s="2">
        <v>1</v>
      </c>
      <c r="D24" s="2">
        <f>F2</f>
        <v>29</v>
      </c>
      <c r="E24" s="1">
        <v>0</v>
      </c>
      <c r="F24" s="4">
        <f>+$F$3*$F$9</f>
        <v>10000</v>
      </c>
      <c r="G24" s="1">
        <f t="shared" ref="G24:G87" si="0">SUM(E24:F24)*$F$8</f>
        <v>72.073233161367156</v>
      </c>
      <c r="H24" s="1">
        <v>0</v>
      </c>
      <c r="I24" s="1">
        <f t="shared" ref="I24:I87" si="1">-SUM(E24:G24)*0.1%</f>
        <v>-10.072073233161367</v>
      </c>
      <c r="J24" s="1">
        <f t="shared" ref="J24:J87" si="2">SUM(E24:I24)</f>
        <v>10062.001159928206</v>
      </c>
      <c r="M24"/>
      <c r="N24" s="49">
        <v>0</v>
      </c>
      <c r="O24" s="49">
        <v>12000</v>
      </c>
      <c r="P24" s="49">
        <v>36000</v>
      </c>
      <c r="Q24" s="49">
        <v>60000</v>
      </c>
      <c r="R24" s="49">
        <v>90000</v>
      </c>
      <c r="S24"/>
      <c r="T24" s="51">
        <f>+F5</f>
        <v>25</v>
      </c>
      <c r="U24" s="51" t="s">
        <v>58</v>
      </c>
    </row>
    <row r="25" spans="1:21" ht="12.75">
      <c r="A25" s="1">
        <f t="shared" ref="A25:A88" si="3">+A24+1</f>
        <v>2</v>
      </c>
      <c r="B25" s="2">
        <v>0</v>
      </c>
      <c r="C25" s="2">
        <v>2</v>
      </c>
      <c r="D25" s="2">
        <f t="shared" ref="D25:D35" si="4">D24</f>
        <v>29</v>
      </c>
      <c r="E25" s="1">
        <f t="shared" ref="E25:E88" si="5">J24</f>
        <v>10062.001159928206</v>
      </c>
      <c r="F25" s="4">
        <f>IF($F$4="mensual",$F$3*$F$9,"")</f>
        <v>10000</v>
      </c>
      <c r="G25" s="1">
        <f t="shared" si="0"/>
        <v>144.5933287283124</v>
      </c>
      <c r="H25" s="1">
        <v>0</v>
      </c>
      <c r="I25" s="1">
        <f t="shared" si="1"/>
        <v>-20.206594488656521</v>
      </c>
      <c r="J25" s="1">
        <f t="shared" si="2"/>
        <v>20186.387894167863</v>
      </c>
      <c r="M25"/>
      <c r="N25">
        <v>2</v>
      </c>
      <c r="O25">
        <v>3</v>
      </c>
      <c r="P25">
        <v>4</v>
      </c>
      <c r="Q25">
        <v>5</v>
      </c>
      <c r="R25">
        <v>6</v>
      </c>
      <c r="S25"/>
      <c r="T25" s="51"/>
      <c r="U25" s="51"/>
    </row>
    <row r="26" spans="1:21" ht="12.75">
      <c r="A26" s="1">
        <f t="shared" si="3"/>
        <v>3</v>
      </c>
      <c r="B26" s="2">
        <v>0</v>
      </c>
      <c r="C26" s="2">
        <v>3</v>
      </c>
      <c r="D26" s="2">
        <f t="shared" si="4"/>
        <v>29</v>
      </c>
      <c r="E26" s="1">
        <f t="shared" si="5"/>
        <v>20186.387894167863</v>
      </c>
      <c r="F26" s="4">
        <f>IF($F$4="mensual",$F$3*$F$9,"")</f>
        <v>10000</v>
      </c>
      <c r="G26" s="1">
        <f t="shared" si="0"/>
        <v>217.56305729958314</v>
      </c>
      <c r="H26" s="69">
        <f>-SUM(E26:G26)*$H$21</f>
        <v>-273.63555856320704</v>
      </c>
      <c r="I26" s="1">
        <f t="shared" si="1"/>
        <v>-30.403950951467447</v>
      </c>
      <c r="J26" s="1">
        <f t="shared" si="2"/>
        <v>30099.911441952772</v>
      </c>
      <c r="L26" s="530" t="s">
        <v>1</v>
      </c>
      <c r="M26" s="50">
        <v>5</v>
      </c>
      <c r="N26" s="5">
        <v>0</v>
      </c>
      <c r="O26" s="5">
        <v>0</v>
      </c>
      <c r="P26" s="5">
        <v>0</v>
      </c>
      <c r="Q26" s="5">
        <v>0</v>
      </c>
      <c r="R26" s="5">
        <v>0</v>
      </c>
      <c r="S26"/>
      <c r="T26" s="52">
        <f>VLOOKUP(T24,M26:R46,HLOOKUP(T23,N24:R25,2))</f>
        <v>1</v>
      </c>
      <c r="U26" s="51" t="s">
        <v>117</v>
      </c>
    </row>
    <row r="27" spans="1:21" ht="12.75">
      <c r="A27" s="1">
        <f t="shared" si="3"/>
        <v>4</v>
      </c>
      <c r="B27" s="2">
        <v>0</v>
      </c>
      <c r="C27" s="2">
        <v>4</v>
      </c>
      <c r="D27" s="2">
        <f t="shared" si="4"/>
        <v>29</v>
      </c>
      <c r="E27" s="1">
        <f t="shared" si="5"/>
        <v>30099.911441952772</v>
      </c>
      <c r="F27" s="4">
        <f>IF(OR($F$4="mensual",$F$4="trimestral"),$F$3*$F$9,"")</f>
        <v>10000</v>
      </c>
      <c r="G27" s="1">
        <f t="shared" si="0"/>
        <v>289.0130267106037</v>
      </c>
      <c r="H27" s="1">
        <v>0</v>
      </c>
      <c r="I27" s="1">
        <f t="shared" si="1"/>
        <v>-40.388924468663383</v>
      </c>
      <c r="J27" s="1">
        <f t="shared" si="2"/>
        <v>40348.535544194718</v>
      </c>
      <c r="L27" s="531"/>
      <c r="M27" s="50">
        <v>6</v>
      </c>
      <c r="N27" s="5">
        <v>0</v>
      </c>
      <c r="O27" s="5">
        <v>0</v>
      </c>
      <c r="P27" s="5">
        <v>0</v>
      </c>
      <c r="Q27" s="5">
        <v>0</v>
      </c>
      <c r="R27" s="5">
        <v>0</v>
      </c>
      <c r="S27"/>
      <c r="T27"/>
    </row>
    <row r="28" spans="1:21" ht="12.75">
      <c r="A28" s="1">
        <f t="shared" si="3"/>
        <v>5</v>
      </c>
      <c r="B28" s="2">
        <v>0</v>
      </c>
      <c r="C28" s="2">
        <v>5</v>
      </c>
      <c r="D28" s="2">
        <f t="shared" si="4"/>
        <v>29</v>
      </c>
      <c r="E28" s="1">
        <f t="shared" si="5"/>
        <v>40348.535544194718</v>
      </c>
      <c r="F28" s="4">
        <f>IF($F$4="mensual",$F$3*$F$9,"")</f>
        <v>10000</v>
      </c>
      <c r="G28" s="1">
        <f t="shared" si="0"/>
        <v>362.87817416101279</v>
      </c>
      <c r="H28" s="1">
        <v>0</v>
      </c>
      <c r="I28" s="1">
        <f t="shared" si="1"/>
        <v>-50.711413718355736</v>
      </c>
      <c r="J28" s="1">
        <f t="shared" si="2"/>
        <v>50660.70230463738</v>
      </c>
      <c r="L28" s="531"/>
      <c r="M28" s="50">
        <v>7</v>
      </c>
      <c r="N28" s="5">
        <v>0</v>
      </c>
      <c r="O28" s="5">
        <v>0</v>
      </c>
      <c r="P28" s="5">
        <v>0</v>
      </c>
      <c r="Q28" s="5">
        <v>0</v>
      </c>
      <c r="R28" s="5">
        <v>0</v>
      </c>
      <c r="S28"/>
      <c r="T28"/>
    </row>
    <row r="29" spans="1:21" ht="12.75">
      <c r="A29" s="1">
        <f t="shared" si="3"/>
        <v>6</v>
      </c>
      <c r="B29" s="2">
        <v>0</v>
      </c>
      <c r="C29" s="2">
        <v>6</v>
      </c>
      <c r="D29" s="2">
        <f t="shared" si="4"/>
        <v>29</v>
      </c>
      <c r="E29" s="1">
        <f t="shared" si="5"/>
        <v>50660.70230463738</v>
      </c>
      <c r="F29" s="4">
        <f>IF($F$4="mensual",$F$3*$F$9,"")</f>
        <v>10000</v>
      </c>
      <c r="G29" s="1">
        <f t="shared" si="0"/>
        <v>437.20129409344116</v>
      </c>
      <c r="H29" s="69">
        <f>-SUM(E29:G29)*$H$21</f>
        <v>-549.8811323885775</v>
      </c>
      <c r="I29" s="1">
        <f t="shared" si="1"/>
        <v>-61.097903598730824</v>
      </c>
      <c r="J29" s="1">
        <f t="shared" si="2"/>
        <v>60486.924562743516</v>
      </c>
      <c r="L29" s="531"/>
      <c r="M29" s="50">
        <v>8</v>
      </c>
      <c r="N29" s="5">
        <v>0</v>
      </c>
      <c r="O29" s="5">
        <v>0</v>
      </c>
      <c r="P29" s="5">
        <v>0</v>
      </c>
      <c r="Q29" s="5">
        <v>0</v>
      </c>
      <c r="R29" s="5">
        <v>0</v>
      </c>
      <c r="S29"/>
      <c r="T29"/>
    </row>
    <row r="30" spans="1:21" ht="12.75">
      <c r="A30" s="1">
        <f t="shared" si="3"/>
        <v>7</v>
      </c>
      <c r="B30" s="2">
        <v>0</v>
      </c>
      <c r="C30" s="2">
        <v>7</v>
      </c>
      <c r="D30" s="2">
        <f t="shared" si="4"/>
        <v>29</v>
      </c>
      <c r="E30" s="1">
        <f t="shared" si="5"/>
        <v>60486.924562743516</v>
      </c>
      <c r="F30" s="4">
        <f>IF(OR($F$4="mensual",$F$4="trimestral",$F$4="semestral"),$F$3*$F$9,"")</f>
        <v>10000</v>
      </c>
      <c r="G30" s="1">
        <f t="shared" si="0"/>
        <v>508.02205488383112</v>
      </c>
      <c r="H30" s="1">
        <v>0</v>
      </c>
      <c r="I30" s="1">
        <f t="shared" si="1"/>
        <v>-70.994946617627349</v>
      </c>
      <c r="J30" s="1">
        <f t="shared" si="2"/>
        <v>70923.951671009709</v>
      </c>
      <c r="L30" s="531"/>
      <c r="M30" s="50">
        <v>9</v>
      </c>
      <c r="N30" s="5">
        <v>0</v>
      </c>
      <c r="O30" s="5">
        <v>0</v>
      </c>
      <c r="P30" s="5">
        <v>0</v>
      </c>
      <c r="Q30" s="5">
        <v>0</v>
      </c>
      <c r="R30" s="5">
        <v>0</v>
      </c>
      <c r="S30"/>
      <c r="T30"/>
    </row>
    <row r="31" spans="1:21" ht="12.75">
      <c r="A31" s="1">
        <f t="shared" si="3"/>
        <v>8</v>
      </c>
      <c r="B31" s="2">
        <v>0</v>
      </c>
      <c r="C31" s="2">
        <v>8</v>
      </c>
      <c r="D31" s="2">
        <f t="shared" si="4"/>
        <v>29</v>
      </c>
      <c r="E31" s="1">
        <f t="shared" si="5"/>
        <v>70923.951671009709</v>
      </c>
      <c r="F31" s="4">
        <f>IF($F$4="mensual",$F$3*$F$9,"")</f>
        <v>10000</v>
      </c>
      <c r="G31" s="1">
        <f t="shared" si="0"/>
        <v>583.24508371238903</v>
      </c>
      <c r="H31" s="1">
        <v>0</v>
      </c>
      <c r="I31" s="1">
        <f t="shared" si="1"/>
        <v>-81.507196754722102</v>
      </c>
      <c r="J31" s="1">
        <f t="shared" si="2"/>
        <v>81425.689557967373</v>
      </c>
      <c r="L31" s="531"/>
      <c r="M31" s="50">
        <v>10</v>
      </c>
      <c r="N31" s="5">
        <v>0</v>
      </c>
      <c r="O31" s="5">
        <v>0.05</v>
      </c>
      <c r="P31" s="5">
        <v>0.15</v>
      </c>
      <c r="Q31" s="5">
        <v>0.25</v>
      </c>
      <c r="R31" s="5">
        <v>0.35</v>
      </c>
      <c r="S31"/>
      <c r="T31"/>
    </row>
    <row r="32" spans="1:21" ht="12.75">
      <c r="A32" s="1">
        <f t="shared" si="3"/>
        <v>9</v>
      </c>
      <c r="B32" s="2">
        <v>0</v>
      </c>
      <c r="C32" s="2">
        <v>9</v>
      </c>
      <c r="D32" s="2">
        <f t="shared" si="4"/>
        <v>29</v>
      </c>
      <c r="E32" s="1">
        <f t="shared" si="5"/>
        <v>81425.689557967373</v>
      </c>
      <c r="F32" s="4">
        <f>IF($F$4="mensual",$F$3*$F$9,"")</f>
        <v>10000</v>
      </c>
      <c r="G32" s="1">
        <f t="shared" si="0"/>
        <v>658.93450404501527</v>
      </c>
      <c r="H32" s="69">
        <f>-SUM(E32:G32)*$H$21</f>
        <v>-828.76161655811154</v>
      </c>
      <c r="I32" s="1">
        <f t="shared" si="1"/>
        <v>-92.084624062012395</v>
      </c>
      <c r="J32" s="1">
        <f t="shared" si="2"/>
        <v>91163.777821392257</v>
      </c>
      <c r="L32" s="531"/>
      <c r="M32" s="50">
        <v>11</v>
      </c>
      <c r="N32" s="5">
        <v>0</v>
      </c>
      <c r="O32" s="5">
        <v>0.05</v>
      </c>
      <c r="P32" s="5">
        <v>0.15</v>
      </c>
      <c r="Q32" s="5">
        <v>0.25</v>
      </c>
      <c r="R32" s="5">
        <v>0.35</v>
      </c>
      <c r="S32"/>
      <c r="T32"/>
    </row>
    <row r="33" spans="1:20" ht="12.75">
      <c r="A33" s="1">
        <f t="shared" si="3"/>
        <v>10</v>
      </c>
      <c r="B33" s="2">
        <v>0</v>
      </c>
      <c r="C33" s="2">
        <v>10</v>
      </c>
      <c r="D33" s="2">
        <f t="shared" si="4"/>
        <v>29</v>
      </c>
      <c r="E33" s="1">
        <f t="shared" si="5"/>
        <v>91163.777821392257</v>
      </c>
      <c r="F33" s="4">
        <f>IF(OR($F$4="mensual",$F$4="trimestral"),$F$3*$F$9,"")</f>
        <v>10000</v>
      </c>
      <c r="G33" s="1">
        <f t="shared" si="0"/>
        <v>729.12005464059473</v>
      </c>
      <c r="H33" s="1">
        <v>0</v>
      </c>
      <c r="I33" s="1">
        <f t="shared" si="1"/>
        <v>-101.89289787603285</v>
      </c>
      <c r="J33" s="1">
        <f t="shared" si="2"/>
        <v>101791.00497815681</v>
      </c>
      <c r="L33" s="531"/>
      <c r="M33" s="50">
        <v>12</v>
      </c>
      <c r="N33" s="5">
        <v>0</v>
      </c>
      <c r="O33" s="5">
        <v>0.05</v>
      </c>
      <c r="P33" s="5">
        <v>0.15</v>
      </c>
      <c r="Q33" s="5">
        <v>0.25</v>
      </c>
      <c r="R33" s="5">
        <v>0.35</v>
      </c>
      <c r="S33"/>
      <c r="T33"/>
    </row>
    <row r="34" spans="1:20" ht="12.75">
      <c r="A34" s="1">
        <f t="shared" si="3"/>
        <v>11</v>
      </c>
      <c r="B34" s="2">
        <v>0</v>
      </c>
      <c r="C34" s="2">
        <v>11</v>
      </c>
      <c r="D34" s="2">
        <f t="shared" si="4"/>
        <v>29</v>
      </c>
      <c r="E34" s="1">
        <f t="shared" si="5"/>
        <v>101791.00497815681</v>
      </c>
      <c r="F34" s="4">
        <f>IF($F$4="mensual",$F$3*$F$9,"")</f>
        <v>10000</v>
      </c>
      <c r="G34" s="1">
        <f t="shared" si="0"/>
        <v>805.71391671342519</v>
      </c>
      <c r="H34" s="1">
        <v>0</v>
      </c>
      <c r="I34" s="1">
        <f t="shared" si="1"/>
        <v>-112.59671889487024</v>
      </c>
      <c r="J34" s="1">
        <f t="shared" si="2"/>
        <v>112484.12217597537</v>
      </c>
      <c r="L34" s="531"/>
      <c r="M34" s="50">
        <v>13</v>
      </c>
      <c r="N34" s="5">
        <v>0</v>
      </c>
      <c r="O34" s="5">
        <v>0.05</v>
      </c>
      <c r="P34" s="5">
        <v>0.15</v>
      </c>
      <c r="Q34" s="5">
        <v>0.25</v>
      </c>
      <c r="R34" s="5">
        <v>0.35</v>
      </c>
      <c r="S34"/>
      <c r="T34"/>
    </row>
    <row r="35" spans="1:20" ht="12.75">
      <c r="A35" s="1">
        <f t="shared" si="3"/>
        <v>12</v>
      </c>
      <c r="B35" s="2">
        <v>0</v>
      </c>
      <c r="C35" s="2">
        <v>12</v>
      </c>
      <c r="D35" s="2">
        <f t="shared" si="4"/>
        <v>29</v>
      </c>
      <c r="E35" s="1">
        <f t="shared" si="5"/>
        <v>112484.12217597537</v>
      </c>
      <c r="F35" s="4">
        <f>IF($F$4="mensual",$F$3*$F$9,"")</f>
        <v>10000</v>
      </c>
      <c r="G35" s="1">
        <f t="shared" si="0"/>
        <v>882.78266961544546</v>
      </c>
      <c r="H35" s="69">
        <f>-SUM(E35:G35)*$H$21</f>
        <v>-1110.3021436103174</v>
      </c>
      <c r="I35" s="1">
        <f t="shared" si="1"/>
        <v>-123.36690484559082</v>
      </c>
      <c r="J35" s="1">
        <f t="shared" si="2"/>
        <v>122133.23579713491</v>
      </c>
      <c r="L35" s="531"/>
      <c r="M35" s="50">
        <v>14</v>
      </c>
      <c r="N35" s="5">
        <v>0</v>
      </c>
      <c r="O35" s="5">
        <v>0.05</v>
      </c>
      <c r="P35" s="5">
        <v>0.15</v>
      </c>
      <c r="Q35" s="5">
        <v>0.25</v>
      </c>
      <c r="R35" s="5">
        <v>0.35</v>
      </c>
      <c r="S35"/>
      <c r="T35"/>
    </row>
    <row r="36" spans="1:20" ht="12.75">
      <c r="A36" s="1">
        <f t="shared" si="3"/>
        <v>13</v>
      </c>
      <c r="B36" s="2">
        <f t="shared" ref="B36:B99" si="6">B24+1</f>
        <v>1</v>
      </c>
      <c r="C36" s="2">
        <f t="shared" ref="C36:C99" si="7">C24</f>
        <v>1</v>
      </c>
      <c r="D36" s="2">
        <f t="shared" ref="D36:D99" si="8">D24+1</f>
        <v>30</v>
      </c>
      <c r="E36" s="1">
        <f t="shared" si="5"/>
        <v>122133.23579713491</v>
      </c>
      <c r="G36" s="1">
        <f t="shared" si="0"/>
        <v>880.25371803591383</v>
      </c>
      <c r="H36" s="1">
        <v>0</v>
      </c>
      <c r="I36" s="1">
        <f t="shared" si="1"/>
        <v>-123.01348951517082</v>
      </c>
      <c r="J36" s="1">
        <f t="shared" si="2"/>
        <v>122890.47602565565</v>
      </c>
      <c r="L36" s="531"/>
      <c r="M36" s="50">
        <v>15</v>
      </c>
      <c r="N36" s="5">
        <v>0</v>
      </c>
      <c r="O36" s="5">
        <v>0.3</v>
      </c>
      <c r="P36" s="5">
        <v>0.4</v>
      </c>
      <c r="Q36" s="5">
        <v>0.5</v>
      </c>
      <c r="R36" s="5">
        <v>0.6</v>
      </c>
      <c r="S36"/>
      <c r="T36"/>
    </row>
    <row r="37" spans="1:20" ht="12.75">
      <c r="A37" s="1">
        <f t="shared" si="3"/>
        <v>14</v>
      </c>
      <c r="B37" s="2">
        <f t="shared" si="6"/>
        <v>1</v>
      </c>
      <c r="C37" s="2">
        <f t="shared" si="7"/>
        <v>2</v>
      </c>
      <c r="D37" s="2">
        <f t="shared" si="8"/>
        <v>30</v>
      </c>
      <c r="E37" s="1">
        <f t="shared" si="5"/>
        <v>122890.47602565565</v>
      </c>
      <c r="G37" s="1">
        <f t="shared" si="0"/>
        <v>885.71139319084796</v>
      </c>
      <c r="H37" s="1">
        <v>0</v>
      </c>
      <c r="I37" s="1">
        <f t="shared" si="1"/>
        <v>-123.7761874188465</v>
      </c>
      <c r="J37" s="1">
        <f t="shared" si="2"/>
        <v>123652.41123142766</v>
      </c>
      <c r="L37" s="531"/>
      <c r="M37" s="50">
        <v>16</v>
      </c>
      <c r="N37" s="5">
        <v>0</v>
      </c>
      <c r="O37" s="5">
        <v>0.3</v>
      </c>
      <c r="P37" s="5">
        <v>0.4</v>
      </c>
      <c r="Q37" s="5">
        <v>0.5</v>
      </c>
      <c r="R37" s="5">
        <v>0.6</v>
      </c>
      <c r="S37"/>
      <c r="T37"/>
    </row>
    <row r="38" spans="1:20" ht="12.75">
      <c r="A38" s="1">
        <f t="shared" si="3"/>
        <v>15</v>
      </c>
      <c r="B38" s="2">
        <f t="shared" si="6"/>
        <v>1</v>
      </c>
      <c r="C38" s="2">
        <f t="shared" si="7"/>
        <v>3</v>
      </c>
      <c r="D38" s="2">
        <f t="shared" si="8"/>
        <v>30</v>
      </c>
      <c r="E38" s="1">
        <f t="shared" si="5"/>
        <v>123652.41123142766</v>
      </c>
      <c r="G38" s="1">
        <f t="shared" si="0"/>
        <v>891.20290656479403</v>
      </c>
      <c r="H38" s="69">
        <f>-SUM(E38:G38)*$H$21</f>
        <v>-1120.8925272419322</v>
      </c>
      <c r="I38" s="1">
        <f t="shared" si="1"/>
        <v>-124.54361413799245</v>
      </c>
      <c r="J38" s="1">
        <f t="shared" si="2"/>
        <v>123298.17799661253</v>
      </c>
      <c r="L38" s="531"/>
      <c r="M38" s="50">
        <v>17</v>
      </c>
      <c r="N38" s="5">
        <v>0</v>
      </c>
      <c r="O38" s="5">
        <v>0.3</v>
      </c>
      <c r="P38" s="5">
        <v>0.4</v>
      </c>
      <c r="Q38" s="5">
        <v>0.5</v>
      </c>
      <c r="R38" s="5">
        <v>0.6</v>
      </c>
      <c r="S38"/>
      <c r="T38"/>
    </row>
    <row r="39" spans="1:20" ht="12.75">
      <c r="A39" s="1">
        <f t="shared" si="3"/>
        <v>16</v>
      </c>
      <c r="B39" s="2">
        <f t="shared" si="6"/>
        <v>1</v>
      </c>
      <c r="C39" s="2">
        <f t="shared" si="7"/>
        <v>4</v>
      </c>
      <c r="D39" s="2">
        <f t="shared" si="8"/>
        <v>30</v>
      </c>
      <c r="E39" s="1">
        <f t="shared" si="5"/>
        <v>123298.17799661253</v>
      </c>
      <c r="G39" s="1">
        <f t="shared" si="0"/>
        <v>888.64983311216042</v>
      </c>
      <c r="H39" s="1">
        <v>0</v>
      </c>
      <c r="I39" s="1">
        <f t="shared" si="1"/>
        <v>-124.18682782972469</v>
      </c>
      <c r="J39" s="1">
        <f t="shared" si="2"/>
        <v>124062.64100189497</v>
      </c>
      <c r="L39" s="531"/>
      <c r="M39" s="50">
        <v>18</v>
      </c>
      <c r="N39" s="5">
        <v>0</v>
      </c>
      <c r="O39" s="5">
        <v>0.3</v>
      </c>
      <c r="P39" s="5">
        <v>0.4</v>
      </c>
      <c r="Q39" s="5">
        <v>0.5</v>
      </c>
      <c r="R39" s="5">
        <v>0.6</v>
      </c>
      <c r="S39"/>
      <c r="T39"/>
    </row>
    <row r="40" spans="1:20" ht="12.75">
      <c r="A40" s="1">
        <f t="shared" si="3"/>
        <v>17</v>
      </c>
      <c r="B40" s="2">
        <f t="shared" si="6"/>
        <v>1</v>
      </c>
      <c r="C40" s="2">
        <f t="shared" si="7"/>
        <v>5</v>
      </c>
      <c r="D40" s="2">
        <f t="shared" si="8"/>
        <v>30</v>
      </c>
      <c r="E40" s="1">
        <f t="shared" si="5"/>
        <v>124062.64100189497</v>
      </c>
      <c r="G40" s="1">
        <f t="shared" si="0"/>
        <v>894.15956515445646</v>
      </c>
      <c r="H40" s="1">
        <v>0</v>
      </c>
      <c r="I40" s="1">
        <f t="shared" si="1"/>
        <v>-124.95680056704943</v>
      </c>
      <c r="J40" s="1">
        <f t="shared" si="2"/>
        <v>124831.84376648239</v>
      </c>
      <c r="L40" s="531"/>
      <c r="M40" s="50">
        <v>19</v>
      </c>
      <c r="N40" s="5">
        <v>0</v>
      </c>
      <c r="O40" s="5">
        <v>0.3</v>
      </c>
      <c r="P40" s="5">
        <v>0.4</v>
      </c>
      <c r="Q40" s="5">
        <v>0.5</v>
      </c>
      <c r="R40" s="5">
        <v>0.6</v>
      </c>
      <c r="S40"/>
      <c r="T40"/>
    </row>
    <row r="41" spans="1:20" ht="12.75">
      <c r="A41" s="1">
        <f t="shared" si="3"/>
        <v>18</v>
      </c>
      <c r="B41" s="2">
        <f t="shared" si="6"/>
        <v>1</v>
      </c>
      <c r="C41" s="2">
        <f t="shared" si="7"/>
        <v>6</v>
      </c>
      <c r="D41" s="2">
        <f t="shared" si="8"/>
        <v>30</v>
      </c>
      <c r="E41" s="1">
        <f t="shared" si="5"/>
        <v>124831.84376648239</v>
      </c>
      <c r="G41" s="1">
        <f t="shared" si="0"/>
        <v>899.70345817450425</v>
      </c>
      <c r="H41" s="69">
        <f>-SUM(E41:G41)*$H$21</f>
        <v>-1131.5839250219121</v>
      </c>
      <c r="I41" s="1">
        <f t="shared" si="1"/>
        <v>-125.73154722465689</v>
      </c>
      <c r="J41" s="1">
        <f t="shared" si="2"/>
        <v>124474.23175241033</v>
      </c>
      <c r="L41" s="531"/>
      <c r="M41" s="50">
        <v>20</v>
      </c>
      <c r="N41" s="5">
        <v>0</v>
      </c>
      <c r="O41" s="5">
        <v>0.55000000000000004</v>
      </c>
      <c r="P41" s="5">
        <v>0.65</v>
      </c>
      <c r="Q41" s="5">
        <v>0.75</v>
      </c>
      <c r="R41" s="5">
        <v>1</v>
      </c>
      <c r="S41"/>
      <c r="T41"/>
    </row>
    <row r="42" spans="1:20" ht="12.75">
      <c r="A42" s="1">
        <f t="shared" si="3"/>
        <v>19</v>
      </c>
      <c r="B42" s="2">
        <f t="shared" si="6"/>
        <v>1</v>
      </c>
      <c r="C42" s="2">
        <f t="shared" si="7"/>
        <v>7</v>
      </c>
      <c r="D42" s="2">
        <f t="shared" si="8"/>
        <v>30</v>
      </c>
      <c r="E42" s="1">
        <f t="shared" si="5"/>
        <v>124474.23175241033</v>
      </c>
      <c r="G42" s="1">
        <f t="shared" si="0"/>
        <v>897.12603276735206</v>
      </c>
      <c r="H42" s="1">
        <v>0</v>
      </c>
      <c r="I42" s="1">
        <f t="shared" si="1"/>
        <v>-125.37135778517768</v>
      </c>
      <c r="J42" s="1">
        <f t="shared" si="2"/>
        <v>125245.9864273925</v>
      </c>
      <c r="L42" s="531"/>
      <c r="M42" s="50">
        <v>21</v>
      </c>
      <c r="N42" s="5">
        <v>0</v>
      </c>
      <c r="O42" s="5">
        <v>0.55000000000000004</v>
      </c>
      <c r="P42" s="5">
        <v>0.65</v>
      </c>
      <c r="Q42" s="5">
        <v>0.75</v>
      </c>
      <c r="R42" s="5">
        <v>1</v>
      </c>
      <c r="S42"/>
      <c r="T42"/>
    </row>
    <row r="43" spans="1:20" ht="12.75">
      <c r="A43" s="1">
        <f t="shared" si="3"/>
        <v>20</v>
      </c>
      <c r="B43" s="2">
        <f t="shared" si="6"/>
        <v>1</v>
      </c>
      <c r="C43" s="2">
        <f t="shared" si="7"/>
        <v>8</v>
      </c>
      <c r="D43" s="2">
        <f t="shared" si="8"/>
        <v>30</v>
      </c>
      <c r="E43" s="1">
        <f t="shared" si="5"/>
        <v>125245.9864273925</v>
      </c>
      <c r="G43" s="1">
        <f t="shared" si="0"/>
        <v>902.68831823068865</v>
      </c>
      <c r="H43" s="1">
        <v>0</v>
      </c>
      <c r="I43" s="1">
        <f t="shared" si="1"/>
        <v>-126.1486747456232</v>
      </c>
      <c r="J43" s="1">
        <f t="shared" si="2"/>
        <v>126022.52607087757</v>
      </c>
      <c r="L43" s="531"/>
      <c r="M43" s="50">
        <v>22</v>
      </c>
      <c r="N43" s="5">
        <v>0</v>
      </c>
      <c r="O43" s="5">
        <v>0.55000000000000004</v>
      </c>
      <c r="P43" s="5">
        <v>0.65</v>
      </c>
      <c r="Q43" s="5">
        <v>0.75</v>
      </c>
      <c r="R43" s="5">
        <v>1</v>
      </c>
      <c r="S43"/>
      <c r="T43"/>
    </row>
    <row r="44" spans="1:20" ht="12.75">
      <c r="A44" s="1">
        <f t="shared" si="3"/>
        <v>21</v>
      </c>
      <c r="B44" s="2">
        <f t="shared" si="6"/>
        <v>1</v>
      </c>
      <c r="C44" s="2">
        <f t="shared" si="7"/>
        <v>9</v>
      </c>
      <c r="D44" s="2">
        <f t="shared" si="8"/>
        <v>30</v>
      </c>
      <c r="E44" s="1">
        <f t="shared" si="5"/>
        <v>126022.52607087757</v>
      </c>
      <c r="G44" s="1">
        <f t="shared" si="0"/>
        <v>908.28509050908303</v>
      </c>
      <c r="H44" s="69">
        <f>-SUM(E44:G44)*$H$21</f>
        <v>-1142.3773004524801</v>
      </c>
      <c r="I44" s="1">
        <f t="shared" si="1"/>
        <v>-126.93081116138667</v>
      </c>
      <c r="J44" s="1">
        <f t="shared" si="2"/>
        <v>125661.50304977279</v>
      </c>
      <c r="L44" s="531"/>
      <c r="M44" s="50">
        <v>23</v>
      </c>
      <c r="N44" s="5">
        <v>0</v>
      </c>
      <c r="O44" s="5">
        <v>0.55000000000000004</v>
      </c>
      <c r="P44" s="5">
        <v>0.65</v>
      </c>
      <c r="Q44" s="5">
        <v>0.75</v>
      </c>
      <c r="R44" s="5">
        <v>1</v>
      </c>
      <c r="S44"/>
      <c r="T44"/>
    </row>
    <row r="45" spans="1:20" ht="12.75">
      <c r="A45" s="1">
        <f t="shared" si="3"/>
        <v>22</v>
      </c>
      <c r="B45" s="2">
        <f t="shared" si="6"/>
        <v>1</v>
      </c>
      <c r="C45" s="2">
        <f t="shared" si="7"/>
        <v>10</v>
      </c>
      <c r="D45" s="2">
        <f t="shared" si="8"/>
        <v>30</v>
      </c>
      <c r="E45" s="1">
        <f t="shared" si="5"/>
        <v>125661.50304977279</v>
      </c>
      <c r="G45" s="1">
        <f t="shared" si="0"/>
        <v>905.68308087141236</v>
      </c>
      <c r="H45" s="1">
        <v>0</v>
      </c>
      <c r="I45" s="1">
        <f t="shared" si="1"/>
        <v>-126.5671861306442</v>
      </c>
      <c r="J45" s="1">
        <f t="shared" si="2"/>
        <v>126440.61894451355</v>
      </c>
      <c r="L45" s="531"/>
      <c r="M45" s="50">
        <v>24</v>
      </c>
      <c r="N45" s="5">
        <v>0</v>
      </c>
      <c r="O45" s="5">
        <v>0.55000000000000004</v>
      </c>
      <c r="P45" s="5">
        <v>0.65</v>
      </c>
      <c r="Q45" s="5">
        <v>0.75</v>
      </c>
      <c r="R45" s="5">
        <v>1</v>
      </c>
      <c r="S45"/>
      <c r="T45"/>
    </row>
    <row r="46" spans="1:20" ht="12.75">
      <c r="A46" s="1">
        <f t="shared" si="3"/>
        <v>23</v>
      </c>
      <c r="B46" s="2">
        <f t="shared" si="6"/>
        <v>1</v>
      </c>
      <c r="C46" s="2">
        <f t="shared" si="7"/>
        <v>11</v>
      </c>
      <c r="D46" s="2">
        <f t="shared" si="8"/>
        <v>30</v>
      </c>
      <c r="E46" s="1">
        <f t="shared" si="5"/>
        <v>126440.61894451355</v>
      </c>
      <c r="G46" s="1">
        <f t="shared" si="0"/>
        <v>911.29842102555028</v>
      </c>
      <c r="H46" s="1">
        <v>0</v>
      </c>
      <c r="I46" s="1">
        <f t="shared" si="1"/>
        <v>-127.35191736553911</v>
      </c>
      <c r="J46" s="1">
        <f t="shared" si="2"/>
        <v>127224.56544817357</v>
      </c>
      <c r="L46" s="531"/>
      <c r="M46" s="50">
        <v>25</v>
      </c>
      <c r="N46" s="5">
        <v>0</v>
      </c>
      <c r="O46" s="5">
        <v>0.55000000000000004</v>
      </c>
      <c r="P46" s="5">
        <v>0.65</v>
      </c>
      <c r="Q46" s="5">
        <v>0.75</v>
      </c>
      <c r="R46" s="5">
        <v>1</v>
      </c>
      <c r="S46"/>
      <c r="T46"/>
    </row>
    <row r="47" spans="1:20">
      <c r="A47" s="1">
        <f t="shared" si="3"/>
        <v>24</v>
      </c>
      <c r="B47" s="2">
        <f t="shared" si="6"/>
        <v>1</v>
      </c>
      <c r="C47" s="2">
        <f t="shared" si="7"/>
        <v>12</v>
      </c>
      <c r="D47" s="2">
        <f t="shared" si="8"/>
        <v>30</v>
      </c>
      <c r="E47" s="1">
        <f t="shared" si="5"/>
        <v>127224.56544817357</v>
      </c>
      <c r="G47" s="1">
        <f t="shared" si="0"/>
        <v>916.9485769399829</v>
      </c>
      <c r="H47" s="69">
        <f>-SUM(E47:G47)*$H$21</f>
        <v>-1153.2736262260221</v>
      </c>
      <c r="I47" s="1">
        <f t="shared" si="1"/>
        <v>-128.14151402511354</v>
      </c>
      <c r="J47" s="1">
        <f t="shared" si="2"/>
        <v>126860.09888486241</v>
      </c>
      <c r="N47" s="1"/>
    </row>
    <row r="48" spans="1:20">
      <c r="A48" s="1">
        <f t="shared" si="3"/>
        <v>25</v>
      </c>
      <c r="B48" s="2">
        <f t="shared" si="6"/>
        <v>2</v>
      </c>
      <c r="C48" s="2">
        <f t="shared" si="7"/>
        <v>1</v>
      </c>
      <c r="D48" s="2">
        <f t="shared" si="8"/>
        <v>31</v>
      </c>
      <c r="E48" s="1">
        <f t="shared" si="5"/>
        <v>126860.09888486241</v>
      </c>
      <c r="G48" s="1">
        <f t="shared" si="0"/>
        <v>914.32174858027827</v>
      </c>
      <c r="H48" s="1">
        <v>0</v>
      </c>
      <c r="I48" s="1">
        <f t="shared" si="1"/>
        <v>-127.77442063344269</v>
      </c>
      <c r="J48" s="1">
        <f t="shared" si="2"/>
        <v>127646.64621280924</v>
      </c>
      <c r="M48" s="7"/>
      <c r="N48" s="1"/>
    </row>
    <row r="49" spans="1:14">
      <c r="A49" s="1">
        <f t="shared" si="3"/>
        <v>26</v>
      </c>
      <c r="B49" s="2">
        <f t="shared" si="6"/>
        <v>2</v>
      </c>
      <c r="C49" s="2">
        <f t="shared" si="7"/>
        <v>2</v>
      </c>
      <c r="D49" s="2">
        <f t="shared" si="8"/>
        <v>31</v>
      </c>
      <c r="E49" s="1">
        <f t="shared" si="5"/>
        <v>127646.64621280924</v>
      </c>
      <c r="G49" s="1">
        <f t="shared" si="0"/>
        <v>919.99064947623447</v>
      </c>
      <c r="H49" s="1">
        <v>0</v>
      </c>
      <c r="I49" s="1">
        <f t="shared" si="1"/>
        <v>-128.56663686228549</v>
      </c>
      <c r="J49" s="1">
        <f t="shared" si="2"/>
        <v>128438.07022542319</v>
      </c>
      <c r="M49" s="7"/>
      <c r="N49" s="1"/>
    </row>
    <row r="50" spans="1:14">
      <c r="A50" s="1">
        <f t="shared" si="3"/>
        <v>27</v>
      </c>
      <c r="B50" s="2">
        <f t="shared" si="6"/>
        <v>2</v>
      </c>
      <c r="C50" s="2">
        <f t="shared" si="7"/>
        <v>3</v>
      </c>
      <c r="D50" s="2">
        <f t="shared" si="8"/>
        <v>31</v>
      </c>
      <c r="E50" s="1">
        <f t="shared" si="5"/>
        <v>128438.07022542319</v>
      </c>
      <c r="G50" s="1">
        <f t="shared" si="0"/>
        <v>925.69469821529742</v>
      </c>
      <c r="H50" s="69">
        <f>-SUM(E50:G50)*$H$21</f>
        <v>-1164.2738843127465</v>
      </c>
      <c r="I50" s="1">
        <f t="shared" si="1"/>
        <v>-129.36376492363848</v>
      </c>
      <c r="J50" s="1">
        <f t="shared" si="2"/>
        <v>128070.12727440211</v>
      </c>
      <c r="M50" s="7"/>
      <c r="N50" s="1"/>
    </row>
    <row r="51" spans="1:14">
      <c r="A51" s="1">
        <f t="shared" si="3"/>
        <v>28</v>
      </c>
      <c r="B51" s="2">
        <f t="shared" si="6"/>
        <v>2</v>
      </c>
      <c r="C51" s="2">
        <f t="shared" si="7"/>
        <v>4</v>
      </c>
      <c r="D51" s="2">
        <f t="shared" si="8"/>
        <v>31</v>
      </c>
      <c r="E51" s="1">
        <f t="shared" si="5"/>
        <v>128070.12727440211</v>
      </c>
      <c r="G51" s="1">
        <f t="shared" si="0"/>
        <v>923.04281440539501</v>
      </c>
      <c r="H51" s="1">
        <v>0</v>
      </c>
      <c r="I51" s="1">
        <f t="shared" si="1"/>
        <v>-128.99317008880752</v>
      </c>
      <c r="J51" s="1">
        <f t="shared" si="2"/>
        <v>128864.1769187187</v>
      </c>
      <c r="M51" s="7"/>
      <c r="N51" s="1"/>
    </row>
    <row r="52" spans="1:14">
      <c r="A52" s="1">
        <f t="shared" si="3"/>
        <v>29</v>
      </c>
      <c r="B52" s="2">
        <f t="shared" si="6"/>
        <v>2</v>
      </c>
      <c r="C52" s="2">
        <f t="shared" si="7"/>
        <v>5</v>
      </c>
      <c r="D52" s="2">
        <f t="shared" si="8"/>
        <v>31</v>
      </c>
      <c r="E52" s="1">
        <f t="shared" si="5"/>
        <v>128864.1769187187</v>
      </c>
      <c r="G52" s="1">
        <f t="shared" si="0"/>
        <v>928.76578692104806</v>
      </c>
      <c r="H52" s="1">
        <v>0</v>
      </c>
      <c r="I52" s="1">
        <f t="shared" si="1"/>
        <v>-129.79294270563975</v>
      </c>
      <c r="J52" s="1">
        <f t="shared" si="2"/>
        <v>129663.14976293412</v>
      </c>
      <c r="M52" s="7"/>
      <c r="N52" s="1"/>
    </row>
    <row r="53" spans="1:14">
      <c r="A53" s="1">
        <f t="shared" si="3"/>
        <v>30</v>
      </c>
      <c r="B53" s="2">
        <f t="shared" si="6"/>
        <v>2</v>
      </c>
      <c r="C53" s="2">
        <f t="shared" si="7"/>
        <v>6</v>
      </c>
      <c r="D53" s="2">
        <f t="shared" si="8"/>
        <v>31</v>
      </c>
      <c r="E53" s="1">
        <f t="shared" si="5"/>
        <v>129663.14976293412</v>
      </c>
      <c r="G53" s="1">
        <f t="shared" si="0"/>
        <v>934.52424253012191</v>
      </c>
      <c r="H53" s="69">
        <f>-SUM(E53:G53)*$H$21</f>
        <v>-1175.3790660491784</v>
      </c>
      <c r="I53" s="1">
        <f t="shared" si="1"/>
        <v>-130.59767400546426</v>
      </c>
      <c r="J53" s="1">
        <f t="shared" si="2"/>
        <v>129291.6972654096</v>
      </c>
      <c r="M53" s="7"/>
      <c r="N53" s="1"/>
    </row>
    <row r="54" spans="1:14">
      <c r="A54" s="1">
        <f t="shared" si="3"/>
        <v>31</v>
      </c>
      <c r="B54" s="2">
        <f t="shared" si="6"/>
        <v>2</v>
      </c>
      <c r="C54" s="2">
        <f t="shared" si="7"/>
        <v>7</v>
      </c>
      <c r="D54" s="2">
        <f t="shared" si="8"/>
        <v>31</v>
      </c>
      <c r="E54" s="1">
        <f t="shared" si="5"/>
        <v>129291.6972654096</v>
      </c>
      <c r="G54" s="1">
        <f t="shared" si="0"/>
        <v>931.84706428387631</v>
      </c>
      <c r="H54" s="1">
        <v>0</v>
      </c>
      <c r="I54" s="1">
        <f t="shared" si="1"/>
        <v>-130.22354432969348</v>
      </c>
      <c r="J54" s="1">
        <f t="shared" si="2"/>
        <v>130093.32078536379</v>
      </c>
      <c r="M54" s="7"/>
      <c r="N54" s="1"/>
    </row>
    <row r="55" spans="1:14">
      <c r="A55" s="1">
        <f t="shared" si="3"/>
        <v>32</v>
      </c>
      <c r="B55" s="2">
        <f t="shared" si="6"/>
        <v>2</v>
      </c>
      <c r="C55" s="2">
        <f t="shared" si="7"/>
        <v>8</v>
      </c>
      <c r="D55" s="2">
        <f t="shared" si="8"/>
        <v>31</v>
      </c>
      <c r="E55" s="1">
        <f t="shared" si="5"/>
        <v>130093.32078536379</v>
      </c>
      <c r="G55" s="1">
        <f t="shared" si="0"/>
        <v>937.62462417000563</v>
      </c>
      <c r="H55" s="1">
        <v>0</v>
      </c>
      <c r="I55" s="1">
        <f t="shared" si="1"/>
        <v>-131.03094540953379</v>
      </c>
      <c r="J55" s="1">
        <f t="shared" si="2"/>
        <v>130899.91446412425</v>
      </c>
      <c r="M55" s="7"/>
      <c r="N55" s="1"/>
    </row>
    <row r="56" spans="1:14">
      <c r="A56" s="1">
        <f t="shared" si="3"/>
        <v>33</v>
      </c>
      <c r="B56" s="2">
        <f t="shared" si="6"/>
        <v>2</v>
      </c>
      <c r="C56" s="2">
        <f t="shared" si="7"/>
        <v>9</v>
      </c>
      <c r="D56" s="2">
        <f t="shared" si="8"/>
        <v>31</v>
      </c>
      <c r="E56" s="1">
        <f t="shared" si="5"/>
        <v>130899.91446412425</v>
      </c>
      <c r="G56" s="1">
        <f t="shared" si="0"/>
        <v>943.43800559758438</v>
      </c>
      <c r="H56" s="69">
        <f>-SUM(E56:G56)*$H$21</f>
        <v>-1186.5901722274966</v>
      </c>
      <c r="I56" s="1">
        <f t="shared" si="1"/>
        <v>-131.84335246972185</v>
      </c>
      <c r="J56" s="1">
        <f t="shared" si="2"/>
        <v>130524.91894502462</v>
      </c>
      <c r="M56" s="7"/>
      <c r="N56" s="1"/>
    </row>
    <row r="57" spans="1:14">
      <c r="A57" s="1">
        <f t="shared" si="3"/>
        <v>34</v>
      </c>
      <c r="B57" s="2">
        <f t="shared" si="6"/>
        <v>2</v>
      </c>
      <c r="C57" s="2">
        <f t="shared" si="7"/>
        <v>10</v>
      </c>
      <c r="D57" s="2">
        <f t="shared" si="8"/>
        <v>31</v>
      </c>
      <c r="E57" s="1">
        <f t="shared" si="5"/>
        <v>130524.91894502462</v>
      </c>
      <c r="G57" s="1">
        <f t="shared" si="0"/>
        <v>940.73529164933086</v>
      </c>
      <c r="H57" s="1">
        <v>0</v>
      </c>
      <c r="I57" s="1">
        <f t="shared" si="1"/>
        <v>-131.46565423667397</v>
      </c>
      <c r="J57" s="1">
        <f t="shared" si="2"/>
        <v>131334.18858243729</v>
      </c>
      <c r="M57" s="7"/>
      <c r="N57" s="1"/>
    </row>
    <row r="58" spans="1:14">
      <c r="A58" s="1">
        <f t="shared" si="3"/>
        <v>35</v>
      </c>
      <c r="B58" s="2">
        <f t="shared" si="6"/>
        <v>2</v>
      </c>
      <c r="C58" s="2">
        <f t="shared" si="7"/>
        <v>11</v>
      </c>
      <c r="D58" s="2">
        <f t="shared" si="8"/>
        <v>31</v>
      </c>
      <c r="E58" s="1">
        <f t="shared" si="5"/>
        <v>131334.18858243729</v>
      </c>
      <c r="G58" s="1">
        <f t="shared" si="0"/>
        <v>946.56795957609665</v>
      </c>
      <c r="H58" s="1">
        <v>0</v>
      </c>
      <c r="I58" s="1">
        <f t="shared" si="1"/>
        <v>-132.28075654201339</v>
      </c>
      <c r="J58" s="1">
        <f t="shared" si="2"/>
        <v>132148.47578547135</v>
      </c>
      <c r="M58" s="7"/>
      <c r="N58" s="1"/>
    </row>
    <row r="59" spans="1:14">
      <c r="A59" s="1">
        <f t="shared" si="3"/>
        <v>36</v>
      </c>
      <c r="B59" s="2">
        <f t="shared" si="6"/>
        <v>2</v>
      </c>
      <c r="C59" s="2">
        <f t="shared" si="7"/>
        <v>12</v>
      </c>
      <c r="D59" s="2">
        <f t="shared" si="8"/>
        <v>31</v>
      </c>
      <c r="E59" s="1">
        <f t="shared" si="5"/>
        <v>132148.47578547135</v>
      </c>
      <c r="G59" s="1">
        <f t="shared" si="0"/>
        <v>952.4367907205559</v>
      </c>
      <c r="H59" s="69">
        <f>-SUM(E59:G59)*$H$21</f>
        <v>-1197.9082131857274</v>
      </c>
      <c r="I59" s="1">
        <f t="shared" si="1"/>
        <v>-133.10091257619192</v>
      </c>
      <c r="J59" s="1">
        <f t="shared" si="2"/>
        <v>131769.90345042999</v>
      </c>
      <c r="M59" s="7"/>
      <c r="N59" s="1"/>
    </row>
    <row r="60" spans="1:14">
      <c r="A60" s="1">
        <f t="shared" si="3"/>
        <v>37</v>
      </c>
      <c r="B60" s="2">
        <f t="shared" si="6"/>
        <v>3</v>
      </c>
      <c r="C60" s="2">
        <f t="shared" si="7"/>
        <v>1</v>
      </c>
      <c r="D60" s="2">
        <f t="shared" si="8"/>
        <v>32</v>
      </c>
      <c r="E60" s="1">
        <f t="shared" si="5"/>
        <v>131769.90345042999</v>
      </c>
      <c r="G60" s="1">
        <f t="shared" si="0"/>
        <v>949.70829750336793</v>
      </c>
      <c r="H60" s="1">
        <v>0</v>
      </c>
      <c r="I60" s="1">
        <f t="shared" si="1"/>
        <v>-132.71961174793336</v>
      </c>
      <c r="J60" s="1">
        <f t="shared" si="2"/>
        <v>132586.8921361854</v>
      </c>
      <c r="M60" s="7"/>
      <c r="N60" s="1"/>
    </row>
    <row r="61" spans="1:14">
      <c r="A61" s="1">
        <f t="shared" si="3"/>
        <v>38</v>
      </c>
      <c r="B61" s="2">
        <f t="shared" si="6"/>
        <v>3</v>
      </c>
      <c r="C61" s="2">
        <f t="shared" si="7"/>
        <v>2</v>
      </c>
      <c r="D61" s="2">
        <f t="shared" si="8"/>
        <v>32</v>
      </c>
      <c r="E61" s="1">
        <f t="shared" si="5"/>
        <v>132586.8921361854</v>
      </c>
      <c r="G61" s="1">
        <f t="shared" si="0"/>
        <v>955.59659910723281</v>
      </c>
      <c r="H61" s="1">
        <v>0</v>
      </c>
      <c r="I61" s="1">
        <f t="shared" si="1"/>
        <v>-133.54248873529264</v>
      </c>
      <c r="J61" s="1">
        <f t="shared" si="2"/>
        <v>133408.94624655735</v>
      </c>
      <c r="M61" s="7"/>
      <c r="N61" s="1"/>
    </row>
    <row r="62" spans="1:14">
      <c r="A62" s="1">
        <f t="shared" si="3"/>
        <v>39</v>
      </c>
      <c r="B62" s="2">
        <f t="shared" si="6"/>
        <v>3</v>
      </c>
      <c r="C62" s="2">
        <f t="shared" si="7"/>
        <v>3</v>
      </c>
      <c r="D62" s="2">
        <f t="shared" si="8"/>
        <v>32</v>
      </c>
      <c r="E62" s="1">
        <f t="shared" si="5"/>
        <v>133408.94624655735</v>
      </c>
      <c r="G62" s="1">
        <f t="shared" si="0"/>
        <v>961.52140886404254</v>
      </c>
      <c r="H62" s="69">
        <f>-SUM(E62:G62)*$H$21</f>
        <v>-1209.3342088987927</v>
      </c>
      <c r="I62" s="1">
        <f t="shared" si="1"/>
        <v>-134.37046765542138</v>
      </c>
      <c r="J62" s="1">
        <f t="shared" si="2"/>
        <v>133026.76297886716</v>
      </c>
      <c r="M62" s="7"/>
      <c r="N62" s="1"/>
    </row>
    <row r="63" spans="1:14">
      <c r="A63" s="1">
        <f t="shared" si="3"/>
        <v>40</v>
      </c>
      <c r="B63" s="2">
        <f t="shared" si="6"/>
        <v>3</v>
      </c>
      <c r="C63" s="2">
        <f t="shared" si="7"/>
        <v>4</v>
      </c>
      <c r="D63" s="2">
        <f t="shared" si="8"/>
        <v>32</v>
      </c>
      <c r="E63" s="1">
        <f t="shared" si="5"/>
        <v>133026.76297886716</v>
      </c>
      <c r="G63" s="1">
        <f t="shared" si="0"/>
        <v>958.76689048778178</v>
      </c>
      <c r="H63" s="1">
        <v>0</v>
      </c>
      <c r="I63" s="1">
        <f t="shared" si="1"/>
        <v>-133.98552986935493</v>
      </c>
      <c r="J63" s="1">
        <f t="shared" si="2"/>
        <v>133851.54433948558</v>
      </c>
      <c r="M63" s="7"/>
      <c r="N63" s="1"/>
    </row>
    <row r="64" spans="1:14">
      <c r="A64" s="1">
        <f t="shared" si="3"/>
        <v>41</v>
      </c>
      <c r="B64" s="2">
        <f t="shared" si="6"/>
        <v>3</v>
      </c>
      <c r="C64" s="2">
        <f t="shared" si="7"/>
        <v>5</v>
      </c>
      <c r="D64" s="2">
        <f t="shared" si="8"/>
        <v>32</v>
      </c>
      <c r="E64" s="1">
        <f t="shared" si="5"/>
        <v>133851.54433948558</v>
      </c>
      <c r="G64" s="1">
        <f t="shared" si="0"/>
        <v>964.71135641888191</v>
      </c>
      <c r="H64" s="1">
        <v>0</v>
      </c>
      <c r="I64" s="1">
        <f t="shared" si="1"/>
        <v>-134.81625569590446</v>
      </c>
      <c r="J64" s="1">
        <f t="shared" si="2"/>
        <v>134681.43944020855</v>
      </c>
      <c r="M64" s="7"/>
      <c r="N64" s="1"/>
    </row>
    <row r="65" spans="1:14">
      <c r="A65" s="1">
        <f t="shared" si="3"/>
        <v>42</v>
      </c>
      <c r="B65" s="2">
        <f t="shared" si="6"/>
        <v>3</v>
      </c>
      <c r="C65" s="2">
        <f t="shared" si="7"/>
        <v>6</v>
      </c>
      <c r="D65" s="2">
        <f t="shared" si="8"/>
        <v>32</v>
      </c>
      <c r="E65" s="1">
        <f t="shared" si="5"/>
        <v>134681.43944020855</v>
      </c>
      <c r="G65" s="1">
        <f t="shared" si="0"/>
        <v>970.69267872827004</v>
      </c>
      <c r="H65" s="69">
        <f>-SUM(E65:G65)*$H$21</f>
        <v>-1220.8691890704313</v>
      </c>
      <c r="I65" s="1">
        <f t="shared" si="1"/>
        <v>-135.65213211893681</v>
      </c>
      <c r="J65" s="1">
        <f t="shared" si="2"/>
        <v>134295.61079774745</v>
      </c>
      <c r="M65" s="7"/>
      <c r="N65" s="1"/>
    </row>
    <row r="66" spans="1:14">
      <c r="A66" s="1">
        <f t="shared" si="3"/>
        <v>43</v>
      </c>
      <c r="B66" s="2">
        <f t="shared" si="6"/>
        <v>3</v>
      </c>
      <c r="C66" s="2">
        <f t="shared" si="7"/>
        <v>7</v>
      </c>
      <c r="D66" s="2">
        <f t="shared" si="8"/>
        <v>32</v>
      </c>
      <c r="E66" s="1">
        <f t="shared" si="5"/>
        <v>134295.61079774745</v>
      </c>
      <c r="G66" s="1">
        <f t="shared" si="0"/>
        <v>967.91188695742687</v>
      </c>
      <c r="H66" s="1">
        <v>0</v>
      </c>
      <c r="I66" s="1">
        <f t="shared" si="1"/>
        <v>-135.26352268470487</v>
      </c>
      <c r="J66" s="1">
        <f t="shared" si="2"/>
        <v>135128.25916202017</v>
      </c>
      <c r="M66" s="7"/>
      <c r="N66" s="1"/>
    </row>
    <row r="67" spans="1:14">
      <c r="A67" s="1">
        <f t="shared" si="3"/>
        <v>44</v>
      </c>
      <c r="B67" s="2">
        <f t="shared" si="6"/>
        <v>3</v>
      </c>
      <c r="C67" s="2">
        <f t="shared" si="7"/>
        <v>8</v>
      </c>
      <c r="D67" s="2">
        <f t="shared" si="8"/>
        <v>32</v>
      </c>
      <c r="E67" s="1">
        <f t="shared" si="5"/>
        <v>135128.25916202017</v>
      </c>
      <c r="G67" s="1">
        <f t="shared" si="0"/>
        <v>973.91305292739276</v>
      </c>
      <c r="H67" s="1">
        <v>0</v>
      </c>
      <c r="I67" s="1">
        <f t="shared" si="1"/>
        <v>-136.10217221494756</v>
      </c>
      <c r="J67" s="1">
        <f t="shared" si="2"/>
        <v>135966.07004273261</v>
      </c>
      <c r="M67" s="7"/>
      <c r="N67" s="1"/>
    </row>
    <row r="68" spans="1:14">
      <c r="A68" s="1">
        <f t="shared" si="3"/>
        <v>45</v>
      </c>
      <c r="B68" s="2">
        <f t="shared" si="6"/>
        <v>3</v>
      </c>
      <c r="C68" s="2">
        <f t="shared" si="7"/>
        <v>9</v>
      </c>
      <c r="D68" s="2">
        <f t="shared" si="8"/>
        <v>32</v>
      </c>
      <c r="E68" s="1">
        <f t="shared" si="5"/>
        <v>135966.07004273261</v>
      </c>
      <c r="G68" s="1">
        <f t="shared" si="0"/>
        <v>979.95142682246455</v>
      </c>
      <c r="H68" s="69">
        <f>-SUM(E68:G68)*$H$21</f>
        <v>-1232.5141932259958</v>
      </c>
      <c r="I68" s="1">
        <f t="shared" si="1"/>
        <v>-136.94602146955506</v>
      </c>
      <c r="J68" s="1">
        <f t="shared" si="2"/>
        <v>135576.56125485952</v>
      </c>
      <c r="M68" s="7"/>
      <c r="N68" s="1"/>
    </row>
    <row r="69" spans="1:14">
      <c r="A69" s="1">
        <f t="shared" si="3"/>
        <v>46</v>
      </c>
      <c r="B69" s="2">
        <f t="shared" si="6"/>
        <v>3</v>
      </c>
      <c r="C69" s="2">
        <f t="shared" si="7"/>
        <v>10</v>
      </c>
      <c r="D69" s="2">
        <f t="shared" si="8"/>
        <v>32</v>
      </c>
      <c r="E69" s="1">
        <f t="shared" si="5"/>
        <v>135576.56125485952</v>
      </c>
      <c r="G69" s="1">
        <f t="shared" si="0"/>
        <v>977.14411105378667</v>
      </c>
      <c r="H69" s="1">
        <v>0</v>
      </c>
      <c r="I69" s="1">
        <f t="shared" si="1"/>
        <v>-136.55370536591332</v>
      </c>
      <c r="J69" s="1">
        <f t="shared" si="2"/>
        <v>136417.15166054739</v>
      </c>
      <c r="M69" s="7"/>
      <c r="N69" s="1"/>
    </row>
    <row r="70" spans="1:14">
      <c r="A70" s="1">
        <f t="shared" si="3"/>
        <v>47</v>
      </c>
      <c r="B70" s="2">
        <f t="shared" si="6"/>
        <v>3</v>
      </c>
      <c r="C70" s="2">
        <f t="shared" si="7"/>
        <v>11</v>
      </c>
      <c r="D70" s="2">
        <f t="shared" si="8"/>
        <v>32</v>
      </c>
      <c r="E70" s="1">
        <f t="shared" si="5"/>
        <v>136417.15166054739</v>
      </c>
      <c r="G70" s="1">
        <f t="shared" si="0"/>
        <v>983.20251788402163</v>
      </c>
      <c r="H70" s="1">
        <v>0</v>
      </c>
      <c r="I70" s="1">
        <f t="shared" si="1"/>
        <v>-137.40035417843143</v>
      </c>
      <c r="J70" s="1">
        <f t="shared" si="2"/>
        <v>137262.953824253</v>
      </c>
      <c r="M70" s="7"/>
      <c r="N70" s="1"/>
    </row>
    <row r="71" spans="1:14">
      <c r="A71" s="1">
        <f t="shared" si="3"/>
        <v>48</v>
      </c>
      <c r="B71" s="2">
        <f t="shared" si="6"/>
        <v>3</v>
      </c>
      <c r="C71" s="2">
        <f t="shared" si="7"/>
        <v>12</v>
      </c>
      <c r="D71" s="2">
        <f t="shared" si="8"/>
        <v>32</v>
      </c>
      <c r="E71" s="1">
        <f t="shared" si="5"/>
        <v>137262.953824253</v>
      </c>
      <c r="G71" s="1">
        <f t="shared" si="0"/>
        <v>989.29848753933595</v>
      </c>
      <c r="H71" s="69">
        <f>-SUM(E71:G71)*$H$21</f>
        <v>-1244.2702708061313</v>
      </c>
      <c r="I71" s="1">
        <f t="shared" si="1"/>
        <v>-138.25225231179235</v>
      </c>
      <c r="J71" s="1">
        <f t="shared" si="2"/>
        <v>136869.72978867442</v>
      </c>
      <c r="M71" s="7"/>
      <c r="N71" s="1"/>
    </row>
    <row r="72" spans="1:14">
      <c r="A72" s="1">
        <f t="shared" si="3"/>
        <v>49</v>
      </c>
      <c r="B72" s="2">
        <f t="shared" si="6"/>
        <v>4</v>
      </c>
      <c r="C72" s="2">
        <f t="shared" si="7"/>
        <v>1</v>
      </c>
      <c r="D72" s="2">
        <f t="shared" si="8"/>
        <v>33</v>
      </c>
      <c r="E72" s="1">
        <f t="shared" si="5"/>
        <v>136869.72978867442</v>
      </c>
      <c r="G72" s="1">
        <f t="shared" si="0"/>
        <v>986.46439477924514</v>
      </c>
      <c r="H72" s="1">
        <v>0</v>
      </c>
      <c r="I72" s="1">
        <f t="shared" si="1"/>
        <v>-137.85619418345365</v>
      </c>
      <c r="J72" s="1">
        <f t="shared" si="2"/>
        <v>137718.33798927019</v>
      </c>
      <c r="M72" s="7"/>
      <c r="N72" s="1"/>
    </row>
    <row r="73" spans="1:14">
      <c r="A73" s="1">
        <f t="shared" si="3"/>
        <v>50</v>
      </c>
      <c r="B73" s="2">
        <f t="shared" si="6"/>
        <v>4</v>
      </c>
      <c r="C73" s="2">
        <f t="shared" si="7"/>
        <v>2</v>
      </c>
      <c r="D73" s="2">
        <f t="shared" si="8"/>
        <v>33</v>
      </c>
      <c r="E73" s="1">
        <f t="shared" si="5"/>
        <v>137718.33798927019</v>
      </c>
      <c r="G73" s="1">
        <f t="shared" si="0"/>
        <v>992.58058844966388</v>
      </c>
      <c r="H73" s="1">
        <v>0</v>
      </c>
      <c r="I73" s="1">
        <f t="shared" si="1"/>
        <v>-138.71091857771987</v>
      </c>
      <c r="J73" s="1">
        <f t="shared" si="2"/>
        <v>138572.20765914215</v>
      </c>
      <c r="M73" s="7"/>
      <c r="N73" s="1"/>
    </row>
    <row r="74" spans="1:14">
      <c r="A74" s="1">
        <f t="shared" si="3"/>
        <v>51</v>
      </c>
      <c r="B74" s="2">
        <f t="shared" si="6"/>
        <v>4</v>
      </c>
      <c r="C74" s="2">
        <f t="shared" si="7"/>
        <v>3</v>
      </c>
      <c r="D74" s="2">
        <f t="shared" si="8"/>
        <v>33</v>
      </c>
      <c r="E74" s="1">
        <f t="shared" si="5"/>
        <v>138572.20765914215</v>
      </c>
      <c r="G74" s="1">
        <f t="shared" si="0"/>
        <v>998.73470323027402</v>
      </c>
      <c r="H74" s="69">
        <f>-SUM(E74:G74)*$H$21</f>
        <v>-1256.1384812613519</v>
      </c>
      <c r="I74" s="1">
        <f t="shared" si="1"/>
        <v>-139.57094236237242</v>
      </c>
      <c r="J74" s="1">
        <f t="shared" si="2"/>
        <v>138175.2329387487</v>
      </c>
      <c r="M74" s="7"/>
      <c r="N74" s="1"/>
    </row>
    <row r="75" spans="1:14">
      <c r="A75" s="1">
        <f t="shared" si="3"/>
        <v>52</v>
      </c>
      <c r="B75" s="2">
        <f t="shared" si="6"/>
        <v>4</v>
      </c>
      <c r="C75" s="2">
        <f t="shared" si="7"/>
        <v>4</v>
      </c>
      <c r="D75" s="2">
        <f t="shared" si="8"/>
        <v>33</v>
      </c>
      <c r="E75" s="1">
        <f t="shared" si="5"/>
        <v>138175.2329387487</v>
      </c>
      <c r="G75" s="1">
        <f t="shared" si="0"/>
        <v>995.87357807206536</v>
      </c>
      <c r="H75" s="1">
        <v>0</v>
      </c>
      <c r="I75" s="1">
        <f t="shared" si="1"/>
        <v>-139.17110651682077</v>
      </c>
      <c r="J75" s="1">
        <f t="shared" si="2"/>
        <v>139031.93541030394</v>
      </c>
      <c r="M75" s="7"/>
      <c r="N75" s="1"/>
    </row>
    <row r="76" spans="1:14">
      <c r="A76" s="1">
        <f t="shared" si="3"/>
        <v>53</v>
      </c>
      <c r="B76" s="2">
        <f t="shared" si="6"/>
        <v>4</v>
      </c>
      <c r="C76" s="2">
        <f t="shared" si="7"/>
        <v>5</v>
      </c>
      <c r="D76" s="2">
        <f t="shared" si="8"/>
        <v>33</v>
      </c>
      <c r="E76" s="1">
        <f t="shared" si="5"/>
        <v>139031.93541030394</v>
      </c>
      <c r="G76" s="1">
        <f t="shared" si="0"/>
        <v>1002.0481097702974</v>
      </c>
      <c r="H76" s="1">
        <v>0</v>
      </c>
      <c r="I76" s="1">
        <f t="shared" si="1"/>
        <v>-140.03398352007423</v>
      </c>
      <c r="J76" s="1">
        <f t="shared" si="2"/>
        <v>139893.94953655414</v>
      </c>
      <c r="M76" s="7"/>
      <c r="N76" s="1"/>
    </row>
    <row r="77" spans="1:14">
      <c r="A77" s="1">
        <f t="shared" si="3"/>
        <v>54</v>
      </c>
      <c r="B77" s="2">
        <f t="shared" si="6"/>
        <v>4</v>
      </c>
      <c r="C77" s="2">
        <f t="shared" si="7"/>
        <v>6</v>
      </c>
      <c r="D77" s="2">
        <f t="shared" si="8"/>
        <v>33</v>
      </c>
      <c r="E77" s="1">
        <f t="shared" si="5"/>
        <v>139893.94953655414</v>
      </c>
      <c r="G77" s="1">
        <f t="shared" si="0"/>
        <v>1008.2609242812597</v>
      </c>
      <c r="H77" s="69">
        <f>-SUM(E77:G77)*$H$21</f>
        <v>-1268.1198941475188</v>
      </c>
      <c r="I77" s="1">
        <f t="shared" si="1"/>
        <v>-140.90221046083539</v>
      </c>
      <c r="J77" s="1">
        <f t="shared" si="2"/>
        <v>139493.18835622704</v>
      </c>
      <c r="M77" s="7"/>
      <c r="N77" s="1"/>
    </row>
    <row r="78" spans="1:14">
      <c r="A78" s="1">
        <f t="shared" si="3"/>
        <v>55</v>
      </c>
      <c r="B78" s="2">
        <f t="shared" si="6"/>
        <v>4</v>
      </c>
      <c r="C78" s="2">
        <f t="shared" si="7"/>
        <v>7</v>
      </c>
      <c r="D78" s="2">
        <f t="shared" si="8"/>
        <v>33</v>
      </c>
      <c r="E78" s="1">
        <f t="shared" si="5"/>
        <v>139493.18835622704</v>
      </c>
      <c r="G78" s="1">
        <f t="shared" si="0"/>
        <v>1005.3725088820858</v>
      </c>
      <c r="H78" s="1">
        <v>0</v>
      </c>
      <c r="I78" s="1">
        <f t="shared" si="1"/>
        <v>-140.49856086510911</v>
      </c>
      <c r="J78" s="1">
        <f t="shared" si="2"/>
        <v>140358.062304244</v>
      </c>
      <c r="M78" s="7"/>
      <c r="N78" s="1"/>
    </row>
    <row r="79" spans="1:14">
      <c r="A79" s="1">
        <f t="shared" si="3"/>
        <v>56</v>
      </c>
      <c r="B79" s="2">
        <f t="shared" si="6"/>
        <v>4</v>
      </c>
      <c r="C79" s="2">
        <f t="shared" si="7"/>
        <v>8</v>
      </c>
      <c r="D79" s="2">
        <f t="shared" si="8"/>
        <v>33</v>
      </c>
      <c r="E79" s="1">
        <f t="shared" si="5"/>
        <v>140358.062304244</v>
      </c>
      <c r="G79" s="1">
        <f t="shared" si="0"/>
        <v>1011.6059350531476</v>
      </c>
      <c r="H79" s="1">
        <v>0</v>
      </c>
      <c r="I79" s="1">
        <f t="shared" si="1"/>
        <v>-141.36966823929714</v>
      </c>
      <c r="J79" s="1">
        <f t="shared" si="2"/>
        <v>141228.29857105785</v>
      </c>
      <c r="M79" s="7"/>
      <c r="N79" s="1"/>
    </row>
    <row r="80" spans="1:14">
      <c r="A80" s="1">
        <f t="shared" si="3"/>
        <v>57</v>
      </c>
      <c r="B80" s="2">
        <f t="shared" si="6"/>
        <v>4</v>
      </c>
      <c r="C80" s="2">
        <f t="shared" si="7"/>
        <v>9</v>
      </c>
      <c r="D80" s="2">
        <f t="shared" si="8"/>
        <v>33</v>
      </c>
      <c r="E80" s="1">
        <f t="shared" si="5"/>
        <v>141228.29857105785</v>
      </c>
      <c r="G80" s="1">
        <f t="shared" si="0"/>
        <v>1017.8780091895028</v>
      </c>
      <c r="H80" s="69">
        <f>-SUM(E80:G80)*$H$21</f>
        <v>-1280.2155892222263</v>
      </c>
      <c r="I80" s="1">
        <f t="shared" si="1"/>
        <v>-142.24617658024735</v>
      </c>
      <c r="J80" s="1">
        <f t="shared" si="2"/>
        <v>140823.71481444486</v>
      </c>
      <c r="M80" s="7"/>
      <c r="N80" s="1"/>
    </row>
    <row r="81" spans="1:14">
      <c r="A81" s="1">
        <f t="shared" si="3"/>
        <v>58</v>
      </c>
      <c r="B81" s="2">
        <f t="shared" si="6"/>
        <v>4</v>
      </c>
      <c r="C81" s="2">
        <f t="shared" si="7"/>
        <v>10</v>
      </c>
      <c r="D81" s="2">
        <f t="shared" si="8"/>
        <v>33</v>
      </c>
      <c r="E81" s="1">
        <f t="shared" si="5"/>
        <v>140823.71481444486</v>
      </c>
      <c r="G81" s="1">
        <f t="shared" si="0"/>
        <v>1014.9620432471359</v>
      </c>
      <c r="H81" s="1">
        <v>0</v>
      </c>
      <c r="I81" s="1">
        <f t="shared" si="1"/>
        <v>-141.83867685769198</v>
      </c>
      <c r="J81" s="1">
        <f t="shared" si="2"/>
        <v>141696.83818083428</v>
      </c>
      <c r="M81" s="7"/>
      <c r="N81" s="1"/>
    </row>
    <row r="82" spans="1:14">
      <c r="A82" s="1">
        <f t="shared" si="3"/>
        <v>59</v>
      </c>
      <c r="B82" s="2">
        <f t="shared" si="6"/>
        <v>4</v>
      </c>
      <c r="C82" s="2">
        <f t="shared" si="7"/>
        <v>11</v>
      </c>
      <c r="D82" s="2">
        <f t="shared" si="8"/>
        <v>33</v>
      </c>
      <c r="E82" s="1">
        <f t="shared" si="5"/>
        <v>141696.83818083428</v>
      </c>
      <c r="G82" s="1">
        <f t="shared" si="0"/>
        <v>1021.2549256435781</v>
      </c>
      <c r="H82" s="1">
        <v>0</v>
      </c>
      <c r="I82" s="1">
        <f t="shared" si="1"/>
        <v>-142.71809310647788</v>
      </c>
      <c r="J82" s="1">
        <f t="shared" si="2"/>
        <v>142575.37501337141</v>
      </c>
      <c r="M82" s="7"/>
      <c r="N82" s="1"/>
    </row>
    <row r="83" spans="1:14">
      <c r="A83" s="1">
        <f t="shared" si="3"/>
        <v>60</v>
      </c>
      <c r="B83" s="2">
        <f t="shared" si="6"/>
        <v>4</v>
      </c>
      <c r="C83" s="2">
        <f t="shared" si="7"/>
        <v>12</v>
      </c>
      <c r="D83" s="2">
        <f t="shared" si="8"/>
        <v>33</v>
      </c>
      <c r="E83" s="1">
        <f t="shared" si="5"/>
        <v>142575.37501337141</v>
      </c>
      <c r="G83" s="1">
        <f t="shared" si="0"/>
        <v>1027.5868246408079</v>
      </c>
      <c r="H83" s="69">
        <f>-SUM(E83:G83)*$H$21</f>
        <v>-1292.4266565421101</v>
      </c>
      <c r="I83" s="1">
        <f t="shared" si="1"/>
        <v>-143.60296183801222</v>
      </c>
      <c r="J83" s="1">
        <f t="shared" si="2"/>
        <v>142166.93221963209</v>
      </c>
      <c r="M83" s="7"/>
      <c r="N83" s="1"/>
    </row>
    <row r="84" spans="1:14">
      <c r="A84" s="1">
        <f t="shared" si="3"/>
        <v>61</v>
      </c>
      <c r="B84" s="2">
        <f t="shared" si="6"/>
        <v>5</v>
      </c>
      <c r="C84" s="2">
        <f t="shared" si="7"/>
        <v>1</v>
      </c>
      <c r="D84" s="2">
        <f t="shared" si="8"/>
        <v>34</v>
      </c>
      <c r="E84" s="1">
        <f t="shared" si="5"/>
        <v>142166.93221963209</v>
      </c>
      <c r="G84" s="1">
        <f t="shared" si="0"/>
        <v>1024.6430453701823</v>
      </c>
      <c r="H84" s="1">
        <v>0</v>
      </c>
      <c r="I84" s="1">
        <f t="shared" si="1"/>
        <v>-143.19157526500226</v>
      </c>
      <c r="J84" s="1">
        <f t="shared" si="2"/>
        <v>143048.38368973727</v>
      </c>
      <c r="M84" s="7"/>
      <c r="N84" s="1"/>
    </row>
    <row r="85" spans="1:14">
      <c r="A85" s="1">
        <f t="shared" si="3"/>
        <v>62</v>
      </c>
      <c r="B85" s="2">
        <f t="shared" si="6"/>
        <v>5</v>
      </c>
      <c r="C85" s="2">
        <f t="shared" si="7"/>
        <v>2</v>
      </c>
      <c r="D85" s="2">
        <f t="shared" si="8"/>
        <v>34</v>
      </c>
      <c r="E85" s="1">
        <f t="shared" si="5"/>
        <v>143048.38368973727</v>
      </c>
      <c r="G85" s="1">
        <f t="shared" si="0"/>
        <v>1030.9959511027146</v>
      </c>
      <c r="H85" s="1">
        <v>0</v>
      </c>
      <c r="I85" s="1">
        <f t="shared" si="1"/>
        <v>-144.07937964083999</v>
      </c>
      <c r="J85" s="1">
        <f t="shared" si="2"/>
        <v>143935.30026119915</v>
      </c>
      <c r="M85" s="7"/>
      <c r="N85" s="1"/>
    </row>
    <row r="86" spans="1:14">
      <c r="A86" s="1">
        <f t="shared" si="3"/>
        <v>63</v>
      </c>
      <c r="B86" s="2">
        <f t="shared" si="6"/>
        <v>5</v>
      </c>
      <c r="C86" s="2">
        <f t="shared" si="7"/>
        <v>3</v>
      </c>
      <c r="D86" s="2">
        <f t="shared" si="8"/>
        <v>34</v>
      </c>
      <c r="E86" s="1">
        <f t="shared" si="5"/>
        <v>143935.30026119915</v>
      </c>
      <c r="G86" s="1">
        <f t="shared" si="0"/>
        <v>1037.3882455876796</v>
      </c>
      <c r="H86" s="69">
        <f>-SUM(E86:G86)*$H$21</f>
        <v>-1304.7541965610817</v>
      </c>
      <c r="I86" s="1">
        <f t="shared" si="1"/>
        <v>-144.97268850678682</v>
      </c>
      <c r="J86" s="1">
        <f t="shared" si="2"/>
        <v>143522.96162171895</v>
      </c>
      <c r="M86" s="7"/>
      <c r="N86" s="1"/>
    </row>
    <row r="87" spans="1:14">
      <c r="A87" s="1">
        <f t="shared" si="3"/>
        <v>64</v>
      </c>
      <c r="B87" s="2">
        <f t="shared" si="6"/>
        <v>5</v>
      </c>
      <c r="C87" s="2">
        <f t="shared" si="7"/>
        <v>4</v>
      </c>
      <c r="D87" s="2">
        <f t="shared" si="8"/>
        <v>34</v>
      </c>
      <c r="E87" s="1">
        <f t="shared" si="5"/>
        <v>143522.96162171895</v>
      </c>
      <c r="G87" s="1">
        <f t="shared" si="0"/>
        <v>1034.41638769721</v>
      </c>
      <c r="H87" s="1">
        <v>0</v>
      </c>
      <c r="I87" s="1">
        <f t="shared" si="1"/>
        <v>-144.55737800941617</v>
      </c>
      <c r="J87" s="1">
        <f t="shared" si="2"/>
        <v>144412.82063140674</v>
      </c>
      <c r="M87" s="7"/>
      <c r="N87" s="1"/>
    </row>
    <row r="88" spans="1:14">
      <c r="A88" s="1">
        <f t="shared" si="3"/>
        <v>65</v>
      </c>
      <c r="B88" s="2">
        <f t="shared" si="6"/>
        <v>5</v>
      </c>
      <c r="C88" s="2">
        <f t="shared" si="7"/>
        <v>5</v>
      </c>
      <c r="D88" s="2">
        <f t="shared" si="8"/>
        <v>34</v>
      </c>
      <c r="E88" s="1">
        <f t="shared" si="5"/>
        <v>144412.82063140674</v>
      </c>
      <c r="G88" s="1">
        <f t="shared" ref="G88:G151" si="9">SUM(E88:F88)*$F$8</f>
        <v>1040.829889285807</v>
      </c>
      <c r="H88" s="1">
        <v>0</v>
      </c>
      <c r="I88" s="1">
        <f t="shared" ref="I88:I151" si="10">-SUM(E88:G88)*0.1%</f>
        <v>-145.45365052069255</v>
      </c>
      <c r="J88" s="1">
        <f t="shared" ref="J88:J151" si="11">SUM(E88:I88)</f>
        <v>145308.19687017184</v>
      </c>
      <c r="M88" s="7"/>
      <c r="N88" s="1"/>
    </row>
    <row r="89" spans="1:14">
      <c r="A89" s="1">
        <f t="shared" ref="A89:A152" si="12">+A88+1</f>
        <v>66</v>
      </c>
      <c r="B89" s="2">
        <f t="shared" si="6"/>
        <v>5</v>
      </c>
      <c r="C89" s="2">
        <f t="shared" si="7"/>
        <v>6</v>
      </c>
      <c r="D89" s="2">
        <f t="shared" si="8"/>
        <v>34</v>
      </c>
      <c r="E89" s="1">
        <f t="shared" ref="E89:E152" si="13">J88</f>
        <v>145308.19687017184</v>
      </c>
      <c r="G89" s="1">
        <f t="shared" si="9"/>
        <v>1047.2831553281737</v>
      </c>
      <c r="H89" s="69">
        <f>-SUM(E89:G89)*$H$21</f>
        <v>-1317.1993202295005</v>
      </c>
      <c r="I89" s="1">
        <f t="shared" si="10"/>
        <v>-146.35548002550004</v>
      </c>
      <c r="J89" s="1">
        <f t="shared" si="11"/>
        <v>144891.92522524504</v>
      </c>
      <c r="M89" s="7"/>
      <c r="N89" s="1"/>
    </row>
    <row r="90" spans="1:14">
      <c r="A90" s="1">
        <f t="shared" si="12"/>
        <v>67</v>
      </c>
      <c r="B90" s="2">
        <f t="shared" si="6"/>
        <v>5</v>
      </c>
      <c r="C90" s="2">
        <f t="shared" si="7"/>
        <v>7</v>
      </c>
      <c r="D90" s="2">
        <f t="shared" si="8"/>
        <v>34</v>
      </c>
      <c r="E90" s="1">
        <f t="shared" si="13"/>
        <v>144891.92522524504</v>
      </c>
      <c r="G90" s="1">
        <f t="shared" si="9"/>
        <v>1044.282950995846</v>
      </c>
      <c r="H90" s="1">
        <v>0</v>
      </c>
      <c r="I90" s="1">
        <f t="shared" si="10"/>
        <v>-145.93620817624088</v>
      </c>
      <c r="J90" s="1">
        <f t="shared" si="11"/>
        <v>145790.27196806463</v>
      </c>
      <c r="M90" s="7"/>
      <c r="N90" s="1"/>
    </row>
    <row r="91" spans="1:14">
      <c r="A91" s="1">
        <f t="shared" si="12"/>
        <v>68</v>
      </c>
      <c r="B91" s="2">
        <f t="shared" si="6"/>
        <v>5</v>
      </c>
      <c r="C91" s="2">
        <f t="shared" si="7"/>
        <v>8</v>
      </c>
      <c r="D91" s="2">
        <f t="shared" si="8"/>
        <v>34</v>
      </c>
      <c r="E91" s="1">
        <f t="shared" si="13"/>
        <v>145790.27196806463</v>
      </c>
      <c r="G91" s="1">
        <f t="shared" si="9"/>
        <v>1050.7576264213451</v>
      </c>
      <c r="H91" s="1">
        <v>0</v>
      </c>
      <c r="I91" s="1">
        <f t="shared" si="10"/>
        <v>-146.84102959448597</v>
      </c>
      <c r="J91" s="1">
        <f t="shared" si="11"/>
        <v>146694.18856489149</v>
      </c>
      <c r="M91" s="7"/>
      <c r="N91" s="1"/>
    </row>
    <row r="92" spans="1:14">
      <c r="A92" s="1">
        <f t="shared" si="12"/>
        <v>69</v>
      </c>
      <c r="B92" s="2">
        <f t="shared" si="6"/>
        <v>5</v>
      </c>
      <c r="C92" s="2">
        <f t="shared" si="7"/>
        <v>9</v>
      </c>
      <c r="D92" s="2">
        <f t="shared" si="8"/>
        <v>34</v>
      </c>
      <c r="E92" s="1">
        <f t="shared" si="13"/>
        <v>146694.18856489149</v>
      </c>
      <c r="G92" s="1">
        <f t="shared" si="9"/>
        <v>1057.2724455854984</v>
      </c>
      <c r="H92" s="69">
        <f>-SUM(E92:G92)*$H$21</f>
        <v>-1329.7631490942929</v>
      </c>
      <c r="I92" s="1">
        <f t="shared" si="10"/>
        <v>-147.75146101047699</v>
      </c>
      <c r="J92" s="1">
        <f t="shared" si="11"/>
        <v>146273.9464003722</v>
      </c>
      <c r="M92" s="7"/>
      <c r="N92" s="1"/>
    </row>
    <row r="93" spans="1:14">
      <c r="A93" s="1">
        <f t="shared" si="12"/>
        <v>70</v>
      </c>
      <c r="B93" s="2">
        <f t="shared" si="6"/>
        <v>5</v>
      </c>
      <c r="C93" s="2">
        <f t="shared" si="7"/>
        <v>10</v>
      </c>
      <c r="D93" s="2">
        <f t="shared" si="8"/>
        <v>34</v>
      </c>
      <c r="E93" s="1">
        <f t="shared" si="13"/>
        <v>146273.9464003722</v>
      </c>
      <c r="G93" s="1">
        <f t="shared" si="9"/>
        <v>1054.2436244347348</v>
      </c>
      <c r="H93" s="1">
        <v>0</v>
      </c>
      <c r="I93" s="1">
        <f t="shared" si="10"/>
        <v>-147.32819002480696</v>
      </c>
      <c r="J93" s="1">
        <f t="shared" si="11"/>
        <v>147180.86183478215</v>
      </c>
      <c r="M93" s="7"/>
      <c r="N93" s="1"/>
    </row>
    <row r="94" spans="1:14">
      <c r="A94" s="1">
        <f t="shared" si="12"/>
        <v>71</v>
      </c>
      <c r="B94" s="2">
        <f t="shared" si="6"/>
        <v>5</v>
      </c>
      <c r="C94" s="2">
        <f t="shared" si="7"/>
        <v>11</v>
      </c>
      <c r="D94" s="2">
        <f t="shared" si="8"/>
        <v>34</v>
      </c>
      <c r="E94" s="1">
        <f t="shared" si="13"/>
        <v>147180.86183478215</v>
      </c>
      <c r="G94" s="1">
        <f t="shared" si="9"/>
        <v>1060.7800571909218</v>
      </c>
      <c r="H94" s="1">
        <v>0</v>
      </c>
      <c r="I94" s="1">
        <f t="shared" si="10"/>
        <v>-148.24164189197307</v>
      </c>
      <c r="J94" s="1">
        <f t="shared" si="11"/>
        <v>148093.40025008109</v>
      </c>
      <c r="M94" s="7"/>
      <c r="N94" s="1"/>
    </row>
    <row r="95" spans="1:14">
      <c r="A95" s="1">
        <f t="shared" si="12"/>
        <v>72</v>
      </c>
      <c r="B95" s="2">
        <f t="shared" si="6"/>
        <v>5</v>
      </c>
      <c r="C95" s="2">
        <f t="shared" si="7"/>
        <v>12</v>
      </c>
      <c r="D95" s="2">
        <f t="shared" si="8"/>
        <v>34</v>
      </c>
      <c r="E95" s="1">
        <f t="shared" si="13"/>
        <v>148093.40025008109</v>
      </c>
      <c r="G95" s="1">
        <f t="shared" si="9"/>
        <v>1067.3570165883764</v>
      </c>
      <c r="H95" s="69">
        <f>-SUM(E95:G95)*$H$21</f>
        <v>-1342.4468154000253</v>
      </c>
      <c r="I95" s="1">
        <f t="shared" si="10"/>
        <v>-149.16075726666949</v>
      </c>
      <c r="J95" s="1">
        <f t="shared" si="11"/>
        <v>147669.14969400276</v>
      </c>
      <c r="M95" s="7"/>
      <c r="N95" s="1"/>
    </row>
    <row r="96" spans="1:14">
      <c r="A96" s="1">
        <f t="shared" si="12"/>
        <v>73</v>
      </c>
      <c r="B96" s="2">
        <f t="shared" si="6"/>
        <v>6</v>
      </c>
      <c r="C96" s="2">
        <f t="shared" si="7"/>
        <v>1</v>
      </c>
      <c r="D96" s="2">
        <f t="shared" si="8"/>
        <v>35</v>
      </c>
      <c r="E96" s="1">
        <f t="shared" si="13"/>
        <v>147669.14969400276</v>
      </c>
      <c r="G96" s="1">
        <f t="shared" si="9"/>
        <v>1064.299305663669</v>
      </c>
      <c r="H96" s="1">
        <v>0</v>
      </c>
      <c r="I96" s="1">
        <f t="shared" si="10"/>
        <v>-148.73344899966645</v>
      </c>
      <c r="J96" s="1">
        <f t="shared" si="11"/>
        <v>148584.71555066676</v>
      </c>
      <c r="M96" s="7"/>
      <c r="N96" s="1"/>
    </row>
    <row r="97" spans="1:14">
      <c r="A97" s="1">
        <f t="shared" si="12"/>
        <v>74</v>
      </c>
      <c r="B97" s="2">
        <f t="shared" si="6"/>
        <v>6</v>
      </c>
      <c r="C97" s="2">
        <f t="shared" si="7"/>
        <v>2</v>
      </c>
      <c r="D97" s="2">
        <f t="shared" si="8"/>
        <v>35</v>
      </c>
      <c r="E97" s="1">
        <f t="shared" si="13"/>
        <v>148584.71555066676</v>
      </c>
      <c r="G97" s="1">
        <f t="shared" si="9"/>
        <v>1070.8980848098622</v>
      </c>
      <c r="H97" s="1">
        <v>0</v>
      </c>
      <c r="I97" s="1">
        <f t="shared" si="10"/>
        <v>-149.65561363547661</v>
      </c>
      <c r="J97" s="1">
        <f t="shared" si="11"/>
        <v>149505.95802184116</v>
      </c>
      <c r="M97" s="7"/>
      <c r="N97" s="1"/>
    </row>
    <row r="98" spans="1:14">
      <c r="A98" s="1">
        <f t="shared" si="12"/>
        <v>75</v>
      </c>
      <c r="B98" s="2">
        <f t="shared" si="6"/>
        <v>6</v>
      </c>
      <c r="C98" s="2">
        <f t="shared" si="7"/>
        <v>3</v>
      </c>
      <c r="D98" s="2">
        <f t="shared" si="8"/>
        <v>35</v>
      </c>
      <c r="E98" s="1">
        <f t="shared" si="13"/>
        <v>149505.95802184116</v>
      </c>
      <c r="G98" s="1">
        <f t="shared" si="9"/>
        <v>1077.5377771521728</v>
      </c>
      <c r="H98" s="69">
        <f>-SUM(E98:G98)*$H$21</f>
        <v>-1355.2514621909402</v>
      </c>
      <c r="I98" s="1">
        <f t="shared" si="10"/>
        <v>-150.58349579899334</v>
      </c>
      <c r="J98" s="1">
        <f t="shared" si="11"/>
        <v>149077.66084100341</v>
      </c>
      <c r="M98" s="7"/>
      <c r="N98" s="1"/>
    </row>
    <row r="99" spans="1:14">
      <c r="A99" s="1">
        <f t="shared" si="12"/>
        <v>76</v>
      </c>
      <c r="B99" s="2">
        <f t="shared" si="6"/>
        <v>6</v>
      </c>
      <c r="C99" s="2">
        <f t="shared" si="7"/>
        <v>4</v>
      </c>
      <c r="D99" s="2">
        <f t="shared" si="8"/>
        <v>35</v>
      </c>
      <c r="E99" s="1">
        <f t="shared" si="13"/>
        <v>149077.66084100341</v>
      </c>
      <c r="G99" s="1">
        <f t="shared" si="9"/>
        <v>1074.4509008944854</v>
      </c>
      <c r="H99" s="1">
        <v>0</v>
      </c>
      <c r="I99" s="1">
        <f t="shared" si="10"/>
        <v>-150.1521117418979</v>
      </c>
      <c r="J99" s="1">
        <f t="shared" si="11"/>
        <v>150001.95963015599</v>
      </c>
      <c r="M99" s="7"/>
      <c r="N99" s="1"/>
    </row>
    <row r="100" spans="1:14">
      <c r="A100" s="1">
        <f t="shared" si="12"/>
        <v>77</v>
      </c>
      <c r="B100" s="2">
        <f t="shared" ref="B100:B163" si="14">B88+1</f>
        <v>6</v>
      </c>
      <c r="C100" s="2">
        <f t="shared" ref="C100:C163" si="15">C88</f>
        <v>5</v>
      </c>
      <c r="D100" s="2">
        <f t="shared" ref="D100:D163" si="16">D88+1</f>
        <v>35</v>
      </c>
      <c r="E100" s="1">
        <f t="shared" si="13"/>
        <v>150001.95963015599</v>
      </c>
      <c r="G100" s="1">
        <f t="shared" si="9"/>
        <v>1081.1126211086216</v>
      </c>
      <c r="H100" s="1">
        <v>0</v>
      </c>
      <c r="I100" s="1">
        <f t="shared" si="10"/>
        <v>-151.08307225126461</v>
      </c>
      <c r="J100" s="1">
        <f t="shared" si="11"/>
        <v>150931.98917901336</v>
      </c>
      <c r="M100" s="7"/>
      <c r="N100" s="1"/>
    </row>
    <row r="101" spans="1:14">
      <c r="A101" s="1">
        <f t="shared" si="12"/>
        <v>78</v>
      </c>
      <c r="B101" s="2">
        <f t="shared" si="14"/>
        <v>6</v>
      </c>
      <c r="C101" s="2">
        <f t="shared" si="15"/>
        <v>6</v>
      </c>
      <c r="D101" s="2">
        <f t="shared" si="16"/>
        <v>35</v>
      </c>
      <c r="E101" s="1">
        <f t="shared" si="13"/>
        <v>150931.98917901336</v>
      </c>
      <c r="G101" s="1">
        <f t="shared" si="9"/>
        <v>1087.8156447607973</v>
      </c>
      <c r="H101" s="69">
        <f>-SUM(E101:G101)*$H$21</f>
        <v>-1368.1782434139675</v>
      </c>
      <c r="I101" s="1">
        <f t="shared" si="10"/>
        <v>-152.01980482377414</v>
      </c>
      <c r="J101" s="1">
        <f t="shared" si="11"/>
        <v>150499.60677553641</v>
      </c>
      <c r="M101" s="7"/>
      <c r="N101" s="1"/>
    </row>
    <row r="102" spans="1:14">
      <c r="A102" s="1">
        <f t="shared" si="12"/>
        <v>79</v>
      </c>
      <c r="B102" s="2">
        <f t="shared" si="14"/>
        <v>6</v>
      </c>
      <c r="C102" s="2">
        <f t="shared" si="15"/>
        <v>7</v>
      </c>
      <c r="D102" s="2">
        <f t="shared" si="16"/>
        <v>35</v>
      </c>
      <c r="E102" s="1">
        <f t="shared" si="13"/>
        <v>150499.60677553641</v>
      </c>
      <c r="G102" s="1">
        <f t="shared" si="9"/>
        <v>1084.6993249827308</v>
      </c>
      <c r="H102" s="1">
        <v>0</v>
      </c>
      <c r="I102" s="1">
        <f t="shared" si="10"/>
        <v>-151.58430610051914</v>
      </c>
      <c r="J102" s="1">
        <f t="shared" si="11"/>
        <v>151432.72179441861</v>
      </c>
      <c r="M102" s="7"/>
      <c r="N102" s="1"/>
    </row>
    <row r="103" spans="1:14">
      <c r="A103" s="1">
        <f t="shared" si="12"/>
        <v>80</v>
      </c>
      <c r="B103" s="2">
        <f t="shared" si="14"/>
        <v>6</v>
      </c>
      <c r="C103" s="2">
        <f t="shared" si="15"/>
        <v>8</v>
      </c>
      <c r="D103" s="2">
        <f t="shared" si="16"/>
        <v>35</v>
      </c>
      <c r="E103" s="1">
        <f t="shared" si="13"/>
        <v>151432.72179441861</v>
      </c>
      <c r="G103" s="1">
        <f t="shared" si="9"/>
        <v>1091.4245866149579</v>
      </c>
      <c r="H103" s="1">
        <v>0</v>
      </c>
      <c r="I103" s="1">
        <f t="shared" si="10"/>
        <v>-152.52414638103357</v>
      </c>
      <c r="J103" s="1">
        <f t="shared" si="11"/>
        <v>152371.62223465255</v>
      </c>
      <c r="M103" s="7"/>
      <c r="N103" s="1"/>
    </row>
    <row r="104" spans="1:14">
      <c r="A104" s="1">
        <f t="shared" si="12"/>
        <v>81</v>
      </c>
      <c r="B104" s="2">
        <f t="shared" si="14"/>
        <v>6</v>
      </c>
      <c r="C104" s="2">
        <f t="shared" si="15"/>
        <v>9</v>
      </c>
      <c r="D104" s="2">
        <f t="shared" si="16"/>
        <v>35</v>
      </c>
      <c r="E104" s="1">
        <f t="shared" si="13"/>
        <v>152371.62223465255</v>
      </c>
      <c r="G104" s="1">
        <f t="shared" si="9"/>
        <v>1098.1915456493869</v>
      </c>
      <c r="H104" s="69">
        <f>-SUM(E104:G104)*$H$21</f>
        <v>-1381.2283240227175</v>
      </c>
      <c r="I104" s="1">
        <f t="shared" si="10"/>
        <v>-153.46981378030193</v>
      </c>
      <c r="J104" s="1">
        <f t="shared" si="11"/>
        <v>151935.11564249889</v>
      </c>
      <c r="M104" s="7"/>
      <c r="N104" s="1"/>
    </row>
    <row r="105" spans="1:14">
      <c r="A105" s="1">
        <f t="shared" si="12"/>
        <v>82</v>
      </c>
      <c r="B105" s="2">
        <f t="shared" si="14"/>
        <v>6</v>
      </c>
      <c r="C105" s="2">
        <f t="shared" si="15"/>
        <v>10</v>
      </c>
      <c r="D105" s="2">
        <f t="shared" si="16"/>
        <v>35</v>
      </c>
      <c r="E105" s="1">
        <f t="shared" si="13"/>
        <v>151935.11564249889</v>
      </c>
      <c r="G105" s="1">
        <f t="shared" si="9"/>
        <v>1095.0455015101104</v>
      </c>
      <c r="H105" s="1">
        <v>0</v>
      </c>
      <c r="I105" s="1">
        <f t="shared" si="10"/>
        <v>-153.03016114400901</v>
      </c>
      <c r="J105" s="1">
        <f t="shared" si="11"/>
        <v>152877.130982865</v>
      </c>
      <c r="M105" s="7"/>
      <c r="N105" s="1"/>
    </row>
    <row r="106" spans="1:14">
      <c r="A106" s="1">
        <f t="shared" si="12"/>
        <v>83</v>
      </c>
      <c r="B106" s="2">
        <f t="shared" si="14"/>
        <v>6</v>
      </c>
      <c r="C106" s="2">
        <f t="shared" si="15"/>
        <v>11</v>
      </c>
      <c r="D106" s="2">
        <f t="shared" si="16"/>
        <v>35</v>
      </c>
      <c r="E106" s="1">
        <f t="shared" si="13"/>
        <v>152877.130982865</v>
      </c>
      <c r="G106" s="1">
        <f t="shared" si="9"/>
        <v>1101.8349106368896</v>
      </c>
      <c r="H106" s="1">
        <v>0</v>
      </c>
      <c r="I106" s="1">
        <f t="shared" si="10"/>
        <v>-153.97896589350188</v>
      </c>
      <c r="J106" s="1">
        <f t="shared" si="11"/>
        <v>153824.98692760838</v>
      </c>
      <c r="M106" s="7"/>
      <c r="N106" s="1"/>
    </row>
    <row r="107" spans="1:14">
      <c r="A107" s="1">
        <f t="shared" si="12"/>
        <v>84</v>
      </c>
      <c r="B107" s="2">
        <f t="shared" si="14"/>
        <v>6</v>
      </c>
      <c r="C107" s="2">
        <f t="shared" si="15"/>
        <v>12</v>
      </c>
      <c r="D107" s="2">
        <f t="shared" si="16"/>
        <v>35</v>
      </c>
      <c r="E107" s="1">
        <f t="shared" si="13"/>
        <v>153824.98692760838</v>
      </c>
      <c r="G107" s="1">
        <f t="shared" si="9"/>
        <v>1108.6664148877774</v>
      </c>
      <c r="H107" s="69">
        <f>-SUM(E107:G107)*$H$21</f>
        <v>-1394.4028800824656</v>
      </c>
      <c r="I107" s="1">
        <f t="shared" si="10"/>
        <v>-154.93365334249617</v>
      </c>
      <c r="J107" s="1">
        <f t="shared" si="11"/>
        <v>153384.3168090712</v>
      </c>
      <c r="M107" s="7"/>
      <c r="N107" s="1"/>
    </row>
    <row r="108" spans="1:14">
      <c r="A108" s="1">
        <f t="shared" si="12"/>
        <v>85</v>
      </c>
      <c r="B108" s="2">
        <f t="shared" si="14"/>
        <v>7</v>
      </c>
      <c r="C108" s="2">
        <f t="shared" si="15"/>
        <v>1</v>
      </c>
      <c r="D108" s="2">
        <f t="shared" si="16"/>
        <v>36</v>
      </c>
      <c r="E108" s="1">
        <f t="shared" si="13"/>
        <v>153384.3168090712</v>
      </c>
      <c r="G108" s="1">
        <f t="shared" si="9"/>
        <v>1105.4903628677196</v>
      </c>
      <c r="H108" s="1">
        <v>0</v>
      </c>
      <c r="I108" s="1">
        <f t="shared" si="10"/>
        <v>-154.48980717193891</v>
      </c>
      <c r="J108" s="1">
        <f t="shared" si="11"/>
        <v>154335.31736476696</v>
      </c>
      <c r="M108" s="7"/>
      <c r="N108" s="1"/>
    </row>
    <row r="109" spans="1:14">
      <c r="A109" s="1">
        <f t="shared" si="12"/>
        <v>86</v>
      </c>
      <c r="B109" s="2">
        <f t="shared" si="14"/>
        <v>7</v>
      </c>
      <c r="C109" s="2">
        <f t="shared" si="15"/>
        <v>2</v>
      </c>
      <c r="D109" s="2">
        <f t="shared" si="16"/>
        <v>36</v>
      </c>
      <c r="E109" s="1">
        <f t="shared" si="13"/>
        <v>154335.31736476696</v>
      </c>
      <c r="G109" s="1">
        <f t="shared" si="9"/>
        <v>1112.3445313464447</v>
      </c>
      <c r="H109" s="1">
        <v>0</v>
      </c>
      <c r="I109" s="1">
        <f t="shared" si="10"/>
        <v>-155.4476618961134</v>
      </c>
      <c r="J109" s="1">
        <f t="shared" si="11"/>
        <v>155292.21423421727</v>
      </c>
      <c r="M109" s="7"/>
      <c r="N109" s="1"/>
    </row>
    <row r="110" spans="1:14">
      <c r="A110" s="1">
        <f t="shared" si="12"/>
        <v>87</v>
      </c>
      <c r="B110" s="2">
        <f t="shared" si="14"/>
        <v>7</v>
      </c>
      <c r="C110" s="2">
        <f t="shared" si="15"/>
        <v>3</v>
      </c>
      <c r="D110" s="2">
        <f t="shared" si="16"/>
        <v>36</v>
      </c>
      <c r="E110" s="1">
        <f t="shared" si="13"/>
        <v>155292.21423421727</v>
      </c>
      <c r="G110" s="1">
        <f t="shared" si="9"/>
        <v>1119.2411964647722</v>
      </c>
      <c r="H110" s="69">
        <f>-SUM(E110:G110)*$H$21</f>
        <v>-1407.7030988761387</v>
      </c>
      <c r="I110" s="1">
        <f t="shared" si="10"/>
        <v>-156.41145543068205</v>
      </c>
      <c r="J110" s="1">
        <f t="shared" si="11"/>
        <v>154847.34087637524</v>
      </c>
      <c r="M110" s="7"/>
      <c r="N110" s="1"/>
    </row>
    <row r="111" spans="1:14">
      <c r="A111" s="1">
        <f t="shared" si="12"/>
        <v>88</v>
      </c>
      <c r="B111" s="2">
        <f t="shared" si="14"/>
        <v>7</v>
      </c>
      <c r="C111" s="2">
        <f t="shared" si="15"/>
        <v>4</v>
      </c>
      <c r="D111" s="2">
        <f t="shared" si="16"/>
        <v>36</v>
      </c>
      <c r="E111" s="1">
        <f t="shared" si="13"/>
        <v>154847.34087637524</v>
      </c>
      <c r="G111" s="1">
        <f t="shared" si="9"/>
        <v>1116.0348503400692</v>
      </c>
      <c r="H111" s="1">
        <v>0</v>
      </c>
      <c r="I111" s="1">
        <f t="shared" si="10"/>
        <v>-155.96337572671533</v>
      </c>
      <c r="J111" s="1">
        <f t="shared" si="11"/>
        <v>155807.4123509886</v>
      </c>
      <c r="M111" s="7"/>
      <c r="N111" s="1"/>
    </row>
    <row r="112" spans="1:14">
      <c r="A112" s="1">
        <f t="shared" si="12"/>
        <v>89</v>
      </c>
      <c r="B112" s="2">
        <f t="shared" si="14"/>
        <v>7</v>
      </c>
      <c r="C112" s="2">
        <f t="shared" si="15"/>
        <v>5</v>
      </c>
      <c r="D112" s="2">
        <f t="shared" si="16"/>
        <v>36</v>
      </c>
      <c r="E112" s="1">
        <f t="shared" si="13"/>
        <v>155807.4123509886</v>
      </c>
      <c r="G112" s="1">
        <f t="shared" si="9"/>
        <v>1122.9543958642078</v>
      </c>
      <c r="H112" s="1">
        <v>0</v>
      </c>
      <c r="I112" s="1">
        <f t="shared" si="10"/>
        <v>-156.93036674685283</v>
      </c>
      <c r="J112" s="1">
        <f t="shared" si="11"/>
        <v>156773.43638010597</v>
      </c>
      <c r="M112" s="7"/>
      <c r="N112" s="1"/>
    </row>
    <row r="113" spans="1:14">
      <c r="A113" s="1">
        <f t="shared" si="12"/>
        <v>90</v>
      </c>
      <c r="B113" s="2">
        <f t="shared" si="14"/>
        <v>7</v>
      </c>
      <c r="C113" s="2">
        <f t="shared" si="15"/>
        <v>6</v>
      </c>
      <c r="D113" s="2">
        <f t="shared" si="16"/>
        <v>36</v>
      </c>
      <c r="E113" s="1">
        <f t="shared" si="13"/>
        <v>156773.43638010597</v>
      </c>
      <c r="G113" s="1">
        <f t="shared" si="9"/>
        <v>1129.9168433732139</v>
      </c>
      <c r="H113" s="69">
        <f>-SUM(E113:G113)*$H$21</f>
        <v>-1421.1301790113127</v>
      </c>
      <c r="I113" s="1">
        <f t="shared" si="10"/>
        <v>-157.90335322347917</v>
      </c>
      <c r="J113" s="1">
        <f t="shared" si="11"/>
        <v>156324.31969124437</v>
      </c>
      <c r="M113" s="7"/>
      <c r="N113" s="1"/>
    </row>
    <row r="114" spans="1:14">
      <c r="A114" s="1">
        <f t="shared" si="12"/>
        <v>91</v>
      </c>
      <c r="B114" s="2">
        <f t="shared" si="14"/>
        <v>7</v>
      </c>
      <c r="C114" s="2">
        <f t="shared" si="15"/>
        <v>7</v>
      </c>
      <c r="D114" s="2">
        <f t="shared" si="16"/>
        <v>36</v>
      </c>
      <c r="E114" s="1">
        <f t="shared" si="13"/>
        <v>156324.31969124437</v>
      </c>
      <c r="G114" s="1">
        <f t="shared" si="9"/>
        <v>1126.6799141899155</v>
      </c>
      <c r="H114" s="1">
        <v>0</v>
      </c>
      <c r="I114" s="1">
        <f t="shared" si="10"/>
        <v>-157.45099960543428</v>
      </c>
      <c r="J114" s="1">
        <f t="shared" si="11"/>
        <v>157293.54860582884</v>
      </c>
      <c r="M114" s="7"/>
      <c r="N114" s="1"/>
    </row>
    <row r="115" spans="1:14">
      <c r="A115" s="1">
        <f t="shared" si="12"/>
        <v>92</v>
      </c>
      <c r="B115" s="2">
        <f t="shared" si="14"/>
        <v>7</v>
      </c>
      <c r="C115" s="2">
        <f t="shared" si="15"/>
        <v>8</v>
      </c>
      <c r="D115" s="2">
        <f t="shared" si="16"/>
        <v>36</v>
      </c>
      <c r="E115" s="1">
        <f t="shared" si="13"/>
        <v>157293.54860582884</v>
      </c>
      <c r="G115" s="1">
        <f t="shared" si="9"/>
        <v>1133.6654603446739</v>
      </c>
      <c r="H115" s="1">
        <v>0</v>
      </c>
      <c r="I115" s="1">
        <f t="shared" si="10"/>
        <v>-158.42721406617352</v>
      </c>
      <c r="J115" s="1">
        <f t="shared" si="11"/>
        <v>158268.78685210733</v>
      </c>
      <c r="M115" s="7"/>
      <c r="N115" s="1"/>
    </row>
    <row r="116" spans="1:14">
      <c r="A116" s="1">
        <f t="shared" si="12"/>
        <v>93</v>
      </c>
      <c r="B116" s="2">
        <f t="shared" si="14"/>
        <v>7</v>
      </c>
      <c r="C116" s="2">
        <f t="shared" si="15"/>
        <v>9</v>
      </c>
      <c r="D116" s="2">
        <f t="shared" si="16"/>
        <v>36</v>
      </c>
      <c r="E116" s="1">
        <f t="shared" si="13"/>
        <v>158268.78685210733</v>
      </c>
      <c r="G116" s="1">
        <f t="shared" si="9"/>
        <v>1140.6943176958653</v>
      </c>
      <c r="H116" s="69">
        <f>-SUM(E116:G116)*$H$21</f>
        <v>-1434.6853305282289</v>
      </c>
      <c r="I116" s="1">
        <f t="shared" si="10"/>
        <v>-159.4094811698032</v>
      </c>
      <c r="J116" s="1">
        <f t="shared" si="11"/>
        <v>157815.38635810514</v>
      </c>
      <c r="M116" s="7"/>
      <c r="N116" s="1"/>
    </row>
    <row r="117" spans="1:14">
      <c r="A117" s="1">
        <f t="shared" si="12"/>
        <v>94</v>
      </c>
      <c r="B117" s="2">
        <f t="shared" si="14"/>
        <v>7</v>
      </c>
      <c r="C117" s="2">
        <f t="shared" si="15"/>
        <v>10</v>
      </c>
      <c r="D117" s="2">
        <f t="shared" si="16"/>
        <v>36</v>
      </c>
      <c r="E117" s="1">
        <f t="shared" si="13"/>
        <v>157815.38635810514</v>
      </c>
      <c r="G117" s="1">
        <f t="shared" si="9"/>
        <v>1137.4265137438954</v>
      </c>
      <c r="H117" s="1">
        <v>0</v>
      </c>
      <c r="I117" s="1">
        <f t="shared" si="10"/>
        <v>-158.95281287184906</v>
      </c>
      <c r="J117" s="1">
        <f t="shared" si="11"/>
        <v>158793.86005897721</v>
      </c>
      <c r="M117" s="7"/>
      <c r="N117" s="1"/>
    </row>
    <row r="118" spans="1:14">
      <c r="A118" s="1">
        <f t="shared" si="12"/>
        <v>95</v>
      </c>
      <c r="B118" s="2">
        <f t="shared" si="14"/>
        <v>7</v>
      </c>
      <c r="C118" s="2">
        <f t="shared" si="15"/>
        <v>11</v>
      </c>
      <c r="D118" s="2">
        <f t="shared" si="16"/>
        <v>36</v>
      </c>
      <c r="E118" s="1">
        <f t="shared" si="13"/>
        <v>158793.86005897721</v>
      </c>
      <c r="G118" s="1">
        <f t="shared" si="9"/>
        <v>1144.4786900624172</v>
      </c>
      <c r="H118" s="1">
        <v>0</v>
      </c>
      <c r="I118" s="1">
        <f t="shared" si="10"/>
        <v>-159.93833874903964</v>
      </c>
      <c r="J118" s="1">
        <f t="shared" si="11"/>
        <v>159778.40041029057</v>
      </c>
      <c r="M118" s="7"/>
      <c r="N118" s="1"/>
    </row>
    <row r="119" spans="1:14">
      <c r="A119" s="1">
        <f t="shared" si="12"/>
        <v>96</v>
      </c>
      <c r="B119" s="2">
        <f t="shared" si="14"/>
        <v>7</v>
      </c>
      <c r="C119" s="2">
        <f t="shared" si="15"/>
        <v>12</v>
      </c>
      <c r="D119" s="2">
        <f t="shared" si="16"/>
        <v>36</v>
      </c>
      <c r="E119" s="1">
        <f t="shared" si="13"/>
        <v>159778.40041029057</v>
      </c>
      <c r="G119" s="1">
        <f t="shared" si="9"/>
        <v>1151.5745906921154</v>
      </c>
      <c r="H119" s="69">
        <f>-SUM(E119:G119)*$H$21</f>
        <v>-1448.3697750088445</v>
      </c>
      <c r="I119" s="1">
        <f t="shared" si="10"/>
        <v>-160.92997500098269</v>
      </c>
      <c r="J119" s="1">
        <f t="shared" si="11"/>
        <v>159320.67525097285</v>
      </c>
      <c r="M119" s="7"/>
      <c r="N119" s="1"/>
    </row>
    <row r="120" spans="1:14">
      <c r="A120" s="1">
        <f t="shared" si="12"/>
        <v>97</v>
      </c>
      <c r="B120" s="2">
        <f t="shared" si="14"/>
        <v>8</v>
      </c>
      <c r="C120" s="2">
        <f t="shared" si="15"/>
        <v>1</v>
      </c>
      <c r="D120" s="2">
        <f t="shared" si="16"/>
        <v>37</v>
      </c>
      <c r="E120" s="1">
        <f t="shared" si="13"/>
        <v>159320.67525097285</v>
      </c>
      <c r="G120" s="1">
        <f t="shared" si="9"/>
        <v>1148.2756174789824</v>
      </c>
      <c r="H120" s="1">
        <v>0</v>
      </c>
      <c r="I120" s="1">
        <f t="shared" si="10"/>
        <v>-160.46895086845183</v>
      </c>
      <c r="J120" s="1">
        <f t="shared" si="11"/>
        <v>160308.48191758338</v>
      </c>
      <c r="M120" s="7"/>
      <c r="N120" s="1"/>
    </row>
    <row r="121" spans="1:14">
      <c r="A121" s="1">
        <f t="shared" si="12"/>
        <v>98</v>
      </c>
      <c r="B121" s="2">
        <f t="shared" si="14"/>
        <v>8</v>
      </c>
      <c r="C121" s="2">
        <f t="shared" si="15"/>
        <v>2</v>
      </c>
      <c r="D121" s="2">
        <f t="shared" si="16"/>
        <v>37</v>
      </c>
      <c r="E121" s="1">
        <f t="shared" si="13"/>
        <v>160308.48191758338</v>
      </c>
      <c r="G121" s="1">
        <f t="shared" si="9"/>
        <v>1155.3950594990797</v>
      </c>
      <c r="H121" s="1">
        <v>0</v>
      </c>
      <c r="I121" s="1">
        <f t="shared" si="10"/>
        <v>-161.46387697708246</v>
      </c>
      <c r="J121" s="1">
        <f t="shared" si="11"/>
        <v>161302.41310010539</v>
      </c>
      <c r="M121" s="7"/>
      <c r="N121" s="1"/>
    </row>
    <row r="122" spans="1:14">
      <c r="A122" s="1">
        <f t="shared" si="12"/>
        <v>99</v>
      </c>
      <c r="B122" s="2">
        <f t="shared" si="14"/>
        <v>8</v>
      </c>
      <c r="C122" s="2">
        <f t="shared" si="15"/>
        <v>3</v>
      </c>
      <c r="D122" s="2">
        <f t="shared" si="16"/>
        <v>37</v>
      </c>
      <c r="E122" s="1">
        <f t="shared" si="13"/>
        <v>161302.41310010539</v>
      </c>
      <c r="G122" s="1">
        <f t="shared" si="9"/>
        <v>1162.5586428855061</v>
      </c>
      <c r="H122" s="69">
        <f>-SUM(E122:G122)*$H$21</f>
        <v>-1462.1847456869182</v>
      </c>
      <c r="I122" s="1">
        <f t="shared" si="10"/>
        <v>-162.46497174299088</v>
      </c>
      <c r="J122" s="1">
        <f t="shared" si="11"/>
        <v>160840.32202556098</v>
      </c>
      <c r="M122" s="7"/>
      <c r="N122" s="1"/>
    </row>
    <row r="123" spans="1:14">
      <c r="A123" s="1">
        <f t="shared" si="12"/>
        <v>100</v>
      </c>
      <c r="B123" s="2">
        <f t="shared" si="14"/>
        <v>8</v>
      </c>
      <c r="C123" s="2">
        <f t="shared" si="15"/>
        <v>4</v>
      </c>
      <c r="D123" s="2">
        <f t="shared" si="16"/>
        <v>37</v>
      </c>
      <c r="E123" s="1">
        <f t="shared" si="13"/>
        <v>160840.32202556098</v>
      </c>
      <c r="G123" s="1">
        <f t="shared" si="9"/>
        <v>1159.2282031097634</v>
      </c>
      <c r="H123" s="1">
        <v>0</v>
      </c>
      <c r="I123" s="1">
        <f t="shared" si="10"/>
        <v>-161.99955022867073</v>
      </c>
      <c r="J123" s="1">
        <f t="shared" si="11"/>
        <v>161837.55067844206</v>
      </c>
      <c r="M123" s="7"/>
      <c r="N123" s="1"/>
    </row>
    <row r="124" spans="1:14">
      <c r="A124" s="1">
        <f t="shared" si="12"/>
        <v>101</v>
      </c>
      <c r="B124" s="2">
        <f t="shared" si="14"/>
        <v>8</v>
      </c>
      <c r="C124" s="2">
        <f t="shared" si="15"/>
        <v>5</v>
      </c>
      <c r="D124" s="2">
        <f t="shared" si="16"/>
        <v>37</v>
      </c>
      <c r="E124" s="1">
        <f t="shared" si="13"/>
        <v>161837.55067844206</v>
      </c>
      <c r="G124" s="1">
        <f t="shared" si="9"/>
        <v>1166.4155524311927</v>
      </c>
      <c r="H124" s="1">
        <v>0</v>
      </c>
      <c r="I124" s="1">
        <f t="shared" si="10"/>
        <v>-163.00396623087326</v>
      </c>
      <c r="J124" s="1">
        <f t="shared" si="11"/>
        <v>162840.96226464238</v>
      </c>
      <c r="M124" s="7"/>
      <c r="N124" s="1"/>
    </row>
    <row r="125" spans="1:14">
      <c r="A125" s="1">
        <f t="shared" si="12"/>
        <v>102</v>
      </c>
      <c r="B125" s="2">
        <f t="shared" si="14"/>
        <v>8</v>
      </c>
      <c r="C125" s="2">
        <f t="shared" si="15"/>
        <v>6</v>
      </c>
      <c r="D125" s="2">
        <f t="shared" si="16"/>
        <v>37</v>
      </c>
      <c r="E125" s="1">
        <f t="shared" si="13"/>
        <v>162840.96226464238</v>
      </c>
      <c r="G125" s="1">
        <f t="shared" si="9"/>
        <v>1173.6474641520961</v>
      </c>
      <c r="H125" s="69">
        <f>-SUM(E125:G125)*$H$21</f>
        <v>-1476.1314875591506</v>
      </c>
      <c r="I125" s="1">
        <f t="shared" si="10"/>
        <v>-164.01460972879448</v>
      </c>
      <c r="J125" s="1">
        <f t="shared" si="11"/>
        <v>162374.46363150654</v>
      </c>
      <c r="M125" s="7"/>
      <c r="N125" s="1"/>
    </row>
    <row r="126" spans="1:14">
      <c r="A126" s="1">
        <f t="shared" si="12"/>
        <v>103</v>
      </c>
      <c r="B126" s="2">
        <f t="shared" si="14"/>
        <v>8</v>
      </c>
      <c r="C126" s="2">
        <f t="shared" si="15"/>
        <v>7</v>
      </c>
      <c r="D126" s="2">
        <f t="shared" si="16"/>
        <v>37</v>
      </c>
      <c r="E126" s="1">
        <f t="shared" si="13"/>
        <v>162374.46363150654</v>
      </c>
      <c r="G126" s="1">
        <f t="shared" si="9"/>
        <v>1170.2852576765504</v>
      </c>
      <c r="H126" s="1">
        <v>0</v>
      </c>
      <c r="I126" s="1">
        <f t="shared" si="10"/>
        <v>-163.5447488891831</v>
      </c>
      <c r="J126" s="1">
        <f t="shared" si="11"/>
        <v>163381.20414029391</v>
      </c>
      <c r="M126" s="7"/>
      <c r="N126" s="1"/>
    </row>
    <row r="127" spans="1:14">
      <c r="A127" s="1">
        <f t="shared" si="12"/>
        <v>104</v>
      </c>
      <c r="B127" s="2">
        <f t="shared" si="14"/>
        <v>8</v>
      </c>
      <c r="C127" s="2">
        <f t="shared" si="15"/>
        <v>8</v>
      </c>
      <c r="D127" s="2">
        <f t="shared" si="16"/>
        <v>37</v>
      </c>
      <c r="E127" s="1">
        <f t="shared" si="13"/>
        <v>163381.20414029391</v>
      </c>
      <c r="G127" s="1">
        <f t="shared" si="9"/>
        <v>1177.5411620188327</v>
      </c>
      <c r="H127" s="1">
        <v>0</v>
      </c>
      <c r="I127" s="1">
        <f t="shared" si="10"/>
        <v>-164.55874530231276</v>
      </c>
      <c r="J127" s="1">
        <f t="shared" si="11"/>
        <v>164394.18655701043</v>
      </c>
      <c r="M127" s="7"/>
      <c r="N127" s="1"/>
    </row>
    <row r="128" spans="1:14">
      <c r="A128" s="1">
        <f t="shared" si="12"/>
        <v>105</v>
      </c>
      <c r="B128" s="2">
        <f t="shared" si="14"/>
        <v>8</v>
      </c>
      <c r="C128" s="2">
        <f t="shared" si="15"/>
        <v>9</v>
      </c>
      <c r="D128" s="2">
        <f t="shared" si="16"/>
        <v>37</v>
      </c>
      <c r="E128" s="1">
        <f t="shared" si="13"/>
        <v>164394.18655701043</v>
      </c>
      <c r="G128" s="1">
        <f t="shared" si="9"/>
        <v>1184.8420538096702</v>
      </c>
      <c r="H128" s="69">
        <f>-SUM(E128:G128)*$H$21</f>
        <v>-1490.211257497381</v>
      </c>
      <c r="I128" s="1">
        <f t="shared" si="10"/>
        <v>-165.5790286108201</v>
      </c>
      <c r="J128" s="1">
        <f t="shared" si="11"/>
        <v>163923.23832471191</v>
      </c>
      <c r="M128" s="7"/>
      <c r="N128" s="1"/>
    </row>
    <row r="129" spans="1:14">
      <c r="A129" s="1">
        <f t="shared" si="12"/>
        <v>106</v>
      </c>
      <c r="B129" s="2">
        <f t="shared" si="14"/>
        <v>8</v>
      </c>
      <c r="C129" s="2">
        <f t="shared" si="15"/>
        <v>10</v>
      </c>
      <c r="D129" s="2">
        <f t="shared" si="16"/>
        <v>37</v>
      </c>
      <c r="E129" s="1">
        <f t="shared" si="13"/>
        <v>163923.23832471191</v>
      </c>
      <c r="G129" s="1">
        <f t="shared" si="9"/>
        <v>1181.4477776343317</v>
      </c>
      <c r="H129" s="1">
        <v>0</v>
      </c>
      <c r="I129" s="1">
        <f t="shared" si="10"/>
        <v>-165.10468610234625</v>
      </c>
      <c r="J129" s="1">
        <f t="shared" si="11"/>
        <v>164939.58141624392</v>
      </c>
      <c r="M129" s="7"/>
      <c r="N129" s="1"/>
    </row>
    <row r="130" spans="1:14">
      <c r="A130" s="1">
        <f t="shared" si="12"/>
        <v>107</v>
      </c>
      <c r="B130" s="2">
        <f t="shared" si="14"/>
        <v>8</v>
      </c>
      <c r="C130" s="2">
        <f t="shared" si="15"/>
        <v>11</v>
      </c>
      <c r="D130" s="2">
        <f t="shared" si="16"/>
        <v>37</v>
      </c>
      <c r="E130" s="1">
        <f t="shared" si="13"/>
        <v>164939.58141624392</v>
      </c>
      <c r="G130" s="1">
        <f t="shared" si="9"/>
        <v>1188.7728908951249</v>
      </c>
      <c r="H130" s="1">
        <v>0</v>
      </c>
      <c r="I130" s="1">
        <f t="shared" si="10"/>
        <v>-166.12835430713906</v>
      </c>
      <c r="J130" s="1">
        <f t="shared" si="11"/>
        <v>165962.22595283191</v>
      </c>
      <c r="M130" s="7"/>
      <c r="N130" s="1"/>
    </row>
    <row r="131" spans="1:14">
      <c r="A131" s="1">
        <f t="shared" si="12"/>
        <v>108</v>
      </c>
      <c r="B131" s="2">
        <f t="shared" si="14"/>
        <v>8</v>
      </c>
      <c r="C131" s="2">
        <f t="shared" si="15"/>
        <v>12</v>
      </c>
      <c r="D131" s="2">
        <f t="shared" si="16"/>
        <v>37</v>
      </c>
      <c r="E131" s="1">
        <f t="shared" si="13"/>
        <v>165962.22595283191</v>
      </c>
      <c r="G131" s="1">
        <f t="shared" si="9"/>
        <v>1196.1434207077955</v>
      </c>
      <c r="H131" s="69">
        <f>-SUM(E131:G131)*$H$21</f>
        <v>-1504.4253243618575</v>
      </c>
      <c r="I131" s="1">
        <f t="shared" si="10"/>
        <v>-167.1583693735397</v>
      </c>
      <c r="J131" s="1">
        <f t="shared" si="11"/>
        <v>165486.78567980431</v>
      </c>
      <c r="M131" s="7"/>
      <c r="N131" s="1"/>
    </row>
    <row r="132" spans="1:14">
      <c r="A132" s="1">
        <f t="shared" si="12"/>
        <v>109</v>
      </c>
      <c r="B132" s="2">
        <f t="shared" si="14"/>
        <v>9</v>
      </c>
      <c r="C132" s="2">
        <f t="shared" si="15"/>
        <v>1</v>
      </c>
      <c r="D132" s="2">
        <f t="shared" si="16"/>
        <v>38</v>
      </c>
      <c r="E132" s="1">
        <f t="shared" si="13"/>
        <v>165486.78567980431</v>
      </c>
      <c r="G132" s="1">
        <f t="shared" si="9"/>
        <v>1192.716768942573</v>
      </c>
      <c r="H132" s="1">
        <v>0</v>
      </c>
      <c r="I132" s="1">
        <f t="shared" si="10"/>
        <v>-166.67950244874689</v>
      </c>
      <c r="J132" s="1">
        <f t="shared" si="11"/>
        <v>166512.82294629814</v>
      </c>
      <c r="M132" s="7"/>
      <c r="N132" s="1"/>
    </row>
    <row r="133" spans="1:14">
      <c r="A133" s="1">
        <f t="shared" si="12"/>
        <v>110</v>
      </c>
      <c r="B133" s="2">
        <f t="shared" si="14"/>
        <v>9</v>
      </c>
      <c r="C133" s="2">
        <f t="shared" si="15"/>
        <v>2</v>
      </c>
      <c r="D133" s="2">
        <f t="shared" si="16"/>
        <v>38</v>
      </c>
      <c r="E133" s="1">
        <f t="shared" si="13"/>
        <v>166512.82294629814</v>
      </c>
      <c r="G133" s="1">
        <f t="shared" si="9"/>
        <v>1200.1117512565993</v>
      </c>
      <c r="H133" s="1">
        <v>0</v>
      </c>
      <c r="I133" s="1">
        <f t="shared" si="10"/>
        <v>-167.71293469755474</v>
      </c>
      <c r="J133" s="1">
        <f t="shared" si="11"/>
        <v>167545.2217628572</v>
      </c>
      <c r="M133" s="7"/>
      <c r="N133" s="1"/>
    </row>
    <row r="134" spans="1:14">
      <c r="A134" s="1">
        <f t="shared" si="12"/>
        <v>111</v>
      </c>
      <c r="B134" s="2">
        <f t="shared" si="14"/>
        <v>9</v>
      </c>
      <c r="C134" s="2">
        <f t="shared" si="15"/>
        <v>3</v>
      </c>
      <c r="D134" s="2">
        <f t="shared" si="16"/>
        <v>38</v>
      </c>
      <c r="E134" s="1">
        <f t="shared" si="13"/>
        <v>167545.2217628572</v>
      </c>
      <c r="G134" s="1">
        <f t="shared" si="9"/>
        <v>1207.5525833187373</v>
      </c>
      <c r="H134" s="69">
        <f>-SUM(E134:G134)*$H$21</f>
        <v>-1518.7749691155834</v>
      </c>
      <c r="I134" s="1">
        <f t="shared" si="10"/>
        <v>-168.75277434617593</v>
      </c>
      <c r="J134" s="1">
        <f t="shared" si="11"/>
        <v>167065.24660271415</v>
      </c>
      <c r="M134" s="7"/>
      <c r="N134" s="1"/>
    </row>
    <row r="135" spans="1:14">
      <c r="A135" s="1">
        <f t="shared" si="12"/>
        <v>112</v>
      </c>
      <c r="B135" s="2">
        <f t="shared" si="14"/>
        <v>9</v>
      </c>
      <c r="C135" s="2">
        <f t="shared" si="15"/>
        <v>4</v>
      </c>
      <c r="D135" s="2">
        <f t="shared" si="16"/>
        <v>38</v>
      </c>
      <c r="E135" s="1">
        <f t="shared" si="13"/>
        <v>167065.24660271415</v>
      </c>
      <c r="G135" s="1">
        <f t="shared" si="9"/>
        <v>1204.0932471558719</v>
      </c>
      <c r="H135" s="1">
        <v>0</v>
      </c>
      <c r="I135" s="1">
        <f t="shared" si="10"/>
        <v>-168.26933984987002</v>
      </c>
      <c r="J135" s="1">
        <f t="shared" si="11"/>
        <v>168101.07051002013</v>
      </c>
      <c r="M135" s="7"/>
      <c r="N135" s="1"/>
    </row>
    <row r="136" spans="1:14">
      <c r="A136" s="1">
        <f t="shared" si="12"/>
        <v>113</v>
      </c>
      <c r="B136" s="2">
        <f t="shared" si="14"/>
        <v>9</v>
      </c>
      <c r="C136" s="2">
        <f t="shared" si="15"/>
        <v>5</v>
      </c>
      <c r="D136" s="2">
        <f t="shared" si="16"/>
        <v>38</v>
      </c>
      <c r="E136" s="1">
        <f t="shared" si="13"/>
        <v>168101.07051002013</v>
      </c>
      <c r="G136" s="1">
        <f t="shared" si="9"/>
        <v>1211.5587649544102</v>
      </c>
      <c r="H136" s="1">
        <v>0</v>
      </c>
      <c r="I136" s="1">
        <f t="shared" si="10"/>
        <v>-169.31262927497454</v>
      </c>
      <c r="J136" s="1">
        <f t="shared" si="11"/>
        <v>169143.31664569958</v>
      </c>
      <c r="M136" s="7"/>
      <c r="N136" s="1"/>
    </row>
    <row r="137" spans="1:14">
      <c r="A137" s="1">
        <f t="shared" si="12"/>
        <v>114</v>
      </c>
      <c r="B137" s="2">
        <f t="shared" si="14"/>
        <v>9</v>
      </c>
      <c r="C137" s="2">
        <f t="shared" si="15"/>
        <v>6</v>
      </c>
      <c r="D137" s="2">
        <f t="shared" si="16"/>
        <v>38</v>
      </c>
      <c r="E137" s="1">
        <f t="shared" si="13"/>
        <v>169143.31664569958</v>
      </c>
      <c r="G137" s="1">
        <f t="shared" si="9"/>
        <v>1219.0705698292461</v>
      </c>
      <c r="H137" s="69">
        <f>-SUM(E137:G137)*$H$21</f>
        <v>-1533.2614849397598</v>
      </c>
      <c r="I137" s="1">
        <f t="shared" si="10"/>
        <v>-170.36238721552886</v>
      </c>
      <c r="J137" s="1">
        <f t="shared" si="11"/>
        <v>168658.76334337358</v>
      </c>
      <c r="M137" s="7"/>
      <c r="N137" s="1"/>
    </row>
    <row r="138" spans="1:14">
      <c r="A138" s="1">
        <f t="shared" si="12"/>
        <v>115</v>
      </c>
      <c r="B138" s="2">
        <f t="shared" si="14"/>
        <v>9</v>
      </c>
      <c r="C138" s="2">
        <f t="shared" si="15"/>
        <v>7</v>
      </c>
      <c r="D138" s="2">
        <f t="shared" si="16"/>
        <v>38</v>
      </c>
      <c r="E138" s="1">
        <f t="shared" si="13"/>
        <v>168658.76334337358</v>
      </c>
      <c r="G138" s="1">
        <f t="shared" si="9"/>
        <v>1215.5782375154809</v>
      </c>
      <c r="H138" s="1">
        <v>0</v>
      </c>
      <c r="I138" s="1">
        <f t="shared" si="10"/>
        <v>-169.87434158088905</v>
      </c>
      <c r="J138" s="1">
        <f t="shared" si="11"/>
        <v>169704.46723930814</v>
      </c>
      <c r="M138" s="7"/>
      <c r="N138" s="1"/>
    </row>
    <row r="139" spans="1:14">
      <c r="A139" s="1">
        <f t="shared" si="12"/>
        <v>116</v>
      </c>
      <c r="B139" s="2">
        <f t="shared" si="14"/>
        <v>9</v>
      </c>
      <c r="C139" s="2">
        <f t="shared" si="15"/>
        <v>8</v>
      </c>
      <c r="D139" s="2">
        <f t="shared" si="16"/>
        <v>38</v>
      </c>
      <c r="E139" s="1">
        <f t="shared" si="13"/>
        <v>169704.46723930814</v>
      </c>
      <c r="G139" s="1">
        <f t="shared" si="9"/>
        <v>1223.1149635864249</v>
      </c>
      <c r="H139" s="1">
        <v>0</v>
      </c>
      <c r="I139" s="1">
        <f t="shared" si="10"/>
        <v>-170.92758220289457</v>
      </c>
      <c r="J139" s="1">
        <f t="shared" si="11"/>
        <v>170756.65462069167</v>
      </c>
      <c r="M139" s="7"/>
      <c r="N139" s="1"/>
    </row>
    <row r="140" spans="1:14">
      <c r="A140" s="1">
        <f t="shared" si="12"/>
        <v>117</v>
      </c>
      <c r="B140" s="2">
        <f t="shared" si="14"/>
        <v>9</v>
      </c>
      <c r="C140" s="2">
        <f t="shared" si="15"/>
        <v>9</v>
      </c>
      <c r="D140" s="2">
        <f t="shared" si="16"/>
        <v>38</v>
      </c>
      <c r="E140" s="1">
        <f t="shared" si="13"/>
        <v>170756.65462069167</v>
      </c>
      <c r="G140" s="1">
        <f t="shared" si="9"/>
        <v>1230.6984182332153</v>
      </c>
      <c r="H140" s="69">
        <f>-SUM(E140:G140)*$H$21</f>
        <v>-1547.8861773503243</v>
      </c>
      <c r="I140" s="1">
        <f t="shared" si="10"/>
        <v>-171.98735303892491</v>
      </c>
      <c r="J140" s="1">
        <f t="shared" si="11"/>
        <v>170267.47950853565</v>
      </c>
      <c r="M140" s="7"/>
      <c r="N140" s="1"/>
    </row>
    <row r="141" spans="1:14">
      <c r="A141" s="1">
        <f t="shared" si="12"/>
        <v>118</v>
      </c>
      <c r="B141" s="2">
        <f t="shared" si="14"/>
        <v>9</v>
      </c>
      <c r="C141" s="2">
        <f t="shared" si="15"/>
        <v>10</v>
      </c>
      <c r="D141" s="2">
        <f t="shared" si="16"/>
        <v>38</v>
      </c>
      <c r="E141" s="1">
        <f t="shared" si="13"/>
        <v>170267.47950853565</v>
      </c>
      <c r="G141" s="1">
        <f t="shared" si="9"/>
        <v>1227.1727750416994</v>
      </c>
      <c r="H141" s="1">
        <v>0</v>
      </c>
      <c r="I141" s="1">
        <f t="shared" si="10"/>
        <v>-171.49465228357735</v>
      </c>
      <c r="J141" s="1">
        <f t="shared" si="11"/>
        <v>171323.15763129375</v>
      </c>
      <c r="M141" s="7"/>
      <c r="N141" s="1"/>
    </row>
    <row r="142" spans="1:14">
      <c r="A142" s="1">
        <f t="shared" si="12"/>
        <v>119</v>
      </c>
      <c r="B142" s="2">
        <f t="shared" si="14"/>
        <v>9</v>
      </c>
      <c r="C142" s="2">
        <f t="shared" si="15"/>
        <v>11</v>
      </c>
      <c r="D142" s="2">
        <f t="shared" si="16"/>
        <v>38</v>
      </c>
      <c r="E142" s="1">
        <f t="shared" si="13"/>
        <v>171323.15763129375</v>
      </c>
      <c r="G142" s="1">
        <f t="shared" si="9"/>
        <v>1234.7813885901894</v>
      </c>
      <c r="H142" s="1">
        <v>0</v>
      </c>
      <c r="I142" s="1">
        <f t="shared" si="10"/>
        <v>-172.55793901988395</v>
      </c>
      <c r="J142" s="1">
        <f t="shared" si="11"/>
        <v>172385.38108086406</v>
      </c>
      <c r="M142" s="7"/>
      <c r="N142" s="1"/>
    </row>
    <row r="143" spans="1:14">
      <c r="A143" s="1">
        <f t="shared" si="12"/>
        <v>120</v>
      </c>
      <c r="B143" s="2">
        <f t="shared" si="14"/>
        <v>9</v>
      </c>
      <c r="C143" s="2">
        <f t="shared" si="15"/>
        <v>12</v>
      </c>
      <c r="D143" s="2">
        <f t="shared" si="16"/>
        <v>38</v>
      </c>
      <c r="E143" s="1">
        <f t="shared" si="13"/>
        <v>172385.38108086406</v>
      </c>
      <c r="G143" s="1">
        <f t="shared" si="9"/>
        <v>1242.4371764252246</v>
      </c>
      <c r="H143" s="69">
        <f>-SUM(E143:G143)*$H$21</f>
        <v>-1562.6503643156036</v>
      </c>
      <c r="I143" s="1">
        <f t="shared" si="10"/>
        <v>-173.62781825728928</v>
      </c>
      <c r="J143" s="1">
        <f t="shared" si="11"/>
        <v>171891.54007471638</v>
      </c>
      <c r="M143" s="7"/>
      <c r="N143" s="1"/>
    </row>
    <row r="144" spans="1:14">
      <c r="A144" s="1">
        <f t="shared" si="12"/>
        <v>121</v>
      </c>
      <c r="B144" s="2">
        <f t="shared" si="14"/>
        <v>10</v>
      </c>
      <c r="C144" s="2">
        <f t="shared" si="15"/>
        <v>1</v>
      </c>
      <c r="D144" s="2">
        <f t="shared" si="16"/>
        <v>39</v>
      </c>
      <c r="E144" s="1">
        <f t="shared" si="13"/>
        <v>171891.54007471638</v>
      </c>
      <c r="G144" s="1">
        <f t="shared" si="9"/>
        <v>1238.877904627152</v>
      </c>
      <c r="H144" s="1">
        <v>0</v>
      </c>
      <c r="I144" s="1">
        <f t="shared" si="10"/>
        <v>-173.13041797934355</v>
      </c>
      <c r="J144" s="1">
        <f t="shared" si="11"/>
        <v>172957.28756136418</v>
      </c>
      <c r="M144" s="7"/>
      <c r="N144" s="1"/>
    </row>
    <row r="145" spans="1:14">
      <c r="A145" s="1">
        <f t="shared" si="12"/>
        <v>122</v>
      </c>
      <c r="B145" s="2">
        <f t="shared" si="14"/>
        <v>10</v>
      </c>
      <c r="C145" s="2">
        <f t="shared" si="15"/>
        <v>2</v>
      </c>
      <c r="D145" s="2">
        <f t="shared" si="16"/>
        <v>39</v>
      </c>
      <c r="E145" s="1">
        <f t="shared" si="13"/>
        <v>172957.28756136418</v>
      </c>
      <c r="G145" s="1">
        <f t="shared" si="9"/>
        <v>1246.5590913367828</v>
      </c>
      <c r="H145" s="1">
        <v>0</v>
      </c>
      <c r="I145" s="1">
        <f t="shared" si="10"/>
        <v>-174.20384665270097</v>
      </c>
      <c r="J145" s="1">
        <f t="shared" si="11"/>
        <v>174029.64280604827</v>
      </c>
      <c r="M145" s="7"/>
      <c r="N145" s="1"/>
    </row>
    <row r="146" spans="1:14">
      <c r="A146" s="1">
        <f t="shared" si="12"/>
        <v>123</v>
      </c>
      <c r="B146" s="2">
        <f t="shared" si="14"/>
        <v>10</v>
      </c>
      <c r="C146" s="2">
        <f t="shared" si="15"/>
        <v>3</v>
      </c>
      <c r="D146" s="2">
        <f t="shared" si="16"/>
        <v>39</v>
      </c>
      <c r="E146" s="1">
        <f t="shared" si="13"/>
        <v>174029.64280604827</v>
      </c>
      <c r="G146" s="1">
        <f t="shared" si="9"/>
        <v>1254.287902294976</v>
      </c>
      <c r="H146" s="69">
        <f>-SUM(E146:G146)*$H$21</f>
        <v>-1577.5553763750895</v>
      </c>
      <c r="I146" s="1">
        <f t="shared" si="10"/>
        <v>-175.28393070834326</v>
      </c>
      <c r="J146" s="1">
        <f t="shared" si="11"/>
        <v>173531.09140125982</v>
      </c>
      <c r="M146" s="7"/>
      <c r="N146" s="1"/>
    </row>
    <row r="147" spans="1:14">
      <c r="A147" s="1">
        <f t="shared" si="12"/>
        <v>124</v>
      </c>
      <c r="B147" s="2">
        <f t="shared" si="14"/>
        <v>10</v>
      </c>
      <c r="C147" s="2">
        <f t="shared" si="15"/>
        <v>4</v>
      </c>
      <c r="D147" s="2">
        <f t="shared" si="16"/>
        <v>39</v>
      </c>
      <c r="E147" s="1">
        <f t="shared" si="13"/>
        <v>173531.09140125982</v>
      </c>
      <c r="G147" s="1">
        <f t="shared" si="9"/>
        <v>1250.6946811309515</v>
      </c>
      <c r="H147" s="1">
        <v>0</v>
      </c>
      <c r="I147" s="1">
        <f t="shared" si="10"/>
        <v>-174.78178608239079</v>
      </c>
      <c r="J147" s="1">
        <f t="shared" si="11"/>
        <v>174607.00429630838</v>
      </c>
      <c r="M147" s="7"/>
      <c r="N147" s="1"/>
    </row>
    <row r="148" spans="1:14">
      <c r="A148" s="1">
        <f t="shared" si="12"/>
        <v>125</v>
      </c>
      <c r="B148" s="2">
        <f t="shared" si="14"/>
        <v>10</v>
      </c>
      <c r="C148" s="2">
        <f t="shared" si="15"/>
        <v>5</v>
      </c>
      <c r="D148" s="2">
        <f t="shared" si="16"/>
        <v>39</v>
      </c>
      <c r="E148" s="1">
        <f t="shared" si="13"/>
        <v>174607.00429630838</v>
      </c>
      <c r="G148" s="1">
        <f t="shared" si="9"/>
        <v>1258.449133225567</v>
      </c>
      <c r="H148" s="1">
        <v>0</v>
      </c>
      <c r="I148" s="1">
        <f t="shared" si="10"/>
        <v>-175.86545342953397</v>
      </c>
      <c r="J148" s="1">
        <f t="shared" si="11"/>
        <v>175689.58797610443</v>
      </c>
      <c r="M148" s="7"/>
      <c r="N148" s="1"/>
    </row>
    <row r="149" spans="1:14">
      <c r="A149" s="1">
        <f t="shared" si="12"/>
        <v>126</v>
      </c>
      <c r="B149" s="2">
        <f t="shared" si="14"/>
        <v>10</v>
      </c>
      <c r="C149" s="2">
        <f t="shared" si="15"/>
        <v>6</v>
      </c>
      <c r="D149" s="2">
        <f t="shared" si="16"/>
        <v>39</v>
      </c>
      <c r="E149" s="1">
        <f t="shared" si="13"/>
        <v>175689.58797610443</v>
      </c>
      <c r="G149" s="1">
        <f t="shared" si="9"/>
        <v>1266.2516638226302</v>
      </c>
      <c r="H149" s="69">
        <f>-SUM(E149:G149)*$H$21</f>
        <v>-1592.6025567593438</v>
      </c>
      <c r="I149" s="1">
        <f t="shared" si="10"/>
        <v>-176.95583963992706</v>
      </c>
      <c r="J149" s="1">
        <f t="shared" si="11"/>
        <v>175186.28124352777</v>
      </c>
      <c r="M149" s="7"/>
      <c r="N149" s="1"/>
    </row>
    <row r="150" spans="1:14">
      <c r="A150" s="1">
        <f t="shared" si="12"/>
        <v>127</v>
      </c>
      <c r="B150" s="2">
        <f t="shared" si="14"/>
        <v>10</v>
      </c>
      <c r="C150" s="2">
        <f t="shared" si="15"/>
        <v>7</v>
      </c>
      <c r="D150" s="2">
        <f t="shared" si="16"/>
        <v>39</v>
      </c>
      <c r="E150" s="1">
        <f t="shared" si="13"/>
        <v>175186.28124352777</v>
      </c>
      <c r="G150" s="1">
        <f t="shared" si="9"/>
        <v>1262.6241694737619</v>
      </c>
      <c r="H150" s="1">
        <v>0</v>
      </c>
      <c r="I150" s="1">
        <f t="shared" si="10"/>
        <v>-176.44890541300154</v>
      </c>
      <c r="J150" s="1">
        <f t="shared" si="11"/>
        <v>176272.45650758853</v>
      </c>
      <c r="M150" s="7"/>
      <c r="N150" s="1"/>
    </row>
    <row r="151" spans="1:14">
      <c r="A151" s="1">
        <f t="shared" si="12"/>
        <v>128</v>
      </c>
      <c r="B151" s="2">
        <f t="shared" si="14"/>
        <v>10</v>
      </c>
      <c r="C151" s="2">
        <f t="shared" si="15"/>
        <v>8</v>
      </c>
      <c r="D151" s="2">
        <f t="shared" si="16"/>
        <v>39</v>
      </c>
      <c r="E151" s="1">
        <f t="shared" si="13"/>
        <v>176272.45650758853</v>
      </c>
      <c r="G151" s="1">
        <f t="shared" si="9"/>
        <v>1270.452585779838</v>
      </c>
      <c r="H151" s="1">
        <v>0</v>
      </c>
      <c r="I151" s="1">
        <f t="shared" si="10"/>
        <v>-177.54290909336837</v>
      </c>
      <c r="J151" s="1">
        <f t="shared" si="11"/>
        <v>177365.36618427499</v>
      </c>
      <c r="M151" s="7"/>
      <c r="N151" s="1"/>
    </row>
    <row r="152" spans="1:14">
      <c r="A152" s="1">
        <f t="shared" si="12"/>
        <v>129</v>
      </c>
      <c r="B152" s="2">
        <f t="shared" si="14"/>
        <v>10</v>
      </c>
      <c r="C152" s="2">
        <f t="shared" si="15"/>
        <v>9</v>
      </c>
      <c r="D152" s="2">
        <f t="shared" si="16"/>
        <v>39</v>
      </c>
      <c r="E152" s="1">
        <f t="shared" si="13"/>
        <v>177365.36618427499</v>
      </c>
      <c r="G152" s="1">
        <f t="shared" ref="G152:G215" si="17">SUM(E152:F152)*$F$8</f>
        <v>1278.3295391750517</v>
      </c>
      <c r="H152" s="69">
        <f>-SUM(E152:G152)*$H$21</f>
        <v>-1607.7932615110506</v>
      </c>
      <c r="I152" s="1">
        <f t="shared" ref="I152:I215" si="18">-SUM(E152:G152)*0.1%</f>
        <v>-178.64369572345004</v>
      </c>
      <c r="J152" s="1">
        <f t="shared" ref="J152:J215" si="19">SUM(E152:I152)</f>
        <v>176857.25876621556</v>
      </c>
      <c r="M152" s="7"/>
      <c r="N152" s="1"/>
    </row>
    <row r="153" spans="1:14">
      <c r="A153" s="1">
        <f t="shared" ref="A153:A216" si="20">+A152+1</f>
        <v>130</v>
      </c>
      <c r="B153" s="2">
        <f t="shared" si="14"/>
        <v>10</v>
      </c>
      <c r="C153" s="2">
        <f t="shared" si="15"/>
        <v>10</v>
      </c>
      <c r="D153" s="2">
        <f t="shared" si="16"/>
        <v>39</v>
      </c>
      <c r="E153" s="1">
        <f t="shared" ref="E153:E216" si="21">J152</f>
        <v>176857.25876621556</v>
      </c>
      <c r="G153" s="1">
        <f t="shared" si="17"/>
        <v>1274.66744473377</v>
      </c>
      <c r="H153" s="1">
        <v>0</v>
      </c>
      <c r="I153" s="1">
        <f t="shared" si="18"/>
        <v>-178.13192621094933</v>
      </c>
      <c r="J153" s="1">
        <f t="shared" si="19"/>
        <v>177953.79428473837</v>
      </c>
      <c r="M153" s="7"/>
      <c r="N153" s="1"/>
    </row>
    <row r="154" spans="1:14">
      <c r="A154" s="1">
        <f t="shared" si="20"/>
        <v>131</v>
      </c>
      <c r="B154" s="2">
        <f t="shared" si="14"/>
        <v>10</v>
      </c>
      <c r="C154" s="2">
        <f t="shared" si="15"/>
        <v>11</v>
      </c>
      <c r="D154" s="2">
        <f t="shared" si="16"/>
        <v>39</v>
      </c>
      <c r="E154" s="1">
        <f t="shared" si="21"/>
        <v>177953.79428473837</v>
      </c>
      <c r="G154" s="1">
        <f t="shared" si="17"/>
        <v>1282.5705307433914</v>
      </c>
      <c r="H154" s="1">
        <v>0</v>
      </c>
      <c r="I154" s="1">
        <f t="shared" si="18"/>
        <v>-179.23636481548178</v>
      </c>
      <c r="J154" s="1">
        <f t="shared" si="19"/>
        <v>179057.12845066629</v>
      </c>
      <c r="M154" s="7"/>
      <c r="N154" s="1"/>
    </row>
    <row r="155" spans="1:14">
      <c r="A155" s="1">
        <f t="shared" si="20"/>
        <v>132</v>
      </c>
      <c r="B155" s="2">
        <f t="shared" si="14"/>
        <v>10</v>
      </c>
      <c r="C155" s="2">
        <f t="shared" si="15"/>
        <v>12</v>
      </c>
      <c r="D155" s="2">
        <f t="shared" si="16"/>
        <v>39</v>
      </c>
      <c r="E155" s="1">
        <f t="shared" si="21"/>
        <v>179057.12845066629</v>
      </c>
      <c r="G155" s="1">
        <f t="shared" si="17"/>
        <v>1290.522616802974</v>
      </c>
      <c r="H155" s="69">
        <f>-SUM(E155:G155)*$H$21</f>
        <v>-1623.1288596072236</v>
      </c>
      <c r="I155" s="1">
        <f t="shared" si="18"/>
        <v>-180.34765106746929</v>
      </c>
      <c r="J155" s="1">
        <f t="shared" si="19"/>
        <v>178544.17455679458</v>
      </c>
      <c r="M155" s="7"/>
      <c r="N155" s="1"/>
    </row>
    <row r="156" spans="1:14">
      <c r="A156" s="1">
        <f t="shared" si="20"/>
        <v>133</v>
      </c>
      <c r="B156" s="2">
        <f t="shared" si="14"/>
        <v>11</v>
      </c>
      <c r="C156" s="2">
        <f t="shared" si="15"/>
        <v>1</v>
      </c>
      <c r="D156" s="2">
        <f t="shared" si="16"/>
        <v>40</v>
      </c>
      <c r="E156" s="1">
        <f t="shared" si="21"/>
        <v>178544.17455679458</v>
      </c>
      <c r="G156" s="1">
        <f t="shared" si="17"/>
        <v>1286.8255922435692</v>
      </c>
      <c r="H156" s="1">
        <v>0</v>
      </c>
      <c r="I156" s="1">
        <f t="shared" si="18"/>
        <v>-179.83100014903815</v>
      </c>
      <c r="J156" s="1">
        <f t="shared" si="19"/>
        <v>179651.16914888911</v>
      </c>
      <c r="M156" s="7"/>
      <c r="N156" s="1"/>
    </row>
    <row r="157" spans="1:14">
      <c r="A157" s="1">
        <f t="shared" si="20"/>
        <v>134</v>
      </c>
      <c r="B157" s="2">
        <f t="shared" si="14"/>
        <v>11</v>
      </c>
      <c r="C157" s="2">
        <f t="shared" si="15"/>
        <v>2</v>
      </c>
      <c r="D157" s="2">
        <f t="shared" si="16"/>
        <v>40</v>
      </c>
      <c r="E157" s="1">
        <f t="shared" si="21"/>
        <v>179651.16914888911</v>
      </c>
      <c r="G157" s="1">
        <f t="shared" si="17"/>
        <v>1294.8040601780094</v>
      </c>
      <c r="H157" s="1">
        <v>0</v>
      </c>
      <c r="I157" s="1">
        <f t="shared" si="18"/>
        <v>-180.94597320906715</v>
      </c>
      <c r="J157" s="1">
        <f t="shared" si="19"/>
        <v>180765.02723585806</v>
      </c>
      <c r="M157" s="7"/>
      <c r="N157" s="1"/>
    </row>
    <row r="158" spans="1:14">
      <c r="A158" s="1">
        <f t="shared" si="20"/>
        <v>135</v>
      </c>
      <c r="B158" s="2">
        <f t="shared" si="14"/>
        <v>11</v>
      </c>
      <c r="C158" s="2">
        <f t="shared" si="15"/>
        <v>3</v>
      </c>
      <c r="D158" s="2">
        <f t="shared" si="16"/>
        <v>40</v>
      </c>
      <c r="E158" s="1">
        <f t="shared" si="21"/>
        <v>180765.02723585806</v>
      </c>
      <c r="G158" s="1">
        <f t="shared" si="17"/>
        <v>1302.8319955390882</v>
      </c>
      <c r="H158" s="69">
        <f>-SUM(E158:G158)*$H$21</f>
        <v>-1638.6107330825744</v>
      </c>
      <c r="I158" s="1">
        <f t="shared" si="18"/>
        <v>-182.06785923139714</v>
      </c>
      <c r="J158" s="1">
        <f t="shared" si="19"/>
        <v>180247.18063908315</v>
      </c>
      <c r="M158" s="7"/>
      <c r="N158" s="1"/>
    </row>
    <row r="159" spans="1:14">
      <c r="A159" s="1">
        <f t="shared" si="20"/>
        <v>136</v>
      </c>
      <c r="B159" s="2">
        <f t="shared" si="14"/>
        <v>11</v>
      </c>
      <c r="C159" s="2">
        <f t="shared" si="15"/>
        <v>4</v>
      </c>
      <c r="D159" s="2">
        <f t="shared" si="16"/>
        <v>40</v>
      </c>
      <c r="E159" s="1">
        <f t="shared" si="21"/>
        <v>180247.18063908315</v>
      </c>
      <c r="G159" s="1">
        <f t="shared" si="17"/>
        <v>1299.0997076879703</v>
      </c>
      <c r="H159" s="1">
        <v>0</v>
      </c>
      <c r="I159" s="1">
        <f t="shared" si="18"/>
        <v>-181.54628034677111</v>
      </c>
      <c r="J159" s="1">
        <f t="shared" si="19"/>
        <v>181364.73406642434</v>
      </c>
      <c r="M159" s="7"/>
      <c r="N159" s="1"/>
    </row>
    <row r="160" spans="1:14">
      <c r="A160" s="1">
        <f t="shared" si="20"/>
        <v>137</v>
      </c>
      <c r="B160" s="2">
        <f t="shared" si="14"/>
        <v>11</v>
      </c>
      <c r="C160" s="2">
        <f t="shared" si="15"/>
        <v>5</v>
      </c>
      <c r="D160" s="2">
        <f t="shared" si="16"/>
        <v>40</v>
      </c>
      <c r="E160" s="1">
        <f t="shared" si="21"/>
        <v>181364.73406642434</v>
      </c>
      <c r="G160" s="1">
        <f t="shared" si="17"/>
        <v>1307.1542765618751</v>
      </c>
      <c r="H160" s="1">
        <v>0</v>
      </c>
      <c r="I160" s="1">
        <f t="shared" si="18"/>
        <v>-182.67188834298619</v>
      </c>
      <c r="J160" s="1">
        <f t="shared" si="19"/>
        <v>182489.2164546432</v>
      </c>
      <c r="M160" s="7"/>
      <c r="N160" s="1"/>
    </row>
    <row r="161" spans="1:14">
      <c r="A161" s="1">
        <f t="shared" si="20"/>
        <v>138</v>
      </c>
      <c r="B161" s="2">
        <f t="shared" si="14"/>
        <v>11</v>
      </c>
      <c r="C161" s="2">
        <f t="shared" si="15"/>
        <v>6</v>
      </c>
      <c r="D161" s="2">
        <f t="shared" si="16"/>
        <v>40</v>
      </c>
      <c r="E161" s="1">
        <f t="shared" si="21"/>
        <v>182489.2164546432</v>
      </c>
      <c r="G161" s="1">
        <f t="shared" si="17"/>
        <v>1315.25878469707</v>
      </c>
      <c r="H161" s="69">
        <f>-SUM(E161:G161)*$H$21</f>
        <v>-1654.2402771540626</v>
      </c>
      <c r="I161" s="1">
        <f t="shared" si="18"/>
        <v>-183.80447523934029</v>
      </c>
      <c r="J161" s="1">
        <f t="shared" si="19"/>
        <v>181966.43048694689</v>
      </c>
      <c r="M161" s="7"/>
      <c r="N161" s="1"/>
    </row>
    <row r="162" spans="1:14">
      <c r="A162" s="1">
        <f t="shared" si="20"/>
        <v>139</v>
      </c>
      <c r="B162" s="2">
        <f t="shared" si="14"/>
        <v>11</v>
      </c>
      <c r="C162" s="2">
        <f t="shared" si="15"/>
        <v>7</v>
      </c>
      <c r="D162" s="2">
        <f t="shared" si="16"/>
        <v>40</v>
      </c>
      <c r="E162" s="1">
        <f t="shared" si="21"/>
        <v>181966.43048694689</v>
      </c>
      <c r="G162" s="1">
        <f t="shared" si="17"/>
        <v>1311.4908972027431</v>
      </c>
      <c r="H162" s="1">
        <v>0</v>
      </c>
      <c r="I162" s="1">
        <f t="shared" si="18"/>
        <v>-183.27792138414964</v>
      </c>
      <c r="J162" s="1">
        <f t="shared" si="19"/>
        <v>183094.6434627655</v>
      </c>
      <c r="M162" s="7"/>
      <c r="N162" s="1"/>
    </row>
    <row r="163" spans="1:14">
      <c r="A163" s="1">
        <f t="shared" si="20"/>
        <v>140</v>
      </c>
      <c r="B163" s="2">
        <f t="shared" si="14"/>
        <v>11</v>
      </c>
      <c r="C163" s="2">
        <f t="shared" si="15"/>
        <v>8</v>
      </c>
      <c r="D163" s="2">
        <f t="shared" si="16"/>
        <v>40</v>
      </c>
      <c r="E163" s="1">
        <f t="shared" si="21"/>
        <v>183094.6434627655</v>
      </c>
      <c r="G163" s="1">
        <f t="shared" si="17"/>
        <v>1319.6222928889285</v>
      </c>
      <c r="H163" s="1">
        <v>0</v>
      </c>
      <c r="I163" s="1">
        <f t="shared" si="18"/>
        <v>-184.41426575565444</v>
      </c>
      <c r="J163" s="1">
        <f t="shared" si="19"/>
        <v>184229.85148989878</v>
      </c>
      <c r="M163" s="7"/>
      <c r="N163" s="1"/>
    </row>
    <row r="164" spans="1:14">
      <c r="A164" s="1">
        <f t="shared" si="20"/>
        <v>141</v>
      </c>
      <c r="B164" s="2">
        <f t="shared" ref="B164:B227" si="22">B152+1</f>
        <v>11</v>
      </c>
      <c r="C164" s="2">
        <f t="shared" ref="C164:C227" si="23">C152</f>
        <v>9</v>
      </c>
      <c r="D164" s="2">
        <f t="shared" ref="D164:D227" si="24">D152+1</f>
        <v>40</v>
      </c>
      <c r="E164" s="1">
        <f t="shared" si="21"/>
        <v>184229.85148989878</v>
      </c>
      <c r="G164" s="1">
        <f t="shared" si="17"/>
        <v>1327.8041041715519</v>
      </c>
      <c r="H164" s="69">
        <f>-SUM(E164:G164)*$H$21</f>
        <v>-1670.018900346633</v>
      </c>
      <c r="I164" s="1">
        <f t="shared" si="18"/>
        <v>-185.55765559407033</v>
      </c>
      <c r="J164" s="1">
        <f t="shared" si="19"/>
        <v>183702.07903812962</v>
      </c>
      <c r="M164" s="7"/>
      <c r="N164" s="1"/>
    </row>
    <row r="165" spans="1:14">
      <c r="A165" s="1">
        <f t="shared" si="20"/>
        <v>142</v>
      </c>
      <c r="B165" s="2">
        <f t="shared" si="22"/>
        <v>11</v>
      </c>
      <c r="C165" s="2">
        <f t="shared" si="23"/>
        <v>10</v>
      </c>
      <c r="D165" s="2">
        <f t="shared" si="24"/>
        <v>40</v>
      </c>
      <c r="E165" s="1">
        <f t="shared" si="21"/>
        <v>183702.07903812962</v>
      </c>
      <c r="G165" s="1">
        <f t="shared" si="17"/>
        <v>1324.0002774743014</v>
      </c>
      <c r="H165" s="1">
        <v>0</v>
      </c>
      <c r="I165" s="1">
        <f t="shared" si="18"/>
        <v>-185.02607931560391</v>
      </c>
      <c r="J165" s="1">
        <f t="shared" si="19"/>
        <v>184841.05323628831</v>
      </c>
      <c r="M165" s="7"/>
      <c r="N165" s="1"/>
    </row>
    <row r="166" spans="1:14">
      <c r="A166" s="1">
        <f t="shared" si="20"/>
        <v>143</v>
      </c>
      <c r="B166" s="2">
        <f t="shared" si="22"/>
        <v>11</v>
      </c>
      <c r="C166" s="2">
        <f t="shared" si="23"/>
        <v>11</v>
      </c>
      <c r="D166" s="2">
        <f t="shared" si="24"/>
        <v>40</v>
      </c>
      <c r="E166" s="1">
        <f t="shared" si="21"/>
        <v>184841.05323628831</v>
      </c>
      <c r="G166" s="1">
        <f t="shared" si="17"/>
        <v>1332.2092327691687</v>
      </c>
      <c r="H166" s="1">
        <v>0</v>
      </c>
      <c r="I166" s="1">
        <f t="shared" si="18"/>
        <v>-186.17326246905751</v>
      </c>
      <c r="J166" s="1">
        <f t="shared" si="19"/>
        <v>185987.08920658843</v>
      </c>
      <c r="M166" s="7"/>
      <c r="N166" s="1"/>
    </row>
    <row r="167" spans="1:14">
      <c r="A167" s="1">
        <f t="shared" si="20"/>
        <v>144</v>
      </c>
      <c r="B167" s="2">
        <f t="shared" si="22"/>
        <v>11</v>
      </c>
      <c r="C167" s="2">
        <f t="shared" si="23"/>
        <v>12</v>
      </c>
      <c r="D167" s="2">
        <f t="shared" si="24"/>
        <v>40</v>
      </c>
      <c r="E167" s="1">
        <f t="shared" si="21"/>
        <v>185987.08920658843</v>
      </c>
      <c r="G167" s="1">
        <f t="shared" si="17"/>
        <v>1340.4690845390439</v>
      </c>
      <c r="H167" s="69">
        <f>-SUM(E167:G167)*$H$21</f>
        <v>-1685.9480246201474</v>
      </c>
      <c r="I167" s="1">
        <f t="shared" si="18"/>
        <v>-187.32755829112747</v>
      </c>
      <c r="J167" s="1">
        <f t="shared" si="19"/>
        <v>185454.2827082162</v>
      </c>
      <c r="M167" s="7"/>
      <c r="N167" s="1"/>
    </row>
    <row r="168" spans="1:14">
      <c r="A168" s="1">
        <f t="shared" si="20"/>
        <v>145</v>
      </c>
      <c r="B168" s="2">
        <f t="shared" si="22"/>
        <v>12</v>
      </c>
      <c r="C168" s="2">
        <f t="shared" si="23"/>
        <v>1</v>
      </c>
      <c r="D168" s="2">
        <f t="shared" si="24"/>
        <v>41</v>
      </c>
      <c r="E168" s="1">
        <f t="shared" si="21"/>
        <v>185454.2827082162</v>
      </c>
      <c r="G168" s="1">
        <f t="shared" si="17"/>
        <v>1336.6289758403368</v>
      </c>
      <c r="H168" s="1">
        <v>0</v>
      </c>
      <c r="I168" s="1">
        <f t="shared" si="18"/>
        <v>-186.79091168405654</v>
      </c>
      <c r="J168" s="1">
        <f t="shared" si="19"/>
        <v>186604.12077237249</v>
      </c>
      <c r="M168" s="7"/>
      <c r="N168" s="1"/>
    </row>
    <row r="169" spans="1:14">
      <c r="A169" s="1">
        <f t="shared" si="20"/>
        <v>146</v>
      </c>
      <c r="B169" s="2">
        <f t="shared" si="22"/>
        <v>12</v>
      </c>
      <c r="C169" s="2">
        <f t="shared" si="23"/>
        <v>2</v>
      </c>
      <c r="D169" s="2">
        <f t="shared" si="24"/>
        <v>41</v>
      </c>
      <c r="E169" s="1">
        <f t="shared" si="21"/>
        <v>186604.12077237249</v>
      </c>
      <c r="G169" s="1">
        <f t="shared" si="17"/>
        <v>1344.9162305299119</v>
      </c>
      <c r="H169" s="1">
        <v>0</v>
      </c>
      <c r="I169" s="1">
        <f t="shared" si="18"/>
        <v>-187.94903700290243</v>
      </c>
      <c r="J169" s="1">
        <f t="shared" si="19"/>
        <v>187761.08796589953</v>
      </c>
      <c r="M169" s="7"/>
      <c r="N169" s="1"/>
    </row>
    <row r="170" spans="1:14">
      <c r="A170" s="1">
        <f t="shared" si="20"/>
        <v>147</v>
      </c>
      <c r="B170" s="2">
        <f t="shared" si="22"/>
        <v>12</v>
      </c>
      <c r="C170" s="2">
        <f t="shared" si="23"/>
        <v>3</v>
      </c>
      <c r="D170" s="2">
        <f t="shared" si="24"/>
        <v>41</v>
      </c>
      <c r="E170" s="1">
        <f t="shared" si="21"/>
        <v>187761.08796589953</v>
      </c>
      <c r="G170" s="1">
        <f t="shared" si="17"/>
        <v>1353.2548671598245</v>
      </c>
      <c r="H170" s="69">
        <f>-SUM(E170:G170)*$H$21</f>
        <v>-1702.0290854975342</v>
      </c>
      <c r="I170" s="1">
        <f t="shared" si="18"/>
        <v>-189.11434283305934</v>
      </c>
      <c r="J170" s="1">
        <f t="shared" si="19"/>
        <v>187223.19940472874</v>
      </c>
      <c r="M170" s="7"/>
      <c r="N170" s="1"/>
    </row>
    <row r="171" spans="1:14">
      <c r="A171" s="1">
        <f t="shared" si="20"/>
        <v>148</v>
      </c>
      <c r="B171" s="2">
        <f t="shared" si="22"/>
        <v>12</v>
      </c>
      <c r="C171" s="2">
        <f t="shared" si="23"/>
        <v>4</v>
      </c>
      <c r="D171" s="2">
        <f t="shared" si="24"/>
        <v>41</v>
      </c>
      <c r="E171" s="1">
        <f t="shared" si="21"/>
        <v>187223.19940472874</v>
      </c>
      <c r="G171" s="1">
        <f t="shared" si="17"/>
        <v>1349.3781303914152</v>
      </c>
      <c r="H171" s="1">
        <v>0</v>
      </c>
      <c r="I171" s="1">
        <f t="shared" si="18"/>
        <v>-188.57257753512016</v>
      </c>
      <c r="J171" s="1">
        <f t="shared" si="19"/>
        <v>188384.00495758504</v>
      </c>
      <c r="M171" s="7"/>
      <c r="N171" s="1"/>
    </row>
    <row r="172" spans="1:14">
      <c r="A172" s="1">
        <f t="shared" si="20"/>
        <v>149</v>
      </c>
      <c r="B172" s="2">
        <f t="shared" si="22"/>
        <v>12</v>
      </c>
      <c r="C172" s="2">
        <f t="shared" si="23"/>
        <v>5</v>
      </c>
      <c r="D172" s="2">
        <f t="shared" si="24"/>
        <v>41</v>
      </c>
      <c r="E172" s="1">
        <f t="shared" si="21"/>
        <v>188384.00495758504</v>
      </c>
      <c r="G172" s="1">
        <f t="shared" si="17"/>
        <v>1357.7444313180174</v>
      </c>
      <c r="H172" s="1">
        <v>0</v>
      </c>
      <c r="I172" s="1">
        <f t="shared" si="18"/>
        <v>-189.74174938890306</v>
      </c>
      <c r="J172" s="1">
        <f t="shared" si="19"/>
        <v>189552.00763951417</v>
      </c>
      <c r="M172" s="7"/>
      <c r="N172" s="1"/>
    </row>
    <row r="173" spans="1:14">
      <c r="A173" s="1">
        <f t="shared" si="20"/>
        <v>150</v>
      </c>
      <c r="B173" s="2">
        <f t="shared" si="22"/>
        <v>12</v>
      </c>
      <c r="C173" s="2">
        <f t="shared" si="23"/>
        <v>6</v>
      </c>
      <c r="D173" s="2">
        <f t="shared" si="24"/>
        <v>41</v>
      </c>
      <c r="E173" s="1">
        <f t="shared" si="21"/>
        <v>189552.00763951417</v>
      </c>
      <c r="G173" s="1">
        <f t="shared" si="17"/>
        <v>1366.1626042807952</v>
      </c>
      <c r="H173" s="69">
        <f>-SUM(E173:G173)*$H$21</f>
        <v>-1718.263532194155</v>
      </c>
      <c r="I173" s="1">
        <f t="shared" si="18"/>
        <v>-190.91817024379498</v>
      </c>
      <c r="J173" s="1">
        <f t="shared" si="19"/>
        <v>189008.98854135702</v>
      </c>
      <c r="M173" s="7"/>
      <c r="N173" s="1"/>
    </row>
    <row r="174" spans="1:14">
      <c r="A174" s="1">
        <f t="shared" si="20"/>
        <v>151</v>
      </c>
      <c r="B174" s="2">
        <f t="shared" si="22"/>
        <v>12</v>
      </c>
      <c r="C174" s="2">
        <f t="shared" si="23"/>
        <v>7</v>
      </c>
      <c r="D174" s="2">
        <f t="shared" si="24"/>
        <v>41</v>
      </c>
      <c r="E174" s="1">
        <f t="shared" si="21"/>
        <v>189008.98854135702</v>
      </c>
      <c r="G174" s="1">
        <f t="shared" si="17"/>
        <v>1362.2488900735398</v>
      </c>
      <c r="H174" s="1">
        <v>0</v>
      </c>
      <c r="I174" s="1">
        <f t="shared" si="18"/>
        <v>-190.37123743143056</v>
      </c>
      <c r="J174" s="1">
        <f t="shared" si="19"/>
        <v>190180.86619399913</v>
      </c>
      <c r="M174" s="7"/>
      <c r="N174" s="1"/>
    </row>
    <row r="175" spans="1:14">
      <c r="A175" s="1">
        <f t="shared" si="20"/>
        <v>152</v>
      </c>
      <c r="B175" s="2">
        <f t="shared" si="22"/>
        <v>12</v>
      </c>
      <c r="C175" s="2">
        <f t="shared" si="23"/>
        <v>8</v>
      </c>
      <c r="D175" s="2">
        <f t="shared" si="24"/>
        <v>41</v>
      </c>
      <c r="E175" s="1">
        <f t="shared" si="21"/>
        <v>190180.86619399913</v>
      </c>
      <c r="G175" s="1">
        <f t="shared" si="17"/>
        <v>1370.6949912030868</v>
      </c>
      <c r="H175" s="1">
        <v>0</v>
      </c>
      <c r="I175" s="1">
        <f t="shared" si="18"/>
        <v>-191.55156118520222</v>
      </c>
      <c r="J175" s="1">
        <f t="shared" si="19"/>
        <v>191360.00962401702</v>
      </c>
      <c r="M175" s="7"/>
      <c r="N175" s="1"/>
    </row>
    <row r="176" spans="1:14">
      <c r="A176" s="1">
        <f t="shared" si="20"/>
        <v>153</v>
      </c>
      <c r="B176" s="2">
        <f t="shared" si="22"/>
        <v>12</v>
      </c>
      <c r="C176" s="2">
        <f t="shared" si="23"/>
        <v>9</v>
      </c>
      <c r="D176" s="2">
        <f t="shared" si="24"/>
        <v>41</v>
      </c>
      <c r="E176" s="1">
        <f t="shared" si="21"/>
        <v>191360.00962401702</v>
      </c>
      <c r="G176" s="1">
        <f t="shared" si="17"/>
        <v>1379.1934591393242</v>
      </c>
      <c r="H176" s="69">
        <f>-SUM(E176:G176)*$H$21</f>
        <v>-1734.6528277484074</v>
      </c>
      <c r="I176" s="1">
        <f t="shared" si="18"/>
        <v>-192.73920308315635</v>
      </c>
      <c r="J176" s="1">
        <f t="shared" si="19"/>
        <v>190811.81105232477</v>
      </c>
      <c r="M176" s="7"/>
      <c r="N176" s="1"/>
    </row>
    <row r="177" spans="1:14">
      <c r="A177" s="1">
        <f t="shared" si="20"/>
        <v>154</v>
      </c>
      <c r="B177" s="2">
        <f t="shared" si="22"/>
        <v>12</v>
      </c>
      <c r="C177" s="2">
        <f t="shared" si="23"/>
        <v>10</v>
      </c>
      <c r="D177" s="2">
        <f t="shared" si="24"/>
        <v>41</v>
      </c>
      <c r="E177" s="1">
        <f t="shared" si="21"/>
        <v>190811.81105232477</v>
      </c>
      <c r="G177" s="1">
        <f t="shared" si="17"/>
        <v>1375.2424147916938</v>
      </c>
      <c r="H177" s="1">
        <v>0</v>
      </c>
      <c r="I177" s="1">
        <f t="shared" si="18"/>
        <v>-192.18705346711647</v>
      </c>
      <c r="J177" s="1">
        <f t="shared" si="19"/>
        <v>191994.86641364935</v>
      </c>
      <c r="M177" s="7"/>
      <c r="N177" s="1"/>
    </row>
    <row r="178" spans="1:14">
      <c r="A178" s="1">
        <f t="shared" si="20"/>
        <v>155</v>
      </c>
      <c r="B178" s="2">
        <f t="shared" si="22"/>
        <v>12</v>
      </c>
      <c r="C178" s="2">
        <f t="shared" si="23"/>
        <v>11</v>
      </c>
      <c r="D178" s="2">
        <f t="shared" si="24"/>
        <v>41</v>
      </c>
      <c r="E178" s="1">
        <f t="shared" si="21"/>
        <v>191994.86641364935</v>
      </c>
      <c r="G178" s="1">
        <f t="shared" si="17"/>
        <v>1383.7690772816488</v>
      </c>
      <c r="H178" s="1">
        <v>0</v>
      </c>
      <c r="I178" s="1">
        <f t="shared" si="18"/>
        <v>-193.378635490931</v>
      </c>
      <c r="J178" s="1">
        <f t="shared" si="19"/>
        <v>193185.25685544006</v>
      </c>
      <c r="M178" s="7"/>
      <c r="N178" s="1"/>
    </row>
    <row r="179" spans="1:14">
      <c r="A179" s="1">
        <f t="shared" si="20"/>
        <v>156</v>
      </c>
      <c r="B179" s="2">
        <f t="shared" si="22"/>
        <v>12</v>
      </c>
      <c r="C179" s="2">
        <f t="shared" si="23"/>
        <v>12</v>
      </c>
      <c r="D179" s="2">
        <f t="shared" si="24"/>
        <v>41</v>
      </c>
      <c r="E179" s="1">
        <f t="shared" si="21"/>
        <v>193185.25685544006</v>
      </c>
      <c r="G179" s="1">
        <f t="shared" si="17"/>
        <v>1392.3486060680734</v>
      </c>
      <c r="H179" s="69">
        <f>-SUM(E179:G179)*$H$21</f>
        <v>-1751.1984491535736</v>
      </c>
      <c r="I179" s="1">
        <f t="shared" si="18"/>
        <v>-194.57760546150814</v>
      </c>
      <c r="J179" s="1">
        <f t="shared" si="19"/>
        <v>192631.82940689308</v>
      </c>
      <c r="M179" s="7"/>
      <c r="N179" s="1"/>
    </row>
    <row r="180" spans="1:14">
      <c r="A180" s="1">
        <f t="shared" si="20"/>
        <v>157</v>
      </c>
      <c r="B180" s="2">
        <f t="shared" si="22"/>
        <v>13</v>
      </c>
      <c r="C180" s="2">
        <f t="shared" si="23"/>
        <v>1</v>
      </c>
      <c r="D180" s="2">
        <f t="shared" si="24"/>
        <v>42</v>
      </c>
      <c r="E180" s="1">
        <f t="shared" si="21"/>
        <v>192631.82940689308</v>
      </c>
      <c r="G180" s="1">
        <f t="shared" si="17"/>
        <v>1388.3598755143707</v>
      </c>
      <c r="H180" s="1">
        <v>0</v>
      </c>
      <c r="I180" s="1">
        <f t="shared" si="18"/>
        <v>-194.02018928240747</v>
      </c>
      <c r="J180" s="1">
        <f t="shared" si="19"/>
        <v>193826.16909312506</v>
      </c>
      <c r="M180" s="7"/>
      <c r="N180" s="1"/>
    </row>
    <row r="181" spans="1:14">
      <c r="A181" s="1">
        <f t="shared" si="20"/>
        <v>158</v>
      </c>
      <c r="B181" s="2">
        <f t="shared" si="22"/>
        <v>13</v>
      </c>
      <c r="C181" s="2">
        <f t="shared" si="23"/>
        <v>2</v>
      </c>
      <c r="D181" s="2">
        <f t="shared" si="24"/>
        <v>42</v>
      </c>
      <c r="E181" s="1">
        <f t="shared" si="21"/>
        <v>193826.16909312506</v>
      </c>
      <c r="G181" s="1">
        <f t="shared" si="17"/>
        <v>1396.9678677823379</v>
      </c>
      <c r="H181" s="1">
        <v>0</v>
      </c>
      <c r="I181" s="1">
        <f t="shared" si="18"/>
        <v>-195.2231369609074</v>
      </c>
      <c r="J181" s="1">
        <f t="shared" si="19"/>
        <v>195027.9138239465</v>
      </c>
      <c r="M181" s="7"/>
      <c r="N181" s="1"/>
    </row>
    <row r="182" spans="1:14">
      <c r="A182" s="1">
        <f t="shared" si="20"/>
        <v>159</v>
      </c>
      <c r="B182" s="2">
        <f t="shared" si="22"/>
        <v>13</v>
      </c>
      <c r="C182" s="2">
        <f t="shared" si="23"/>
        <v>3</v>
      </c>
      <c r="D182" s="2">
        <f t="shared" si="24"/>
        <v>42</v>
      </c>
      <c r="E182" s="1">
        <f t="shared" si="21"/>
        <v>195027.9138239465</v>
      </c>
      <c r="G182" s="1">
        <f t="shared" si="17"/>
        <v>1405.6292306008318</v>
      </c>
      <c r="H182" s="69">
        <f>-SUM(E182:G182)*$H$21</f>
        <v>-1767.9018874909261</v>
      </c>
      <c r="I182" s="1">
        <f t="shared" si="18"/>
        <v>-196.43354305454733</v>
      </c>
      <c r="J182" s="1">
        <f t="shared" si="19"/>
        <v>194469.20762400184</v>
      </c>
      <c r="M182" s="7"/>
      <c r="N182" s="1"/>
    </row>
    <row r="183" spans="1:14">
      <c r="A183" s="1">
        <f t="shared" si="20"/>
        <v>160</v>
      </c>
      <c r="B183" s="2">
        <f t="shared" si="22"/>
        <v>13</v>
      </c>
      <c r="C183" s="2">
        <f t="shared" si="23"/>
        <v>4</v>
      </c>
      <c r="D183" s="2">
        <f t="shared" si="24"/>
        <v>42</v>
      </c>
      <c r="E183" s="1">
        <f t="shared" si="21"/>
        <v>194469.20762400184</v>
      </c>
      <c r="G183" s="1">
        <f t="shared" si="17"/>
        <v>1401.6024543791004</v>
      </c>
      <c r="H183" s="1">
        <v>0</v>
      </c>
      <c r="I183" s="1">
        <f t="shared" si="18"/>
        <v>-195.87081007838094</v>
      </c>
      <c r="J183" s="1">
        <f t="shared" si="19"/>
        <v>195674.93926830258</v>
      </c>
      <c r="M183" s="7"/>
      <c r="N183" s="1"/>
    </row>
    <row r="184" spans="1:14">
      <c r="A184" s="1">
        <f t="shared" si="20"/>
        <v>161</v>
      </c>
      <c r="B184" s="2">
        <f t="shared" si="22"/>
        <v>13</v>
      </c>
      <c r="C184" s="2">
        <f t="shared" si="23"/>
        <v>5</v>
      </c>
      <c r="D184" s="2">
        <f t="shared" si="24"/>
        <v>42</v>
      </c>
      <c r="E184" s="1">
        <f t="shared" si="21"/>
        <v>195674.93926830258</v>
      </c>
      <c r="G184" s="1">
        <f t="shared" si="17"/>
        <v>1410.2925521720729</v>
      </c>
      <c r="H184" s="1">
        <v>0</v>
      </c>
      <c r="I184" s="1">
        <f t="shared" si="18"/>
        <v>-197.08523182047463</v>
      </c>
      <c r="J184" s="1">
        <f t="shared" si="19"/>
        <v>196888.14658865417</v>
      </c>
      <c r="M184" s="7"/>
      <c r="N184" s="1"/>
    </row>
    <row r="185" spans="1:14">
      <c r="A185" s="1">
        <f t="shared" si="20"/>
        <v>162</v>
      </c>
      <c r="B185" s="2">
        <f t="shared" si="22"/>
        <v>13</v>
      </c>
      <c r="C185" s="2">
        <f t="shared" si="23"/>
        <v>6</v>
      </c>
      <c r="D185" s="2">
        <f t="shared" si="24"/>
        <v>42</v>
      </c>
      <c r="E185" s="1">
        <f t="shared" si="21"/>
        <v>196888.14658865417</v>
      </c>
      <c r="G185" s="1">
        <f t="shared" si="17"/>
        <v>1419.0365295793508</v>
      </c>
      <c r="H185" s="69">
        <f>-SUM(E185:G185)*$H$21</f>
        <v>-1784.7646480641019</v>
      </c>
      <c r="I185" s="1">
        <f t="shared" si="18"/>
        <v>-198.30718311823352</v>
      </c>
      <c r="J185" s="1">
        <f t="shared" si="19"/>
        <v>196324.11128705117</v>
      </c>
      <c r="M185" s="7"/>
      <c r="N185" s="1"/>
    </row>
    <row r="186" spans="1:14">
      <c r="A186" s="1">
        <f t="shared" si="20"/>
        <v>163</v>
      </c>
      <c r="B186" s="2">
        <f t="shared" si="22"/>
        <v>13</v>
      </c>
      <c r="C186" s="2">
        <f t="shared" si="23"/>
        <v>7</v>
      </c>
      <c r="D186" s="2">
        <f t="shared" si="24"/>
        <v>42</v>
      </c>
      <c r="E186" s="1">
        <f t="shared" si="21"/>
        <v>196324.11128705117</v>
      </c>
      <c r="G186" s="1">
        <f t="shared" si="17"/>
        <v>1414.9713447989832</v>
      </c>
      <c r="H186" s="1">
        <v>0</v>
      </c>
      <c r="I186" s="1">
        <f t="shared" si="18"/>
        <v>-197.73908263185015</v>
      </c>
      <c r="J186" s="1">
        <f t="shared" si="19"/>
        <v>197541.34354921829</v>
      </c>
      <c r="M186" s="7"/>
      <c r="N186" s="1"/>
    </row>
    <row r="187" spans="1:14">
      <c r="A187" s="1">
        <f t="shared" si="20"/>
        <v>164</v>
      </c>
      <c r="B187" s="2">
        <f t="shared" si="22"/>
        <v>13</v>
      </c>
      <c r="C187" s="2">
        <f t="shared" si="23"/>
        <v>8</v>
      </c>
      <c r="D187" s="2">
        <f t="shared" si="24"/>
        <v>42</v>
      </c>
      <c r="E187" s="1">
        <f t="shared" si="21"/>
        <v>197541.34354921829</v>
      </c>
      <c r="G187" s="1">
        <f t="shared" si="17"/>
        <v>1423.7443312632543</v>
      </c>
      <c r="H187" s="1">
        <v>0</v>
      </c>
      <c r="I187" s="1">
        <f t="shared" si="18"/>
        <v>-198.96508788048158</v>
      </c>
      <c r="J187" s="1">
        <f t="shared" si="19"/>
        <v>198766.12279260109</v>
      </c>
      <c r="M187" s="7"/>
      <c r="N187" s="1"/>
    </row>
    <row r="188" spans="1:14">
      <c r="A188" s="1">
        <f t="shared" si="20"/>
        <v>165</v>
      </c>
      <c r="B188" s="2">
        <f t="shared" si="22"/>
        <v>13</v>
      </c>
      <c r="C188" s="2">
        <f t="shared" si="23"/>
        <v>9</v>
      </c>
      <c r="D188" s="2">
        <f t="shared" si="24"/>
        <v>42</v>
      </c>
      <c r="E188" s="1">
        <f t="shared" si="21"/>
        <v>198766.12279260109</v>
      </c>
      <c r="G188" s="1">
        <f t="shared" si="17"/>
        <v>1432.5717112612074</v>
      </c>
      <c r="H188" s="69">
        <f>-SUM(E188:G188)*$H$21</f>
        <v>-1801.7882505347609</v>
      </c>
      <c r="I188" s="1">
        <f t="shared" si="18"/>
        <v>-200.1986945038623</v>
      </c>
      <c r="J188" s="1">
        <f t="shared" si="19"/>
        <v>198196.70755882366</v>
      </c>
      <c r="M188" s="7"/>
      <c r="N188" s="1"/>
    </row>
    <row r="189" spans="1:14">
      <c r="A189" s="1">
        <f t="shared" si="20"/>
        <v>166</v>
      </c>
      <c r="B189" s="2">
        <f t="shared" si="22"/>
        <v>13</v>
      </c>
      <c r="C189" s="2">
        <f t="shared" si="23"/>
        <v>10</v>
      </c>
      <c r="D189" s="2">
        <f t="shared" si="24"/>
        <v>42</v>
      </c>
      <c r="E189" s="1">
        <f t="shared" si="21"/>
        <v>198196.70755882366</v>
      </c>
      <c r="G189" s="1">
        <f t="shared" si="17"/>
        <v>1428.4677515702399</v>
      </c>
      <c r="H189" s="1">
        <v>0</v>
      </c>
      <c r="I189" s="1">
        <f t="shared" si="18"/>
        <v>-199.62517531039393</v>
      </c>
      <c r="J189" s="1">
        <f t="shared" si="19"/>
        <v>199425.55013508353</v>
      </c>
      <c r="M189" s="7"/>
      <c r="N189" s="1"/>
    </row>
    <row r="190" spans="1:14">
      <c r="A190" s="1">
        <f t="shared" si="20"/>
        <v>167</v>
      </c>
      <c r="B190" s="2">
        <f t="shared" si="22"/>
        <v>13</v>
      </c>
      <c r="C190" s="2">
        <f t="shared" si="23"/>
        <v>11</v>
      </c>
      <c r="D190" s="2">
        <f t="shared" si="24"/>
        <v>42</v>
      </c>
      <c r="E190" s="1">
        <f t="shared" si="21"/>
        <v>199425.55013508353</v>
      </c>
      <c r="G190" s="1">
        <f t="shared" si="17"/>
        <v>1437.3244173219791</v>
      </c>
      <c r="H190" s="1">
        <v>0</v>
      </c>
      <c r="I190" s="1">
        <f t="shared" si="18"/>
        <v>-200.86287455240551</v>
      </c>
      <c r="J190" s="1">
        <f t="shared" si="19"/>
        <v>200662.01167785309</v>
      </c>
      <c r="M190" s="7"/>
      <c r="N190" s="1"/>
    </row>
    <row r="191" spans="1:14">
      <c r="A191" s="1">
        <f t="shared" si="20"/>
        <v>168</v>
      </c>
      <c r="B191" s="2">
        <f t="shared" si="22"/>
        <v>13</v>
      </c>
      <c r="C191" s="2">
        <f t="shared" si="23"/>
        <v>12</v>
      </c>
      <c r="D191" s="2">
        <f t="shared" si="24"/>
        <v>42</v>
      </c>
      <c r="E191" s="1">
        <f t="shared" si="21"/>
        <v>200662.01167785309</v>
      </c>
      <c r="G191" s="1">
        <f t="shared" si="17"/>
        <v>1446.2359954286885</v>
      </c>
      <c r="H191" s="69">
        <f>-SUM(E191:G191)*$H$21</f>
        <v>-1818.9742290595364</v>
      </c>
      <c r="I191" s="1">
        <f t="shared" si="18"/>
        <v>-202.1082476732818</v>
      </c>
      <c r="J191" s="1">
        <f t="shared" si="19"/>
        <v>200087.16519654897</v>
      </c>
      <c r="M191" s="7"/>
      <c r="N191" s="1"/>
    </row>
    <row r="192" spans="1:14">
      <c r="A192" s="1">
        <f t="shared" si="20"/>
        <v>169</v>
      </c>
      <c r="B192" s="2">
        <f t="shared" si="22"/>
        <v>14</v>
      </c>
      <c r="C192" s="2">
        <f t="shared" si="23"/>
        <v>1</v>
      </c>
      <c r="D192" s="2">
        <f t="shared" si="24"/>
        <v>43</v>
      </c>
      <c r="E192" s="1">
        <f t="shared" si="21"/>
        <v>200087.16519654897</v>
      </c>
      <c r="G192" s="1">
        <f t="shared" si="17"/>
        <v>1442.0928909807863</v>
      </c>
      <c r="H192" s="1">
        <v>0</v>
      </c>
      <c r="I192" s="1">
        <f t="shared" si="18"/>
        <v>-201.52925808752977</v>
      </c>
      <c r="J192" s="1">
        <f t="shared" si="19"/>
        <v>201327.72882944223</v>
      </c>
      <c r="M192" s="7"/>
      <c r="N192" s="1"/>
    </row>
    <row r="193" spans="1:14">
      <c r="A193" s="1">
        <f t="shared" si="20"/>
        <v>170</v>
      </c>
      <c r="B193" s="2">
        <f t="shared" si="22"/>
        <v>14</v>
      </c>
      <c r="C193" s="2">
        <f t="shared" si="23"/>
        <v>2</v>
      </c>
      <c r="D193" s="2">
        <f t="shared" si="24"/>
        <v>43</v>
      </c>
      <c r="E193" s="1">
        <f t="shared" si="21"/>
        <v>201327.72882944223</v>
      </c>
      <c r="G193" s="1">
        <f t="shared" si="17"/>
        <v>1451.034034177289</v>
      </c>
      <c r="H193" s="1">
        <v>0</v>
      </c>
      <c r="I193" s="1">
        <f t="shared" si="18"/>
        <v>-202.77876286361951</v>
      </c>
      <c r="J193" s="1">
        <f t="shared" si="19"/>
        <v>202575.98410075589</v>
      </c>
      <c r="M193" s="7"/>
      <c r="N193" s="1"/>
    </row>
    <row r="194" spans="1:14">
      <c r="A194" s="1">
        <f t="shared" si="20"/>
        <v>171</v>
      </c>
      <c r="B194" s="2">
        <f t="shared" si="22"/>
        <v>14</v>
      </c>
      <c r="C194" s="2">
        <f t="shared" si="23"/>
        <v>3</v>
      </c>
      <c r="D194" s="2">
        <f t="shared" si="24"/>
        <v>43</v>
      </c>
      <c r="E194" s="1">
        <f t="shared" si="21"/>
        <v>202575.98410075589</v>
      </c>
      <c r="G194" s="1">
        <f t="shared" si="17"/>
        <v>1460.0306134987186</v>
      </c>
      <c r="H194" s="69">
        <f>-SUM(E194:G194)*$H$21</f>
        <v>-1836.3241324282915</v>
      </c>
      <c r="I194" s="1">
        <f t="shared" si="18"/>
        <v>-204.03601471425461</v>
      </c>
      <c r="J194" s="1">
        <f t="shared" si="19"/>
        <v>201995.65456711204</v>
      </c>
      <c r="M194" s="7"/>
      <c r="N194" s="1"/>
    </row>
    <row r="195" spans="1:14">
      <c r="A195" s="1">
        <f t="shared" si="20"/>
        <v>172</v>
      </c>
      <c r="B195" s="2">
        <f t="shared" si="22"/>
        <v>14</v>
      </c>
      <c r="C195" s="2">
        <f t="shared" si="23"/>
        <v>4</v>
      </c>
      <c r="D195" s="2">
        <f t="shared" si="24"/>
        <v>43</v>
      </c>
      <c r="E195" s="1">
        <f t="shared" si="21"/>
        <v>201995.65456711204</v>
      </c>
      <c r="G195" s="1">
        <f t="shared" si="17"/>
        <v>1455.8479909198445</v>
      </c>
      <c r="H195" s="1">
        <v>0</v>
      </c>
      <c r="I195" s="1">
        <f t="shared" si="18"/>
        <v>-203.45150255803188</v>
      </c>
      <c r="J195" s="1">
        <f t="shared" si="19"/>
        <v>203248.05105547386</v>
      </c>
      <c r="M195" s="7"/>
      <c r="N195" s="1"/>
    </row>
    <row r="196" spans="1:14">
      <c r="A196" s="1">
        <f t="shared" si="20"/>
        <v>173</v>
      </c>
      <c r="B196" s="2">
        <f t="shared" si="22"/>
        <v>14</v>
      </c>
      <c r="C196" s="2">
        <f t="shared" si="23"/>
        <v>5</v>
      </c>
      <c r="D196" s="2">
        <f t="shared" si="24"/>
        <v>43</v>
      </c>
      <c r="E196" s="1">
        <f t="shared" si="21"/>
        <v>203248.05105547386</v>
      </c>
      <c r="G196" s="1">
        <f t="shared" si="17"/>
        <v>1464.8744173314624</v>
      </c>
      <c r="H196" s="1">
        <v>0</v>
      </c>
      <c r="I196" s="1">
        <f t="shared" si="18"/>
        <v>-204.71292547280532</v>
      </c>
      <c r="J196" s="1">
        <f t="shared" si="19"/>
        <v>204508.21254733251</v>
      </c>
      <c r="M196" s="7"/>
      <c r="N196" s="1"/>
    </row>
    <row r="197" spans="1:14">
      <c r="A197" s="1">
        <f t="shared" si="20"/>
        <v>174</v>
      </c>
      <c r="B197" s="2">
        <f t="shared" si="22"/>
        <v>14</v>
      </c>
      <c r="C197" s="2">
        <f t="shared" si="23"/>
        <v>6</v>
      </c>
      <c r="D197" s="2">
        <f t="shared" si="24"/>
        <v>43</v>
      </c>
      <c r="E197" s="1">
        <f t="shared" si="21"/>
        <v>204508.21254733251</v>
      </c>
      <c r="G197" s="1">
        <f t="shared" si="17"/>
        <v>1473.9568086338329</v>
      </c>
      <c r="H197" s="69">
        <f>-SUM(E197:G197)*$H$21</f>
        <v>-1853.8395242036975</v>
      </c>
      <c r="I197" s="1">
        <f t="shared" si="18"/>
        <v>-205.98216935596636</v>
      </c>
      <c r="J197" s="1">
        <f t="shared" si="19"/>
        <v>203922.34766240668</v>
      </c>
      <c r="M197" s="7"/>
      <c r="N197" s="1"/>
    </row>
    <row r="198" spans="1:14">
      <c r="A198" s="1">
        <f t="shared" si="20"/>
        <v>175</v>
      </c>
      <c r="B198" s="2">
        <f t="shared" si="22"/>
        <v>14</v>
      </c>
      <c r="C198" s="2">
        <f t="shared" si="23"/>
        <v>7</v>
      </c>
      <c r="D198" s="2">
        <f t="shared" si="24"/>
        <v>43</v>
      </c>
      <c r="E198" s="1">
        <f t="shared" si="21"/>
        <v>203922.34766240668</v>
      </c>
      <c r="G198" s="1">
        <f t="shared" si="17"/>
        <v>1469.7342909886011</v>
      </c>
      <c r="H198" s="1">
        <v>0</v>
      </c>
      <c r="I198" s="1">
        <f t="shared" si="18"/>
        <v>-205.39208195339529</v>
      </c>
      <c r="J198" s="1">
        <f t="shared" si="19"/>
        <v>205186.68987144189</v>
      </c>
      <c r="M198" s="7"/>
      <c r="N198" s="1"/>
    </row>
    <row r="199" spans="1:14">
      <c r="A199" s="1">
        <f t="shared" si="20"/>
        <v>176</v>
      </c>
      <c r="B199" s="2">
        <f t="shared" si="22"/>
        <v>14</v>
      </c>
      <c r="C199" s="2">
        <f t="shared" si="23"/>
        <v>8</v>
      </c>
      <c r="D199" s="2">
        <f t="shared" si="24"/>
        <v>43</v>
      </c>
      <c r="E199" s="1">
        <f t="shared" si="21"/>
        <v>205186.68987144189</v>
      </c>
      <c r="G199" s="1">
        <f t="shared" si="17"/>
        <v>1478.8468140713564</v>
      </c>
      <c r="H199" s="1">
        <v>0</v>
      </c>
      <c r="I199" s="1">
        <f t="shared" si="18"/>
        <v>-206.66553668551325</v>
      </c>
      <c r="J199" s="1">
        <f t="shared" si="19"/>
        <v>206458.87114882772</v>
      </c>
      <c r="M199" s="7"/>
      <c r="N199" s="1"/>
    </row>
    <row r="200" spans="1:14">
      <c r="A200" s="1">
        <f t="shared" si="20"/>
        <v>177</v>
      </c>
      <c r="B200" s="2">
        <f t="shared" si="22"/>
        <v>14</v>
      </c>
      <c r="C200" s="2">
        <f t="shared" si="23"/>
        <v>9</v>
      </c>
      <c r="D200" s="2">
        <f t="shared" si="24"/>
        <v>43</v>
      </c>
      <c r="E200" s="1">
        <f t="shared" si="21"/>
        <v>206458.87114882772</v>
      </c>
      <c r="G200" s="1">
        <f t="shared" si="17"/>
        <v>1488.0158358542119</v>
      </c>
      <c r="H200" s="69">
        <f>-SUM(E200:G200)*$H$21</f>
        <v>-1871.5219828621377</v>
      </c>
      <c r="I200" s="1">
        <f t="shared" si="18"/>
        <v>-207.94688698468195</v>
      </c>
      <c r="J200" s="1">
        <f t="shared" si="19"/>
        <v>205867.41811483511</v>
      </c>
      <c r="M200" s="7"/>
      <c r="N200" s="1"/>
    </row>
    <row r="201" spans="1:14">
      <c r="A201" s="1">
        <f t="shared" si="20"/>
        <v>178</v>
      </c>
      <c r="B201" s="2">
        <f t="shared" si="22"/>
        <v>14</v>
      </c>
      <c r="C201" s="2">
        <f t="shared" si="23"/>
        <v>10</v>
      </c>
      <c r="D201" s="2">
        <f t="shared" si="24"/>
        <v>43</v>
      </c>
      <c r="E201" s="1">
        <f t="shared" si="21"/>
        <v>205867.41811483511</v>
      </c>
      <c r="G201" s="1">
        <f t="shared" si="17"/>
        <v>1483.7530426119172</v>
      </c>
      <c r="H201" s="1">
        <v>0</v>
      </c>
      <c r="I201" s="1">
        <f t="shared" si="18"/>
        <v>-207.35117115744703</v>
      </c>
      <c r="J201" s="1">
        <f t="shared" si="19"/>
        <v>207143.81998628957</v>
      </c>
      <c r="M201" s="7"/>
      <c r="N201" s="1"/>
    </row>
    <row r="202" spans="1:14">
      <c r="A202" s="1">
        <f t="shared" si="20"/>
        <v>179</v>
      </c>
      <c r="B202" s="2">
        <f t="shared" si="22"/>
        <v>14</v>
      </c>
      <c r="C202" s="2">
        <f t="shared" si="23"/>
        <v>11</v>
      </c>
      <c r="D202" s="2">
        <f t="shared" si="24"/>
        <v>43</v>
      </c>
      <c r="E202" s="1">
        <f t="shared" si="21"/>
        <v>207143.81998628957</v>
      </c>
      <c r="G202" s="1">
        <f t="shared" si="17"/>
        <v>1492.9524835808115</v>
      </c>
      <c r="H202" s="1">
        <v>0</v>
      </c>
      <c r="I202" s="1">
        <f t="shared" si="18"/>
        <v>-208.63677246987041</v>
      </c>
      <c r="J202" s="1">
        <f t="shared" si="19"/>
        <v>208428.13569740052</v>
      </c>
      <c r="M202" s="7"/>
      <c r="N202" s="1"/>
    </row>
    <row r="203" spans="1:14">
      <c r="A203" s="1">
        <f t="shared" si="20"/>
        <v>180</v>
      </c>
      <c r="B203" s="2">
        <f t="shared" si="22"/>
        <v>14</v>
      </c>
      <c r="C203" s="2">
        <f t="shared" si="23"/>
        <v>12</v>
      </c>
      <c r="D203" s="2">
        <f t="shared" si="24"/>
        <v>43</v>
      </c>
      <c r="E203" s="1">
        <f t="shared" si="21"/>
        <v>208428.13569740052</v>
      </c>
      <c r="G203" s="1">
        <f t="shared" si="17"/>
        <v>1502.2089621507821</v>
      </c>
      <c r="H203" s="69">
        <f>-SUM(E203:G203)*$H$21</f>
        <v>-1889.373101935962</v>
      </c>
      <c r="I203" s="1">
        <f t="shared" si="18"/>
        <v>-209.93034465955131</v>
      </c>
      <c r="J203" s="1">
        <f t="shared" si="19"/>
        <v>207831.04121295581</v>
      </c>
      <c r="M203" s="7"/>
      <c r="N203" s="1"/>
    </row>
    <row r="204" spans="1:14">
      <c r="A204" s="1">
        <f t="shared" si="20"/>
        <v>181</v>
      </c>
      <c r="B204" s="2">
        <f t="shared" si="22"/>
        <v>15</v>
      </c>
      <c r="C204" s="2">
        <f t="shared" si="23"/>
        <v>1</v>
      </c>
      <c r="D204" s="2">
        <f t="shared" si="24"/>
        <v>44</v>
      </c>
      <c r="E204" s="1">
        <f t="shared" si="21"/>
        <v>207831.04121295581</v>
      </c>
      <c r="G204" s="1">
        <f t="shared" si="17"/>
        <v>1497.905509151107</v>
      </c>
      <c r="H204" s="1">
        <v>0</v>
      </c>
      <c r="I204" s="1">
        <f t="shared" si="18"/>
        <v>-209.32894672210693</v>
      </c>
      <c r="J204" s="1">
        <f t="shared" si="19"/>
        <v>209119.6177753848</v>
      </c>
      <c r="M204" s="7"/>
      <c r="N204" s="1"/>
    </row>
    <row r="205" spans="1:14">
      <c r="A205" s="1">
        <f t="shared" si="20"/>
        <v>182</v>
      </c>
      <c r="B205" s="2">
        <f t="shared" si="22"/>
        <v>15</v>
      </c>
      <c r="C205" s="2">
        <f t="shared" si="23"/>
        <v>2</v>
      </c>
      <c r="D205" s="2">
        <f t="shared" si="24"/>
        <v>44</v>
      </c>
      <c r="E205" s="1">
        <f t="shared" si="21"/>
        <v>209119.6177753848</v>
      </c>
      <c r="G205" s="1">
        <f t="shared" si="17"/>
        <v>1507.1926970541288</v>
      </c>
      <c r="H205" s="1">
        <v>0</v>
      </c>
      <c r="I205" s="1">
        <f t="shared" si="18"/>
        <v>-210.62681047243893</v>
      </c>
      <c r="J205" s="1">
        <f t="shared" si="19"/>
        <v>210416.1836619665</v>
      </c>
      <c r="M205" s="7"/>
      <c r="N205" s="1"/>
    </row>
    <row r="206" spans="1:14">
      <c r="A206" s="1">
        <f t="shared" si="20"/>
        <v>183</v>
      </c>
      <c r="B206" s="2">
        <f t="shared" si="22"/>
        <v>15</v>
      </c>
      <c r="C206" s="2">
        <f t="shared" si="23"/>
        <v>3</v>
      </c>
      <c r="D206" s="2">
        <f t="shared" si="24"/>
        <v>44</v>
      </c>
      <c r="E206" s="1">
        <f t="shared" si="21"/>
        <v>210416.1836619665</v>
      </c>
      <c r="G206" s="1">
        <f t="shared" si="17"/>
        <v>1516.5374665993966</v>
      </c>
      <c r="H206" s="69">
        <f>-SUM(E206:G206)*$H$21</f>
        <v>-1907.3944901570933</v>
      </c>
      <c r="I206" s="1">
        <f t="shared" si="18"/>
        <v>-211.9327211285659</v>
      </c>
      <c r="J206" s="1">
        <f t="shared" si="19"/>
        <v>209813.39391728025</v>
      </c>
      <c r="M206" s="7"/>
      <c r="N206" s="1"/>
    </row>
    <row r="207" spans="1:14">
      <c r="A207" s="1">
        <f t="shared" si="20"/>
        <v>184</v>
      </c>
      <c r="B207" s="2">
        <f t="shared" si="22"/>
        <v>15</v>
      </c>
      <c r="C207" s="2">
        <f t="shared" si="23"/>
        <v>4</v>
      </c>
      <c r="D207" s="2">
        <f t="shared" si="24"/>
        <v>44</v>
      </c>
      <c r="E207" s="1">
        <f t="shared" si="21"/>
        <v>209813.39391728025</v>
      </c>
      <c r="G207" s="1">
        <f t="shared" si="17"/>
        <v>1512.1929660177914</v>
      </c>
      <c r="H207" s="1">
        <v>0</v>
      </c>
      <c r="I207" s="1">
        <f t="shared" si="18"/>
        <v>-211.32558688329803</v>
      </c>
      <c r="J207" s="1">
        <f t="shared" si="19"/>
        <v>211114.26129641474</v>
      </c>
      <c r="M207" s="7"/>
      <c r="N207" s="1"/>
    </row>
    <row r="208" spans="1:14">
      <c r="A208" s="1">
        <f t="shared" si="20"/>
        <v>185</v>
      </c>
      <c r="B208" s="2">
        <f t="shared" si="22"/>
        <v>15</v>
      </c>
      <c r="C208" s="2">
        <f t="shared" si="23"/>
        <v>5</v>
      </c>
      <c r="D208" s="2">
        <f t="shared" si="24"/>
        <v>44</v>
      </c>
      <c r="E208" s="1">
        <f t="shared" si="21"/>
        <v>211114.26129641474</v>
      </c>
      <c r="G208" s="1">
        <f t="shared" si="17"/>
        <v>1521.568737810629</v>
      </c>
      <c r="H208" s="1">
        <v>0</v>
      </c>
      <c r="I208" s="1">
        <f t="shared" si="18"/>
        <v>-212.63583003422536</v>
      </c>
      <c r="J208" s="1">
        <f t="shared" si="19"/>
        <v>212423.19420419115</v>
      </c>
      <c r="M208" s="7"/>
      <c r="N208" s="1"/>
    </row>
    <row r="209" spans="1:14">
      <c r="A209" s="1">
        <f t="shared" si="20"/>
        <v>186</v>
      </c>
      <c r="B209" s="2">
        <f t="shared" si="22"/>
        <v>15</v>
      </c>
      <c r="C209" s="2">
        <f t="shared" si="23"/>
        <v>6</v>
      </c>
      <c r="D209" s="2">
        <f t="shared" si="24"/>
        <v>44</v>
      </c>
      <c r="E209" s="1">
        <f t="shared" si="21"/>
        <v>212423.19420419115</v>
      </c>
      <c r="G209" s="1">
        <f t="shared" si="17"/>
        <v>1531.0026404761045</v>
      </c>
      <c r="H209" s="69">
        <f>-SUM(E209:G209)*$H$21</f>
        <v>-1925.5877716020054</v>
      </c>
      <c r="I209" s="1">
        <f t="shared" si="18"/>
        <v>-213.95419684466725</v>
      </c>
      <c r="J209" s="1">
        <f t="shared" si="19"/>
        <v>211814.65487622059</v>
      </c>
      <c r="M209" s="7"/>
      <c r="N209" s="1"/>
    </row>
    <row r="210" spans="1:14">
      <c r="A210" s="1">
        <f t="shared" si="20"/>
        <v>187</v>
      </c>
      <c r="B210" s="2">
        <f t="shared" si="22"/>
        <v>15</v>
      </c>
      <c r="C210" s="2">
        <f t="shared" si="23"/>
        <v>7</v>
      </c>
      <c r="D210" s="2">
        <f t="shared" si="24"/>
        <v>44</v>
      </c>
      <c r="E210" s="1">
        <f t="shared" si="21"/>
        <v>211814.65487622059</v>
      </c>
      <c r="G210" s="1">
        <f t="shared" si="17"/>
        <v>1526.6167007888362</v>
      </c>
      <c r="H210" s="1">
        <v>0</v>
      </c>
      <c r="I210" s="1">
        <f t="shared" si="18"/>
        <v>-213.34127157700945</v>
      </c>
      <c r="J210" s="1">
        <f t="shared" si="19"/>
        <v>213127.93030543244</v>
      </c>
      <c r="M210" s="7"/>
      <c r="N210" s="1"/>
    </row>
    <row r="211" spans="1:14">
      <c r="A211" s="1">
        <f t="shared" si="20"/>
        <v>188</v>
      </c>
      <c r="B211" s="2">
        <f t="shared" si="22"/>
        <v>15</v>
      </c>
      <c r="C211" s="2">
        <f t="shared" si="23"/>
        <v>8</v>
      </c>
      <c r="D211" s="2">
        <f t="shared" si="24"/>
        <v>44</v>
      </c>
      <c r="E211" s="1">
        <f t="shared" si="21"/>
        <v>213127.93030543244</v>
      </c>
      <c r="G211" s="1">
        <f t="shared" si="17"/>
        <v>1536.0819014103042</v>
      </c>
      <c r="H211" s="1">
        <v>0</v>
      </c>
      <c r="I211" s="1">
        <f t="shared" si="18"/>
        <v>-214.66401220684276</v>
      </c>
      <c r="J211" s="1">
        <f t="shared" si="19"/>
        <v>214449.34819463591</v>
      </c>
      <c r="M211" s="7"/>
      <c r="N211" s="1"/>
    </row>
    <row r="212" spans="1:14">
      <c r="A212" s="1">
        <f t="shared" si="20"/>
        <v>189</v>
      </c>
      <c r="B212" s="2">
        <f t="shared" si="22"/>
        <v>15</v>
      </c>
      <c r="C212" s="2">
        <f t="shared" si="23"/>
        <v>9</v>
      </c>
      <c r="D212" s="2">
        <f t="shared" si="24"/>
        <v>44</v>
      </c>
      <c r="E212" s="1">
        <f t="shared" si="21"/>
        <v>214449.34819463591</v>
      </c>
      <c r="G212" s="1">
        <f t="shared" si="17"/>
        <v>1545.6057873735206</v>
      </c>
      <c r="H212" s="69">
        <f>-SUM(E212:G212)*$H$21</f>
        <v>-1943.9545858380852</v>
      </c>
      <c r="I212" s="1">
        <f t="shared" si="18"/>
        <v>-215.99495398200943</v>
      </c>
      <c r="J212" s="1">
        <f t="shared" si="19"/>
        <v>213835.00444218935</v>
      </c>
      <c r="M212" s="7"/>
      <c r="N212" s="1"/>
    </row>
    <row r="213" spans="1:14">
      <c r="A213" s="1">
        <f t="shared" si="20"/>
        <v>190</v>
      </c>
      <c r="B213" s="2">
        <f t="shared" si="22"/>
        <v>15</v>
      </c>
      <c r="C213" s="2">
        <f t="shared" si="23"/>
        <v>10</v>
      </c>
      <c r="D213" s="2">
        <f t="shared" si="24"/>
        <v>44</v>
      </c>
      <c r="E213" s="1">
        <f t="shared" si="21"/>
        <v>213835.00444218935</v>
      </c>
      <c r="G213" s="1">
        <f t="shared" si="17"/>
        <v>1541.1780133223895</v>
      </c>
      <c r="H213" s="1">
        <v>0</v>
      </c>
      <c r="I213" s="1">
        <f t="shared" si="18"/>
        <v>-215.37618245551175</v>
      </c>
      <c r="J213" s="1">
        <f t="shared" si="19"/>
        <v>215160.80627305622</v>
      </c>
      <c r="M213" s="7"/>
      <c r="N213" s="1"/>
    </row>
    <row r="214" spans="1:14">
      <c r="A214" s="1">
        <f t="shared" si="20"/>
        <v>191</v>
      </c>
      <c r="B214" s="2">
        <f t="shared" si="22"/>
        <v>15</v>
      </c>
      <c r="C214" s="2">
        <f t="shared" si="23"/>
        <v>11</v>
      </c>
      <c r="D214" s="2">
        <f t="shared" si="24"/>
        <v>44</v>
      </c>
      <c r="E214" s="1">
        <f t="shared" si="21"/>
        <v>215160.80627305622</v>
      </c>
      <c r="G214" s="1">
        <f t="shared" si="17"/>
        <v>1550.733495770573</v>
      </c>
      <c r="H214" s="1">
        <v>0</v>
      </c>
      <c r="I214" s="1">
        <f t="shared" si="18"/>
        <v>-216.71153976882681</v>
      </c>
      <c r="J214" s="1">
        <f t="shared" si="19"/>
        <v>216494.82822905798</v>
      </c>
      <c r="M214" s="7"/>
      <c r="N214" s="1"/>
    </row>
    <row r="215" spans="1:14">
      <c r="A215" s="1">
        <f t="shared" si="20"/>
        <v>192</v>
      </c>
      <c r="B215" s="2">
        <f t="shared" si="22"/>
        <v>15</v>
      </c>
      <c r="C215" s="2">
        <f t="shared" si="23"/>
        <v>12</v>
      </c>
      <c r="D215" s="2">
        <f t="shared" si="24"/>
        <v>44</v>
      </c>
      <c r="E215" s="1">
        <f t="shared" si="21"/>
        <v>216494.82822905798</v>
      </c>
      <c r="G215" s="1">
        <f t="shared" si="17"/>
        <v>1560.3482233183029</v>
      </c>
      <c r="H215" s="69">
        <f>-SUM(E215:G215)*$H$21</f>
        <v>-1962.4965880713869</v>
      </c>
      <c r="I215" s="1">
        <f t="shared" si="18"/>
        <v>-218.05517645237632</v>
      </c>
      <c r="J215" s="1">
        <f t="shared" si="19"/>
        <v>215874.62468785251</v>
      </c>
      <c r="M215" s="7"/>
      <c r="N215" s="1"/>
    </row>
    <row r="216" spans="1:14">
      <c r="A216" s="1">
        <f t="shared" si="20"/>
        <v>193</v>
      </c>
      <c r="B216" s="2">
        <f t="shared" si="22"/>
        <v>16</v>
      </c>
      <c r="C216" s="2">
        <f t="shared" si="23"/>
        <v>1</v>
      </c>
      <c r="D216" s="2">
        <f t="shared" si="24"/>
        <v>45</v>
      </c>
      <c r="E216" s="1">
        <f t="shared" si="21"/>
        <v>215874.62468785251</v>
      </c>
      <c r="G216" s="1">
        <f t="shared" ref="G216:G279" si="25">SUM(E216:F216)*$F$8</f>
        <v>1555.8782158750221</v>
      </c>
      <c r="H216" s="1">
        <v>0</v>
      </c>
      <c r="I216" s="1">
        <f t="shared" ref="I216:I279" si="26">-SUM(E216:G216)*0.1%</f>
        <v>-217.43050290372753</v>
      </c>
      <c r="J216" s="1">
        <f t="shared" ref="J216:J279" si="27">SUM(E216:I216)</f>
        <v>217213.07240082379</v>
      </c>
      <c r="M216" s="7"/>
      <c r="N216" s="1"/>
    </row>
    <row r="217" spans="1:14">
      <c r="A217" s="1">
        <f t="shared" ref="A217:A280" si="28">+A216+1</f>
        <v>194</v>
      </c>
      <c r="B217" s="2">
        <f t="shared" si="22"/>
        <v>16</v>
      </c>
      <c r="C217" s="2">
        <f t="shared" si="23"/>
        <v>2</v>
      </c>
      <c r="D217" s="2">
        <f t="shared" si="24"/>
        <v>45</v>
      </c>
      <c r="E217" s="1">
        <f t="shared" ref="E217:E280" si="29">J216</f>
        <v>217213.07240082379</v>
      </c>
      <c r="G217" s="1">
        <f t="shared" si="25"/>
        <v>1565.5248412841497</v>
      </c>
      <c r="H217" s="1">
        <v>0</v>
      </c>
      <c r="I217" s="1">
        <f t="shared" si="26"/>
        <v>-218.77859724210794</v>
      </c>
      <c r="J217" s="1">
        <f t="shared" si="27"/>
        <v>218559.81864486582</v>
      </c>
      <c r="M217" s="7"/>
      <c r="N217" s="1"/>
    </row>
    <row r="218" spans="1:14">
      <c r="A218" s="1">
        <f t="shared" si="28"/>
        <v>195</v>
      </c>
      <c r="B218" s="2">
        <f t="shared" si="22"/>
        <v>16</v>
      </c>
      <c r="C218" s="2">
        <f t="shared" si="23"/>
        <v>3</v>
      </c>
      <c r="D218" s="2">
        <f t="shared" si="24"/>
        <v>45</v>
      </c>
      <c r="E218" s="1">
        <f t="shared" si="29"/>
        <v>218559.81864486582</v>
      </c>
      <c r="G218" s="1">
        <f t="shared" si="25"/>
        <v>1575.2312768897534</v>
      </c>
      <c r="H218" s="69">
        <f>-SUM(E218:G218)*$H$21</f>
        <v>-1981.2154492958002</v>
      </c>
      <c r="I218" s="1">
        <f t="shared" si="26"/>
        <v>-220.13504992175558</v>
      </c>
      <c r="J218" s="1">
        <f t="shared" si="27"/>
        <v>217933.69942253802</v>
      </c>
      <c r="M218" s="7"/>
      <c r="N218" s="1"/>
    </row>
    <row r="219" spans="1:14">
      <c r="A219" s="1">
        <f t="shared" si="28"/>
        <v>196</v>
      </c>
      <c r="B219" s="2">
        <f t="shared" si="22"/>
        <v>16</v>
      </c>
      <c r="C219" s="2">
        <f t="shared" si="23"/>
        <v>4</v>
      </c>
      <c r="D219" s="2">
        <f t="shared" si="24"/>
        <v>45</v>
      </c>
      <c r="E219" s="1">
        <f t="shared" si="29"/>
        <v>217933.69942253802</v>
      </c>
      <c r="G219" s="1">
        <f t="shared" si="25"/>
        <v>1570.718633219989</v>
      </c>
      <c r="H219" s="1">
        <v>0</v>
      </c>
      <c r="I219" s="1">
        <f t="shared" si="26"/>
        <v>-219.50441805575801</v>
      </c>
      <c r="J219" s="1">
        <f t="shared" si="27"/>
        <v>219284.91363770224</v>
      </c>
      <c r="M219" s="7"/>
      <c r="N219" s="1"/>
    </row>
    <row r="220" spans="1:14">
      <c r="A220" s="1">
        <f t="shared" si="28"/>
        <v>197</v>
      </c>
      <c r="B220" s="2">
        <f t="shared" si="22"/>
        <v>16</v>
      </c>
      <c r="C220" s="2">
        <f t="shared" si="23"/>
        <v>5</v>
      </c>
      <c r="D220" s="2">
        <f t="shared" si="24"/>
        <v>45</v>
      </c>
      <c r="E220" s="1">
        <f t="shared" si="29"/>
        <v>219284.91363770224</v>
      </c>
      <c r="G220" s="1">
        <f t="shared" si="25"/>
        <v>1580.4572709380375</v>
      </c>
      <c r="H220" s="1">
        <v>0</v>
      </c>
      <c r="I220" s="1">
        <f t="shared" si="26"/>
        <v>-220.86537090864027</v>
      </c>
      <c r="J220" s="1">
        <f t="shared" si="27"/>
        <v>220644.50553773163</v>
      </c>
      <c r="M220" s="7"/>
      <c r="N220" s="1"/>
    </row>
    <row r="221" spans="1:14">
      <c r="A221" s="1">
        <f t="shared" si="28"/>
        <v>198</v>
      </c>
      <c r="B221" s="2">
        <f t="shared" si="22"/>
        <v>16</v>
      </c>
      <c r="C221" s="2">
        <f t="shared" si="23"/>
        <v>6</v>
      </c>
      <c r="D221" s="2">
        <f t="shared" si="24"/>
        <v>45</v>
      </c>
      <c r="E221" s="1">
        <f t="shared" si="29"/>
        <v>220644.50553773163</v>
      </c>
      <c r="G221" s="1">
        <f t="shared" si="25"/>
        <v>1590.2562893395498</v>
      </c>
      <c r="H221" s="69">
        <f>-SUM(E221:G221)*$H$21</f>
        <v>-2000.1128564436408</v>
      </c>
      <c r="I221" s="1">
        <f t="shared" si="26"/>
        <v>-222.23476182707117</v>
      </c>
      <c r="J221" s="1">
        <f t="shared" si="27"/>
        <v>220012.41420880044</v>
      </c>
      <c r="M221" s="7"/>
      <c r="N221" s="1"/>
    </row>
    <row r="222" spans="1:14">
      <c r="A222" s="1">
        <f t="shared" si="28"/>
        <v>199</v>
      </c>
      <c r="B222" s="2">
        <f t="shared" si="22"/>
        <v>16</v>
      </c>
      <c r="C222" s="2">
        <f t="shared" si="23"/>
        <v>7</v>
      </c>
      <c r="D222" s="2">
        <f t="shared" si="24"/>
        <v>45</v>
      </c>
      <c r="E222" s="1">
        <f t="shared" si="29"/>
        <v>220012.41420880044</v>
      </c>
      <c r="G222" s="1">
        <f t="shared" si="25"/>
        <v>1585.7006027666162</v>
      </c>
      <c r="H222" s="1">
        <v>0</v>
      </c>
      <c r="I222" s="1">
        <f t="shared" si="26"/>
        <v>-221.59811481156706</v>
      </c>
      <c r="J222" s="1">
        <f t="shared" si="27"/>
        <v>221376.51669675551</v>
      </c>
      <c r="M222" s="7"/>
      <c r="N222" s="1"/>
    </row>
    <row r="223" spans="1:14">
      <c r="A223" s="1">
        <f t="shared" si="28"/>
        <v>200</v>
      </c>
      <c r="B223" s="2">
        <f t="shared" si="22"/>
        <v>16</v>
      </c>
      <c r="C223" s="2">
        <f t="shared" si="23"/>
        <v>8</v>
      </c>
      <c r="D223" s="2">
        <f t="shared" si="24"/>
        <v>45</v>
      </c>
      <c r="E223" s="1">
        <f t="shared" si="29"/>
        <v>221376.51669675551</v>
      </c>
      <c r="G223" s="1">
        <f t="shared" si="25"/>
        <v>1595.5321304336549</v>
      </c>
      <c r="H223" s="1">
        <v>0</v>
      </c>
      <c r="I223" s="1">
        <f t="shared" si="26"/>
        <v>-222.97204882718918</v>
      </c>
      <c r="J223" s="1">
        <f t="shared" si="27"/>
        <v>222749.07677836198</v>
      </c>
      <c r="M223" s="7"/>
      <c r="N223" s="1"/>
    </row>
    <row r="224" spans="1:14">
      <c r="A224" s="1">
        <f t="shared" si="28"/>
        <v>201</v>
      </c>
      <c r="B224" s="2">
        <f t="shared" si="22"/>
        <v>16</v>
      </c>
      <c r="C224" s="2">
        <f t="shared" si="23"/>
        <v>9</v>
      </c>
      <c r="D224" s="2">
        <f t="shared" si="24"/>
        <v>45</v>
      </c>
      <c r="E224" s="1">
        <f t="shared" si="29"/>
        <v>222749.07677836198</v>
      </c>
      <c r="G224" s="1">
        <f t="shared" si="25"/>
        <v>1605.4246147126157</v>
      </c>
      <c r="H224" s="69">
        <f>-SUM(E224:G224)*$H$21</f>
        <v>-2019.1905125376718</v>
      </c>
      <c r="I224" s="1">
        <f t="shared" si="26"/>
        <v>-224.3545013930746</v>
      </c>
      <c r="J224" s="1">
        <f t="shared" si="27"/>
        <v>222110.95637914387</v>
      </c>
      <c r="M224" s="7"/>
      <c r="N224" s="1"/>
    </row>
    <row r="225" spans="1:14">
      <c r="A225" s="1">
        <f t="shared" si="28"/>
        <v>202</v>
      </c>
      <c r="B225" s="2">
        <f t="shared" si="22"/>
        <v>16</v>
      </c>
      <c r="C225" s="2">
        <f t="shared" si="23"/>
        <v>10</v>
      </c>
      <c r="D225" s="2">
        <f t="shared" si="24"/>
        <v>45</v>
      </c>
      <c r="E225" s="1">
        <f t="shared" si="29"/>
        <v>222110.95637914387</v>
      </c>
      <c r="G225" s="1">
        <f t="shared" si="25"/>
        <v>1600.8254746808286</v>
      </c>
      <c r="H225" s="1">
        <v>0</v>
      </c>
      <c r="I225" s="1">
        <f t="shared" si="26"/>
        <v>-223.7117818538247</v>
      </c>
      <c r="J225" s="1">
        <f t="shared" si="27"/>
        <v>223488.07007197087</v>
      </c>
      <c r="M225" s="7"/>
      <c r="N225" s="1"/>
    </row>
    <row r="226" spans="1:14">
      <c r="A226" s="1">
        <f t="shared" si="28"/>
        <v>203</v>
      </c>
      <c r="B226" s="2">
        <f t="shared" si="22"/>
        <v>16</v>
      </c>
      <c r="C226" s="2">
        <f t="shared" si="23"/>
        <v>11</v>
      </c>
      <c r="D226" s="2">
        <f t="shared" si="24"/>
        <v>45</v>
      </c>
      <c r="E226" s="1">
        <f t="shared" si="29"/>
        <v>223488.07007197087</v>
      </c>
      <c r="G226" s="1">
        <f t="shared" si="25"/>
        <v>1610.7507783081116</v>
      </c>
      <c r="H226" s="1">
        <v>0</v>
      </c>
      <c r="I226" s="1">
        <f t="shared" si="26"/>
        <v>-225.098820850279</v>
      </c>
      <c r="J226" s="1">
        <f t="shared" si="27"/>
        <v>224873.7220294287</v>
      </c>
      <c r="M226" s="7"/>
      <c r="N226" s="1"/>
    </row>
    <row r="227" spans="1:14">
      <c r="A227" s="1">
        <f t="shared" si="28"/>
        <v>204</v>
      </c>
      <c r="B227" s="2">
        <f t="shared" si="22"/>
        <v>16</v>
      </c>
      <c r="C227" s="2">
        <f t="shared" si="23"/>
        <v>12</v>
      </c>
      <c r="D227" s="2">
        <f t="shared" si="24"/>
        <v>45</v>
      </c>
      <c r="E227" s="1">
        <f t="shared" si="29"/>
        <v>224873.7220294287</v>
      </c>
      <c r="G227" s="1">
        <f t="shared" si="25"/>
        <v>1620.737619969148</v>
      </c>
      <c r="H227" s="69">
        <f>-SUM(E227:G227)*$H$21</f>
        <v>-2038.4501368445808</v>
      </c>
      <c r="I227" s="1">
        <f t="shared" si="26"/>
        <v>-226.49445964939784</v>
      </c>
      <c r="J227" s="1">
        <f t="shared" si="27"/>
        <v>224229.51505290385</v>
      </c>
      <c r="M227" s="7"/>
      <c r="N227" s="1"/>
    </row>
    <row r="228" spans="1:14">
      <c r="A228" s="1">
        <f t="shared" si="28"/>
        <v>205</v>
      </c>
      <c r="B228" s="2">
        <f t="shared" ref="B228:B291" si="30">B216+1</f>
        <v>17</v>
      </c>
      <c r="C228" s="2">
        <f t="shared" ref="C228:C291" si="31">C216</f>
        <v>1</v>
      </c>
      <c r="D228" s="2">
        <f t="shared" ref="D228:D291" si="32">D216+1</f>
        <v>46</v>
      </c>
      <c r="E228" s="1">
        <f t="shared" si="29"/>
        <v>224229.51505290385</v>
      </c>
      <c r="G228" s="1">
        <f t="shared" si="25"/>
        <v>1616.0946120068227</v>
      </c>
      <c r="H228" s="1">
        <v>0</v>
      </c>
      <c r="I228" s="1">
        <f t="shared" si="26"/>
        <v>-225.84560966491068</v>
      </c>
      <c r="J228" s="1">
        <f t="shared" si="27"/>
        <v>225619.76405524576</v>
      </c>
      <c r="M228" s="7"/>
      <c r="N228" s="1"/>
    </row>
    <row r="229" spans="1:14">
      <c r="A229" s="1">
        <f t="shared" si="28"/>
        <v>206</v>
      </c>
      <c r="B229" s="2">
        <f t="shared" si="30"/>
        <v>17</v>
      </c>
      <c r="C229" s="2">
        <f t="shared" si="31"/>
        <v>2</v>
      </c>
      <c r="D229" s="2">
        <f t="shared" si="32"/>
        <v>46</v>
      </c>
      <c r="E229" s="1">
        <f t="shared" si="29"/>
        <v>225619.76405524576</v>
      </c>
      <c r="G229" s="1">
        <f t="shared" si="25"/>
        <v>1626.1145860566371</v>
      </c>
      <c r="H229" s="1">
        <v>0</v>
      </c>
      <c r="I229" s="1">
        <f t="shared" si="26"/>
        <v>-227.2458786413024</v>
      </c>
      <c r="J229" s="1">
        <f t="shared" si="27"/>
        <v>227018.63276266112</v>
      </c>
      <c r="M229" s="7"/>
      <c r="N229" s="1"/>
    </row>
    <row r="230" spans="1:14">
      <c r="A230" s="1">
        <f t="shared" si="28"/>
        <v>207</v>
      </c>
      <c r="B230" s="2">
        <f t="shared" si="30"/>
        <v>17</v>
      </c>
      <c r="C230" s="2">
        <f t="shared" si="31"/>
        <v>3</v>
      </c>
      <c r="D230" s="2">
        <f t="shared" si="32"/>
        <v>46</v>
      </c>
      <c r="E230" s="1">
        <f t="shared" si="29"/>
        <v>227018.63276266112</v>
      </c>
      <c r="G230" s="1">
        <f t="shared" si="25"/>
        <v>1636.1966851078059</v>
      </c>
      <c r="H230" s="69">
        <f>-SUM(E230:G230)*$H$21</f>
        <v>-2057.8934650299207</v>
      </c>
      <c r="I230" s="1">
        <f t="shared" si="26"/>
        <v>-228.65482944776892</v>
      </c>
      <c r="J230" s="1">
        <f t="shared" si="27"/>
        <v>226368.28115329123</v>
      </c>
      <c r="M230" s="7"/>
      <c r="N230" s="1"/>
    </row>
    <row r="231" spans="1:14">
      <c r="A231" s="1">
        <f t="shared" si="28"/>
        <v>208</v>
      </c>
      <c r="B231" s="2">
        <f t="shared" si="30"/>
        <v>17</v>
      </c>
      <c r="C231" s="2">
        <f t="shared" si="31"/>
        <v>4</v>
      </c>
      <c r="D231" s="2">
        <f t="shared" si="32"/>
        <v>46</v>
      </c>
      <c r="E231" s="1">
        <f t="shared" si="29"/>
        <v>226368.28115329123</v>
      </c>
      <c r="G231" s="1">
        <f t="shared" si="25"/>
        <v>1631.5093907899072</v>
      </c>
      <c r="H231" s="1">
        <v>0</v>
      </c>
      <c r="I231" s="1">
        <f t="shared" si="26"/>
        <v>-227.99979054408112</v>
      </c>
      <c r="J231" s="1">
        <f t="shared" si="27"/>
        <v>227771.79075353706</v>
      </c>
      <c r="M231" s="7"/>
      <c r="N231" s="1"/>
    </row>
    <row r="232" spans="1:14">
      <c r="A232" s="1">
        <f t="shared" si="28"/>
        <v>209</v>
      </c>
      <c r="B232" s="2">
        <f t="shared" si="30"/>
        <v>17</v>
      </c>
      <c r="C232" s="2">
        <f t="shared" si="31"/>
        <v>5</v>
      </c>
      <c r="D232" s="2">
        <f t="shared" si="32"/>
        <v>46</v>
      </c>
      <c r="E232" s="1">
        <f t="shared" si="29"/>
        <v>227771.79075353706</v>
      </c>
      <c r="G232" s="1">
        <f t="shared" si="25"/>
        <v>1641.6249382561809</v>
      </c>
      <c r="H232" s="1">
        <v>0</v>
      </c>
      <c r="I232" s="1">
        <f t="shared" si="26"/>
        <v>-229.41341569179326</v>
      </c>
      <c r="J232" s="1">
        <f t="shared" si="27"/>
        <v>229184.00227610147</v>
      </c>
      <c r="M232" s="7"/>
      <c r="N232" s="1"/>
    </row>
    <row r="233" spans="1:14">
      <c r="A233" s="1">
        <f t="shared" si="28"/>
        <v>210</v>
      </c>
      <c r="B233" s="2">
        <f t="shared" si="30"/>
        <v>17</v>
      </c>
      <c r="C233" s="2">
        <f t="shared" si="31"/>
        <v>6</v>
      </c>
      <c r="D233" s="2">
        <f t="shared" si="32"/>
        <v>46</v>
      </c>
      <c r="E233" s="1">
        <f t="shared" si="29"/>
        <v>229184.00227610147</v>
      </c>
      <c r="G233" s="1">
        <f t="shared" si="25"/>
        <v>1651.8032032900762</v>
      </c>
      <c r="H233" s="69">
        <f>-SUM(E233:G233)*$H$21</f>
        <v>-2077.5222493145243</v>
      </c>
      <c r="I233" s="1">
        <f t="shared" si="26"/>
        <v>-230.83580547939155</v>
      </c>
      <c r="J233" s="1">
        <f t="shared" si="27"/>
        <v>228527.44742459763</v>
      </c>
      <c r="M233" s="7"/>
      <c r="N233" s="1"/>
    </row>
    <row r="234" spans="1:14">
      <c r="A234" s="1">
        <f t="shared" si="28"/>
        <v>211</v>
      </c>
      <c r="B234" s="2">
        <f t="shared" si="30"/>
        <v>17</v>
      </c>
      <c r="C234" s="2">
        <f t="shared" si="31"/>
        <v>7</v>
      </c>
      <c r="D234" s="2">
        <f t="shared" si="32"/>
        <v>46</v>
      </c>
      <c r="E234" s="1">
        <f t="shared" si="29"/>
        <v>228527.44742459763</v>
      </c>
      <c r="G234" s="1">
        <f t="shared" si="25"/>
        <v>1647.07120020051</v>
      </c>
      <c r="H234" s="1">
        <v>0</v>
      </c>
      <c r="I234" s="1">
        <f t="shared" si="26"/>
        <v>-230.17451862479814</v>
      </c>
      <c r="J234" s="1">
        <f t="shared" si="27"/>
        <v>229944.34410617335</v>
      </c>
      <c r="M234" s="7"/>
      <c r="N234" s="1"/>
    </row>
    <row r="235" spans="1:14">
      <c r="A235" s="1">
        <f t="shared" si="28"/>
        <v>212</v>
      </c>
      <c r="B235" s="2">
        <f t="shared" si="30"/>
        <v>17</v>
      </c>
      <c r="C235" s="2">
        <f t="shared" si="31"/>
        <v>8</v>
      </c>
      <c r="D235" s="2">
        <f t="shared" si="32"/>
        <v>46</v>
      </c>
      <c r="E235" s="1">
        <f t="shared" si="29"/>
        <v>229944.34410617335</v>
      </c>
      <c r="G235" s="1">
        <f t="shared" si="25"/>
        <v>1657.2832326901873</v>
      </c>
      <c r="H235" s="1">
        <v>0</v>
      </c>
      <c r="I235" s="1">
        <f t="shared" si="26"/>
        <v>-231.60162733886352</v>
      </c>
      <c r="J235" s="1">
        <f t="shared" si="27"/>
        <v>231370.02571152468</v>
      </c>
      <c r="M235" s="7"/>
      <c r="N235" s="1"/>
    </row>
    <row r="236" spans="1:14">
      <c r="A236" s="1">
        <f t="shared" si="28"/>
        <v>213</v>
      </c>
      <c r="B236" s="2">
        <f t="shared" si="30"/>
        <v>17</v>
      </c>
      <c r="C236" s="2">
        <f t="shared" si="31"/>
        <v>9</v>
      </c>
      <c r="D236" s="2">
        <f t="shared" si="32"/>
        <v>46</v>
      </c>
      <c r="E236" s="1">
        <f t="shared" si="29"/>
        <v>231370.02571152468</v>
      </c>
      <c r="G236" s="1">
        <f t="shared" si="25"/>
        <v>1667.5585809658232</v>
      </c>
      <c r="H236" s="69">
        <f>-SUM(E236:G236)*$H$21</f>
        <v>-2097.3382586324146</v>
      </c>
      <c r="I236" s="1">
        <f t="shared" si="26"/>
        <v>-233.03758429249049</v>
      </c>
      <c r="J236" s="1">
        <f t="shared" si="27"/>
        <v>230707.2084495656</v>
      </c>
      <c r="M236" s="7"/>
      <c r="N236" s="1"/>
    </row>
    <row r="237" spans="1:14">
      <c r="A237" s="1">
        <f t="shared" si="28"/>
        <v>214</v>
      </c>
      <c r="B237" s="2">
        <f t="shared" si="30"/>
        <v>17</v>
      </c>
      <c r="C237" s="2">
        <f t="shared" si="31"/>
        <v>10</v>
      </c>
      <c r="D237" s="2">
        <f t="shared" si="32"/>
        <v>46</v>
      </c>
      <c r="E237" s="1">
        <f t="shared" si="29"/>
        <v>230707.2084495656</v>
      </c>
      <c r="G237" s="1">
        <f t="shared" si="25"/>
        <v>1662.7814426593677</v>
      </c>
      <c r="H237" s="1">
        <v>0</v>
      </c>
      <c r="I237" s="1">
        <f t="shared" si="26"/>
        <v>-232.36998989222496</v>
      </c>
      <c r="J237" s="1">
        <f t="shared" si="27"/>
        <v>232137.61990233272</v>
      </c>
      <c r="M237" s="7"/>
      <c r="N237" s="1"/>
    </row>
    <row r="238" spans="1:14">
      <c r="A238" s="1">
        <f t="shared" si="28"/>
        <v>215</v>
      </c>
      <c r="B238" s="2">
        <f t="shared" si="30"/>
        <v>17</v>
      </c>
      <c r="C238" s="2">
        <f t="shared" si="31"/>
        <v>11</v>
      </c>
      <c r="D238" s="2">
        <f t="shared" si="32"/>
        <v>46</v>
      </c>
      <c r="E238" s="1">
        <f t="shared" si="29"/>
        <v>232137.61990233272</v>
      </c>
      <c r="G238" s="1">
        <f t="shared" si="25"/>
        <v>1673.0908804745652</v>
      </c>
      <c r="H238" s="1">
        <v>0</v>
      </c>
      <c r="I238" s="1">
        <f t="shared" si="26"/>
        <v>-233.81071078280729</v>
      </c>
      <c r="J238" s="1">
        <f t="shared" si="27"/>
        <v>233576.90007202449</v>
      </c>
      <c r="M238" s="7"/>
      <c r="N238" s="1"/>
    </row>
    <row r="239" spans="1:14">
      <c r="A239" s="1">
        <f t="shared" si="28"/>
        <v>216</v>
      </c>
      <c r="B239" s="2">
        <f t="shared" si="30"/>
        <v>17</v>
      </c>
      <c r="C239" s="2">
        <f t="shared" si="31"/>
        <v>12</v>
      </c>
      <c r="D239" s="2">
        <f t="shared" si="32"/>
        <v>46</v>
      </c>
      <c r="E239" s="1">
        <f t="shared" si="29"/>
        <v>233576.90007202449</v>
      </c>
      <c r="G239" s="1">
        <f t="shared" si="25"/>
        <v>1683.4642380000378</v>
      </c>
      <c r="H239" s="69">
        <f>-SUM(E239:G239)*$H$21</f>
        <v>-2117.3432787902211</v>
      </c>
      <c r="I239" s="1">
        <f t="shared" si="26"/>
        <v>-235.26036431002456</v>
      </c>
      <c r="J239" s="1">
        <f t="shared" si="27"/>
        <v>232907.7606669243</v>
      </c>
      <c r="M239" s="7"/>
      <c r="N239" s="1"/>
    </row>
    <row r="240" spans="1:14">
      <c r="A240" s="1">
        <f t="shared" si="28"/>
        <v>217</v>
      </c>
      <c r="B240" s="2">
        <f t="shared" si="30"/>
        <v>18</v>
      </c>
      <c r="C240" s="2">
        <f t="shared" si="31"/>
        <v>1</v>
      </c>
      <c r="D240" s="2">
        <f t="shared" si="32"/>
        <v>47</v>
      </c>
      <c r="E240" s="1">
        <f t="shared" si="29"/>
        <v>232907.7606669243</v>
      </c>
      <c r="G240" s="1">
        <f t="shared" si="25"/>
        <v>1678.6415339639134</v>
      </c>
      <c r="H240" s="1">
        <v>0</v>
      </c>
      <c r="I240" s="1">
        <f t="shared" si="26"/>
        <v>-234.58640220088822</v>
      </c>
      <c r="J240" s="1">
        <f t="shared" si="27"/>
        <v>234351.81579868731</v>
      </c>
      <c r="M240" s="7"/>
      <c r="N240" s="1"/>
    </row>
    <row r="241" spans="1:14">
      <c r="A241" s="1">
        <f t="shared" si="28"/>
        <v>218</v>
      </c>
      <c r="B241" s="2">
        <f t="shared" si="30"/>
        <v>18</v>
      </c>
      <c r="C241" s="2">
        <f t="shared" si="31"/>
        <v>2</v>
      </c>
      <c r="D241" s="2">
        <f t="shared" si="32"/>
        <v>47</v>
      </c>
      <c r="E241" s="1">
        <f t="shared" si="29"/>
        <v>234351.81579868731</v>
      </c>
      <c r="G241" s="1">
        <f t="shared" si="25"/>
        <v>1689.0493061848558</v>
      </c>
      <c r="H241" s="1">
        <v>0</v>
      </c>
      <c r="I241" s="1">
        <f t="shared" si="26"/>
        <v>-236.04086510487218</v>
      </c>
      <c r="J241" s="1">
        <f t="shared" si="27"/>
        <v>235804.8242397673</v>
      </c>
      <c r="M241" s="7"/>
      <c r="N241" s="1"/>
    </row>
    <row r="242" spans="1:14">
      <c r="A242" s="1">
        <f t="shared" si="28"/>
        <v>219</v>
      </c>
      <c r="B242" s="2">
        <f t="shared" si="30"/>
        <v>18</v>
      </c>
      <c r="C242" s="2">
        <f t="shared" si="31"/>
        <v>3</v>
      </c>
      <c r="D242" s="2">
        <f t="shared" si="32"/>
        <v>47</v>
      </c>
      <c r="E242" s="1">
        <f t="shared" si="29"/>
        <v>235804.8242397673</v>
      </c>
      <c r="G242" s="1">
        <f t="shared" si="25"/>
        <v>1699.521607800795</v>
      </c>
      <c r="H242" s="69">
        <f>-SUM(E242:G242)*$H$21</f>
        <v>-2137.5391126281133</v>
      </c>
      <c r="I242" s="1">
        <f t="shared" si="26"/>
        <v>-237.50434584756809</v>
      </c>
      <c r="J242" s="1">
        <f t="shared" si="27"/>
        <v>235129.30238909242</v>
      </c>
      <c r="M242" s="7"/>
      <c r="N242" s="1"/>
    </row>
    <row r="243" spans="1:14">
      <c r="A243" s="1">
        <f t="shared" si="28"/>
        <v>220</v>
      </c>
      <c r="B243" s="2">
        <f t="shared" si="30"/>
        <v>18</v>
      </c>
      <c r="C243" s="2">
        <f t="shared" si="31"/>
        <v>4</v>
      </c>
      <c r="D243" s="2">
        <f t="shared" si="32"/>
        <v>47</v>
      </c>
      <c r="E243" s="1">
        <f t="shared" si="29"/>
        <v>235129.30238909242</v>
      </c>
      <c r="G243" s="1">
        <f t="shared" si="25"/>
        <v>1694.6529034158661</v>
      </c>
      <c r="H243" s="1">
        <v>0</v>
      </c>
      <c r="I243" s="1">
        <f t="shared" si="26"/>
        <v>-236.82395529250832</v>
      </c>
      <c r="J243" s="1">
        <f t="shared" si="27"/>
        <v>236587.13133721577</v>
      </c>
      <c r="M243" s="7"/>
      <c r="N243" s="1"/>
    </row>
    <row r="244" spans="1:14">
      <c r="A244" s="1">
        <f t="shared" si="28"/>
        <v>221</v>
      </c>
      <c r="B244" s="2">
        <f t="shared" si="30"/>
        <v>18</v>
      </c>
      <c r="C244" s="2">
        <f t="shared" si="31"/>
        <v>5</v>
      </c>
      <c r="D244" s="2">
        <f t="shared" si="32"/>
        <v>47</v>
      </c>
      <c r="E244" s="1">
        <f t="shared" si="29"/>
        <v>236587.13133721577</v>
      </c>
      <c r="G244" s="1">
        <f t="shared" si="25"/>
        <v>1705.1599479846147</v>
      </c>
      <c r="H244" s="1">
        <v>0</v>
      </c>
      <c r="I244" s="1">
        <f t="shared" si="26"/>
        <v>-238.29229128520041</v>
      </c>
      <c r="J244" s="1">
        <f t="shared" si="27"/>
        <v>238053.99899391519</v>
      </c>
      <c r="M244" s="7"/>
      <c r="N244" s="1"/>
    </row>
    <row r="245" spans="1:14">
      <c r="A245" s="1">
        <f t="shared" si="28"/>
        <v>222</v>
      </c>
      <c r="B245" s="2">
        <f t="shared" si="30"/>
        <v>18</v>
      </c>
      <c r="C245" s="2">
        <f t="shared" si="31"/>
        <v>6</v>
      </c>
      <c r="D245" s="2">
        <f t="shared" si="32"/>
        <v>47</v>
      </c>
      <c r="E245" s="1">
        <f t="shared" si="29"/>
        <v>238053.99899391519</v>
      </c>
      <c r="G245" s="1">
        <f t="shared" si="25"/>
        <v>1715.7321374484311</v>
      </c>
      <c r="H245" s="69">
        <f>-SUM(E245:G245)*$H$21</f>
        <v>-2157.9275801822728</v>
      </c>
      <c r="I245" s="1">
        <f t="shared" si="26"/>
        <v>-239.76973113136364</v>
      </c>
      <c r="J245" s="1">
        <f t="shared" si="27"/>
        <v>237372.03382005001</v>
      </c>
      <c r="M245" s="7"/>
      <c r="N245" s="1"/>
    </row>
    <row r="246" spans="1:14">
      <c r="A246" s="1">
        <f t="shared" si="28"/>
        <v>223</v>
      </c>
      <c r="B246" s="2">
        <f t="shared" si="30"/>
        <v>18</v>
      </c>
      <c r="C246" s="2">
        <f t="shared" si="31"/>
        <v>7</v>
      </c>
      <c r="D246" s="2">
        <f t="shared" si="32"/>
        <v>47</v>
      </c>
      <c r="E246" s="1">
        <f t="shared" si="29"/>
        <v>237372.03382005001</v>
      </c>
      <c r="G246" s="1">
        <f t="shared" si="25"/>
        <v>1710.8169939500394</v>
      </c>
      <c r="H246" s="1">
        <v>0</v>
      </c>
      <c r="I246" s="1">
        <f t="shared" si="26"/>
        <v>-239.08285081400007</v>
      </c>
      <c r="J246" s="1">
        <f t="shared" si="27"/>
        <v>238843.76796318605</v>
      </c>
      <c r="M246" s="7"/>
      <c r="N246" s="1"/>
    </row>
    <row r="247" spans="1:14">
      <c r="A247" s="1">
        <f t="shared" si="28"/>
        <v>224</v>
      </c>
      <c r="B247" s="2">
        <f t="shared" si="30"/>
        <v>18</v>
      </c>
      <c r="C247" s="2">
        <f t="shared" si="31"/>
        <v>8</v>
      </c>
      <c r="D247" s="2">
        <f t="shared" si="32"/>
        <v>47</v>
      </c>
      <c r="E247" s="1">
        <f t="shared" si="29"/>
        <v>238843.76796318605</v>
      </c>
      <c r="G247" s="1">
        <f t="shared" si="25"/>
        <v>1721.4242577550183</v>
      </c>
      <c r="H247" s="1">
        <v>0</v>
      </c>
      <c r="I247" s="1">
        <f t="shared" si="26"/>
        <v>-240.56519222094107</v>
      </c>
      <c r="J247" s="1">
        <f t="shared" si="27"/>
        <v>240324.62702872013</v>
      </c>
      <c r="M247" s="7"/>
      <c r="N247" s="1"/>
    </row>
    <row r="248" spans="1:14">
      <c r="A248" s="1">
        <f t="shared" si="28"/>
        <v>225</v>
      </c>
      <c r="B248" s="2">
        <f t="shared" si="30"/>
        <v>18</v>
      </c>
      <c r="C248" s="2">
        <f t="shared" si="31"/>
        <v>9</v>
      </c>
      <c r="D248" s="2">
        <f t="shared" si="32"/>
        <v>47</v>
      </c>
      <c r="E248" s="1">
        <f t="shared" si="29"/>
        <v>240324.62702872013</v>
      </c>
      <c r="G248" s="1">
        <f t="shared" si="25"/>
        <v>1732.0972878259545</v>
      </c>
      <c r="H248" s="69">
        <f>-SUM(E248:G248)*$H$21</f>
        <v>-2178.5105188489151</v>
      </c>
      <c r="I248" s="1">
        <f t="shared" si="26"/>
        <v>-242.05672431654608</v>
      </c>
      <c r="J248" s="1">
        <f t="shared" si="27"/>
        <v>239636.1570733806</v>
      </c>
      <c r="M248" s="7"/>
      <c r="N248" s="1"/>
    </row>
    <row r="249" spans="1:14">
      <c r="A249" s="1">
        <f t="shared" si="28"/>
        <v>226</v>
      </c>
      <c r="B249" s="2">
        <f t="shared" si="30"/>
        <v>18</v>
      </c>
      <c r="C249" s="2">
        <f t="shared" si="31"/>
        <v>10</v>
      </c>
      <c r="D249" s="2">
        <f t="shared" si="32"/>
        <v>47</v>
      </c>
      <c r="E249" s="1">
        <f t="shared" si="29"/>
        <v>239636.1570733806</v>
      </c>
      <c r="G249" s="1">
        <f t="shared" si="25"/>
        <v>1727.1352622643763</v>
      </c>
      <c r="H249" s="1">
        <v>0</v>
      </c>
      <c r="I249" s="1">
        <f t="shared" si="26"/>
        <v>-241.36329233564499</v>
      </c>
      <c r="J249" s="1">
        <f t="shared" si="27"/>
        <v>241121.92904330933</v>
      </c>
      <c r="M249" s="7"/>
      <c r="N249" s="1"/>
    </row>
    <row r="250" spans="1:14">
      <c r="A250" s="1">
        <f t="shared" si="28"/>
        <v>227</v>
      </c>
      <c r="B250" s="2">
        <f t="shared" si="30"/>
        <v>18</v>
      </c>
      <c r="C250" s="2">
        <f t="shared" si="31"/>
        <v>11</v>
      </c>
      <c r="D250" s="2">
        <f t="shared" si="32"/>
        <v>47</v>
      </c>
      <c r="E250" s="1">
        <f t="shared" si="29"/>
        <v>241121.92904330933</v>
      </c>
      <c r="G250" s="1">
        <f t="shared" si="25"/>
        <v>1737.8437012257061</v>
      </c>
      <c r="H250" s="1">
        <v>0</v>
      </c>
      <c r="I250" s="1">
        <f t="shared" si="26"/>
        <v>-242.85977274453504</v>
      </c>
      <c r="J250" s="1">
        <f t="shared" si="27"/>
        <v>242616.9129717905</v>
      </c>
      <c r="M250" s="7"/>
      <c r="N250" s="1"/>
    </row>
    <row r="251" spans="1:14">
      <c r="A251" s="1">
        <f t="shared" si="28"/>
        <v>228</v>
      </c>
      <c r="B251" s="2">
        <f t="shared" si="30"/>
        <v>18</v>
      </c>
      <c r="C251" s="2">
        <f t="shared" si="31"/>
        <v>12</v>
      </c>
      <c r="D251" s="2">
        <f t="shared" si="32"/>
        <v>47</v>
      </c>
      <c r="E251" s="1">
        <f t="shared" si="29"/>
        <v>242616.9129717905</v>
      </c>
      <c r="G251" s="1">
        <f t="shared" si="25"/>
        <v>1748.6185337506981</v>
      </c>
      <c r="H251" s="69">
        <f>-SUM(E251:G251)*$H$21</f>
        <v>-2199.2897835498711</v>
      </c>
      <c r="I251" s="1">
        <f t="shared" si="26"/>
        <v>-244.36553150554121</v>
      </c>
      <c r="J251" s="1">
        <f t="shared" si="27"/>
        <v>241921.87619048578</v>
      </c>
      <c r="M251" s="7"/>
      <c r="N251" s="1"/>
    </row>
    <row r="252" spans="1:14">
      <c r="A252" s="1">
        <f t="shared" si="28"/>
        <v>229</v>
      </c>
      <c r="B252" s="2">
        <f t="shared" si="30"/>
        <v>19</v>
      </c>
      <c r="C252" s="2">
        <f t="shared" si="31"/>
        <v>1</v>
      </c>
      <c r="D252" s="2">
        <f t="shared" si="32"/>
        <v>48</v>
      </c>
      <c r="E252" s="1">
        <f t="shared" si="29"/>
        <v>241921.87619048578</v>
      </c>
      <c r="G252" s="1">
        <f t="shared" si="25"/>
        <v>1743.6091789512279</v>
      </c>
      <c r="H252" s="1">
        <v>0</v>
      </c>
      <c r="I252" s="1">
        <f t="shared" si="26"/>
        <v>-243.66548536943699</v>
      </c>
      <c r="J252" s="1">
        <f t="shared" si="27"/>
        <v>243421.81988406755</v>
      </c>
      <c r="M252" s="7"/>
      <c r="N252" s="1"/>
    </row>
    <row r="253" spans="1:14">
      <c r="A253" s="1">
        <f t="shared" si="28"/>
        <v>230</v>
      </c>
      <c r="B253" s="2">
        <f t="shared" si="30"/>
        <v>19</v>
      </c>
      <c r="C253" s="2">
        <f t="shared" si="31"/>
        <v>2</v>
      </c>
      <c r="D253" s="2">
        <f t="shared" si="32"/>
        <v>48</v>
      </c>
      <c r="E253" s="1">
        <f t="shared" si="29"/>
        <v>243421.81988406755</v>
      </c>
      <c r="G253" s="1">
        <f t="shared" si="25"/>
        <v>1754.419758106872</v>
      </c>
      <c r="H253" s="1">
        <v>0</v>
      </c>
      <c r="I253" s="1">
        <f t="shared" si="26"/>
        <v>-245.17623964217444</v>
      </c>
      <c r="J253" s="1">
        <f t="shared" si="27"/>
        <v>244931.06340253225</v>
      </c>
      <c r="M253" s="7"/>
      <c r="N253" s="1"/>
    </row>
    <row r="254" spans="1:14">
      <c r="A254" s="1">
        <f t="shared" si="28"/>
        <v>231</v>
      </c>
      <c r="B254" s="2">
        <f t="shared" si="30"/>
        <v>19</v>
      </c>
      <c r="C254" s="2">
        <f t="shared" si="31"/>
        <v>3</v>
      </c>
      <c r="D254" s="2">
        <f t="shared" si="32"/>
        <v>48</v>
      </c>
      <c r="E254" s="1">
        <f t="shared" si="29"/>
        <v>244931.06340253225</v>
      </c>
      <c r="G254" s="1">
        <f t="shared" si="25"/>
        <v>1765.2973641072308</v>
      </c>
      <c r="H254" s="69">
        <f>-SUM(E254:G254)*$H$21</f>
        <v>-2220.2672468997553</v>
      </c>
      <c r="I254" s="1">
        <f t="shared" si="26"/>
        <v>-246.69636076663949</v>
      </c>
      <c r="J254" s="1">
        <f t="shared" si="27"/>
        <v>244229.39715897309</v>
      </c>
      <c r="M254" s="7"/>
      <c r="N254" s="1"/>
    </row>
    <row r="255" spans="1:14">
      <c r="A255" s="1">
        <f t="shared" si="28"/>
        <v>232</v>
      </c>
      <c r="B255" s="2">
        <f t="shared" si="30"/>
        <v>19</v>
      </c>
      <c r="C255" s="2">
        <f t="shared" si="31"/>
        <v>4</v>
      </c>
      <c r="D255" s="2">
        <f t="shared" si="32"/>
        <v>48</v>
      </c>
      <c r="E255" s="1">
        <f t="shared" si="29"/>
        <v>244229.39715897309</v>
      </c>
      <c r="G255" s="1">
        <f t="shared" si="25"/>
        <v>1760.2402286298809</v>
      </c>
      <c r="H255" s="1">
        <v>0</v>
      </c>
      <c r="I255" s="1">
        <f t="shared" si="26"/>
        <v>-245.98963738760298</v>
      </c>
      <c r="J255" s="1">
        <f t="shared" si="27"/>
        <v>245743.64775021537</v>
      </c>
      <c r="M255" s="7"/>
      <c r="N255" s="1"/>
    </row>
    <row r="256" spans="1:14">
      <c r="A256" s="1">
        <f t="shared" si="28"/>
        <v>233</v>
      </c>
      <c r="B256" s="2">
        <f t="shared" si="30"/>
        <v>19</v>
      </c>
      <c r="C256" s="2">
        <f t="shared" si="31"/>
        <v>5</v>
      </c>
      <c r="D256" s="2">
        <f t="shared" si="32"/>
        <v>48</v>
      </c>
      <c r="E256" s="1">
        <f t="shared" si="29"/>
        <v>245743.64775021537</v>
      </c>
      <c r="G256" s="1">
        <f t="shared" si="25"/>
        <v>1771.1539222226152</v>
      </c>
      <c r="H256" s="1">
        <v>0</v>
      </c>
      <c r="I256" s="1">
        <f t="shared" si="26"/>
        <v>-247.51480167243798</v>
      </c>
      <c r="J256" s="1">
        <f t="shared" si="27"/>
        <v>247267.28687076556</v>
      </c>
      <c r="M256" s="7"/>
      <c r="N256" s="1"/>
    </row>
    <row r="257" spans="1:14">
      <c r="A257" s="1">
        <f t="shared" si="28"/>
        <v>234</v>
      </c>
      <c r="B257" s="2">
        <f t="shared" si="30"/>
        <v>19</v>
      </c>
      <c r="C257" s="2">
        <f t="shared" si="31"/>
        <v>6</v>
      </c>
      <c r="D257" s="2">
        <f t="shared" si="32"/>
        <v>48</v>
      </c>
      <c r="E257" s="1">
        <f t="shared" si="29"/>
        <v>247267.28687076556</v>
      </c>
      <c r="G257" s="1">
        <f t="shared" si="25"/>
        <v>1782.1352819815345</v>
      </c>
      <c r="H257" s="69">
        <f>-SUM(E257:G257)*$H$21</f>
        <v>-2241.444799374724</v>
      </c>
      <c r="I257" s="1">
        <f t="shared" si="26"/>
        <v>-249.0494221527471</v>
      </c>
      <c r="J257" s="1">
        <f t="shared" si="27"/>
        <v>246558.9279312196</v>
      </c>
      <c r="M257" s="7"/>
      <c r="N257" s="1"/>
    </row>
    <row r="258" spans="1:14">
      <c r="A258" s="1">
        <f t="shared" si="28"/>
        <v>235</v>
      </c>
      <c r="B258" s="2">
        <f t="shared" si="30"/>
        <v>19</v>
      </c>
      <c r="C258" s="2">
        <f t="shared" si="31"/>
        <v>7</v>
      </c>
      <c r="D258" s="2">
        <f t="shared" si="32"/>
        <v>48</v>
      </c>
      <c r="E258" s="1">
        <f t="shared" si="29"/>
        <v>246558.9279312196</v>
      </c>
      <c r="G258" s="1">
        <f t="shared" si="25"/>
        <v>1777.0299100803511</v>
      </c>
      <c r="H258" s="1">
        <v>0</v>
      </c>
      <c r="I258" s="1">
        <f t="shared" si="26"/>
        <v>-248.33595784129994</v>
      </c>
      <c r="J258" s="1">
        <f t="shared" si="27"/>
        <v>248087.62188345863</v>
      </c>
      <c r="M258" s="7"/>
      <c r="N258" s="1"/>
    </row>
    <row r="259" spans="1:14">
      <c r="A259" s="1">
        <f t="shared" si="28"/>
        <v>236</v>
      </c>
      <c r="B259" s="2">
        <f t="shared" si="30"/>
        <v>19</v>
      </c>
      <c r="C259" s="2">
        <f t="shared" si="31"/>
        <v>8</v>
      </c>
      <c r="D259" s="2">
        <f t="shared" si="32"/>
        <v>48</v>
      </c>
      <c r="E259" s="1">
        <f t="shared" si="29"/>
        <v>248087.62188345863</v>
      </c>
      <c r="G259" s="1">
        <f t="shared" si="25"/>
        <v>1788.0477016455607</v>
      </c>
      <c r="H259" s="1">
        <v>0</v>
      </c>
      <c r="I259" s="1">
        <f t="shared" si="26"/>
        <v>-249.87566958510419</v>
      </c>
      <c r="J259" s="1">
        <f t="shared" si="27"/>
        <v>249625.79391551908</v>
      </c>
      <c r="M259" s="7"/>
      <c r="N259" s="1"/>
    </row>
    <row r="260" spans="1:14">
      <c r="A260" s="1">
        <f t="shared" si="28"/>
        <v>237</v>
      </c>
      <c r="B260" s="2">
        <f t="shared" si="30"/>
        <v>19</v>
      </c>
      <c r="C260" s="2">
        <f t="shared" si="31"/>
        <v>9</v>
      </c>
      <c r="D260" s="2">
        <f t="shared" si="32"/>
        <v>48</v>
      </c>
      <c r="E260" s="1">
        <f t="shared" si="29"/>
        <v>249625.79391551908</v>
      </c>
      <c r="G260" s="1">
        <f t="shared" si="25"/>
        <v>1799.1338047964593</v>
      </c>
      <c r="H260" s="69">
        <f>-SUM(E260:G260)*$H$21</f>
        <v>-2262.8243494828403</v>
      </c>
      <c r="I260" s="1">
        <f t="shared" si="26"/>
        <v>-251.42492772031557</v>
      </c>
      <c r="J260" s="1">
        <f t="shared" si="27"/>
        <v>248910.67844311241</v>
      </c>
      <c r="M260" s="7"/>
      <c r="N260" s="1"/>
    </row>
    <row r="261" spans="1:14">
      <c r="A261" s="1">
        <f t="shared" si="28"/>
        <v>238</v>
      </c>
      <c r="B261" s="2">
        <f t="shared" si="30"/>
        <v>19</v>
      </c>
      <c r="C261" s="2">
        <f t="shared" si="31"/>
        <v>10</v>
      </c>
      <c r="D261" s="2">
        <f t="shared" si="32"/>
        <v>48</v>
      </c>
      <c r="E261" s="1">
        <f t="shared" si="29"/>
        <v>248910.67844311241</v>
      </c>
      <c r="G261" s="1">
        <f t="shared" si="25"/>
        <v>1793.9797363784526</v>
      </c>
      <c r="H261" s="1">
        <v>0</v>
      </c>
      <c r="I261" s="1">
        <f t="shared" si="26"/>
        <v>-250.70465817949085</v>
      </c>
      <c r="J261" s="1">
        <f t="shared" si="27"/>
        <v>250453.95352131137</v>
      </c>
      <c r="M261" s="7"/>
      <c r="N261" s="1"/>
    </row>
    <row r="262" spans="1:14">
      <c r="A262" s="1">
        <f t="shared" si="28"/>
        <v>239</v>
      </c>
      <c r="B262" s="2">
        <f t="shared" si="30"/>
        <v>19</v>
      </c>
      <c r="C262" s="2">
        <f t="shared" si="31"/>
        <v>11</v>
      </c>
      <c r="D262" s="2">
        <f t="shared" si="32"/>
        <v>48</v>
      </c>
      <c r="E262" s="1">
        <f t="shared" si="29"/>
        <v>250453.95352131137</v>
      </c>
      <c r="G262" s="1">
        <f t="shared" si="25"/>
        <v>1805.1026188327687</v>
      </c>
      <c r="H262" s="1">
        <v>0</v>
      </c>
      <c r="I262" s="1">
        <f t="shared" si="26"/>
        <v>-252.25905614014417</v>
      </c>
      <c r="J262" s="1">
        <f t="shared" si="27"/>
        <v>252006.79708400401</v>
      </c>
      <c r="M262" s="7"/>
      <c r="N262" s="1"/>
    </row>
    <row r="263" spans="1:14">
      <c r="A263" s="1">
        <f t="shared" si="28"/>
        <v>240</v>
      </c>
      <c r="B263" s="2">
        <f t="shared" si="30"/>
        <v>19</v>
      </c>
      <c r="C263" s="2">
        <f t="shared" si="31"/>
        <v>12</v>
      </c>
      <c r="D263" s="2">
        <f t="shared" si="32"/>
        <v>48</v>
      </c>
      <c r="E263" s="1">
        <f t="shared" si="29"/>
        <v>252006.79708400401</v>
      </c>
      <c r="G263" s="1">
        <f t="shared" si="25"/>
        <v>1816.2944644484762</v>
      </c>
      <c r="H263" s="69">
        <f>-SUM(E263:G263)*$H$21</f>
        <v>-2284.4078239360724</v>
      </c>
      <c r="I263" s="1">
        <f t="shared" si="26"/>
        <v>-253.82309154845248</v>
      </c>
      <c r="J263" s="1">
        <f t="shared" si="27"/>
        <v>251284.86063296793</v>
      </c>
      <c r="M263" s="7"/>
      <c r="N263" s="1"/>
    </row>
    <row r="264" spans="1:14">
      <c r="A264" s="1">
        <f t="shared" si="28"/>
        <v>241</v>
      </c>
      <c r="B264" s="2">
        <f t="shared" si="30"/>
        <v>20</v>
      </c>
      <c r="C264" s="2">
        <f t="shared" si="31"/>
        <v>1</v>
      </c>
      <c r="D264" s="2">
        <f t="shared" si="32"/>
        <v>49</v>
      </c>
      <c r="E264" s="1">
        <f t="shared" si="29"/>
        <v>251284.86063296793</v>
      </c>
      <c r="G264" s="1">
        <f t="shared" si="25"/>
        <v>1811.0912350321548</v>
      </c>
      <c r="H264" s="1">
        <v>0</v>
      </c>
      <c r="I264" s="1">
        <f t="shared" si="26"/>
        <v>-253.0959518680001</v>
      </c>
      <c r="J264" s="1">
        <f t="shared" si="27"/>
        <v>252842.8559161321</v>
      </c>
      <c r="M264" s="7"/>
      <c r="N264" s="1"/>
    </row>
    <row r="265" spans="1:14">
      <c r="A265" s="1">
        <f t="shared" si="28"/>
        <v>242</v>
      </c>
      <c r="B265" s="2">
        <f t="shared" si="30"/>
        <v>20</v>
      </c>
      <c r="C265" s="2">
        <f t="shared" si="31"/>
        <v>2</v>
      </c>
      <c r="D265" s="2">
        <f t="shared" si="32"/>
        <v>49</v>
      </c>
      <c r="E265" s="1">
        <f t="shared" si="29"/>
        <v>252842.8559161321</v>
      </c>
      <c r="G265" s="1">
        <f t="shared" si="25"/>
        <v>1822.3202107629349</v>
      </c>
      <c r="H265" s="1">
        <v>0</v>
      </c>
      <c r="I265" s="1">
        <f t="shared" si="26"/>
        <v>-254.66517612689503</v>
      </c>
      <c r="J265" s="1">
        <f t="shared" si="27"/>
        <v>254410.51095076813</v>
      </c>
      <c r="M265" s="7"/>
      <c r="N265" s="1"/>
    </row>
    <row r="266" spans="1:14">
      <c r="A266" s="1">
        <f t="shared" si="28"/>
        <v>243</v>
      </c>
      <c r="B266" s="2">
        <f t="shared" si="30"/>
        <v>20</v>
      </c>
      <c r="C266" s="2">
        <f t="shared" si="31"/>
        <v>3</v>
      </c>
      <c r="D266" s="2">
        <f t="shared" si="32"/>
        <v>49</v>
      </c>
      <c r="E266" s="1">
        <f t="shared" si="29"/>
        <v>254410.51095076813</v>
      </c>
      <c r="G266" s="1">
        <f t="shared" si="25"/>
        <v>1833.6188074457264</v>
      </c>
      <c r="H266" s="69">
        <f>-SUM(E266:G266)*$H$21</f>
        <v>-2306.1971678239247</v>
      </c>
      <c r="I266" s="1">
        <f t="shared" si="26"/>
        <v>-256.24412975821383</v>
      </c>
      <c r="J266" s="1">
        <f t="shared" si="27"/>
        <v>253681.6884606317</v>
      </c>
      <c r="M266" s="7"/>
      <c r="N266" s="1"/>
    </row>
    <row r="267" spans="1:14">
      <c r="A267" s="1">
        <f t="shared" si="28"/>
        <v>244</v>
      </c>
      <c r="B267" s="2">
        <f t="shared" si="30"/>
        <v>20</v>
      </c>
      <c r="C267" s="2">
        <f t="shared" si="31"/>
        <v>4</v>
      </c>
      <c r="D267" s="2">
        <f t="shared" si="32"/>
        <v>49</v>
      </c>
      <c r="E267" s="1">
        <f t="shared" si="29"/>
        <v>253681.6884606317</v>
      </c>
      <c r="G267" s="1">
        <f t="shared" si="25"/>
        <v>1828.3659481192412</v>
      </c>
      <c r="H267" s="1">
        <v>0</v>
      </c>
      <c r="I267" s="1">
        <f t="shared" si="26"/>
        <v>-255.51005440875093</v>
      </c>
      <c r="J267" s="1">
        <f t="shared" si="27"/>
        <v>255254.54435434219</v>
      </c>
      <c r="M267" s="7"/>
      <c r="N267" s="1"/>
    </row>
    <row r="268" spans="1:14">
      <c r="A268" s="1">
        <f t="shared" si="28"/>
        <v>245</v>
      </c>
      <c r="B268" s="2">
        <f t="shared" si="30"/>
        <v>20</v>
      </c>
      <c r="C268" s="2">
        <f t="shared" si="31"/>
        <v>5</v>
      </c>
      <c r="D268" s="2">
        <f t="shared" si="32"/>
        <v>49</v>
      </c>
      <c r="E268" s="1">
        <f t="shared" si="29"/>
        <v>255254.54435434219</v>
      </c>
      <c r="G268" s="1">
        <f t="shared" si="25"/>
        <v>1839.702029074904</v>
      </c>
      <c r="H268" s="1">
        <v>0</v>
      </c>
      <c r="I268" s="1">
        <f t="shared" si="26"/>
        <v>-257.0942463834171</v>
      </c>
      <c r="J268" s="1">
        <f t="shared" si="27"/>
        <v>256837.15213703367</v>
      </c>
      <c r="M268" s="7"/>
      <c r="N268" s="1"/>
    </row>
    <row r="269" spans="1:14">
      <c r="A269" s="1">
        <f t="shared" si="28"/>
        <v>246</v>
      </c>
      <c r="B269" s="2">
        <f t="shared" si="30"/>
        <v>20</v>
      </c>
      <c r="C269" s="2">
        <f t="shared" si="31"/>
        <v>6</v>
      </c>
      <c r="D269" s="2">
        <f t="shared" si="32"/>
        <v>49</v>
      </c>
      <c r="E269" s="1">
        <f t="shared" si="29"/>
        <v>256837.15213703367</v>
      </c>
      <c r="G269" s="1">
        <f t="shared" si="25"/>
        <v>1851.1083950473956</v>
      </c>
      <c r="H269" s="69">
        <f>-SUM(E269:G269)*$H$21</f>
        <v>-2328.1943447887297</v>
      </c>
      <c r="I269" s="1">
        <f t="shared" si="26"/>
        <v>-258.68826053208107</v>
      </c>
      <c r="J269" s="1">
        <f t="shared" si="27"/>
        <v>256101.37792676027</v>
      </c>
      <c r="M269" s="7"/>
      <c r="N269" s="1"/>
    </row>
    <row r="270" spans="1:14">
      <c r="A270" s="1">
        <f t="shared" si="28"/>
        <v>247</v>
      </c>
      <c r="B270" s="2">
        <f t="shared" si="30"/>
        <v>20</v>
      </c>
      <c r="C270" s="2">
        <f t="shared" si="31"/>
        <v>7</v>
      </c>
      <c r="D270" s="2">
        <f t="shared" si="32"/>
        <v>49</v>
      </c>
      <c r="E270" s="1">
        <f t="shared" si="29"/>
        <v>256101.37792676027</v>
      </c>
      <c r="G270" s="1">
        <f t="shared" si="25"/>
        <v>1845.80543242628</v>
      </c>
      <c r="H270" s="1">
        <v>0</v>
      </c>
      <c r="I270" s="1">
        <f t="shared" si="26"/>
        <v>-257.94718335918657</v>
      </c>
      <c r="J270" s="1">
        <f t="shared" si="27"/>
        <v>257689.23617582736</v>
      </c>
      <c r="M270" s="7"/>
      <c r="N270" s="1"/>
    </row>
    <row r="271" spans="1:14">
      <c r="A271" s="1">
        <f t="shared" si="28"/>
        <v>248</v>
      </c>
      <c r="B271" s="2">
        <f t="shared" si="30"/>
        <v>20</v>
      </c>
      <c r="C271" s="2">
        <f t="shared" si="31"/>
        <v>8</v>
      </c>
      <c r="D271" s="2">
        <f t="shared" si="32"/>
        <v>49</v>
      </c>
      <c r="E271" s="1">
        <f t="shared" si="29"/>
        <v>257689.23617582736</v>
      </c>
      <c r="G271" s="1">
        <f t="shared" si="25"/>
        <v>1857.2496402075014</v>
      </c>
      <c r="H271" s="1">
        <v>0</v>
      </c>
      <c r="I271" s="1">
        <f t="shared" si="26"/>
        <v>-259.54648581603487</v>
      </c>
      <c r="J271" s="1">
        <f t="shared" si="27"/>
        <v>259286.93933021883</v>
      </c>
      <c r="M271" s="7"/>
      <c r="N271" s="1"/>
    </row>
    <row r="272" spans="1:14">
      <c r="A272" s="1">
        <f t="shared" si="28"/>
        <v>249</v>
      </c>
      <c r="B272" s="2">
        <f t="shared" si="30"/>
        <v>20</v>
      </c>
      <c r="C272" s="2">
        <f t="shared" si="31"/>
        <v>9</v>
      </c>
      <c r="D272" s="2">
        <f t="shared" si="32"/>
        <v>49</v>
      </c>
      <c r="E272" s="1">
        <f t="shared" si="29"/>
        <v>259286.93933021883</v>
      </c>
      <c r="G272" s="1">
        <f t="shared" si="25"/>
        <v>1868.7648034044121</v>
      </c>
      <c r="H272" s="69">
        <f>-SUM(E272:G272)*$H$21</f>
        <v>-2350.4013372026097</v>
      </c>
      <c r="I272" s="1">
        <f t="shared" si="26"/>
        <v>-261.15570413362326</v>
      </c>
      <c r="J272" s="1">
        <f t="shared" si="27"/>
        <v>258544.14709228702</v>
      </c>
      <c r="M272" s="7"/>
      <c r="N272" s="1"/>
    </row>
    <row r="273" spans="1:14">
      <c r="A273" s="1">
        <f t="shared" si="28"/>
        <v>250</v>
      </c>
      <c r="B273" s="2">
        <f t="shared" si="30"/>
        <v>20</v>
      </c>
      <c r="C273" s="2">
        <f t="shared" si="31"/>
        <v>10</v>
      </c>
      <c r="D273" s="2">
        <f t="shared" si="32"/>
        <v>49</v>
      </c>
      <c r="E273" s="1">
        <f t="shared" si="29"/>
        <v>258544.14709228702</v>
      </c>
      <c r="G273" s="1">
        <f t="shared" si="25"/>
        <v>1863.411259588921</v>
      </c>
      <c r="H273" s="1">
        <v>0</v>
      </c>
      <c r="I273" s="1">
        <f t="shared" si="26"/>
        <v>-260.40755835187593</v>
      </c>
      <c r="J273" s="1">
        <f t="shared" si="27"/>
        <v>260147.15079352408</v>
      </c>
      <c r="M273" s="7"/>
      <c r="N273" s="1"/>
    </row>
    <row r="274" spans="1:14">
      <c r="A274" s="1">
        <f t="shared" si="28"/>
        <v>251</v>
      </c>
      <c r="B274" s="2">
        <f t="shared" si="30"/>
        <v>20</v>
      </c>
      <c r="C274" s="2">
        <f t="shared" si="31"/>
        <v>11</v>
      </c>
      <c r="D274" s="2">
        <f t="shared" si="32"/>
        <v>49</v>
      </c>
      <c r="E274" s="1">
        <f t="shared" si="29"/>
        <v>260147.15079352408</v>
      </c>
      <c r="G274" s="1">
        <f t="shared" si="25"/>
        <v>1874.9646255407001</v>
      </c>
      <c r="H274" s="1">
        <v>0</v>
      </c>
      <c r="I274" s="1">
        <f t="shared" si="26"/>
        <v>-262.02211541906479</v>
      </c>
      <c r="J274" s="1">
        <f t="shared" si="27"/>
        <v>261760.09330364573</v>
      </c>
      <c r="M274" s="7"/>
      <c r="N274" s="1"/>
    </row>
    <row r="275" spans="1:14">
      <c r="A275" s="1">
        <f t="shared" si="28"/>
        <v>252</v>
      </c>
      <c r="B275" s="2">
        <f t="shared" si="30"/>
        <v>20</v>
      </c>
      <c r="C275" s="2">
        <f t="shared" si="31"/>
        <v>12</v>
      </c>
      <c r="D275" s="2">
        <f t="shared" si="32"/>
        <v>49</v>
      </c>
      <c r="E275" s="1">
        <f t="shared" si="29"/>
        <v>261760.09330364573</v>
      </c>
      <c r="G275" s="1">
        <f t="shared" si="25"/>
        <v>1886.5896237014881</v>
      </c>
      <c r="H275" s="69">
        <f>-SUM(E275:G275)*$H$21</f>
        <v>-2372.8201463461251</v>
      </c>
      <c r="I275" s="1">
        <f t="shared" si="26"/>
        <v>-263.64668292734723</v>
      </c>
      <c r="J275" s="1">
        <f t="shared" si="27"/>
        <v>261010.21609807372</v>
      </c>
      <c r="M275" s="7"/>
      <c r="N275" s="1"/>
    </row>
    <row r="276" spans="1:14">
      <c r="A276" s="1">
        <f t="shared" si="28"/>
        <v>253</v>
      </c>
      <c r="B276" s="2">
        <f t="shared" si="30"/>
        <v>21</v>
      </c>
      <c r="C276" s="2">
        <f t="shared" si="31"/>
        <v>1</v>
      </c>
      <c r="D276" s="2">
        <f t="shared" si="32"/>
        <v>50</v>
      </c>
      <c r="E276" s="1">
        <f t="shared" si="29"/>
        <v>261010.21609807372</v>
      </c>
      <c r="G276" s="1">
        <f t="shared" si="25"/>
        <v>1881.1850162335295</v>
      </c>
      <c r="H276" s="1">
        <v>0</v>
      </c>
      <c r="I276" s="1">
        <f t="shared" si="26"/>
        <v>-262.89140111430726</v>
      </c>
      <c r="J276" s="1">
        <f t="shared" si="27"/>
        <v>262628.50971319294</v>
      </c>
      <c r="M276" s="7"/>
      <c r="N276" s="1"/>
    </row>
    <row r="277" spans="1:14">
      <c r="A277" s="1">
        <f t="shared" si="28"/>
        <v>254</v>
      </c>
      <c r="B277" s="2">
        <f t="shared" si="30"/>
        <v>21</v>
      </c>
      <c r="C277" s="2">
        <f t="shared" si="31"/>
        <v>2</v>
      </c>
      <c r="D277" s="2">
        <f t="shared" si="32"/>
        <v>50</v>
      </c>
      <c r="E277" s="1">
        <f t="shared" si="29"/>
        <v>262628.50971319294</v>
      </c>
      <c r="G277" s="1">
        <f t="shared" si="25"/>
        <v>1892.8485815381334</v>
      </c>
      <c r="H277" s="1">
        <v>0</v>
      </c>
      <c r="I277" s="1">
        <f t="shared" si="26"/>
        <v>-264.52135829473104</v>
      </c>
      <c r="J277" s="1">
        <f t="shared" si="27"/>
        <v>264256.83693643636</v>
      </c>
      <c r="M277" s="7"/>
      <c r="N277" s="1"/>
    </row>
    <row r="278" spans="1:14">
      <c r="A278" s="1">
        <f t="shared" si="28"/>
        <v>255</v>
      </c>
      <c r="B278" s="2">
        <f t="shared" si="30"/>
        <v>21</v>
      </c>
      <c r="C278" s="2">
        <f t="shared" si="31"/>
        <v>3</v>
      </c>
      <c r="D278" s="2">
        <f t="shared" si="32"/>
        <v>50</v>
      </c>
      <c r="E278" s="1">
        <f t="shared" si="29"/>
        <v>264256.83693643636</v>
      </c>
      <c r="G278" s="1">
        <f t="shared" si="25"/>
        <v>1904.5844623005157</v>
      </c>
      <c r="H278" s="69">
        <f>-SUM(E278:G278)*$H$21</f>
        <v>-2395.4527925886323</v>
      </c>
      <c r="I278" s="1">
        <f t="shared" si="26"/>
        <v>-266.16142139873688</v>
      </c>
      <c r="J278" s="1">
        <f t="shared" si="27"/>
        <v>263499.80718474952</v>
      </c>
      <c r="M278" s="7"/>
      <c r="N278" s="1"/>
    </row>
    <row r="279" spans="1:14">
      <c r="A279" s="1">
        <f t="shared" si="28"/>
        <v>256</v>
      </c>
      <c r="B279" s="2">
        <f t="shared" si="30"/>
        <v>21</v>
      </c>
      <c r="C279" s="2">
        <f t="shared" si="31"/>
        <v>4</v>
      </c>
      <c r="D279" s="2">
        <f t="shared" si="32"/>
        <v>50</v>
      </c>
      <c r="E279" s="1">
        <f t="shared" si="29"/>
        <v>263499.80718474952</v>
      </c>
      <c r="G279" s="1">
        <f t="shared" si="25"/>
        <v>1899.1283041201741</v>
      </c>
      <c r="H279" s="1">
        <v>0</v>
      </c>
      <c r="I279" s="1">
        <f t="shared" si="26"/>
        <v>-265.39893548886965</v>
      </c>
      <c r="J279" s="1">
        <f t="shared" si="27"/>
        <v>265133.53655338078</v>
      </c>
      <c r="M279" s="7"/>
      <c r="N279" s="1"/>
    </row>
    <row r="280" spans="1:14">
      <c r="A280" s="1">
        <f t="shared" si="28"/>
        <v>257</v>
      </c>
      <c r="B280" s="2">
        <f t="shared" si="30"/>
        <v>21</v>
      </c>
      <c r="C280" s="2">
        <f t="shared" si="31"/>
        <v>5</v>
      </c>
      <c r="D280" s="2">
        <f t="shared" si="32"/>
        <v>50</v>
      </c>
      <c r="E280" s="1">
        <f t="shared" si="29"/>
        <v>265133.53655338078</v>
      </c>
      <c r="G280" s="1">
        <f t="shared" ref="G280:G343" si="33">SUM(E280:F280)*$F$8</f>
        <v>1910.9031198909674</v>
      </c>
      <c r="H280" s="1">
        <v>0</v>
      </c>
      <c r="I280" s="1">
        <f t="shared" ref="I280:I343" si="34">-SUM(E280:G280)*0.1%</f>
        <v>-267.04443967327171</v>
      </c>
      <c r="J280" s="1">
        <f t="shared" ref="J280:J343" si="35">SUM(E280:I280)</f>
        <v>266777.39523359848</v>
      </c>
      <c r="M280" s="7"/>
      <c r="N280" s="1"/>
    </row>
    <row r="281" spans="1:14">
      <c r="A281" s="1">
        <f t="shared" ref="A281:A344" si="36">+A280+1</f>
        <v>258</v>
      </c>
      <c r="B281" s="2">
        <f t="shared" si="30"/>
        <v>21</v>
      </c>
      <c r="C281" s="2">
        <f t="shared" si="31"/>
        <v>6</v>
      </c>
      <c r="D281" s="2">
        <f t="shared" si="32"/>
        <v>50</v>
      </c>
      <c r="E281" s="1">
        <f t="shared" ref="E281:E344" si="37">J280</f>
        <v>266777.39523359848</v>
      </c>
      <c r="G281" s="1">
        <f t="shared" si="33"/>
        <v>1922.7509408853343</v>
      </c>
      <c r="H281" s="69">
        <f>-SUM(E281:G281)*$H$21</f>
        <v>-2418.3013155703547</v>
      </c>
      <c r="I281" s="1">
        <f t="shared" si="34"/>
        <v>-268.70014617448385</v>
      </c>
      <c r="J281" s="1">
        <f t="shared" si="35"/>
        <v>266013.14471273898</v>
      </c>
      <c r="M281" s="7"/>
      <c r="N281" s="1"/>
    </row>
    <row r="282" spans="1:14">
      <c r="A282" s="1">
        <f t="shared" si="36"/>
        <v>259</v>
      </c>
      <c r="B282" s="2">
        <f t="shared" si="30"/>
        <v>21</v>
      </c>
      <c r="C282" s="2">
        <f t="shared" si="31"/>
        <v>7</v>
      </c>
      <c r="D282" s="2">
        <f t="shared" si="32"/>
        <v>50</v>
      </c>
      <c r="E282" s="1">
        <f t="shared" si="37"/>
        <v>266013.14471273898</v>
      </c>
      <c r="G282" s="1">
        <f t="shared" si="33"/>
        <v>1917.2427402869739</v>
      </c>
      <c r="H282" s="1">
        <v>0</v>
      </c>
      <c r="I282" s="1">
        <f t="shared" si="34"/>
        <v>-267.93038745302596</v>
      </c>
      <c r="J282" s="1">
        <f t="shared" si="35"/>
        <v>267662.45706557296</v>
      </c>
      <c r="M282" s="7"/>
      <c r="N282" s="1"/>
    </row>
    <row r="283" spans="1:14">
      <c r="A283" s="1">
        <f t="shared" si="36"/>
        <v>260</v>
      </c>
      <c r="B283" s="2">
        <f t="shared" si="30"/>
        <v>21</v>
      </c>
      <c r="C283" s="2">
        <f t="shared" si="31"/>
        <v>8</v>
      </c>
      <c r="D283" s="2">
        <f t="shared" si="32"/>
        <v>50</v>
      </c>
      <c r="E283" s="1">
        <f t="shared" si="37"/>
        <v>267662.45706557296</v>
      </c>
      <c r="G283" s="1">
        <f t="shared" si="33"/>
        <v>1929.1298676631466</v>
      </c>
      <c r="H283" s="1">
        <v>0</v>
      </c>
      <c r="I283" s="1">
        <f t="shared" si="34"/>
        <v>-269.5915869332361</v>
      </c>
      <c r="J283" s="1">
        <f t="shared" si="35"/>
        <v>269321.99534630287</v>
      </c>
      <c r="M283" s="7"/>
      <c r="N283" s="1"/>
    </row>
    <row r="284" spans="1:14">
      <c r="A284" s="1">
        <f t="shared" si="36"/>
        <v>261</v>
      </c>
      <c r="B284" s="2">
        <f t="shared" si="30"/>
        <v>21</v>
      </c>
      <c r="C284" s="2">
        <f t="shared" si="31"/>
        <v>9</v>
      </c>
      <c r="D284" s="2">
        <f t="shared" si="32"/>
        <v>50</v>
      </c>
      <c r="E284" s="1">
        <f t="shared" si="37"/>
        <v>269321.99534630287</v>
      </c>
      <c r="G284" s="1">
        <f t="shared" si="33"/>
        <v>1941.0906966078726</v>
      </c>
      <c r="H284" s="69">
        <f>-SUM(E284:G284)*$H$21</f>
        <v>-2441.3677743861972</v>
      </c>
      <c r="I284" s="1">
        <f t="shared" si="34"/>
        <v>-271.26308604291074</v>
      </c>
      <c r="J284" s="1">
        <f t="shared" si="35"/>
        <v>268550.45518248167</v>
      </c>
      <c r="M284" s="7"/>
      <c r="N284" s="1"/>
    </row>
    <row r="285" spans="1:14">
      <c r="A285" s="1">
        <f t="shared" si="36"/>
        <v>262</v>
      </c>
      <c r="B285" s="2">
        <f t="shared" si="30"/>
        <v>21</v>
      </c>
      <c r="C285" s="2">
        <f t="shared" si="31"/>
        <v>10</v>
      </c>
      <c r="D285" s="2">
        <f t="shared" si="32"/>
        <v>50</v>
      </c>
      <c r="E285" s="1">
        <f t="shared" si="37"/>
        <v>268550.45518248167</v>
      </c>
      <c r="G285" s="1">
        <f t="shared" si="33"/>
        <v>1935.5299571958283</v>
      </c>
      <c r="H285" s="1">
        <v>0</v>
      </c>
      <c r="I285" s="1">
        <f t="shared" si="34"/>
        <v>-270.4859851396775</v>
      </c>
      <c r="J285" s="1">
        <f t="shared" si="35"/>
        <v>270215.4991545378</v>
      </c>
      <c r="M285" s="7"/>
      <c r="N285" s="1"/>
    </row>
    <row r="286" spans="1:14">
      <c r="A286" s="1">
        <f t="shared" si="36"/>
        <v>263</v>
      </c>
      <c r="B286" s="2">
        <f t="shared" si="30"/>
        <v>21</v>
      </c>
      <c r="C286" s="2">
        <f t="shared" si="31"/>
        <v>11</v>
      </c>
      <c r="D286" s="2">
        <f t="shared" si="32"/>
        <v>50</v>
      </c>
      <c r="E286" s="1">
        <f t="shared" si="37"/>
        <v>270215.4991545378</v>
      </c>
      <c r="G286" s="1">
        <f t="shared" si="33"/>
        <v>1947.5304674380213</v>
      </c>
      <c r="H286" s="1">
        <v>0</v>
      </c>
      <c r="I286" s="1">
        <f t="shared" si="34"/>
        <v>-272.16302962197585</v>
      </c>
      <c r="J286" s="1">
        <f t="shared" si="35"/>
        <v>271890.86659235385</v>
      </c>
      <c r="M286" s="7"/>
      <c r="N286" s="1"/>
    </row>
    <row r="287" spans="1:14">
      <c r="A287" s="1">
        <f t="shared" si="36"/>
        <v>264</v>
      </c>
      <c r="B287" s="2">
        <f t="shared" si="30"/>
        <v>21</v>
      </c>
      <c r="C287" s="2">
        <f t="shared" si="31"/>
        <v>12</v>
      </c>
      <c r="D287" s="2">
        <f t="shared" si="32"/>
        <v>50</v>
      </c>
      <c r="E287" s="1">
        <f t="shared" si="37"/>
        <v>271890.86659235385</v>
      </c>
      <c r="G287" s="1">
        <f t="shared" si="33"/>
        <v>1959.6053822356891</v>
      </c>
      <c r="H287" s="69">
        <f>-SUM(E287:G287)*$H$21</f>
        <v>-2464.654247771306</v>
      </c>
      <c r="I287" s="1">
        <f t="shared" si="34"/>
        <v>-273.85047197458954</v>
      </c>
      <c r="J287" s="1">
        <f t="shared" si="35"/>
        <v>271111.96725484362</v>
      </c>
      <c r="M287" s="7"/>
      <c r="N287" s="1"/>
    </row>
    <row r="288" spans="1:14">
      <c r="A288" s="1">
        <f t="shared" si="36"/>
        <v>265</v>
      </c>
      <c r="B288" s="2">
        <f t="shared" si="30"/>
        <v>22</v>
      </c>
      <c r="C288" s="2">
        <f t="shared" si="31"/>
        <v>1</v>
      </c>
      <c r="D288" s="2">
        <f t="shared" si="32"/>
        <v>51</v>
      </c>
      <c r="E288" s="1">
        <f t="shared" si="37"/>
        <v>271111.96725484362</v>
      </c>
      <c r="G288" s="1">
        <f t="shared" si="33"/>
        <v>1953.9916028795283</v>
      </c>
      <c r="H288" s="1">
        <v>0</v>
      </c>
      <c r="I288" s="1">
        <f t="shared" si="34"/>
        <v>-273.06595885772316</v>
      </c>
      <c r="J288" s="1">
        <f t="shared" si="35"/>
        <v>272792.89289886545</v>
      </c>
      <c r="M288" s="7"/>
      <c r="N288" s="1"/>
    </row>
    <row r="289" spans="1:14">
      <c r="A289" s="1">
        <f t="shared" si="36"/>
        <v>266</v>
      </c>
      <c r="B289" s="2">
        <f t="shared" si="30"/>
        <v>22</v>
      </c>
      <c r="C289" s="2">
        <f t="shared" si="31"/>
        <v>2</v>
      </c>
      <c r="D289" s="2">
        <f t="shared" si="32"/>
        <v>51</v>
      </c>
      <c r="E289" s="1">
        <f t="shared" si="37"/>
        <v>272792.89289886545</v>
      </c>
      <c r="G289" s="1">
        <f t="shared" si="33"/>
        <v>1966.1065774663789</v>
      </c>
      <c r="H289" s="1">
        <v>0</v>
      </c>
      <c r="I289" s="1">
        <f t="shared" si="34"/>
        <v>-274.75899947633184</v>
      </c>
      <c r="J289" s="1">
        <f t="shared" si="35"/>
        <v>274484.24047685548</v>
      </c>
      <c r="M289" s="7"/>
      <c r="N289" s="1"/>
    </row>
    <row r="290" spans="1:14">
      <c r="A290" s="1">
        <f t="shared" si="36"/>
        <v>267</v>
      </c>
      <c r="B290" s="2">
        <f t="shared" si="30"/>
        <v>22</v>
      </c>
      <c r="C290" s="2">
        <f t="shared" si="31"/>
        <v>3</v>
      </c>
      <c r="D290" s="2">
        <f t="shared" si="32"/>
        <v>51</v>
      </c>
      <c r="E290" s="1">
        <f t="shared" si="37"/>
        <v>274484.24047685548</v>
      </c>
      <c r="G290" s="1">
        <f t="shared" si="33"/>
        <v>1978.2966663009179</v>
      </c>
      <c r="H290" s="69">
        <f>-SUM(E290:G290)*$H$21</f>
        <v>-2488.1628342884078</v>
      </c>
      <c r="I290" s="1">
        <f t="shared" si="34"/>
        <v>-276.4625371431564</v>
      </c>
      <c r="J290" s="1">
        <f t="shared" si="35"/>
        <v>273697.91177172482</v>
      </c>
      <c r="M290" s="7"/>
      <c r="N290" s="1"/>
    </row>
    <row r="291" spans="1:14">
      <c r="A291" s="1">
        <f t="shared" si="36"/>
        <v>268</v>
      </c>
      <c r="B291" s="2">
        <f t="shared" si="30"/>
        <v>22</v>
      </c>
      <c r="C291" s="2">
        <f t="shared" si="31"/>
        <v>4</v>
      </c>
      <c r="D291" s="2">
        <f t="shared" si="32"/>
        <v>51</v>
      </c>
      <c r="E291" s="1">
        <f t="shared" si="37"/>
        <v>273697.91177172482</v>
      </c>
      <c r="G291" s="1">
        <f t="shared" si="33"/>
        <v>1972.629341090282</v>
      </c>
      <c r="H291" s="1">
        <v>0</v>
      </c>
      <c r="I291" s="1">
        <f t="shared" si="34"/>
        <v>-275.6705411128151</v>
      </c>
      <c r="J291" s="1">
        <f t="shared" si="35"/>
        <v>275394.87057170225</v>
      </c>
      <c r="M291" s="7"/>
      <c r="N291" s="1"/>
    </row>
    <row r="292" spans="1:14">
      <c r="A292" s="1">
        <f t="shared" si="36"/>
        <v>269</v>
      </c>
      <c r="B292" s="2">
        <f t="shared" ref="B292:B355" si="38">B280+1</f>
        <v>22</v>
      </c>
      <c r="C292" s="2">
        <f t="shared" ref="C292:C355" si="39">C280</f>
        <v>5</v>
      </c>
      <c r="D292" s="2">
        <f t="shared" ref="D292:D355" si="40">D280+1</f>
        <v>51</v>
      </c>
      <c r="E292" s="1">
        <f t="shared" si="37"/>
        <v>275394.87057170225</v>
      </c>
      <c r="G292" s="1">
        <f t="shared" si="33"/>
        <v>1984.8598718158826</v>
      </c>
      <c r="H292" s="1">
        <v>0</v>
      </c>
      <c r="I292" s="1">
        <f t="shared" si="34"/>
        <v>-277.37973044351816</v>
      </c>
      <c r="J292" s="1">
        <f t="shared" si="35"/>
        <v>277102.35071307461</v>
      </c>
      <c r="M292" s="7"/>
      <c r="N292" s="1"/>
    </row>
    <row r="293" spans="1:14">
      <c r="A293" s="1">
        <f t="shared" si="36"/>
        <v>270</v>
      </c>
      <c r="B293" s="2">
        <f t="shared" si="38"/>
        <v>22</v>
      </c>
      <c r="C293" s="2">
        <f t="shared" si="39"/>
        <v>6</v>
      </c>
      <c r="D293" s="2">
        <f t="shared" si="40"/>
        <v>51</v>
      </c>
      <c r="E293" s="1">
        <f t="shared" si="37"/>
        <v>277102.35071307461</v>
      </c>
      <c r="G293" s="1">
        <f t="shared" si="33"/>
        <v>1997.1662332506362</v>
      </c>
      <c r="H293" s="69">
        <f>-SUM(E293:G293)*$H$21</f>
        <v>-2511.8956525169274</v>
      </c>
      <c r="I293" s="1">
        <f t="shared" si="34"/>
        <v>-279.09951694632525</v>
      </c>
      <c r="J293" s="1">
        <f t="shared" si="35"/>
        <v>276308.52177686204</v>
      </c>
      <c r="M293" s="7"/>
      <c r="N293" s="1"/>
    </row>
    <row r="294" spans="1:14">
      <c r="A294" s="1">
        <f t="shared" si="36"/>
        <v>271</v>
      </c>
      <c r="B294" s="2">
        <f t="shared" si="38"/>
        <v>22</v>
      </c>
      <c r="C294" s="2">
        <f t="shared" si="39"/>
        <v>7</v>
      </c>
      <c r="D294" s="2">
        <f t="shared" si="40"/>
        <v>51</v>
      </c>
      <c r="E294" s="1">
        <f t="shared" si="37"/>
        <v>276308.52177686204</v>
      </c>
      <c r="G294" s="1">
        <f t="shared" si="33"/>
        <v>1991.4448514496471</v>
      </c>
      <c r="H294" s="1">
        <v>0</v>
      </c>
      <c r="I294" s="1">
        <f t="shared" si="34"/>
        <v>-278.29996662831167</v>
      </c>
      <c r="J294" s="1">
        <f t="shared" si="35"/>
        <v>278021.66666168335</v>
      </c>
      <c r="M294" s="7"/>
      <c r="N294" s="1"/>
    </row>
    <row r="295" spans="1:14">
      <c r="A295" s="1">
        <f t="shared" si="36"/>
        <v>272</v>
      </c>
      <c r="B295" s="2">
        <f t="shared" si="38"/>
        <v>22</v>
      </c>
      <c r="C295" s="2">
        <f t="shared" si="39"/>
        <v>8</v>
      </c>
      <c r="D295" s="2">
        <f t="shared" si="40"/>
        <v>51</v>
      </c>
      <c r="E295" s="1">
        <f t="shared" si="37"/>
        <v>278021.66666168335</v>
      </c>
      <c r="G295" s="1">
        <f t="shared" si="33"/>
        <v>2003.7920405219402</v>
      </c>
      <c r="H295" s="1">
        <v>0</v>
      </c>
      <c r="I295" s="1">
        <f t="shared" si="34"/>
        <v>-280.0254587022053</v>
      </c>
      <c r="J295" s="1">
        <f t="shared" si="35"/>
        <v>279745.4332435031</v>
      </c>
      <c r="M295" s="7"/>
      <c r="N295" s="1"/>
    </row>
    <row r="296" spans="1:14">
      <c r="A296" s="1">
        <f t="shared" si="36"/>
        <v>273</v>
      </c>
      <c r="B296" s="2">
        <f t="shared" si="38"/>
        <v>22</v>
      </c>
      <c r="C296" s="2">
        <f t="shared" si="39"/>
        <v>9</v>
      </c>
      <c r="D296" s="2">
        <f t="shared" si="40"/>
        <v>51</v>
      </c>
      <c r="E296" s="1">
        <f t="shared" si="37"/>
        <v>279745.4332435031</v>
      </c>
      <c r="G296" s="1">
        <f t="shared" si="33"/>
        <v>2016.215783598667</v>
      </c>
      <c r="H296" s="69">
        <f>-SUM(E296:G296)*$H$21</f>
        <v>-2535.8548412439159</v>
      </c>
      <c r="I296" s="1">
        <f t="shared" si="34"/>
        <v>-281.76164902710178</v>
      </c>
      <c r="J296" s="1">
        <f t="shared" si="35"/>
        <v>278944.03253683069</v>
      </c>
      <c r="M296" s="7"/>
      <c r="N296" s="1"/>
    </row>
    <row r="297" spans="1:14">
      <c r="A297" s="1">
        <f t="shared" si="36"/>
        <v>274</v>
      </c>
      <c r="B297" s="2">
        <f t="shared" si="38"/>
        <v>22</v>
      </c>
      <c r="C297" s="2">
        <f t="shared" si="39"/>
        <v>10</v>
      </c>
      <c r="D297" s="2">
        <f t="shared" si="40"/>
        <v>51</v>
      </c>
      <c r="E297" s="1">
        <f t="shared" si="37"/>
        <v>278944.03253683069</v>
      </c>
      <c r="G297" s="1">
        <f t="shared" si="33"/>
        <v>2010.4398295998985</v>
      </c>
      <c r="H297" s="1">
        <v>0</v>
      </c>
      <c r="I297" s="1">
        <f t="shared" si="34"/>
        <v>-280.95447236643065</v>
      </c>
      <c r="J297" s="1">
        <f t="shared" si="35"/>
        <v>280673.51789406419</v>
      </c>
      <c r="M297" s="7"/>
      <c r="N297" s="1"/>
    </row>
    <row r="298" spans="1:14">
      <c r="A298" s="1">
        <f t="shared" si="36"/>
        <v>275</v>
      </c>
      <c r="B298" s="2">
        <f t="shared" si="38"/>
        <v>22</v>
      </c>
      <c r="C298" s="2">
        <f t="shared" si="39"/>
        <v>11</v>
      </c>
      <c r="D298" s="2">
        <f t="shared" si="40"/>
        <v>51</v>
      </c>
      <c r="E298" s="1">
        <f t="shared" si="37"/>
        <v>280673.51789406419</v>
      </c>
      <c r="G298" s="1">
        <f t="shared" si="33"/>
        <v>2022.9047897400046</v>
      </c>
      <c r="H298" s="1">
        <v>0</v>
      </c>
      <c r="I298" s="1">
        <f t="shared" si="34"/>
        <v>-282.6964226838042</v>
      </c>
      <c r="J298" s="1">
        <f t="shared" si="35"/>
        <v>282413.72626112035</v>
      </c>
      <c r="M298" s="7"/>
      <c r="N298" s="1"/>
    </row>
    <row r="299" spans="1:14">
      <c r="A299" s="1">
        <f t="shared" si="36"/>
        <v>276</v>
      </c>
      <c r="B299" s="2">
        <f t="shared" si="38"/>
        <v>22</v>
      </c>
      <c r="C299" s="2">
        <f t="shared" si="39"/>
        <v>12</v>
      </c>
      <c r="D299" s="2">
        <f t="shared" si="40"/>
        <v>51</v>
      </c>
      <c r="E299" s="1">
        <f t="shared" si="37"/>
        <v>282413.72626112035</v>
      </c>
      <c r="G299" s="1">
        <f t="shared" si="33"/>
        <v>2035.4470340788246</v>
      </c>
      <c r="H299" s="69">
        <f>-SUM(E299:G299)*$H$21</f>
        <v>-2560.0425596567929</v>
      </c>
      <c r="I299" s="1">
        <f t="shared" si="34"/>
        <v>-284.44917329519916</v>
      </c>
      <c r="J299" s="1">
        <f t="shared" si="35"/>
        <v>281604.68156224722</v>
      </c>
      <c r="M299" s="7"/>
      <c r="N299" s="1"/>
    </row>
    <row r="300" spans="1:14">
      <c r="A300" s="1">
        <f t="shared" si="36"/>
        <v>277</v>
      </c>
      <c r="B300" s="2">
        <f t="shared" si="38"/>
        <v>23</v>
      </c>
      <c r="C300" s="2">
        <f t="shared" si="39"/>
        <v>1</v>
      </c>
      <c r="D300" s="2">
        <f t="shared" si="40"/>
        <v>52</v>
      </c>
      <c r="E300" s="1">
        <f t="shared" si="37"/>
        <v>281604.68156224722</v>
      </c>
      <c r="G300" s="1">
        <f t="shared" si="33"/>
        <v>2029.6159873568395</v>
      </c>
      <c r="H300" s="1">
        <v>0</v>
      </c>
      <c r="I300" s="1">
        <f t="shared" si="34"/>
        <v>-283.63429754960407</v>
      </c>
      <c r="J300" s="1">
        <f t="shared" si="35"/>
        <v>283350.66325205448</v>
      </c>
      <c r="M300" s="7"/>
      <c r="N300" s="1"/>
    </row>
    <row r="301" spans="1:14">
      <c r="A301" s="1">
        <f t="shared" si="36"/>
        <v>278</v>
      </c>
      <c r="B301" s="2">
        <f t="shared" si="38"/>
        <v>23</v>
      </c>
      <c r="C301" s="2">
        <f t="shared" si="39"/>
        <v>2</v>
      </c>
      <c r="D301" s="2">
        <f t="shared" si="40"/>
        <v>52</v>
      </c>
      <c r="E301" s="1">
        <f t="shared" si="37"/>
        <v>283350.66325205448</v>
      </c>
      <c r="G301" s="1">
        <f t="shared" si="33"/>
        <v>2042.1998418993351</v>
      </c>
      <c r="H301" s="1">
        <v>0</v>
      </c>
      <c r="I301" s="1">
        <f t="shared" si="34"/>
        <v>-285.39286309395379</v>
      </c>
      <c r="J301" s="1">
        <f t="shared" si="35"/>
        <v>285107.47023085988</v>
      </c>
      <c r="M301" s="7"/>
      <c r="N301" s="1"/>
    </row>
    <row r="302" spans="1:14">
      <c r="A302" s="1">
        <f t="shared" si="36"/>
        <v>279</v>
      </c>
      <c r="B302" s="2">
        <f t="shared" si="38"/>
        <v>23</v>
      </c>
      <c r="C302" s="2">
        <f t="shared" si="39"/>
        <v>3</v>
      </c>
      <c r="D302" s="2">
        <f t="shared" si="40"/>
        <v>52</v>
      </c>
      <c r="E302" s="1">
        <f t="shared" si="37"/>
        <v>285107.47023085988</v>
      </c>
      <c r="G302" s="1">
        <f t="shared" si="33"/>
        <v>2054.8617177996312</v>
      </c>
      <c r="H302" s="69">
        <f>-SUM(E302:G302)*$H$21</f>
        <v>-2584.4609875379356</v>
      </c>
      <c r="I302" s="1">
        <f t="shared" si="34"/>
        <v>-287.16233194865953</v>
      </c>
      <c r="J302" s="1">
        <f t="shared" si="35"/>
        <v>284290.70862917294</v>
      </c>
      <c r="M302" s="7"/>
      <c r="N302" s="1"/>
    </row>
    <row r="303" spans="1:14">
      <c r="A303" s="1">
        <f t="shared" si="36"/>
        <v>280</v>
      </c>
      <c r="B303" s="2">
        <f t="shared" si="38"/>
        <v>23</v>
      </c>
      <c r="C303" s="2">
        <f t="shared" si="39"/>
        <v>4</v>
      </c>
      <c r="D303" s="2">
        <f t="shared" si="40"/>
        <v>52</v>
      </c>
      <c r="E303" s="1">
        <f t="shared" si="37"/>
        <v>284290.70862917294</v>
      </c>
      <c r="G303" s="1">
        <f t="shared" si="33"/>
        <v>2048.9750528640675</v>
      </c>
      <c r="H303" s="1">
        <v>0</v>
      </c>
      <c r="I303" s="1">
        <f t="shared" si="34"/>
        <v>-286.33968368203699</v>
      </c>
      <c r="J303" s="1">
        <f t="shared" si="35"/>
        <v>286053.34399835498</v>
      </c>
      <c r="M303" s="7"/>
      <c r="N303" s="1"/>
    </row>
    <row r="304" spans="1:14">
      <c r="A304" s="1">
        <f t="shared" si="36"/>
        <v>281</v>
      </c>
      <c r="B304" s="2">
        <f t="shared" si="38"/>
        <v>23</v>
      </c>
      <c r="C304" s="2">
        <f t="shared" si="39"/>
        <v>5</v>
      </c>
      <c r="D304" s="2">
        <f t="shared" si="40"/>
        <v>52</v>
      </c>
      <c r="E304" s="1">
        <f t="shared" si="37"/>
        <v>286053.34399835498</v>
      </c>
      <c r="G304" s="1">
        <f t="shared" si="33"/>
        <v>2061.6789358582205</v>
      </c>
      <c r="H304" s="1">
        <v>0</v>
      </c>
      <c r="I304" s="1">
        <f t="shared" si="34"/>
        <v>-288.11502293421324</v>
      </c>
      <c r="J304" s="1">
        <f t="shared" si="35"/>
        <v>287826.90791127901</v>
      </c>
      <c r="M304" s="7"/>
      <c r="N304" s="1"/>
    </row>
    <row r="305" spans="1:14">
      <c r="A305" s="1">
        <f t="shared" si="36"/>
        <v>282</v>
      </c>
      <c r="B305" s="2">
        <f t="shared" si="38"/>
        <v>23</v>
      </c>
      <c r="C305" s="2">
        <f t="shared" si="39"/>
        <v>6</v>
      </c>
      <c r="D305" s="2">
        <f t="shared" si="40"/>
        <v>52</v>
      </c>
      <c r="E305" s="1">
        <f t="shared" si="37"/>
        <v>287826.90791127901</v>
      </c>
      <c r="G305" s="1">
        <f t="shared" si="33"/>
        <v>2074.4615844004966</v>
      </c>
      <c r="H305" s="69">
        <f>-SUM(E305:G305)*$H$21</f>
        <v>-2609.1123254611157</v>
      </c>
      <c r="I305" s="1">
        <f t="shared" si="34"/>
        <v>-289.90136949567949</v>
      </c>
      <c r="J305" s="1">
        <f t="shared" si="35"/>
        <v>287002.35580072273</v>
      </c>
      <c r="M305" s="7"/>
      <c r="N305" s="1"/>
    </row>
    <row r="306" spans="1:14">
      <c r="A306" s="1">
        <f t="shared" si="36"/>
        <v>283</v>
      </c>
      <c r="B306" s="2">
        <f t="shared" si="38"/>
        <v>23</v>
      </c>
      <c r="C306" s="2">
        <f t="shared" si="39"/>
        <v>7</v>
      </c>
      <c r="D306" s="2">
        <f t="shared" si="40"/>
        <v>52</v>
      </c>
      <c r="E306" s="1">
        <f t="shared" si="37"/>
        <v>287002.35580072273</v>
      </c>
      <c r="G306" s="1">
        <f t="shared" si="33"/>
        <v>2068.5187707487144</v>
      </c>
      <c r="H306" s="1">
        <v>0</v>
      </c>
      <c r="I306" s="1">
        <f t="shared" si="34"/>
        <v>-289.07087457147145</v>
      </c>
      <c r="J306" s="1">
        <f t="shared" si="35"/>
        <v>288781.80369689997</v>
      </c>
      <c r="M306" s="7"/>
      <c r="N306" s="1"/>
    </row>
    <row r="307" spans="1:14">
      <c r="A307" s="1">
        <f t="shared" si="36"/>
        <v>284</v>
      </c>
      <c r="B307" s="2">
        <f t="shared" si="38"/>
        <v>23</v>
      </c>
      <c r="C307" s="2">
        <f t="shared" si="39"/>
        <v>8</v>
      </c>
      <c r="D307" s="2">
        <f t="shared" si="40"/>
        <v>52</v>
      </c>
      <c r="E307" s="1">
        <f t="shared" si="37"/>
        <v>288781.80369689997</v>
      </c>
      <c r="G307" s="1">
        <f t="shared" si="33"/>
        <v>2081.343827060683</v>
      </c>
      <c r="H307" s="1">
        <v>0</v>
      </c>
      <c r="I307" s="1">
        <f t="shared" si="34"/>
        <v>-290.86314752396061</v>
      </c>
      <c r="J307" s="1">
        <f t="shared" si="35"/>
        <v>290572.28437643667</v>
      </c>
      <c r="M307" s="7"/>
      <c r="N307" s="1"/>
    </row>
    <row r="308" spans="1:14">
      <c r="A308" s="1">
        <f t="shared" si="36"/>
        <v>285</v>
      </c>
      <c r="B308" s="2">
        <f t="shared" si="38"/>
        <v>23</v>
      </c>
      <c r="C308" s="2">
        <f t="shared" si="39"/>
        <v>9</v>
      </c>
      <c r="D308" s="2">
        <f t="shared" si="40"/>
        <v>52</v>
      </c>
      <c r="E308" s="1">
        <f t="shared" si="37"/>
        <v>290572.28437643667</v>
      </c>
      <c r="G308" s="1">
        <f t="shared" si="33"/>
        <v>2094.2484002094002</v>
      </c>
      <c r="H308" s="69">
        <f>-SUM(E308:G308)*$H$21</f>
        <v>-2633.998794989815</v>
      </c>
      <c r="I308" s="1">
        <f t="shared" si="34"/>
        <v>-292.66653277664608</v>
      </c>
      <c r="J308" s="1">
        <f t="shared" si="35"/>
        <v>289739.86744887958</v>
      </c>
      <c r="M308" s="7"/>
      <c r="N308" s="1"/>
    </row>
    <row r="309" spans="1:14">
      <c r="A309" s="1">
        <f t="shared" si="36"/>
        <v>286</v>
      </c>
      <c r="B309" s="2">
        <f t="shared" si="38"/>
        <v>23</v>
      </c>
      <c r="C309" s="2">
        <f t="shared" si="39"/>
        <v>10</v>
      </c>
      <c r="D309" s="2">
        <f t="shared" si="40"/>
        <v>52</v>
      </c>
      <c r="E309" s="1">
        <f t="shared" si="37"/>
        <v>289739.86744887958</v>
      </c>
      <c r="G309" s="1">
        <f t="shared" si="33"/>
        <v>2088.2489022786713</v>
      </c>
      <c r="H309" s="1">
        <v>0</v>
      </c>
      <c r="I309" s="1">
        <f t="shared" si="34"/>
        <v>-291.82811635115826</v>
      </c>
      <c r="J309" s="1">
        <f t="shared" si="35"/>
        <v>291536.28823480709</v>
      </c>
      <c r="M309" s="7"/>
      <c r="N309" s="1"/>
    </row>
    <row r="310" spans="1:14">
      <c r="A310" s="1">
        <f t="shared" si="36"/>
        <v>287</v>
      </c>
      <c r="B310" s="2">
        <f t="shared" si="38"/>
        <v>23</v>
      </c>
      <c r="C310" s="2">
        <f t="shared" si="39"/>
        <v>11</v>
      </c>
      <c r="D310" s="2">
        <f t="shared" si="40"/>
        <v>52</v>
      </c>
      <c r="E310" s="1">
        <f t="shared" si="37"/>
        <v>291536.28823480709</v>
      </c>
      <c r="G310" s="1">
        <f t="shared" si="33"/>
        <v>2101.1962876946791</v>
      </c>
      <c r="H310" s="1">
        <v>0</v>
      </c>
      <c r="I310" s="1">
        <f t="shared" si="34"/>
        <v>-293.63748452250178</v>
      </c>
      <c r="J310" s="1">
        <f t="shared" si="35"/>
        <v>293343.84703797929</v>
      </c>
      <c r="M310" s="7"/>
      <c r="N310" s="1"/>
    </row>
    <row r="311" spans="1:14">
      <c r="A311" s="1">
        <f t="shared" si="36"/>
        <v>288</v>
      </c>
      <c r="B311" s="2">
        <f t="shared" si="38"/>
        <v>23</v>
      </c>
      <c r="C311" s="2">
        <f t="shared" si="39"/>
        <v>12</v>
      </c>
      <c r="D311" s="2">
        <f t="shared" si="40"/>
        <v>52</v>
      </c>
      <c r="E311" s="1">
        <f t="shared" si="37"/>
        <v>293343.84703797929</v>
      </c>
      <c r="G311" s="1">
        <f t="shared" si="33"/>
        <v>2114.2239484020702</v>
      </c>
      <c r="H311" s="69">
        <f>-SUM(E311:G311)*$H$21</f>
        <v>-2659.1226388774326</v>
      </c>
      <c r="I311" s="1">
        <f t="shared" si="34"/>
        <v>-295.45807098638141</v>
      </c>
      <c r="J311" s="1">
        <f t="shared" si="35"/>
        <v>292503.49027651758</v>
      </c>
      <c r="M311" s="7"/>
      <c r="N311" s="1"/>
    </row>
    <row r="312" spans="1:14">
      <c r="A312" s="1">
        <f t="shared" si="36"/>
        <v>289</v>
      </c>
      <c r="B312" s="2">
        <f t="shared" si="38"/>
        <v>24</v>
      </c>
      <c r="C312" s="2">
        <f t="shared" si="39"/>
        <v>1</v>
      </c>
      <c r="D312" s="2">
        <f t="shared" si="40"/>
        <v>53</v>
      </c>
      <c r="E312" s="1">
        <f t="shared" si="37"/>
        <v>292503.49027651758</v>
      </c>
      <c r="G312" s="1">
        <f t="shared" si="33"/>
        <v>2108.1672255213143</v>
      </c>
      <c r="H312" s="1">
        <v>0</v>
      </c>
      <c r="I312" s="1">
        <f t="shared" si="34"/>
        <v>-294.6116575020389</v>
      </c>
      <c r="J312" s="1">
        <f t="shared" si="35"/>
        <v>294317.04584453686</v>
      </c>
      <c r="M312" s="7"/>
      <c r="N312" s="1"/>
    </row>
    <row r="313" spans="1:14">
      <c r="A313" s="1">
        <f t="shared" si="36"/>
        <v>290</v>
      </c>
      <c r="B313" s="2">
        <f t="shared" si="38"/>
        <v>24</v>
      </c>
      <c r="C313" s="2">
        <f t="shared" si="39"/>
        <v>2</v>
      </c>
      <c r="D313" s="2">
        <f t="shared" si="40"/>
        <v>53</v>
      </c>
      <c r="E313" s="1">
        <f t="shared" si="37"/>
        <v>294317.04584453686</v>
      </c>
      <c r="G313" s="1">
        <f t="shared" si="33"/>
        <v>2121.2381068518093</v>
      </c>
      <c r="H313" s="1">
        <v>0</v>
      </c>
      <c r="I313" s="1">
        <f t="shared" si="34"/>
        <v>-296.43828395138866</v>
      </c>
      <c r="J313" s="1">
        <f t="shared" si="35"/>
        <v>296141.8456674373</v>
      </c>
      <c r="M313" s="7"/>
      <c r="N313" s="1"/>
    </row>
    <row r="314" spans="1:14">
      <c r="A314" s="1">
        <f t="shared" si="36"/>
        <v>291</v>
      </c>
      <c r="B314" s="2">
        <f t="shared" si="38"/>
        <v>24</v>
      </c>
      <c r="C314" s="2">
        <f t="shared" si="39"/>
        <v>3</v>
      </c>
      <c r="D314" s="2">
        <f t="shared" si="40"/>
        <v>53</v>
      </c>
      <c r="E314" s="1">
        <f t="shared" si="37"/>
        <v>296141.8456674373</v>
      </c>
      <c r="G314" s="1">
        <f t="shared" si="33"/>
        <v>2134.3900291626815</v>
      </c>
      <c r="H314" s="69">
        <f>-SUM(E314:G314)*$H$21</f>
        <v>-2684.4861212694004</v>
      </c>
      <c r="I314" s="1">
        <f t="shared" si="34"/>
        <v>-298.2762356966</v>
      </c>
      <c r="J314" s="1">
        <f t="shared" si="35"/>
        <v>295293.47333963396</v>
      </c>
      <c r="M314" s="7"/>
      <c r="N314" s="1"/>
    </row>
    <row r="315" spans="1:14">
      <c r="A315" s="1">
        <f t="shared" si="36"/>
        <v>292</v>
      </c>
      <c r="B315" s="2">
        <f t="shared" si="38"/>
        <v>24</v>
      </c>
      <c r="C315" s="2">
        <f t="shared" si="39"/>
        <v>4</v>
      </c>
      <c r="D315" s="2">
        <f t="shared" si="40"/>
        <v>53</v>
      </c>
      <c r="E315" s="1">
        <f t="shared" si="37"/>
        <v>295293.47333963396</v>
      </c>
      <c r="G315" s="1">
        <f t="shared" si="33"/>
        <v>2128.2755355037393</v>
      </c>
      <c r="H315" s="1">
        <v>0</v>
      </c>
      <c r="I315" s="1">
        <f t="shared" si="34"/>
        <v>-297.42174887513772</v>
      </c>
      <c r="J315" s="1">
        <f t="shared" si="35"/>
        <v>297124.32712626259</v>
      </c>
      <c r="M315" s="7"/>
      <c r="N315" s="1"/>
    </row>
    <row r="316" spans="1:14">
      <c r="A316" s="1">
        <f t="shared" si="36"/>
        <v>293</v>
      </c>
      <c r="B316" s="2">
        <f t="shared" si="38"/>
        <v>24</v>
      </c>
      <c r="C316" s="2">
        <f t="shared" si="39"/>
        <v>5</v>
      </c>
      <c r="D316" s="2">
        <f t="shared" si="40"/>
        <v>53</v>
      </c>
      <c r="E316" s="1">
        <f t="shared" si="37"/>
        <v>297124.32712626259</v>
      </c>
      <c r="G316" s="1">
        <f t="shared" si="33"/>
        <v>2141.4710906885452</v>
      </c>
      <c r="H316" s="1">
        <v>0</v>
      </c>
      <c r="I316" s="1">
        <f t="shared" si="34"/>
        <v>-299.26579821695117</v>
      </c>
      <c r="J316" s="1">
        <f t="shared" si="35"/>
        <v>298966.53241873416</v>
      </c>
      <c r="M316" s="7"/>
      <c r="N316" s="1"/>
    </row>
    <row r="317" spans="1:14">
      <c r="A317" s="1">
        <f t="shared" si="36"/>
        <v>294</v>
      </c>
      <c r="B317" s="2">
        <f t="shared" si="38"/>
        <v>24</v>
      </c>
      <c r="C317" s="2">
        <f t="shared" si="39"/>
        <v>6</v>
      </c>
      <c r="D317" s="2">
        <f t="shared" si="40"/>
        <v>53</v>
      </c>
      <c r="E317" s="1">
        <f t="shared" si="37"/>
        <v>298966.53241873416</v>
      </c>
      <c r="G317" s="1">
        <f t="shared" si="33"/>
        <v>2154.748459846086</v>
      </c>
      <c r="H317" s="69">
        <f>-SUM(E317:G317)*$H$21</f>
        <v>-2710.0915279072224</v>
      </c>
      <c r="I317" s="1">
        <f t="shared" si="34"/>
        <v>-301.12128087858025</v>
      </c>
      <c r="J317" s="1">
        <f t="shared" si="35"/>
        <v>298110.06806979439</v>
      </c>
      <c r="M317" s="7"/>
      <c r="N317" s="1"/>
    </row>
    <row r="318" spans="1:14">
      <c r="A318" s="1">
        <f t="shared" si="36"/>
        <v>295</v>
      </c>
      <c r="B318" s="2">
        <f t="shared" si="38"/>
        <v>24</v>
      </c>
      <c r="C318" s="2">
        <f t="shared" si="39"/>
        <v>7</v>
      </c>
      <c r="D318" s="2">
        <f t="shared" si="40"/>
        <v>53</v>
      </c>
      <c r="E318" s="1">
        <f t="shared" si="37"/>
        <v>298110.06806979439</v>
      </c>
      <c r="G318" s="1">
        <f t="shared" si="33"/>
        <v>2148.5756443745327</v>
      </c>
      <c r="H318" s="1">
        <v>0</v>
      </c>
      <c r="I318" s="1">
        <f t="shared" si="34"/>
        <v>-300.25864371416895</v>
      </c>
      <c r="J318" s="1">
        <f t="shared" si="35"/>
        <v>299958.38507045474</v>
      </c>
      <c r="M318" s="7"/>
      <c r="N318" s="1"/>
    </row>
    <row r="319" spans="1:14">
      <c r="A319" s="1">
        <f t="shared" si="36"/>
        <v>296</v>
      </c>
      <c r="B319" s="2">
        <f t="shared" si="38"/>
        <v>24</v>
      </c>
      <c r="C319" s="2">
        <f t="shared" si="39"/>
        <v>8</v>
      </c>
      <c r="D319" s="2">
        <f t="shared" si="40"/>
        <v>53</v>
      </c>
      <c r="E319" s="1">
        <f t="shared" si="37"/>
        <v>299958.38507045474</v>
      </c>
      <c r="G319" s="1">
        <f t="shared" si="33"/>
        <v>2161.8970625890038</v>
      </c>
      <c r="H319" s="1">
        <v>0</v>
      </c>
      <c r="I319" s="1">
        <f t="shared" si="34"/>
        <v>-302.12028213304376</v>
      </c>
      <c r="J319" s="1">
        <f t="shared" si="35"/>
        <v>301818.16185091069</v>
      </c>
      <c r="M319" s="7"/>
      <c r="N319" s="1"/>
    </row>
    <row r="320" spans="1:14">
      <c r="A320" s="1">
        <f t="shared" si="36"/>
        <v>297</v>
      </c>
      <c r="B320" s="2">
        <f t="shared" si="38"/>
        <v>24</v>
      </c>
      <c r="C320" s="2">
        <f t="shared" si="39"/>
        <v>9</v>
      </c>
      <c r="D320" s="2">
        <f t="shared" si="40"/>
        <v>53</v>
      </c>
      <c r="E320" s="1">
        <f t="shared" si="37"/>
        <v>301818.16185091069</v>
      </c>
      <c r="G320" s="1">
        <f t="shared" si="33"/>
        <v>2175.3010751415936</v>
      </c>
      <c r="H320" s="69">
        <f>-SUM(E320:G320)*$H$21</f>
        <v>-2735.9411663344708</v>
      </c>
      <c r="I320" s="1">
        <f t="shared" si="34"/>
        <v>-303.9934629260523</v>
      </c>
      <c r="J320" s="1">
        <f t="shared" si="35"/>
        <v>300953.52829679172</v>
      </c>
      <c r="M320" s="7"/>
      <c r="N320" s="1"/>
    </row>
    <row r="321" spans="1:14">
      <c r="A321" s="1">
        <f t="shared" si="36"/>
        <v>298</v>
      </c>
      <c r="B321" s="2">
        <f t="shared" si="38"/>
        <v>24</v>
      </c>
      <c r="C321" s="2">
        <f t="shared" si="39"/>
        <v>10</v>
      </c>
      <c r="D321" s="2">
        <f t="shared" si="40"/>
        <v>53</v>
      </c>
      <c r="E321" s="1">
        <f t="shared" si="37"/>
        <v>300953.52829679172</v>
      </c>
      <c r="G321" s="1">
        <f t="shared" si="33"/>
        <v>2169.0693815670779</v>
      </c>
      <c r="H321" s="1">
        <v>0</v>
      </c>
      <c r="I321" s="1">
        <f t="shared" si="34"/>
        <v>-303.12259767835877</v>
      </c>
      <c r="J321" s="1">
        <f t="shared" si="35"/>
        <v>302819.47508068045</v>
      </c>
      <c r="M321" s="7"/>
      <c r="N321" s="1"/>
    </row>
    <row r="322" spans="1:14">
      <c r="A322" s="1">
        <f t="shared" si="36"/>
        <v>299</v>
      </c>
      <c r="B322" s="2">
        <f t="shared" si="38"/>
        <v>24</v>
      </c>
      <c r="C322" s="2">
        <f t="shared" si="39"/>
        <v>11</v>
      </c>
      <c r="D322" s="2">
        <f t="shared" si="40"/>
        <v>53</v>
      </c>
      <c r="E322" s="1">
        <f t="shared" si="37"/>
        <v>302819.47508068045</v>
      </c>
      <c r="G322" s="1">
        <f t="shared" si="33"/>
        <v>2182.5178633292694</v>
      </c>
      <c r="H322" s="1">
        <v>0</v>
      </c>
      <c r="I322" s="1">
        <f t="shared" si="34"/>
        <v>-305.00199294400971</v>
      </c>
      <c r="J322" s="1">
        <f t="shared" si="35"/>
        <v>304696.99095106573</v>
      </c>
      <c r="M322" s="7"/>
      <c r="N322" s="1"/>
    </row>
    <row r="323" spans="1:14">
      <c r="A323" s="1">
        <f t="shared" si="36"/>
        <v>300</v>
      </c>
      <c r="B323" s="2">
        <f t="shared" si="38"/>
        <v>24</v>
      </c>
      <c r="C323" s="2">
        <f t="shared" si="39"/>
        <v>12</v>
      </c>
      <c r="D323" s="2">
        <f t="shared" si="40"/>
        <v>53</v>
      </c>
      <c r="E323" s="1">
        <f t="shared" si="37"/>
        <v>304696.99095106573</v>
      </c>
      <c r="G323" s="1">
        <f t="shared" si="33"/>
        <v>2196.0497272383141</v>
      </c>
      <c r="H323" s="69">
        <f>-SUM(E323:G323)*$H$21</f>
        <v>-2762.0373661047365</v>
      </c>
      <c r="I323" s="1">
        <f t="shared" si="34"/>
        <v>-306.89304067830403</v>
      </c>
      <c r="J323" s="1">
        <f t="shared" si="35"/>
        <v>303824.11027152103</v>
      </c>
      <c r="M323" s="7"/>
      <c r="N323" s="1"/>
    </row>
    <row r="324" spans="1:14">
      <c r="A324" s="1">
        <f t="shared" si="36"/>
        <v>301</v>
      </c>
      <c r="B324" s="2">
        <f t="shared" si="38"/>
        <v>25</v>
      </c>
      <c r="C324" s="2">
        <f t="shared" si="39"/>
        <v>1</v>
      </c>
      <c r="D324" s="2">
        <f t="shared" si="40"/>
        <v>54</v>
      </c>
      <c r="E324" s="1">
        <f t="shared" si="37"/>
        <v>303824.11027152103</v>
      </c>
      <c r="G324" s="1">
        <f t="shared" si="33"/>
        <v>2189.7585939644259</v>
      </c>
      <c r="H324" s="1">
        <v>0</v>
      </c>
      <c r="I324" s="1">
        <f t="shared" si="34"/>
        <v>-306.01386886548551</v>
      </c>
      <c r="J324" s="1">
        <f t="shared" si="35"/>
        <v>305707.85499661998</v>
      </c>
      <c r="M324" s="7"/>
      <c r="N324" s="1"/>
    </row>
    <row r="325" spans="1:14">
      <c r="A325" s="1">
        <f t="shared" si="36"/>
        <v>302</v>
      </c>
      <c r="B325" s="2">
        <f t="shared" si="38"/>
        <v>25</v>
      </c>
      <c r="C325" s="2">
        <f t="shared" si="39"/>
        <v>2</v>
      </c>
      <c r="D325" s="2">
        <f t="shared" si="40"/>
        <v>54</v>
      </c>
      <c r="E325" s="1">
        <f t="shared" si="37"/>
        <v>305707.85499661998</v>
      </c>
      <c r="G325" s="1">
        <f t="shared" si="33"/>
        <v>2203.3353512432814</v>
      </c>
      <c r="H325" s="1">
        <v>0</v>
      </c>
      <c r="I325" s="1">
        <f t="shared" si="34"/>
        <v>-307.91119034786323</v>
      </c>
      <c r="J325" s="1">
        <f t="shared" si="35"/>
        <v>307603.27915751538</v>
      </c>
      <c r="M325" s="7"/>
      <c r="N325" s="1"/>
    </row>
    <row r="326" spans="1:14">
      <c r="A326" s="1">
        <f t="shared" si="36"/>
        <v>303</v>
      </c>
      <c r="B326" s="2">
        <f t="shared" si="38"/>
        <v>25</v>
      </c>
      <c r="C326" s="2">
        <f t="shared" si="39"/>
        <v>3</v>
      </c>
      <c r="D326" s="2">
        <f t="shared" si="40"/>
        <v>54</v>
      </c>
      <c r="E326" s="1">
        <f t="shared" si="37"/>
        <v>307603.27915751538</v>
      </c>
      <c r="G326" s="1">
        <f t="shared" si="33"/>
        <v>2216.9962859920715</v>
      </c>
      <c r="H326" s="69">
        <f>-SUM(E326:G326)*$H$21</f>
        <v>-2788.3824789915675</v>
      </c>
      <c r="I326" s="1">
        <f t="shared" si="34"/>
        <v>-309.82027544350746</v>
      </c>
      <c r="J326" s="1">
        <f t="shared" si="35"/>
        <v>306722.0726890724</v>
      </c>
      <c r="M326" s="7"/>
      <c r="N326" s="1"/>
    </row>
    <row r="327" spans="1:14">
      <c r="A327" s="1">
        <f t="shared" si="36"/>
        <v>304</v>
      </c>
      <c r="B327" s="2">
        <f t="shared" si="38"/>
        <v>25</v>
      </c>
      <c r="C327" s="2">
        <f t="shared" si="39"/>
        <v>4</v>
      </c>
      <c r="D327" s="2">
        <f t="shared" si="40"/>
        <v>54</v>
      </c>
      <c r="E327" s="1">
        <f t="shared" si="37"/>
        <v>306722.0726890724</v>
      </c>
      <c r="G327" s="1">
        <f t="shared" si="33"/>
        <v>2210.6451460657322</v>
      </c>
      <c r="H327" s="1">
        <v>0</v>
      </c>
      <c r="I327" s="1">
        <f t="shared" si="34"/>
        <v>-308.93271783513813</v>
      </c>
      <c r="J327" s="1">
        <f t="shared" si="35"/>
        <v>308623.78511730302</v>
      </c>
      <c r="M327" s="7"/>
      <c r="N327" s="1"/>
    </row>
    <row r="328" spans="1:14">
      <c r="A328" s="1">
        <f t="shared" si="36"/>
        <v>305</v>
      </c>
      <c r="B328" s="2">
        <f t="shared" si="38"/>
        <v>25</v>
      </c>
      <c r="C328" s="2">
        <f t="shared" si="39"/>
        <v>5</v>
      </c>
      <c r="D328" s="2">
        <f t="shared" si="40"/>
        <v>54</v>
      </c>
      <c r="E328" s="1">
        <f t="shared" si="37"/>
        <v>308623.78511730302</v>
      </c>
      <c r="G328" s="1">
        <f t="shared" si="33"/>
        <v>2224.3514023903053</v>
      </c>
      <c r="H328" s="1">
        <v>0</v>
      </c>
      <c r="I328" s="1">
        <f t="shared" si="34"/>
        <v>-310.8481365196933</v>
      </c>
      <c r="J328" s="1">
        <f t="shared" si="35"/>
        <v>310537.28838317358</v>
      </c>
      <c r="M328" s="7"/>
      <c r="N328" s="1"/>
    </row>
    <row r="329" spans="1:14">
      <c r="A329" s="1">
        <f t="shared" si="36"/>
        <v>306</v>
      </c>
      <c r="B329" s="2">
        <f t="shared" si="38"/>
        <v>25</v>
      </c>
      <c r="C329" s="2">
        <f t="shared" si="39"/>
        <v>6</v>
      </c>
      <c r="D329" s="2">
        <f t="shared" si="40"/>
        <v>54</v>
      </c>
      <c r="E329" s="1">
        <f t="shared" si="37"/>
        <v>310537.28838317358</v>
      </c>
      <c r="G329" s="1">
        <f t="shared" si="33"/>
        <v>2238.1426390939182</v>
      </c>
      <c r="H329" s="69">
        <f>-SUM(E329:G329)*$H$21</f>
        <v>-2814.9788792004078</v>
      </c>
      <c r="I329" s="1">
        <f t="shared" si="34"/>
        <v>-312.77543102226753</v>
      </c>
      <c r="J329" s="1">
        <f t="shared" si="35"/>
        <v>309647.67671204481</v>
      </c>
      <c r="M329" s="7"/>
      <c r="N329" s="1"/>
    </row>
    <row r="330" spans="1:14">
      <c r="A330" s="1">
        <f t="shared" si="36"/>
        <v>307</v>
      </c>
      <c r="B330" s="2">
        <f t="shared" si="38"/>
        <v>25</v>
      </c>
      <c r="C330" s="2">
        <f t="shared" si="39"/>
        <v>7</v>
      </c>
      <c r="D330" s="2">
        <f t="shared" si="40"/>
        <v>54</v>
      </c>
      <c r="E330" s="1">
        <f t="shared" si="37"/>
        <v>309647.67671204481</v>
      </c>
      <c r="G330" s="1">
        <f t="shared" si="33"/>
        <v>2231.7309201542844</v>
      </c>
      <c r="H330" s="1">
        <v>0</v>
      </c>
      <c r="I330" s="1">
        <f t="shared" si="34"/>
        <v>-311.8794076321991</v>
      </c>
      <c r="J330" s="1">
        <f t="shared" si="35"/>
        <v>311567.52822456689</v>
      </c>
      <c r="M330" s="7"/>
      <c r="N330" s="1"/>
    </row>
    <row r="331" spans="1:14">
      <c r="A331" s="1">
        <f t="shared" si="36"/>
        <v>308</v>
      </c>
      <c r="B331" s="2">
        <f t="shared" si="38"/>
        <v>25</v>
      </c>
      <c r="C331" s="2">
        <f t="shared" si="39"/>
        <v>8</v>
      </c>
      <c r="D331" s="2">
        <f t="shared" si="40"/>
        <v>54</v>
      </c>
      <c r="E331" s="1">
        <f t="shared" si="37"/>
        <v>311567.52822456689</v>
      </c>
      <c r="G331" s="1">
        <f t="shared" si="33"/>
        <v>2245.5679107240053</v>
      </c>
      <c r="H331" s="1">
        <v>0</v>
      </c>
      <c r="I331" s="1">
        <f t="shared" si="34"/>
        <v>-313.81309613529095</v>
      </c>
      <c r="J331" s="1">
        <f t="shared" si="35"/>
        <v>313499.28303915565</v>
      </c>
      <c r="M331" s="7"/>
      <c r="N331" s="1"/>
    </row>
    <row r="332" spans="1:14">
      <c r="A332" s="1">
        <f t="shared" si="36"/>
        <v>309</v>
      </c>
      <c r="B332" s="2">
        <f t="shared" si="38"/>
        <v>25</v>
      </c>
      <c r="C332" s="2">
        <f t="shared" si="39"/>
        <v>9</v>
      </c>
      <c r="D332" s="2">
        <f t="shared" si="40"/>
        <v>54</v>
      </c>
      <c r="E332" s="1">
        <f t="shared" si="37"/>
        <v>313499.28303915565</v>
      </c>
      <c r="G332" s="1">
        <f t="shared" si="33"/>
        <v>2259.4906922402502</v>
      </c>
      <c r="H332" s="69">
        <f>-SUM(E332:G332)*$H$21</f>
        <v>-2841.8289635825636</v>
      </c>
      <c r="I332" s="1">
        <f t="shared" si="34"/>
        <v>-315.75877373139588</v>
      </c>
      <c r="J332" s="1">
        <f t="shared" si="35"/>
        <v>312601.1859940819</v>
      </c>
      <c r="M332" s="7"/>
      <c r="N332" s="1"/>
    </row>
    <row r="333" spans="1:14">
      <c r="A333" s="1">
        <f t="shared" si="36"/>
        <v>310</v>
      </c>
      <c r="B333" s="2">
        <f t="shared" si="38"/>
        <v>25</v>
      </c>
      <c r="C333" s="2">
        <f t="shared" si="39"/>
        <v>10</v>
      </c>
      <c r="D333" s="2">
        <f t="shared" si="40"/>
        <v>54</v>
      </c>
      <c r="E333" s="1">
        <f t="shared" si="37"/>
        <v>312601.1859940819</v>
      </c>
      <c r="G333" s="1">
        <f t="shared" si="33"/>
        <v>2253.0178164671365</v>
      </c>
      <c r="H333" s="1">
        <v>0</v>
      </c>
      <c r="I333" s="1">
        <f t="shared" si="34"/>
        <v>-314.85420381054905</v>
      </c>
      <c r="J333" s="1">
        <f t="shared" si="35"/>
        <v>314539.34960673848</v>
      </c>
      <c r="M333" s="7"/>
      <c r="N333" s="1"/>
    </row>
    <row r="334" spans="1:14">
      <c r="A334" s="1">
        <f t="shared" si="36"/>
        <v>311</v>
      </c>
      <c r="B334" s="2">
        <f t="shared" si="38"/>
        <v>25</v>
      </c>
      <c r="C334" s="2">
        <f t="shared" si="39"/>
        <v>11</v>
      </c>
      <c r="D334" s="2">
        <f t="shared" si="40"/>
        <v>54</v>
      </c>
      <c r="E334" s="1">
        <f t="shared" si="37"/>
        <v>314539.34960673848</v>
      </c>
      <c r="G334" s="1">
        <f t="shared" si="33"/>
        <v>2266.9867882631243</v>
      </c>
      <c r="H334" s="1">
        <v>0</v>
      </c>
      <c r="I334" s="1">
        <f t="shared" si="34"/>
        <v>-316.80633639500161</v>
      </c>
      <c r="J334" s="1">
        <f t="shared" si="35"/>
        <v>316489.53005860664</v>
      </c>
      <c r="M334" s="7"/>
      <c r="N334" s="1"/>
    </row>
    <row r="335" spans="1:14">
      <c r="A335" s="1">
        <f t="shared" si="36"/>
        <v>312</v>
      </c>
      <c r="B335" s="2">
        <f t="shared" si="38"/>
        <v>25</v>
      </c>
      <c r="C335" s="2">
        <f t="shared" si="39"/>
        <v>12</v>
      </c>
      <c r="D335" s="2">
        <f t="shared" si="40"/>
        <v>54</v>
      </c>
      <c r="E335" s="1">
        <f t="shared" si="37"/>
        <v>316489.53005860664</v>
      </c>
      <c r="G335" s="1">
        <f t="shared" si="33"/>
        <v>2281.0423693045477</v>
      </c>
      <c r="H335" s="69">
        <f>-SUM(E335:G335)*$H$21</f>
        <v>-2868.9351518512012</v>
      </c>
      <c r="I335" s="1">
        <f t="shared" si="34"/>
        <v>-318.77057242791125</v>
      </c>
      <c r="J335" s="1">
        <f t="shared" si="35"/>
        <v>315582.86670363211</v>
      </c>
      <c r="M335" s="7"/>
      <c r="N335" s="1"/>
    </row>
    <row r="336" spans="1:14">
      <c r="A336" s="1">
        <f t="shared" si="36"/>
        <v>313</v>
      </c>
      <c r="B336" s="2">
        <f t="shared" si="38"/>
        <v>26</v>
      </c>
      <c r="C336" s="2">
        <f t="shared" si="39"/>
        <v>1</v>
      </c>
      <c r="D336" s="2">
        <f t="shared" si="40"/>
        <v>55</v>
      </c>
      <c r="E336" s="1">
        <f t="shared" si="37"/>
        <v>315582.86670363211</v>
      </c>
      <c r="G336" s="1">
        <f t="shared" si="33"/>
        <v>2274.507753366353</v>
      </c>
      <c r="H336" s="1">
        <v>0</v>
      </c>
      <c r="I336" s="1">
        <f t="shared" si="34"/>
        <v>-317.85737445699851</v>
      </c>
      <c r="J336" s="1">
        <f t="shared" si="35"/>
        <v>317539.51708254148</v>
      </c>
      <c r="M336" s="7"/>
      <c r="N336" s="1"/>
    </row>
    <row r="337" spans="1:14">
      <c r="A337" s="1">
        <f t="shared" si="36"/>
        <v>314</v>
      </c>
      <c r="B337" s="2">
        <f t="shared" si="38"/>
        <v>26</v>
      </c>
      <c r="C337" s="2">
        <f t="shared" si="39"/>
        <v>2</v>
      </c>
      <c r="D337" s="2">
        <f t="shared" si="40"/>
        <v>55</v>
      </c>
      <c r="E337" s="1">
        <f t="shared" si="37"/>
        <v>317539.51708254148</v>
      </c>
      <c r="G337" s="1">
        <f t="shared" si="33"/>
        <v>2288.609965263794</v>
      </c>
      <c r="H337" s="1">
        <v>0</v>
      </c>
      <c r="I337" s="1">
        <f t="shared" si="34"/>
        <v>-319.82812704780531</v>
      </c>
      <c r="J337" s="1">
        <f t="shared" si="35"/>
        <v>319508.29892075749</v>
      </c>
      <c r="M337" s="7"/>
      <c r="N337" s="1"/>
    </row>
    <row r="338" spans="1:14">
      <c r="A338" s="1">
        <f t="shared" si="36"/>
        <v>315</v>
      </c>
      <c r="B338" s="2">
        <f t="shared" si="38"/>
        <v>26</v>
      </c>
      <c r="C338" s="2">
        <f t="shared" si="39"/>
        <v>3</v>
      </c>
      <c r="D338" s="2">
        <f t="shared" si="40"/>
        <v>55</v>
      </c>
      <c r="E338" s="1">
        <f t="shared" si="37"/>
        <v>319508.29892075749</v>
      </c>
      <c r="G338" s="1">
        <f t="shared" si="33"/>
        <v>2302.7996125107547</v>
      </c>
      <c r="H338" s="69">
        <f>-SUM(E338:G338)*$H$21</f>
        <v>-2896.2998867994147</v>
      </c>
      <c r="I338" s="1">
        <f t="shared" si="34"/>
        <v>-321.81109853326825</v>
      </c>
      <c r="J338" s="1">
        <f t="shared" si="35"/>
        <v>318592.98754793557</v>
      </c>
      <c r="M338" s="7"/>
      <c r="N338" s="1"/>
    </row>
    <row r="339" spans="1:14">
      <c r="A339" s="1">
        <f t="shared" si="36"/>
        <v>316</v>
      </c>
      <c r="B339" s="2">
        <f t="shared" si="38"/>
        <v>26</v>
      </c>
      <c r="C339" s="2">
        <f t="shared" si="39"/>
        <v>4</v>
      </c>
      <c r="D339" s="2">
        <f t="shared" si="40"/>
        <v>55</v>
      </c>
      <c r="E339" s="1">
        <f t="shared" si="37"/>
        <v>318592.98754793557</v>
      </c>
      <c r="G339" s="1">
        <f t="shared" si="33"/>
        <v>2296.2026675118905</v>
      </c>
      <c r="H339" s="1">
        <v>0</v>
      </c>
      <c r="I339" s="1">
        <f t="shared" si="34"/>
        <v>-320.88919021544746</v>
      </c>
      <c r="J339" s="1">
        <f t="shared" si="35"/>
        <v>320568.30102523201</v>
      </c>
      <c r="M339" s="7"/>
      <c r="N339" s="1"/>
    </row>
    <row r="340" spans="1:14">
      <c r="A340" s="1">
        <f t="shared" si="36"/>
        <v>317</v>
      </c>
      <c r="B340" s="2">
        <f t="shared" si="38"/>
        <v>26</v>
      </c>
      <c r="C340" s="2">
        <f t="shared" si="39"/>
        <v>5</v>
      </c>
      <c r="D340" s="2">
        <f t="shared" si="40"/>
        <v>55</v>
      </c>
      <c r="E340" s="1">
        <f t="shared" si="37"/>
        <v>320568.30102523201</v>
      </c>
      <c r="G340" s="1">
        <f t="shared" si="33"/>
        <v>2310.4393903934879</v>
      </c>
      <c r="H340" s="1">
        <v>0</v>
      </c>
      <c r="I340" s="1">
        <f t="shared" si="34"/>
        <v>-322.87874041562549</v>
      </c>
      <c r="J340" s="1">
        <f t="shared" si="35"/>
        <v>322555.86167520989</v>
      </c>
      <c r="M340" s="7"/>
      <c r="N340" s="1"/>
    </row>
    <row r="341" spans="1:14">
      <c r="A341" s="1">
        <f t="shared" si="36"/>
        <v>318</v>
      </c>
      <c r="B341" s="2">
        <f t="shared" si="38"/>
        <v>26</v>
      </c>
      <c r="C341" s="2">
        <f t="shared" si="39"/>
        <v>6</v>
      </c>
      <c r="D341" s="2">
        <f t="shared" si="40"/>
        <v>55</v>
      </c>
      <c r="E341" s="1">
        <f t="shared" si="37"/>
        <v>322555.86167520989</v>
      </c>
      <c r="G341" s="1">
        <f t="shared" si="33"/>
        <v>2324.7643826083095</v>
      </c>
      <c r="H341" s="69">
        <f>-SUM(E341:G341)*$H$21</f>
        <v>-2923.9256345203639</v>
      </c>
      <c r="I341" s="1">
        <f t="shared" si="34"/>
        <v>-324.88062605781818</v>
      </c>
      <c r="J341" s="1">
        <f t="shared" si="35"/>
        <v>321631.81979724002</v>
      </c>
      <c r="M341" s="7"/>
      <c r="N341" s="1"/>
    </row>
    <row r="342" spans="1:14">
      <c r="A342" s="1">
        <f t="shared" si="36"/>
        <v>319</v>
      </c>
      <c r="B342" s="2">
        <f t="shared" si="38"/>
        <v>26</v>
      </c>
      <c r="C342" s="2">
        <f t="shared" si="39"/>
        <v>7</v>
      </c>
      <c r="D342" s="2">
        <f t="shared" si="40"/>
        <v>55</v>
      </c>
      <c r="E342" s="1">
        <f t="shared" si="37"/>
        <v>321631.81979724002</v>
      </c>
      <c r="G342" s="1">
        <f t="shared" si="33"/>
        <v>2318.1045140361307</v>
      </c>
      <c r="H342" s="1">
        <v>0</v>
      </c>
      <c r="I342" s="1">
        <f t="shared" si="34"/>
        <v>-323.94992431127616</v>
      </c>
      <c r="J342" s="1">
        <f t="shared" si="35"/>
        <v>323625.97438696492</v>
      </c>
      <c r="M342" s="7"/>
      <c r="N342" s="1"/>
    </row>
    <row r="343" spans="1:14">
      <c r="A343" s="1">
        <f t="shared" si="36"/>
        <v>320</v>
      </c>
      <c r="B343" s="2">
        <f t="shared" si="38"/>
        <v>26</v>
      </c>
      <c r="C343" s="2">
        <f t="shared" si="39"/>
        <v>8</v>
      </c>
      <c r="D343" s="2">
        <f t="shared" si="40"/>
        <v>55</v>
      </c>
      <c r="E343" s="1">
        <f t="shared" si="37"/>
        <v>323625.97438696492</v>
      </c>
      <c r="G343" s="1">
        <f t="shared" si="33"/>
        <v>2332.4770309066357</v>
      </c>
      <c r="H343" s="1">
        <v>0</v>
      </c>
      <c r="I343" s="1">
        <f t="shared" si="34"/>
        <v>-325.95845141787157</v>
      </c>
      <c r="J343" s="1">
        <f t="shared" si="35"/>
        <v>325632.49296645372</v>
      </c>
      <c r="M343" s="7"/>
      <c r="N343" s="1"/>
    </row>
    <row r="344" spans="1:14">
      <c r="A344" s="1">
        <f t="shared" si="36"/>
        <v>321</v>
      </c>
      <c r="B344" s="2">
        <f t="shared" si="38"/>
        <v>26</v>
      </c>
      <c r="C344" s="2">
        <f t="shared" si="39"/>
        <v>9</v>
      </c>
      <c r="D344" s="2">
        <f t="shared" si="40"/>
        <v>55</v>
      </c>
      <c r="E344" s="1">
        <f t="shared" si="37"/>
        <v>325632.49296645372</v>
      </c>
      <c r="G344" s="1">
        <f t="shared" ref="G344:G407" si="41">SUM(E344:F344)*$F$8</f>
        <v>2346.9386590488471</v>
      </c>
      <c r="H344" s="69">
        <f>-SUM(E344:G344)*$H$21</f>
        <v>-2951.8148846295235</v>
      </c>
      <c r="I344" s="1">
        <f t="shared" ref="I344:I407" si="42">-SUM(E344:G344)*0.1%</f>
        <v>-327.97943162550257</v>
      </c>
      <c r="J344" s="1">
        <f t="shared" ref="J344:J407" si="43">SUM(E344:I344)</f>
        <v>324699.63730924757</v>
      </c>
      <c r="M344" s="7"/>
      <c r="N344" s="1"/>
    </row>
    <row r="345" spans="1:14">
      <c r="A345" s="1">
        <f t="shared" ref="A345:A408" si="44">+A344+1</f>
        <v>322</v>
      </c>
      <c r="B345" s="2">
        <f t="shared" si="38"/>
        <v>26</v>
      </c>
      <c r="C345" s="2">
        <f t="shared" si="39"/>
        <v>10</v>
      </c>
      <c r="D345" s="2">
        <f t="shared" si="40"/>
        <v>55</v>
      </c>
      <c r="E345" s="1">
        <f t="shared" ref="E345:E408" si="45">J344</f>
        <v>324699.63730924757</v>
      </c>
      <c r="G345" s="1">
        <f t="shared" si="41"/>
        <v>2340.2152667200749</v>
      </c>
      <c r="H345" s="1">
        <v>0</v>
      </c>
      <c r="I345" s="1">
        <f t="shared" si="42"/>
        <v>-327.0398525759677</v>
      </c>
      <c r="J345" s="1">
        <f t="shared" si="43"/>
        <v>326712.81272339169</v>
      </c>
      <c r="M345" s="7"/>
      <c r="N345" s="1"/>
    </row>
    <row r="346" spans="1:14">
      <c r="A346" s="1">
        <f t="shared" si="44"/>
        <v>323</v>
      </c>
      <c r="B346" s="2">
        <f t="shared" si="38"/>
        <v>26</v>
      </c>
      <c r="C346" s="2">
        <f t="shared" si="39"/>
        <v>11</v>
      </c>
      <c r="D346" s="2">
        <f t="shared" si="40"/>
        <v>55</v>
      </c>
      <c r="E346" s="1">
        <f t="shared" si="45"/>
        <v>326712.81272339169</v>
      </c>
      <c r="G346" s="1">
        <f t="shared" si="41"/>
        <v>2354.7248728219092</v>
      </c>
      <c r="H346" s="1">
        <v>0</v>
      </c>
      <c r="I346" s="1">
        <f t="shared" si="42"/>
        <v>-329.06753759621358</v>
      </c>
      <c r="J346" s="1">
        <f t="shared" si="43"/>
        <v>328738.47005861736</v>
      </c>
      <c r="M346" s="7"/>
      <c r="N346" s="1"/>
    </row>
    <row r="347" spans="1:14">
      <c r="A347" s="1">
        <f t="shared" si="44"/>
        <v>324</v>
      </c>
      <c r="B347" s="2">
        <f t="shared" si="38"/>
        <v>26</v>
      </c>
      <c r="C347" s="2">
        <f t="shared" si="39"/>
        <v>12</v>
      </c>
      <c r="D347" s="2">
        <f t="shared" si="40"/>
        <v>55</v>
      </c>
      <c r="E347" s="1">
        <f t="shared" si="45"/>
        <v>328738.47005861736</v>
      </c>
      <c r="G347" s="1">
        <f t="shared" si="41"/>
        <v>2369.3244401645843</v>
      </c>
      <c r="H347" s="69">
        <f>-SUM(E347:G347)*$H$21</f>
        <v>-2979.9701504890381</v>
      </c>
      <c r="I347" s="1">
        <f t="shared" si="42"/>
        <v>-331.10779449878197</v>
      </c>
      <c r="J347" s="1">
        <f t="shared" si="43"/>
        <v>327796.71655379416</v>
      </c>
      <c r="M347" s="7"/>
      <c r="N347" s="1"/>
    </row>
    <row r="348" spans="1:14">
      <c r="A348" s="1">
        <f t="shared" si="44"/>
        <v>325</v>
      </c>
      <c r="B348" s="2">
        <f t="shared" si="38"/>
        <v>27</v>
      </c>
      <c r="C348" s="2">
        <f t="shared" si="39"/>
        <v>1</v>
      </c>
      <c r="D348" s="2">
        <f t="shared" si="40"/>
        <v>56</v>
      </c>
      <c r="E348" s="1">
        <f t="shared" si="45"/>
        <v>327796.71655379416</v>
      </c>
      <c r="G348" s="1">
        <f t="shared" si="41"/>
        <v>2362.536918171219</v>
      </c>
      <c r="H348" s="1">
        <v>0</v>
      </c>
      <c r="I348" s="1">
        <f t="shared" si="42"/>
        <v>-330.15925347196537</v>
      </c>
      <c r="J348" s="1">
        <f t="shared" si="43"/>
        <v>329829.09421849344</v>
      </c>
      <c r="M348" s="7"/>
      <c r="N348" s="1"/>
    </row>
    <row r="349" spans="1:14">
      <c r="A349" s="1">
        <f t="shared" si="44"/>
        <v>326</v>
      </c>
      <c r="B349" s="2">
        <f t="shared" si="38"/>
        <v>27</v>
      </c>
      <c r="C349" s="2">
        <f t="shared" si="39"/>
        <v>2</v>
      </c>
      <c r="D349" s="2">
        <f t="shared" si="40"/>
        <v>56</v>
      </c>
      <c r="E349" s="1">
        <f t="shared" si="45"/>
        <v>329829.09421849344</v>
      </c>
      <c r="G349" s="1">
        <f t="shared" si="41"/>
        <v>2377.1849211012013</v>
      </c>
      <c r="H349" s="1">
        <v>0</v>
      </c>
      <c r="I349" s="1">
        <f t="shared" si="42"/>
        <v>-332.20627913959464</v>
      </c>
      <c r="J349" s="1">
        <f t="shared" si="43"/>
        <v>331874.07286045502</v>
      </c>
      <c r="M349" s="7"/>
      <c r="N349" s="1"/>
    </row>
    <row r="350" spans="1:14">
      <c r="A350" s="1">
        <f t="shared" si="44"/>
        <v>327</v>
      </c>
      <c r="B350" s="2">
        <f t="shared" si="38"/>
        <v>27</v>
      </c>
      <c r="C350" s="2">
        <f t="shared" si="39"/>
        <v>3</v>
      </c>
      <c r="D350" s="2">
        <f t="shared" si="40"/>
        <v>56</v>
      </c>
      <c r="E350" s="1">
        <f t="shared" si="45"/>
        <v>331874.07286045502</v>
      </c>
      <c r="G350" s="1">
        <f t="shared" si="41"/>
        <v>2391.9237433484127</v>
      </c>
      <c r="H350" s="69">
        <f>-SUM(E350:G350)*$H$21</f>
        <v>-3008.3939694342312</v>
      </c>
      <c r="I350" s="1">
        <f t="shared" si="42"/>
        <v>-334.26599660380344</v>
      </c>
      <c r="J350" s="1">
        <f t="shared" si="43"/>
        <v>330923.33663776534</v>
      </c>
      <c r="M350" s="7"/>
      <c r="N350" s="1"/>
    </row>
    <row r="351" spans="1:14">
      <c r="A351" s="1">
        <f t="shared" si="44"/>
        <v>328</v>
      </c>
      <c r="B351" s="2">
        <f t="shared" si="38"/>
        <v>27</v>
      </c>
      <c r="C351" s="2">
        <f t="shared" si="39"/>
        <v>4</v>
      </c>
      <c r="D351" s="2">
        <f t="shared" si="40"/>
        <v>56</v>
      </c>
      <c r="E351" s="1">
        <f t="shared" si="45"/>
        <v>330923.33663776534</v>
      </c>
      <c r="G351" s="1">
        <f t="shared" si="41"/>
        <v>2385.0714800031255</v>
      </c>
      <c r="H351" s="1">
        <v>0</v>
      </c>
      <c r="I351" s="1">
        <f t="shared" si="42"/>
        <v>-333.30840811776847</v>
      </c>
      <c r="J351" s="1">
        <f t="shared" si="43"/>
        <v>332975.09970965068</v>
      </c>
      <c r="M351" s="7"/>
      <c r="N351" s="1"/>
    </row>
    <row r="352" spans="1:14">
      <c r="A352" s="1">
        <f t="shared" si="44"/>
        <v>329</v>
      </c>
      <c r="B352" s="2">
        <f t="shared" si="38"/>
        <v>27</v>
      </c>
      <c r="C352" s="2">
        <f t="shared" si="39"/>
        <v>5</v>
      </c>
      <c r="D352" s="2">
        <f t="shared" si="40"/>
        <v>56</v>
      </c>
      <c r="E352" s="1">
        <f t="shared" si="45"/>
        <v>332975.09970965068</v>
      </c>
      <c r="G352" s="1">
        <f t="shared" si="41"/>
        <v>2399.8591998303132</v>
      </c>
      <c r="H352" s="1">
        <v>0</v>
      </c>
      <c r="I352" s="1">
        <f t="shared" si="42"/>
        <v>-335.37495890948099</v>
      </c>
      <c r="J352" s="1">
        <f t="shared" si="43"/>
        <v>335039.58395057154</v>
      </c>
      <c r="M352" s="7"/>
      <c r="N352" s="1"/>
    </row>
    <row r="353" spans="1:14">
      <c r="A353" s="1">
        <f t="shared" si="44"/>
        <v>330</v>
      </c>
      <c r="B353" s="2">
        <f t="shared" si="38"/>
        <v>27</v>
      </c>
      <c r="C353" s="2">
        <f t="shared" si="39"/>
        <v>6</v>
      </c>
      <c r="D353" s="2">
        <f t="shared" si="40"/>
        <v>56</v>
      </c>
      <c r="E353" s="1">
        <f t="shared" si="45"/>
        <v>335039.58395057154</v>
      </c>
      <c r="G353" s="1">
        <f t="shared" si="41"/>
        <v>2414.7386052356987</v>
      </c>
      <c r="H353" s="69">
        <f>-SUM(E353:G353)*$H$21</f>
        <v>-3037.0889030022654</v>
      </c>
      <c r="I353" s="1">
        <f t="shared" si="42"/>
        <v>-337.45432255580727</v>
      </c>
      <c r="J353" s="1">
        <f t="shared" si="43"/>
        <v>334079.77933024918</v>
      </c>
      <c r="M353" s="7"/>
      <c r="N353" s="1"/>
    </row>
    <row r="354" spans="1:14">
      <c r="A354" s="1">
        <f t="shared" si="44"/>
        <v>331</v>
      </c>
      <c r="B354" s="2">
        <f t="shared" si="38"/>
        <v>27</v>
      </c>
      <c r="C354" s="2">
        <f t="shared" si="39"/>
        <v>7</v>
      </c>
      <c r="D354" s="2">
        <f t="shared" si="40"/>
        <v>56</v>
      </c>
      <c r="E354" s="1">
        <f t="shared" si="45"/>
        <v>334079.77933024918</v>
      </c>
      <c r="G354" s="1">
        <f t="shared" si="41"/>
        <v>2407.8209830167139</v>
      </c>
      <c r="H354" s="1">
        <v>0</v>
      </c>
      <c r="I354" s="1">
        <f t="shared" si="42"/>
        <v>-336.48760031326589</v>
      </c>
      <c r="J354" s="1">
        <f t="shared" si="43"/>
        <v>336151.1127129526</v>
      </c>
      <c r="M354" s="7"/>
      <c r="N354" s="1"/>
    </row>
    <row r="355" spans="1:14">
      <c r="A355" s="1">
        <f t="shared" si="44"/>
        <v>332</v>
      </c>
      <c r="B355" s="2">
        <f t="shared" si="38"/>
        <v>27</v>
      </c>
      <c r="C355" s="2">
        <f t="shared" si="39"/>
        <v>8</v>
      </c>
      <c r="D355" s="2">
        <f t="shared" si="40"/>
        <v>56</v>
      </c>
      <c r="E355" s="1">
        <f t="shared" si="45"/>
        <v>336151.1127129526</v>
      </c>
      <c r="G355" s="1">
        <f t="shared" si="41"/>
        <v>2422.7497524013643</v>
      </c>
      <c r="H355" s="1">
        <v>0</v>
      </c>
      <c r="I355" s="1">
        <f t="shared" si="42"/>
        <v>-338.57386246535395</v>
      </c>
      <c r="J355" s="1">
        <f t="shared" si="43"/>
        <v>338235.28860288864</v>
      </c>
      <c r="M355" s="7"/>
      <c r="N355" s="1"/>
    </row>
    <row r="356" spans="1:14">
      <c r="A356" s="1">
        <f t="shared" si="44"/>
        <v>333</v>
      </c>
      <c r="B356" s="2">
        <f t="shared" ref="B356:B419" si="46">B344+1</f>
        <v>27</v>
      </c>
      <c r="C356" s="2">
        <f t="shared" ref="C356:C419" si="47">C344</f>
        <v>9</v>
      </c>
      <c r="D356" s="2">
        <f t="shared" ref="D356:D419" si="48">D344+1</f>
        <v>56</v>
      </c>
      <c r="E356" s="1">
        <f t="shared" si="45"/>
        <v>338235.28860288864</v>
      </c>
      <c r="G356" s="1">
        <f t="shared" si="41"/>
        <v>2437.7710818878304</v>
      </c>
      <c r="H356" s="69">
        <f>-SUM(E356:G356)*$H$21</f>
        <v>-3066.0575371629884</v>
      </c>
      <c r="I356" s="1">
        <f t="shared" si="42"/>
        <v>-340.67305968477649</v>
      </c>
      <c r="J356" s="1">
        <f t="shared" si="43"/>
        <v>337266.32908792875</v>
      </c>
      <c r="M356" s="7"/>
      <c r="N356" s="1"/>
    </row>
    <row r="357" spans="1:14">
      <c r="A357" s="1">
        <f t="shared" si="44"/>
        <v>334</v>
      </c>
      <c r="B357" s="2">
        <f t="shared" si="46"/>
        <v>27</v>
      </c>
      <c r="C357" s="2">
        <f t="shared" si="47"/>
        <v>10</v>
      </c>
      <c r="D357" s="2">
        <f t="shared" si="48"/>
        <v>56</v>
      </c>
      <c r="E357" s="1">
        <f t="shared" si="45"/>
        <v>337266.32908792875</v>
      </c>
      <c r="G357" s="1">
        <f t="shared" si="41"/>
        <v>2430.7874773832673</v>
      </c>
      <c r="H357" s="1">
        <v>0</v>
      </c>
      <c r="I357" s="1">
        <f t="shared" si="42"/>
        <v>-339.69711656531206</v>
      </c>
      <c r="J357" s="1">
        <f t="shared" si="43"/>
        <v>339357.41944874672</v>
      </c>
      <c r="M357" s="7"/>
      <c r="N357" s="1"/>
    </row>
    <row r="358" spans="1:14">
      <c r="A358" s="1">
        <f t="shared" si="44"/>
        <v>335</v>
      </c>
      <c r="B358" s="2">
        <f t="shared" si="46"/>
        <v>27</v>
      </c>
      <c r="C358" s="2">
        <f t="shared" si="47"/>
        <v>11</v>
      </c>
      <c r="D358" s="2">
        <f t="shared" si="48"/>
        <v>56</v>
      </c>
      <c r="E358" s="1">
        <f t="shared" si="45"/>
        <v>339357.41944874672</v>
      </c>
      <c r="G358" s="1">
        <f t="shared" si="41"/>
        <v>2445.8586416969397</v>
      </c>
      <c r="H358" s="1">
        <v>0</v>
      </c>
      <c r="I358" s="1">
        <f t="shared" si="42"/>
        <v>-341.80327809044365</v>
      </c>
      <c r="J358" s="1">
        <f t="shared" si="43"/>
        <v>341461.4748123532</v>
      </c>
      <c r="M358" s="7"/>
      <c r="N358" s="1"/>
    </row>
    <row r="359" spans="1:14">
      <c r="A359" s="1">
        <f t="shared" si="44"/>
        <v>336</v>
      </c>
      <c r="B359" s="2">
        <f t="shared" si="46"/>
        <v>27</v>
      </c>
      <c r="C359" s="2">
        <f t="shared" si="47"/>
        <v>12</v>
      </c>
      <c r="D359" s="2">
        <f t="shared" si="48"/>
        <v>56</v>
      </c>
      <c r="E359" s="1">
        <f t="shared" si="45"/>
        <v>341461.4748123532</v>
      </c>
      <c r="G359" s="1">
        <f t="shared" si="41"/>
        <v>2461.023248977503</v>
      </c>
      <c r="H359" s="69">
        <f>-SUM(E359:G359)*$H$21</f>
        <v>-3095.3024825519765</v>
      </c>
      <c r="I359" s="1">
        <f t="shared" si="42"/>
        <v>-343.92249806133071</v>
      </c>
      <c r="J359" s="1">
        <f t="shared" si="43"/>
        <v>340483.27308071742</v>
      </c>
      <c r="M359" s="7"/>
      <c r="N359" s="1"/>
    </row>
    <row r="360" spans="1:14">
      <c r="A360" s="1">
        <f t="shared" si="44"/>
        <v>337</v>
      </c>
      <c r="B360" s="2">
        <f t="shared" si="46"/>
        <v>28</v>
      </c>
      <c r="C360" s="2">
        <f t="shared" si="47"/>
        <v>1</v>
      </c>
      <c r="D360" s="2">
        <f t="shared" si="48"/>
        <v>57</v>
      </c>
      <c r="E360" s="1">
        <f t="shared" si="45"/>
        <v>340483.27308071742</v>
      </c>
      <c r="G360" s="1">
        <f t="shared" si="41"/>
        <v>2453.9730328291994</v>
      </c>
      <c r="H360" s="1">
        <v>0</v>
      </c>
      <c r="I360" s="1">
        <f t="shared" si="42"/>
        <v>-342.93724611354662</v>
      </c>
      <c r="J360" s="1">
        <f t="shared" si="43"/>
        <v>342594.30886743305</v>
      </c>
      <c r="M360" s="7"/>
      <c r="N360" s="1"/>
    </row>
    <row r="361" spans="1:14">
      <c r="A361" s="1">
        <f t="shared" si="44"/>
        <v>338</v>
      </c>
      <c r="B361" s="2">
        <f t="shared" si="46"/>
        <v>28</v>
      </c>
      <c r="C361" s="2">
        <f t="shared" si="47"/>
        <v>2</v>
      </c>
      <c r="D361" s="2">
        <f t="shared" si="48"/>
        <v>57</v>
      </c>
      <c r="E361" s="1">
        <f t="shared" si="45"/>
        <v>342594.30886743305</v>
      </c>
      <c r="G361" s="1">
        <f t="shared" si="41"/>
        <v>2469.1879502759939</v>
      </c>
      <c r="H361" s="1">
        <v>0</v>
      </c>
      <c r="I361" s="1">
        <f t="shared" si="42"/>
        <v>-345.06349681770905</v>
      </c>
      <c r="J361" s="1">
        <f t="shared" si="43"/>
        <v>344718.43332089134</v>
      </c>
      <c r="M361" s="7"/>
      <c r="N361" s="1"/>
    </row>
    <row r="362" spans="1:14">
      <c r="A362" s="1">
        <f t="shared" si="44"/>
        <v>339</v>
      </c>
      <c r="B362" s="2">
        <f t="shared" si="46"/>
        <v>28</v>
      </c>
      <c r="C362" s="2">
        <f t="shared" si="47"/>
        <v>3</v>
      </c>
      <c r="D362" s="2">
        <f t="shared" si="48"/>
        <v>57</v>
      </c>
      <c r="E362" s="1">
        <f t="shared" si="45"/>
        <v>344718.43332089134</v>
      </c>
      <c r="G362" s="1">
        <f t="shared" si="41"/>
        <v>2484.4972019757797</v>
      </c>
      <c r="H362" s="69">
        <f>-SUM(E362:G362)*$H$21</f>
        <v>-3124.8263747058045</v>
      </c>
      <c r="I362" s="1">
        <f t="shared" si="42"/>
        <v>-347.20293052286712</v>
      </c>
      <c r="J362" s="1">
        <f t="shared" si="43"/>
        <v>343730.90121763846</v>
      </c>
      <c r="M362" s="7"/>
      <c r="N362" s="1"/>
    </row>
    <row r="363" spans="1:14">
      <c r="A363" s="1">
        <f t="shared" si="44"/>
        <v>340</v>
      </c>
      <c r="B363" s="2">
        <f t="shared" si="46"/>
        <v>28</v>
      </c>
      <c r="C363" s="2">
        <f t="shared" si="47"/>
        <v>4</v>
      </c>
      <c r="D363" s="2">
        <f t="shared" si="48"/>
        <v>57</v>
      </c>
      <c r="E363" s="1">
        <f t="shared" si="45"/>
        <v>343730.90121763846</v>
      </c>
      <c r="G363" s="1">
        <f t="shared" si="41"/>
        <v>2477.3797388225717</v>
      </c>
      <c r="H363" s="1">
        <v>0</v>
      </c>
      <c r="I363" s="1">
        <f t="shared" si="42"/>
        <v>-346.20828095646107</v>
      </c>
      <c r="J363" s="1">
        <f t="shared" si="43"/>
        <v>345862.07267550455</v>
      </c>
      <c r="M363" s="7"/>
      <c r="N363" s="1"/>
    </row>
    <row r="364" spans="1:14">
      <c r="A364" s="1">
        <f t="shared" si="44"/>
        <v>341</v>
      </c>
      <c r="B364" s="2">
        <f t="shared" si="46"/>
        <v>28</v>
      </c>
      <c r="C364" s="2">
        <f t="shared" si="47"/>
        <v>5</v>
      </c>
      <c r="D364" s="2">
        <f t="shared" si="48"/>
        <v>57</v>
      </c>
      <c r="E364" s="1">
        <f t="shared" si="45"/>
        <v>345862.07267550455</v>
      </c>
      <c r="G364" s="1">
        <f t="shared" si="41"/>
        <v>2492.7397805615351</v>
      </c>
      <c r="H364" s="1">
        <v>0</v>
      </c>
      <c r="I364" s="1">
        <f t="shared" si="42"/>
        <v>-348.3548124560661</v>
      </c>
      <c r="J364" s="1">
        <f t="shared" si="43"/>
        <v>348006.45764361002</v>
      </c>
      <c r="M364" s="7"/>
      <c r="N364" s="1"/>
    </row>
    <row r="365" spans="1:14">
      <c r="A365" s="1">
        <f t="shared" si="44"/>
        <v>342</v>
      </c>
      <c r="B365" s="2">
        <f t="shared" si="46"/>
        <v>28</v>
      </c>
      <c r="C365" s="2">
        <f t="shared" si="47"/>
        <v>6</v>
      </c>
      <c r="D365" s="2">
        <f t="shared" si="48"/>
        <v>57</v>
      </c>
      <c r="E365" s="1">
        <f t="shared" si="45"/>
        <v>348006.45764361002</v>
      </c>
      <c r="G365" s="1">
        <f t="shared" si="41"/>
        <v>2508.195056340935</v>
      </c>
      <c r="H365" s="69">
        <f>-SUM(E365:G365)*$H$21</f>
        <v>-3154.6318742995591</v>
      </c>
      <c r="I365" s="1">
        <f t="shared" si="42"/>
        <v>-350.514652699951</v>
      </c>
      <c r="J365" s="1">
        <f t="shared" si="43"/>
        <v>347009.50617295149</v>
      </c>
      <c r="M365" s="7"/>
      <c r="N365" s="1"/>
    </row>
    <row r="366" spans="1:14">
      <c r="A366" s="1">
        <f t="shared" si="44"/>
        <v>343</v>
      </c>
      <c r="B366" s="2">
        <f t="shared" si="46"/>
        <v>28</v>
      </c>
      <c r="C366" s="2">
        <f t="shared" si="47"/>
        <v>7</v>
      </c>
      <c r="D366" s="2">
        <f t="shared" si="48"/>
        <v>57</v>
      </c>
      <c r="E366" s="1">
        <f t="shared" si="45"/>
        <v>347009.50617295149</v>
      </c>
      <c r="G366" s="1">
        <f t="shared" si="41"/>
        <v>2501.0097047614008</v>
      </c>
      <c r="H366" s="1">
        <v>0</v>
      </c>
      <c r="I366" s="1">
        <f t="shared" si="42"/>
        <v>-349.51051587771286</v>
      </c>
      <c r="J366" s="1">
        <f t="shared" si="43"/>
        <v>349161.00536183518</v>
      </c>
      <c r="M366" s="7"/>
      <c r="N366" s="1"/>
    </row>
    <row r="367" spans="1:14">
      <c r="A367" s="1">
        <f t="shared" si="44"/>
        <v>344</v>
      </c>
      <c r="B367" s="2">
        <f t="shared" si="46"/>
        <v>28</v>
      </c>
      <c r="C367" s="2">
        <f t="shared" si="47"/>
        <v>8</v>
      </c>
      <c r="D367" s="2">
        <f t="shared" si="48"/>
        <v>57</v>
      </c>
      <c r="E367" s="1">
        <f t="shared" si="45"/>
        <v>349161.00536183518</v>
      </c>
      <c r="G367" s="1">
        <f t="shared" si="41"/>
        <v>2516.5162550300915</v>
      </c>
      <c r="H367" s="1">
        <v>0</v>
      </c>
      <c r="I367" s="1">
        <f t="shared" si="42"/>
        <v>-351.67752161686531</v>
      </c>
      <c r="J367" s="1">
        <f t="shared" si="43"/>
        <v>351325.84409524844</v>
      </c>
      <c r="M367" s="7"/>
      <c r="N367" s="1"/>
    </row>
    <row r="368" spans="1:14">
      <c r="A368" s="1">
        <f t="shared" si="44"/>
        <v>345</v>
      </c>
      <c r="B368" s="2">
        <f t="shared" si="46"/>
        <v>28</v>
      </c>
      <c r="C368" s="2">
        <f t="shared" si="47"/>
        <v>9</v>
      </c>
      <c r="D368" s="2">
        <f t="shared" si="48"/>
        <v>57</v>
      </c>
      <c r="E368" s="1">
        <f t="shared" si="45"/>
        <v>351325.84409524844</v>
      </c>
      <c r="G368" s="1">
        <f t="shared" si="41"/>
        <v>2532.1189477090966</v>
      </c>
      <c r="H368" s="69">
        <f>-SUM(E368:G368)*$H$21</f>
        <v>-3184.7216673866183</v>
      </c>
      <c r="I368" s="1">
        <f t="shared" si="42"/>
        <v>-353.85796304295752</v>
      </c>
      <c r="J368" s="1">
        <f t="shared" si="43"/>
        <v>350319.38341252797</v>
      </c>
      <c r="M368" s="7"/>
      <c r="N368" s="1"/>
    </row>
    <row r="369" spans="1:14">
      <c r="A369" s="1">
        <f t="shared" si="44"/>
        <v>346</v>
      </c>
      <c r="B369" s="2">
        <f t="shared" si="46"/>
        <v>28</v>
      </c>
      <c r="C369" s="2">
        <f t="shared" si="47"/>
        <v>10</v>
      </c>
      <c r="D369" s="2">
        <f t="shared" si="48"/>
        <v>57</v>
      </c>
      <c r="E369" s="1">
        <f t="shared" si="45"/>
        <v>350319.38341252797</v>
      </c>
      <c r="G369" s="1">
        <f t="shared" si="41"/>
        <v>2524.8650601637505</v>
      </c>
      <c r="H369" s="1">
        <v>0</v>
      </c>
      <c r="I369" s="1">
        <f t="shared" si="42"/>
        <v>-352.84424847269173</v>
      </c>
      <c r="J369" s="1">
        <f t="shared" si="43"/>
        <v>352491.40422421903</v>
      </c>
      <c r="M369" s="7"/>
      <c r="N369" s="1"/>
    </row>
    <row r="370" spans="1:14">
      <c r="A370" s="1">
        <f t="shared" si="44"/>
        <v>347</v>
      </c>
      <c r="B370" s="2">
        <f t="shared" si="46"/>
        <v>28</v>
      </c>
      <c r="C370" s="2">
        <f t="shared" si="47"/>
        <v>11</v>
      </c>
      <c r="D370" s="2">
        <f t="shared" si="48"/>
        <v>57</v>
      </c>
      <c r="E370" s="1">
        <f t="shared" si="45"/>
        <v>352491.40422421903</v>
      </c>
      <c r="G370" s="1">
        <f t="shared" si="41"/>
        <v>2540.519516402986</v>
      </c>
      <c r="H370" s="1">
        <v>0</v>
      </c>
      <c r="I370" s="1">
        <f t="shared" si="42"/>
        <v>-355.03192374062201</v>
      </c>
      <c r="J370" s="1">
        <f t="shared" si="43"/>
        <v>354676.89181688137</v>
      </c>
      <c r="M370" s="7"/>
      <c r="N370" s="1"/>
    </row>
    <row r="371" spans="1:14">
      <c r="A371" s="1">
        <f t="shared" si="44"/>
        <v>348</v>
      </c>
      <c r="B371" s="2">
        <f t="shared" si="46"/>
        <v>28</v>
      </c>
      <c r="C371" s="2">
        <f t="shared" si="47"/>
        <v>12</v>
      </c>
      <c r="D371" s="2">
        <f t="shared" si="48"/>
        <v>57</v>
      </c>
      <c r="E371" s="1">
        <f t="shared" si="45"/>
        <v>354676.89181688137</v>
      </c>
      <c r="G371" s="1">
        <f t="shared" si="41"/>
        <v>2556.2710320867086</v>
      </c>
      <c r="H371" s="69">
        <f>-SUM(E371:G371)*$H$21</f>
        <v>-3215.0984656407131</v>
      </c>
      <c r="I371" s="1">
        <f t="shared" si="42"/>
        <v>-357.23316284896805</v>
      </c>
      <c r="J371" s="1">
        <f t="shared" si="43"/>
        <v>353660.83122047834</v>
      </c>
      <c r="M371" s="7"/>
      <c r="N371" s="1"/>
    </row>
    <row r="372" spans="1:14">
      <c r="A372" s="1">
        <f t="shared" si="44"/>
        <v>349</v>
      </c>
      <c r="B372" s="2">
        <f t="shared" si="46"/>
        <v>29</v>
      </c>
      <c r="C372" s="2">
        <f t="shared" si="47"/>
        <v>1</v>
      </c>
      <c r="D372" s="2">
        <f t="shared" si="48"/>
        <v>58</v>
      </c>
      <c r="E372" s="1">
        <f t="shared" si="45"/>
        <v>353660.83122047834</v>
      </c>
      <c r="G372" s="1">
        <f t="shared" si="41"/>
        <v>2548.9479548596451</v>
      </c>
      <c r="H372" s="1">
        <v>0</v>
      </c>
      <c r="I372" s="1">
        <f t="shared" si="42"/>
        <v>-356.20977917533799</v>
      </c>
      <c r="J372" s="1">
        <f t="shared" si="43"/>
        <v>355853.56939616264</v>
      </c>
      <c r="M372" s="7"/>
      <c r="N372" s="1"/>
    </row>
    <row r="373" spans="1:14">
      <c r="A373" s="1">
        <f t="shared" si="44"/>
        <v>350</v>
      </c>
      <c r="B373" s="2">
        <f t="shared" si="46"/>
        <v>29</v>
      </c>
      <c r="C373" s="2">
        <f t="shared" si="47"/>
        <v>2</v>
      </c>
      <c r="D373" s="2">
        <f t="shared" si="48"/>
        <v>58</v>
      </c>
      <c r="E373" s="1">
        <f t="shared" si="45"/>
        <v>355853.56939616264</v>
      </c>
      <c r="G373" s="1">
        <f t="shared" si="41"/>
        <v>2564.751727839438</v>
      </c>
      <c r="H373" s="1">
        <v>0</v>
      </c>
      <c r="I373" s="1">
        <f t="shared" si="42"/>
        <v>-358.41832112400209</v>
      </c>
      <c r="J373" s="1">
        <f t="shared" si="43"/>
        <v>358059.90280287812</v>
      </c>
      <c r="M373" s="7"/>
      <c r="N373" s="1"/>
    </row>
    <row r="374" spans="1:14">
      <c r="A374" s="1">
        <f t="shared" si="44"/>
        <v>351</v>
      </c>
      <c r="B374" s="2">
        <f t="shared" si="46"/>
        <v>29</v>
      </c>
      <c r="C374" s="2">
        <f t="shared" si="47"/>
        <v>3</v>
      </c>
      <c r="D374" s="2">
        <f t="shared" si="48"/>
        <v>58</v>
      </c>
      <c r="E374" s="1">
        <f t="shared" si="45"/>
        <v>358059.90280287812</v>
      </c>
      <c r="G374" s="1">
        <f t="shared" si="41"/>
        <v>2580.6534860448296</v>
      </c>
      <c r="H374" s="69">
        <f>-SUM(E374:G374)*$H$21</f>
        <v>-3245.7650066003071</v>
      </c>
      <c r="I374" s="1">
        <f t="shared" si="42"/>
        <v>-360.64055628892299</v>
      </c>
      <c r="J374" s="1">
        <f t="shared" si="43"/>
        <v>357034.15072603372</v>
      </c>
      <c r="M374" s="7"/>
      <c r="N374" s="1"/>
    </row>
    <row r="375" spans="1:14">
      <c r="A375" s="1">
        <f t="shared" si="44"/>
        <v>352</v>
      </c>
      <c r="B375" s="2">
        <f t="shared" si="46"/>
        <v>29</v>
      </c>
      <c r="C375" s="2">
        <f t="shared" si="47"/>
        <v>4</v>
      </c>
      <c r="D375" s="2">
        <f t="shared" si="48"/>
        <v>58</v>
      </c>
      <c r="E375" s="1">
        <f t="shared" si="45"/>
        <v>357034.15072603372</v>
      </c>
      <c r="G375" s="1">
        <f t="shared" si="41"/>
        <v>2573.2605591848132</v>
      </c>
      <c r="H375" s="1">
        <v>0</v>
      </c>
      <c r="I375" s="1">
        <f t="shared" si="42"/>
        <v>-359.60741128521857</v>
      </c>
      <c r="J375" s="1">
        <f t="shared" si="43"/>
        <v>359247.80387393333</v>
      </c>
      <c r="M375" s="7"/>
      <c r="N375" s="1"/>
    </row>
    <row r="376" spans="1:14">
      <c r="A376" s="1">
        <f t="shared" si="44"/>
        <v>353</v>
      </c>
      <c r="B376" s="2">
        <f t="shared" si="46"/>
        <v>29</v>
      </c>
      <c r="C376" s="2">
        <f t="shared" si="47"/>
        <v>5</v>
      </c>
      <c r="D376" s="2">
        <f t="shared" si="48"/>
        <v>58</v>
      </c>
      <c r="E376" s="1">
        <f t="shared" si="45"/>
        <v>359247.80387393333</v>
      </c>
      <c r="G376" s="1">
        <f t="shared" si="41"/>
        <v>2589.2150731315096</v>
      </c>
      <c r="H376" s="1">
        <v>0</v>
      </c>
      <c r="I376" s="1">
        <f t="shared" si="42"/>
        <v>-361.83701894706485</v>
      </c>
      <c r="J376" s="1">
        <f t="shared" si="43"/>
        <v>361475.18192811776</v>
      </c>
      <c r="M376" s="7"/>
      <c r="N376" s="1"/>
    </row>
    <row r="377" spans="1:14">
      <c r="A377" s="1">
        <f t="shared" si="44"/>
        <v>354</v>
      </c>
      <c r="B377" s="2">
        <f t="shared" si="46"/>
        <v>29</v>
      </c>
      <c r="C377" s="2">
        <f t="shared" si="47"/>
        <v>6</v>
      </c>
      <c r="D377" s="2">
        <f t="shared" si="48"/>
        <v>58</v>
      </c>
      <c r="E377" s="1">
        <f t="shared" si="45"/>
        <v>361475.18192811776</v>
      </c>
      <c r="G377" s="1">
        <f t="shared" si="41"/>
        <v>2605.2685069152844</v>
      </c>
      <c r="H377" s="69">
        <f>-SUM(E377:G377)*$H$21</f>
        <v>-3276.7240539152981</v>
      </c>
      <c r="I377" s="1">
        <f t="shared" si="42"/>
        <v>-364.08045043503307</v>
      </c>
      <c r="J377" s="1">
        <f t="shared" si="43"/>
        <v>360439.64593068272</v>
      </c>
      <c r="M377" s="7"/>
      <c r="N377" s="1"/>
    </row>
    <row r="378" spans="1:14">
      <c r="A378" s="1">
        <f t="shared" si="44"/>
        <v>355</v>
      </c>
      <c r="B378" s="2">
        <f t="shared" si="46"/>
        <v>29</v>
      </c>
      <c r="C378" s="2">
        <f t="shared" si="47"/>
        <v>7</v>
      </c>
      <c r="D378" s="2">
        <f t="shared" si="48"/>
        <v>58</v>
      </c>
      <c r="E378" s="1">
        <f t="shared" si="45"/>
        <v>360439.64593068272</v>
      </c>
      <c r="G378" s="1">
        <f t="shared" si="41"/>
        <v>2597.8050641762716</v>
      </c>
      <c r="H378" s="1">
        <v>0</v>
      </c>
      <c r="I378" s="1">
        <f t="shared" si="42"/>
        <v>-363.037450994859</v>
      </c>
      <c r="J378" s="1">
        <f t="shared" si="43"/>
        <v>362674.41354386415</v>
      </c>
      <c r="M378" s="7"/>
      <c r="N378" s="1"/>
    </row>
    <row r="379" spans="1:14">
      <c r="A379" s="1">
        <f t="shared" si="44"/>
        <v>356</v>
      </c>
      <c r="B379" s="2">
        <f t="shared" si="46"/>
        <v>29</v>
      </c>
      <c r="C379" s="2">
        <f t="shared" si="47"/>
        <v>8</v>
      </c>
      <c r="D379" s="2">
        <f t="shared" si="48"/>
        <v>58</v>
      </c>
      <c r="E379" s="1">
        <f t="shared" si="45"/>
        <v>362674.41354386415</v>
      </c>
      <c r="G379" s="1">
        <f t="shared" si="41"/>
        <v>2613.9117569009018</v>
      </c>
      <c r="H379" s="1">
        <v>0</v>
      </c>
      <c r="I379" s="1">
        <f t="shared" si="42"/>
        <v>-365.28832530076505</v>
      </c>
      <c r="J379" s="1">
        <f t="shared" si="43"/>
        <v>364923.03697546426</v>
      </c>
      <c r="M379" s="7"/>
      <c r="N379" s="1"/>
    </row>
    <row r="380" spans="1:14">
      <c r="A380" s="1">
        <f t="shared" si="44"/>
        <v>357</v>
      </c>
      <c r="B380" s="2">
        <f t="shared" si="46"/>
        <v>29</v>
      </c>
      <c r="C380" s="2">
        <f t="shared" si="47"/>
        <v>9</v>
      </c>
      <c r="D380" s="2">
        <f t="shared" si="48"/>
        <v>58</v>
      </c>
      <c r="E380" s="1">
        <f t="shared" si="45"/>
        <v>364923.03697546426</v>
      </c>
      <c r="G380" s="1">
        <f t="shared" si="41"/>
        <v>2630.1183129886845</v>
      </c>
      <c r="H380" s="69">
        <f>-SUM(E380:G380)*$H$21</f>
        <v>-3307.9783975960768</v>
      </c>
      <c r="I380" s="1">
        <f t="shared" si="42"/>
        <v>-367.55315528845296</v>
      </c>
      <c r="J380" s="1">
        <f t="shared" si="43"/>
        <v>363877.62373556837</v>
      </c>
      <c r="M380" s="7"/>
      <c r="N380" s="1"/>
    </row>
    <row r="381" spans="1:14">
      <c r="A381" s="1">
        <f t="shared" si="44"/>
        <v>358</v>
      </c>
      <c r="B381" s="2">
        <f t="shared" si="46"/>
        <v>29</v>
      </c>
      <c r="C381" s="2">
        <f t="shared" si="47"/>
        <v>10</v>
      </c>
      <c r="D381" s="2">
        <f t="shared" si="48"/>
        <v>58</v>
      </c>
      <c r="E381" s="1">
        <f t="shared" si="45"/>
        <v>363877.62373556837</v>
      </c>
      <c r="G381" s="1">
        <f t="shared" si="41"/>
        <v>2622.5836817697846</v>
      </c>
      <c r="H381" s="1">
        <v>0</v>
      </c>
      <c r="I381" s="1">
        <f t="shared" si="42"/>
        <v>-366.50020741733817</v>
      </c>
      <c r="J381" s="1">
        <f t="shared" si="43"/>
        <v>366133.7072099208</v>
      </c>
      <c r="M381" s="7"/>
      <c r="N381" s="1"/>
    </row>
    <row r="382" spans="1:14">
      <c r="A382" s="1">
        <f t="shared" si="44"/>
        <v>359</v>
      </c>
      <c r="B382" s="2">
        <f t="shared" si="46"/>
        <v>29</v>
      </c>
      <c r="C382" s="2">
        <f t="shared" si="47"/>
        <v>11</v>
      </c>
      <c r="D382" s="2">
        <f t="shared" si="48"/>
        <v>58</v>
      </c>
      <c r="E382" s="1">
        <f t="shared" si="45"/>
        <v>366133.7072099208</v>
      </c>
      <c r="G382" s="1">
        <f t="shared" si="41"/>
        <v>2638.8440047976355</v>
      </c>
      <c r="H382" s="1">
        <v>0</v>
      </c>
      <c r="I382" s="1">
        <f t="shared" si="42"/>
        <v>-368.77255121471842</v>
      </c>
      <c r="J382" s="1">
        <f t="shared" si="43"/>
        <v>368403.7786635037</v>
      </c>
      <c r="M382" s="7"/>
      <c r="N382" s="1"/>
    </row>
    <row r="383" spans="1:14">
      <c r="A383" s="1">
        <f t="shared" si="44"/>
        <v>360</v>
      </c>
      <c r="B383" s="2">
        <f t="shared" si="46"/>
        <v>29</v>
      </c>
      <c r="C383" s="2">
        <f t="shared" si="47"/>
        <v>12</v>
      </c>
      <c r="D383" s="2">
        <f t="shared" si="48"/>
        <v>58</v>
      </c>
      <c r="E383" s="1">
        <f t="shared" si="45"/>
        <v>368403.7786635037</v>
      </c>
      <c r="G383" s="1">
        <f t="shared" si="41"/>
        <v>2655.20514371434</v>
      </c>
      <c r="H383" s="69">
        <f>-SUM(E383:G383)*$H$21</f>
        <v>-3339.5308542649627</v>
      </c>
      <c r="I383" s="1">
        <f t="shared" si="42"/>
        <v>-371.05898380721806</v>
      </c>
      <c r="J383" s="1">
        <f t="shared" si="43"/>
        <v>367348.39396914584</v>
      </c>
      <c r="M383" s="7"/>
      <c r="N383" s="1"/>
    </row>
    <row r="384" spans="1:14">
      <c r="A384" s="1">
        <f t="shared" si="44"/>
        <v>361</v>
      </c>
      <c r="B384" s="2">
        <f t="shared" si="46"/>
        <v>30</v>
      </c>
      <c r="C384" s="2">
        <f t="shared" si="47"/>
        <v>1</v>
      </c>
      <c r="D384" s="2">
        <f t="shared" si="48"/>
        <v>59</v>
      </c>
      <c r="E384" s="1">
        <f t="shared" si="45"/>
        <v>367348.39396914584</v>
      </c>
      <c r="G384" s="1">
        <f t="shared" si="41"/>
        <v>2647.598644999201</v>
      </c>
      <c r="H384" s="1">
        <v>0</v>
      </c>
      <c r="I384" s="1">
        <f t="shared" si="42"/>
        <v>-369.99599261414505</v>
      </c>
      <c r="J384" s="1">
        <f t="shared" si="43"/>
        <v>369625.99662153091</v>
      </c>
      <c r="M384" s="7"/>
      <c r="N384" s="1"/>
    </row>
    <row r="385" spans="1:14">
      <c r="A385" s="1">
        <f t="shared" si="44"/>
        <v>362</v>
      </c>
      <c r="B385" s="2">
        <f t="shared" si="46"/>
        <v>30</v>
      </c>
      <c r="C385" s="2">
        <f t="shared" si="47"/>
        <v>2</v>
      </c>
      <c r="D385" s="2">
        <f t="shared" si="48"/>
        <v>59</v>
      </c>
      <c r="E385" s="1">
        <f t="shared" si="45"/>
        <v>369625.99662153091</v>
      </c>
      <c r="G385" s="1">
        <f t="shared" si="41"/>
        <v>2664.0140637006307</v>
      </c>
      <c r="H385" s="1">
        <v>0</v>
      </c>
      <c r="I385" s="1">
        <f t="shared" si="42"/>
        <v>-372.29001068523155</v>
      </c>
      <c r="J385" s="1">
        <f t="shared" si="43"/>
        <v>371917.72067454632</v>
      </c>
      <c r="M385" s="7"/>
      <c r="N385" s="1"/>
    </row>
    <row r="386" spans="1:14">
      <c r="A386" s="1">
        <f t="shared" si="44"/>
        <v>363</v>
      </c>
      <c r="B386" s="2">
        <f t="shared" si="46"/>
        <v>30</v>
      </c>
      <c r="C386" s="2">
        <f t="shared" si="47"/>
        <v>3</v>
      </c>
      <c r="D386" s="2">
        <f t="shared" si="48"/>
        <v>59</v>
      </c>
      <c r="E386" s="1">
        <f t="shared" si="45"/>
        <v>371917.72067454632</v>
      </c>
      <c r="G386" s="1">
        <f t="shared" si="41"/>
        <v>2680.5312599020799</v>
      </c>
      <c r="H386" s="69">
        <f>-SUM(E386:G386)*$H$21</f>
        <v>-3371.3842674100356</v>
      </c>
      <c r="I386" s="1">
        <f t="shared" si="42"/>
        <v>-374.5982519344484</v>
      </c>
      <c r="J386" s="1">
        <f t="shared" si="43"/>
        <v>370852.26941510389</v>
      </c>
      <c r="M386" s="7"/>
      <c r="N386" s="1"/>
    </row>
    <row r="387" spans="1:14">
      <c r="A387" s="1">
        <f t="shared" si="44"/>
        <v>364</v>
      </c>
      <c r="B387" s="2">
        <f t="shared" si="46"/>
        <v>30</v>
      </c>
      <c r="C387" s="2">
        <f t="shared" si="47"/>
        <v>4</v>
      </c>
      <c r="D387" s="2">
        <f t="shared" si="48"/>
        <v>59</v>
      </c>
      <c r="E387" s="1">
        <f t="shared" si="45"/>
        <v>370852.26941510389</v>
      </c>
      <c r="G387" s="1">
        <f t="shared" si="41"/>
        <v>2672.852208197693</v>
      </c>
      <c r="H387" s="1">
        <v>0</v>
      </c>
      <c r="I387" s="1">
        <f t="shared" si="42"/>
        <v>-373.52512162330157</v>
      </c>
      <c r="J387" s="1">
        <f t="shared" si="43"/>
        <v>373151.59650167829</v>
      </c>
      <c r="M387" s="7"/>
      <c r="N387" s="1"/>
    </row>
    <row r="388" spans="1:14">
      <c r="A388" s="1">
        <f t="shared" si="44"/>
        <v>365</v>
      </c>
      <c r="B388" s="2">
        <f t="shared" si="46"/>
        <v>30</v>
      </c>
      <c r="C388" s="2">
        <f t="shared" si="47"/>
        <v>5</v>
      </c>
      <c r="D388" s="2">
        <f t="shared" si="48"/>
        <v>59</v>
      </c>
      <c r="E388" s="1">
        <f t="shared" si="45"/>
        <v>373151.59650167829</v>
      </c>
      <c r="G388" s="1">
        <f t="shared" si="41"/>
        <v>2689.4242019201856</v>
      </c>
      <c r="H388" s="1">
        <v>0</v>
      </c>
      <c r="I388" s="1">
        <f t="shared" si="42"/>
        <v>-375.84102070359847</v>
      </c>
      <c r="J388" s="1">
        <f t="shared" si="43"/>
        <v>375465.17968289484</v>
      </c>
      <c r="M388" s="7"/>
      <c r="N388" s="1"/>
    </row>
    <row r="389" spans="1:14">
      <c r="A389" s="1">
        <f t="shared" si="44"/>
        <v>366</v>
      </c>
      <c r="B389" s="2">
        <f t="shared" si="46"/>
        <v>30</v>
      </c>
      <c r="C389" s="2">
        <f t="shared" si="47"/>
        <v>6</v>
      </c>
      <c r="D389" s="2">
        <f t="shared" si="48"/>
        <v>59</v>
      </c>
      <c r="E389" s="1">
        <f t="shared" si="45"/>
        <v>375465.17968289484</v>
      </c>
      <c r="G389" s="1">
        <f t="shared" si="41"/>
        <v>2706.0989439259893</v>
      </c>
      <c r="H389" s="69">
        <f>-SUM(E389:G389)*$H$21</f>
        <v>-3403.5415076413879</v>
      </c>
      <c r="I389" s="1">
        <f t="shared" si="42"/>
        <v>-378.17127862682082</v>
      </c>
      <c r="J389" s="1">
        <f t="shared" si="43"/>
        <v>374389.56584055262</v>
      </c>
      <c r="M389" s="7"/>
      <c r="N389" s="1"/>
    </row>
    <row r="390" spans="1:14">
      <c r="A390" s="1">
        <f t="shared" si="44"/>
        <v>367</v>
      </c>
      <c r="B390" s="2">
        <f t="shared" si="46"/>
        <v>30</v>
      </c>
      <c r="C390" s="2">
        <f t="shared" si="47"/>
        <v>7</v>
      </c>
      <c r="D390" s="2">
        <f t="shared" si="48"/>
        <v>59</v>
      </c>
      <c r="E390" s="1">
        <f t="shared" si="45"/>
        <v>374389.56584055262</v>
      </c>
      <c r="G390" s="1">
        <f t="shared" si="41"/>
        <v>2698.3466472009168</v>
      </c>
      <c r="H390" s="1">
        <v>0</v>
      </c>
      <c r="I390" s="1">
        <f t="shared" si="42"/>
        <v>-377.08791248775356</v>
      </c>
      <c r="J390" s="1">
        <f t="shared" si="43"/>
        <v>376710.82457526581</v>
      </c>
      <c r="M390" s="7"/>
      <c r="N390" s="1"/>
    </row>
    <row r="391" spans="1:14">
      <c r="A391" s="1">
        <f t="shared" si="44"/>
        <v>368</v>
      </c>
      <c r="B391" s="2">
        <f t="shared" si="46"/>
        <v>30</v>
      </c>
      <c r="C391" s="2">
        <f t="shared" si="47"/>
        <v>8</v>
      </c>
      <c r="D391" s="2">
        <f t="shared" si="48"/>
        <v>59</v>
      </c>
      <c r="E391" s="1">
        <f t="shared" si="45"/>
        <v>376710.82457526581</v>
      </c>
      <c r="G391" s="1">
        <f t="shared" si="41"/>
        <v>2715.0767094024013</v>
      </c>
      <c r="H391" s="1">
        <v>0</v>
      </c>
      <c r="I391" s="1">
        <f t="shared" si="42"/>
        <v>-379.42590128466821</v>
      </c>
      <c r="J391" s="1">
        <f t="shared" si="43"/>
        <v>379046.47538338351</v>
      </c>
      <c r="M391" s="7"/>
      <c r="N391" s="1"/>
    </row>
    <row r="392" spans="1:14">
      <c r="A392" s="1">
        <f t="shared" si="44"/>
        <v>369</v>
      </c>
      <c r="B392" s="2">
        <f t="shared" si="46"/>
        <v>30</v>
      </c>
      <c r="C392" s="2">
        <f t="shared" si="47"/>
        <v>9</v>
      </c>
      <c r="D392" s="2">
        <f t="shared" si="48"/>
        <v>59</v>
      </c>
      <c r="E392" s="1">
        <f t="shared" si="45"/>
        <v>379046.47538338351</v>
      </c>
      <c r="G392" s="1">
        <f t="shared" si="41"/>
        <v>2731.9104999301017</v>
      </c>
      <c r="H392" s="69">
        <f>-SUM(E392:G392)*$H$21</f>
        <v>-3436.0054729498229</v>
      </c>
      <c r="I392" s="1">
        <f t="shared" si="42"/>
        <v>-381.7783858833136</v>
      </c>
      <c r="J392" s="1">
        <f t="shared" si="43"/>
        <v>377960.60202448047</v>
      </c>
      <c r="M392" s="7"/>
      <c r="N392" s="1"/>
    </row>
    <row r="393" spans="1:14">
      <c r="A393" s="1">
        <f t="shared" si="44"/>
        <v>370</v>
      </c>
      <c r="B393" s="2">
        <f t="shared" si="46"/>
        <v>30</v>
      </c>
      <c r="C393" s="2">
        <f t="shared" si="47"/>
        <v>10</v>
      </c>
      <c r="D393" s="2">
        <f t="shared" si="48"/>
        <v>59</v>
      </c>
      <c r="E393" s="1">
        <f t="shared" si="45"/>
        <v>377960.60202448047</v>
      </c>
      <c r="G393" s="1">
        <f t="shared" si="41"/>
        <v>2724.0842595521081</v>
      </c>
      <c r="H393" s="1">
        <v>0</v>
      </c>
      <c r="I393" s="1">
        <f t="shared" si="42"/>
        <v>-380.68468628403258</v>
      </c>
      <c r="J393" s="1">
        <f t="shared" si="43"/>
        <v>380304.00159774855</v>
      </c>
      <c r="M393" s="7"/>
      <c r="N393" s="1"/>
    </row>
    <row r="394" spans="1:14">
      <c r="A394" s="1">
        <f t="shared" si="44"/>
        <v>371</v>
      </c>
      <c r="B394" s="2">
        <f t="shared" si="46"/>
        <v>30</v>
      </c>
      <c r="C394" s="2">
        <f t="shared" si="47"/>
        <v>11</v>
      </c>
      <c r="D394" s="2">
        <f t="shared" si="48"/>
        <v>59</v>
      </c>
      <c r="E394" s="1">
        <f t="shared" si="45"/>
        <v>380304.00159774855</v>
      </c>
      <c r="G394" s="1">
        <f t="shared" si="41"/>
        <v>2740.9738979355479</v>
      </c>
      <c r="H394" s="1">
        <v>0</v>
      </c>
      <c r="I394" s="1">
        <f t="shared" si="42"/>
        <v>-383.04497549568407</v>
      </c>
      <c r="J394" s="1">
        <f t="shared" si="43"/>
        <v>382661.93052018841</v>
      </c>
      <c r="M394" s="7"/>
      <c r="N394" s="1"/>
    </row>
    <row r="395" spans="1:14">
      <c r="A395" s="1">
        <f t="shared" si="44"/>
        <v>372</v>
      </c>
      <c r="B395" s="2">
        <f t="shared" si="46"/>
        <v>30</v>
      </c>
      <c r="C395" s="2">
        <f t="shared" si="47"/>
        <v>12</v>
      </c>
      <c r="D395" s="2">
        <f t="shared" si="48"/>
        <v>59</v>
      </c>
      <c r="E395" s="1">
        <f t="shared" si="45"/>
        <v>382661.93052018841</v>
      </c>
      <c r="G395" s="1">
        <f t="shared" si="41"/>
        <v>2757.9682540360418</v>
      </c>
      <c r="H395" s="69">
        <f>-SUM(E395:G395)*$H$21</f>
        <v>-3468.7790889680205</v>
      </c>
      <c r="I395" s="1">
        <f t="shared" si="42"/>
        <v>-385.41989877422446</v>
      </c>
      <c r="J395" s="1">
        <f t="shared" si="43"/>
        <v>381565.6997864822</v>
      </c>
      <c r="M395" s="7"/>
      <c r="N395" s="1"/>
    </row>
    <row r="396" spans="1:14">
      <c r="A396" s="1">
        <f t="shared" si="44"/>
        <v>373</v>
      </c>
      <c r="B396" s="2">
        <f t="shared" si="46"/>
        <v>31</v>
      </c>
      <c r="C396" s="2">
        <f t="shared" si="47"/>
        <v>1</v>
      </c>
      <c r="D396" s="2">
        <f t="shared" si="48"/>
        <v>60</v>
      </c>
      <c r="E396" s="1">
        <f t="shared" si="45"/>
        <v>381565.6997864822</v>
      </c>
      <c r="G396" s="1">
        <f t="shared" si="41"/>
        <v>2750.0673647091353</v>
      </c>
      <c r="H396" s="1">
        <v>0</v>
      </c>
      <c r="I396" s="1">
        <f t="shared" si="42"/>
        <v>-384.31576715119138</v>
      </c>
      <c r="J396" s="1">
        <f t="shared" si="43"/>
        <v>383931.45138404018</v>
      </c>
      <c r="M396" s="7"/>
      <c r="N396" s="1"/>
    </row>
    <row r="397" spans="1:14">
      <c r="A397" s="1">
        <f t="shared" si="44"/>
        <v>374</v>
      </c>
      <c r="B397" s="2">
        <f t="shared" si="46"/>
        <v>31</v>
      </c>
      <c r="C397" s="2">
        <f t="shared" si="47"/>
        <v>2</v>
      </c>
      <c r="D397" s="2">
        <f t="shared" si="48"/>
        <v>60</v>
      </c>
      <c r="E397" s="1">
        <f t="shared" si="45"/>
        <v>383931.45138404018</v>
      </c>
      <c r="G397" s="1">
        <f t="shared" si="41"/>
        <v>2767.1181013584028</v>
      </c>
      <c r="H397" s="1">
        <v>0</v>
      </c>
      <c r="I397" s="1">
        <f t="shared" si="42"/>
        <v>-386.69856948539859</v>
      </c>
      <c r="J397" s="1">
        <f t="shared" si="43"/>
        <v>386311.8709159132</v>
      </c>
      <c r="M397" s="7"/>
      <c r="N397" s="1"/>
    </row>
    <row r="398" spans="1:14">
      <c r="A398" s="1">
        <f t="shared" si="44"/>
        <v>375</v>
      </c>
      <c r="B398" s="2">
        <f t="shared" si="46"/>
        <v>31</v>
      </c>
      <c r="C398" s="2">
        <f t="shared" si="47"/>
        <v>3</v>
      </c>
      <c r="D398" s="2">
        <f t="shared" si="48"/>
        <v>60</v>
      </c>
      <c r="E398" s="1">
        <f t="shared" si="45"/>
        <v>386311.8709159132</v>
      </c>
      <c r="G398" s="1">
        <f t="shared" si="41"/>
        <v>2784.2745545526582</v>
      </c>
      <c r="H398" s="69">
        <f>-SUM(E398:G398)*$H$21</f>
        <v>-3501.8653092341933</v>
      </c>
      <c r="I398" s="1">
        <f t="shared" si="42"/>
        <v>-389.0961454704659</v>
      </c>
      <c r="J398" s="1">
        <f t="shared" si="43"/>
        <v>385205.18401576125</v>
      </c>
      <c r="M398" s="7"/>
      <c r="N398" s="1"/>
    </row>
    <row r="399" spans="1:14">
      <c r="A399" s="1">
        <f t="shared" si="44"/>
        <v>376</v>
      </c>
      <c r="B399" s="2">
        <f t="shared" si="46"/>
        <v>31</v>
      </c>
      <c r="C399" s="2">
        <f t="shared" si="47"/>
        <v>4</v>
      </c>
      <c r="D399" s="2">
        <f t="shared" si="48"/>
        <v>60</v>
      </c>
      <c r="E399" s="1">
        <f t="shared" si="45"/>
        <v>385205.18401576125</v>
      </c>
      <c r="G399" s="1">
        <f t="shared" si="41"/>
        <v>2776.2983042535302</v>
      </c>
      <c r="H399" s="1">
        <v>0</v>
      </c>
      <c r="I399" s="1">
        <f t="shared" si="42"/>
        <v>-387.98148232001478</v>
      </c>
      <c r="J399" s="1">
        <f t="shared" si="43"/>
        <v>387593.5008376948</v>
      </c>
      <c r="M399" s="7"/>
      <c r="N399" s="1"/>
    </row>
    <row r="400" spans="1:14">
      <c r="A400" s="1">
        <f t="shared" si="44"/>
        <v>377</v>
      </c>
      <c r="B400" s="2">
        <f t="shared" si="46"/>
        <v>31</v>
      </c>
      <c r="C400" s="2">
        <f t="shared" si="47"/>
        <v>5</v>
      </c>
      <c r="D400" s="2">
        <f t="shared" si="48"/>
        <v>60</v>
      </c>
      <c r="E400" s="1">
        <f t="shared" si="45"/>
        <v>387593.5008376948</v>
      </c>
      <c r="G400" s="1">
        <f t="shared" si="41"/>
        <v>2793.5116757705732</v>
      </c>
      <c r="H400" s="1">
        <v>0</v>
      </c>
      <c r="I400" s="1">
        <f t="shared" si="42"/>
        <v>-390.38701251346538</v>
      </c>
      <c r="J400" s="1">
        <f t="shared" si="43"/>
        <v>389996.62550095189</v>
      </c>
      <c r="M400" s="7"/>
      <c r="N400" s="1"/>
    </row>
    <row r="401" spans="1:14">
      <c r="A401" s="1">
        <f t="shared" si="44"/>
        <v>378</v>
      </c>
      <c r="B401" s="2">
        <f t="shared" si="46"/>
        <v>31</v>
      </c>
      <c r="C401" s="2">
        <f t="shared" si="47"/>
        <v>6</v>
      </c>
      <c r="D401" s="2">
        <f t="shared" si="48"/>
        <v>60</v>
      </c>
      <c r="E401" s="1">
        <f t="shared" si="45"/>
        <v>389996.62550095189</v>
      </c>
      <c r="G401" s="1">
        <f t="shared" si="41"/>
        <v>2810.8317721876492</v>
      </c>
      <c r="H401" s="69">
        <f>-SUM(E401:G401)*$H$21</f>
        <v>-3535.2671154582563</v>
      </c>
      <c r="I401" s="1">
        <f t="shared" si="42"/>
        <v>-392.80745727313956</v>
      </c>
      <c r="J401" s="1">
        <f t="shared" si="43"/>
        <v>388879.38270040817</v>
      </c>
      <c r="M401" s="7"/>
      <c r="N401" s="1"/>
    </row>
    <row r="402" spans="1:14">
      <c r="A402" s="1">
        <f t="shared" si="44"/>
        <v>379</v>
      </c>
      <c r="B402" s="2">
        <f t="shared" si="46"/>
        <v>31</v>
      </c>
      <c r="C402" s="2">
        <f t="shared" si="47"/>
        <v>7</v>
      </c>
      <c r="D402" s="2">
        <f t="shared" si="48"/>
        <v>60</v>
      </c>
      <c r="E402" s="1">
        <f t="shared" si="45"/>
        <v>388879.38270040817</v>
      </c>
      <c r="G402" s="1">
        <f t="shared" si="41"/>
        <v>2802.7794421015046</v>
      </c>
      <c r="H402" s="1">
        <v>0</v>
      </c>
      <c r="I402" s="1">
        <f t="shared" si="42"/>
        <v>-391.68216214250964</v>
      </c>
      <c r="J402" s="1">
        <f t="shared" si="43"/>
        <v>391290.47998036712</v>
      </c>
      <c r="M402" s="7"/>
      <c r="N402" s="1"/>
    </row>
    <row r="403" spans="1:14">
      <c r="A403" s="1">
        <f t="shared" si="44"/>
        <v>380</v>
      </c>
      <c r="B403" s="2">
        <f t="shared" si="46"/>
        <v>31</v>
      </c>
      <c r="C403" s="2">
        <f t="shared" si="47"/>
        <v>8</v>
      </c>
      <c r="D403" s="2">
        <f t="shared" si="48"/>
        <v>60</v>
      </c>
      <c r="E403" s="1">
        <f t="shared" si="45"/>
        <v>391290.47998036712</v>
      </c>
      <c r="G403" s="1">
        <f t="shared" si="41"/>
        <v>2820.1569997448269</v>
      </c>
      <c r="H403" s="1">
        <v>0</v>
      </c>
      <c r="I403" s="1">
        <f t="shared" si="42"/>
        <v>-394.11063698011196</v>
      </c>
      <c r="J403" s="1">
        <f t="shared" si="43"/>
        <v>393716.52634313185</v>
      </c>
      <c r="M403" s="7"/>
      <c r="N403" s="1"/>
    </row>
    <row r="404" spans="1:14">
      <c r="A404" s="1">
        <f t="shared" si="44"/>
        <v>381</v>
      </c>
      <c r="B404" s="2">
        <f t="shared" si="46"/>
        <v>31</v>
      </c>
      <c r="C404" s="2">
        <f t="shared" si="47"/>
        <v>9</v>
      </c>
      <c r="D404" s="2">
        <f t="shared" si="48"/>
        <v>60</v>
      </c>
      <c r="E404" s="1">
        <f t="shared" si="45"/>
        <v>393716.52634313185</v>
      </c>
      <c r="G404" s="1">
        <f t="shared" si="41"/>
        <v>2837.6423002612096</v>
      </c>
      <c r="H404" s="69">
        <f>-SUM(E404:G404)*$H$21</f>
        <v>-3568.9875177905378</v>
      </c>
      <c r="I404" s="1">
        <f t="shared" si="42"/>
        <v>-396.55416864339304</v>
      </c>
      <c r="J404" s="1">
        <f t="shared" si="43"/>
        <v>392588.62695695914</v>
      </c>
      <c r="M404" s="7"/>
      <c r="N404" s="1"/>
    </row>
    <row r="405" spans="1:14">
      <c r="A405" s="1">
        <f t="shared" si="44"/>
        <v>382</v>
      </c>
      <c r="B405" s="2">
        <f t="shared" si="46"/>
        <v>31</v>
      </c>
      <c r="C405" s="2">
        <f t="shared" si="47"/>
        <v>10</v>
      </c>
      <c r="D405" s="2">
        <f t="shared" si="48"/>
        <v>60</v>
      </c>
      <c r="E405" s="1">
        <f t="shared" si="45"/>
        <v>392588.62695695914</v>
      </c>
      <c r="G405" s="1">
        <f t="shared" si="41"/>
        <v>2829.5131647169906</v>
      </c>
      <c r="H405" s="1">
        <v>0</v>
      </c>
      <c r="I405" s="1">
        <f t="shared" si="42"/>
        <v>-395.41814012167617</v>
      </c>
      <c r="J405" s="1">
        <f t="shared" si="43"/>
        <v>395022.72198155447</v>
      </c>
      <c r="M405" s="7"/>
      <c r="N405" s="1"/>
    </row>
    <row r="406" spans="1:14">
      <c r="A406" s="1">
        <f t="shared" si="44"/>
        <v>383</v>
      </c>
      <c r="B406" s="2">
        <f t="shared" si="46"/>
        <v>31</v>
      </c>
      <c r="C406" s="2">
        <f t="shared" si="47"/>
        <v>11</v>
      </c>
      <c r="D406" s="2">
        <f t="shared" si="48"/>
        <v>60</v>
      </c>
      <c r="E406" s="1">
        <f t="shared" si="45"/>
        <v>395022.72198155447</v>
      </c>
      <c r="G406" s="1">
        <f t="shared" si="41"/>
        <v>2847.056474541449</v>
      </c>
      <c r="H406" s="1">
        <v>0</v>
      </c>
      <c r="I406" s="1">
        <f t="shared" si="42"/>
        <v>-397.8697784560959</v>
      </c>
      <c r="J406" s="1">
        <f t="shared" si="43"/>
        <v>397471.90867763979</v>
      </c>
      <c r="M406" s="7"/>
      <c r="N406" s="1"/>
    </row>
    <row r="407" spans="1:14">
      <c r="A407" s="1">
        <f t="shared" si="44"/>
        <v>384</v>
      </c>
      <c r="B407" s="2">
        <f t="shared" si="46"/>
        <v>31</v>
      </c>
      <c r="C407" s="2">
        <f t="shared" si="47"/>
        <v>12</v>
      </c>
      <c r="D407" s="2">
        <f t="shared" si="48"/>
        <v>60</v>
      </c>
      <c r="E407" s="1">
        <f t="shared" si="45"/>
        <v>397471.90867763979</v>
      </c>
      <c r="G407" s="1">
        <f t="shared" si="41"/>
        <v>2864.7085549217168</v>
      </c>
      <c r="H407" s="69">
        <f>-SUM(E407:G407)*$H$21</f>
        <v>-3603.0295550930541</v>
      </c>
      <c r="I407" s="1">
        <f t="shared" si="42"/>
        <v>-400.33661723256154</v>
      </c>
      <c r="J407" s="1">
        <f t="shared" si="43"/>
        <v>396333.25106023595</v>
      </c>
      <c r="M407" s="7"/>
      <c r="N407" s="1"/>
    </row>
    <row r="408" spans="1:14">
      <c r="A408" s="1">
        <f t="shared" si="44"/>
        <v>385</v>
      </c>
      <c r="B408" s="2">
        <f t="shared" si="46"/>
        <v>32</v>
      </c>
      <c r="C408" s="2">
        <f t="shared" si="47"/>
        <v>1</v>
      </c>
      <c r="D408" s="2">
        <f t="shared" si="48"/>
        <v>61</v>
      </c>
      <c r="E408" s="1">
        <f t="shared" si="45"/>
        <v>396333.25106023595</v>
      </c>
      <c r="G408" s="1">
        <f t="shared" ref="G408:G471" si="49">SUM(E408:F408)*$F$8</f>
        <v>2856.5018813267052</v>
      </c>
      <c r="H408" s="1">
        <v>0</v>
      </c>
      <c r="I408" s="1">
        <f t="shared" ref="I408:I471" si="50">-SUM(E408:G408)*0.1%</f>
        <v>-399.18975294156269</v>
      </c>
      <c r="J408" s="1">
        <f t="shared" ref="J408:J471" si="51">SUM(E408:I408)</f>
        <v>398790.56318862113</v>
      </c>
      <c r="M408" s="7"/>
      <c r="N408" s="1"/>
    </row>
    <row r="409" spans="1:14">
      <c r="A409" s="1">
        <f t="shared" ref="A409:A472" si="52">+A408+1</f>
        <v>386</v>
      </c>
      <c r="B409" s="2">
        <f t="shared" si="46"/>
        <v>32</v>
      </c>
      <c r="C409" s="2">
        <f t="shared" si="47"/>
        <v>2</v>
      </c>
      <c r="D409" s="2">
        <f t="shared" si="48"/>
        <v>61</v>
      </c>
      <c r="E409" s="1">
        <f t="shared" ref="E409:E472" si="53">J408</f>
        <v>398790.56318862113</v>
      </c>
      <c r="G409" s="1">
        <f t="shared" si="49"/>
        <v>2874.2125243246414</v>
      </c>
      <c r="H409" s="1">
        <v>0</v>
      </c>
      <c r="I409" s="1">
        <f t="shared" si="50"/>
        <v>-401.66477571294581</v>
      </c>
      <c r="J409" s="1">
        <f t="shared" si="51"/>
        <v>401263.11093723285</v>
      </c>
      <c r="M409" s="7"/>
      <c r="N409" s="1"/>
    </row>
    <row r="410" spans="1:14">
      <c r="A410" s="1">
        <f t="shared" si="52"/>
        <v>387</v>
      </c>
      <c r="B410" s="2">
        <f t="shared" si="46"/>
        <v>32</v>
      </c>
      <c r="C410" s="2">
        <f t="shared" si="47"/>
        <v>3</v>
      </c>
      <c r="D410" s="2">
        <f t="shared" si="48"/>
        <v>61</v>
      </c>
      <c r="E410" s="1">
        <f t="shared" si="53"/>
        <v>401263.11093723285</v>
      </c>
      <c r="G410" s="1">
        <f t="shared" si="49"/>
        <v>2892.0329753634719</v>
      </c>
      <c r="H410" s="69">
        <f>-SUM(E410:G410)*$H$21</f>
        <v>-3637.3962952133675</v>
      </c>
      <c r="I410" s="1">
        <f t="shared" si="50"/>
        <v>-404.15514391259637</v>
      </c>
      <c r="J410" s="1">
        <f t="shared" si="51"/>
        <v>400113.59247347037</v>
      </c>
      <c r="M410" s="7"/>
      <c r="N410" s="1"/>
    </row>
    <row r="411" spans="1:14">
      <c r="A411" s="1">
        <f t="shared" si="52"/>
        <v>388</v>
      </c>
      <c r="B411" s="2">
        <f t="shared" si="46"/>
        <v>32</v>
      </c>
      <c r="C411" s="2">
        <f t="shared" si="47"/>
        <v>4</v>
      </c>
      <c r="D411" s="2">
        <f t="shared" si="48"/>
        <v>61</v>
      </c>
      <c r="E411" s="1">
        <f t="shared" si="53"/>
        <v>400113.59247347037</v>
      </c>
      <c r="G411" s="1">
        <f t="shared" si="49"/>
        <v>2883.7480241372668</v>
      </c>
      <c r="H411" s="1">
        <v>0</v>
      </c>
      <c r="I411" s="1">
        <f t="shared" si="50"/>
        <v>-402.99734049760764</v>
      </c>
      <c r="J411" s="1">
        <f t="shared" si="51"/>
        <v>402594.34315711004</v>
      </c>
      <c r="M411" s="7"/>
      <c r="N411" s="1"/>
    </row>
    <row r="412" spans="1:14">
      <c r="A412" s="1">
        <f t="shared" si="52"/>
        <v>389</v>
      </c>
      <c r="B412" s="2">
        <f t="shared" si="46"/>
        <v>32</v>
      </c>
      <c r="C412" s="2">
        <f t="shared" si="47"/>
        <v>5</v>
      </c>
      <c r="D412" s="2">
        <f t="shared" si="48"/>
        <v>61</v>
      </c>
      <c r="E412" s="1">
        <f t="shared" si="53"/>
        <v>402594.34315711004</v>
      </c>
      <c r="G412" s="1">
        <f t="shared" si="49"/>
        <v>2901.6275963809853</v>
      </c>
      <c r="H412" s="1">
        <v>0</v>
      </c>
      <c r="I412" s="1">
        <f t="shared" si="50"/>
        <v>-405.49597075349106</v>
      </c>
      <c r="J412" s="1">
        <f t="shared" si="51"/>
        <v>405090.47478273755</v>
      </c>
      <c r="M412" s="7"/>
      <c r="N412" s="1"/>
    </row>
    <row r="413" spans="1:14">
      <c r="A413" s="1">
        <f t="shared" si="52"/>
        <v>390</v>
      </c>
      <c r="B413" s="2">
        <f t="shared" si="46"/>
        <v>32</v>
      </c>
      <c r="C413" s="2">
        <f t="shared" si="47"/>
        <v>6</v>
      </c>
      <c r="D413" s="2">
        <f t="shared" si="48"/>
        <v>61</v>
      </c>
      <c r="E413" s="1">
        <f t="shared" si="53"/>
        <v>405090.47478273755</v>
      </c>
      <c r="G413" s="1">
        <f t="shared" si="49"/>
        <v>2919.6180240465164</v>
      </c>
      <c r="H413" s="69">
        <f>-SUM(E413:G413)*$H$21</f>
        <v>-3672.0908352610572</v>
      </c>
      <c r="I413" s="1">
        <f t="shared" si="50"/>
        <v>-408.01009280678409</v>
      </c>
      <c r="J413" s="1">
        <f t="shared" si="51"/>
        <v>403929.99187871628</v>
      </c>
      <c r="M413" s="7"/>
      <c r="N413" s="1"/>
    </row>
    <row r="414" spans="1:14">
      <c r="A414" s="1">
        <f t="shared" si="52"/>
        <v>391</v>
      </c>
      <c r="B414" s="2">
        <f t="shared" si="46"/>
        <v>32</v>
      </c>
      <c r="C414" s="2">
        <f t="shared" si="47"/>
        <v>7</v>
      </c>
      <c r="D414" s="2">
        <f t="shared" si="48"/>
        <v>61</v>
      </c>
      <c r="E414" s="1">
        <f t="shared" si="53"/>
        <v>403929.99187871628</v>
      </c>
      <c r="G414" s="1">
        <f t="shared" si="49"/>
        <v>2911.2540485543859</v>
      </c>
      <c r="H414" s="1">
        <v>0</v>
      </c>
      <c r="I414" s="1">
        <f t="shared" si="50"/>
        <v>-406.84124592727068</v>
      </c>
      <c r="J414" s="1">
        <f t="shared" si="51"/>
        <v>406434.40468134341</v>
      </c>
      <c r="M414" s="7"/>
      <c r="N414" s="1"/>
    </row>
    <row r="415" spans="1:14">
      <c r="A415" s="1">
        <f t="shared" si="52"/>
        <v>392</v>
      </c>
      <c r="B415" s="2">
        <f t="shared" si="46"/>
        <v>32</v>
      </c>
      <c r="C415" s="2">
        <f t="shared" si="47"/>
        <v>8</v>
      </c>
      <c r="D415" s="2">
        <f t="shared" si="48"/>
        <v>61</v>
      </c>
      <c r="E415" s="1">
        <f t="shared" si="53"/>
        <v>406434.40468134341</v>
      </c>
      <c r="G415" s="1">
        <f t="shared" si="49"/>
        <v>2929.3041613399919</v>
      </c>
      <c r="H415" s="1">
        <v>0</v>
      </c>
      <c r="I415" s="1">
        <f t="shared" si="50"/>
        <v>-409.36370884268342</v>
      </c>
      <c r="J415" s="1">
        <f t="shared" si="51"/>
        <v>408954.34513384075</v>
      </c>
      <c r="M415" s="7"/>
      <c r="N415" s="1"/>
    </row>
    <row r="416" spans="1:14">
      <c r="A416" s="1">
        <f t="shared" si="52"/>
        <v>393</v>
      </c>
      <c r="B416" s="2">
        <f t="shared" si="46"/>
        <v>32</v>
      </c>
      <c r="C416" s="2">
        <f t="shared" si="47"/>
        <v>9</v>
      </c>
      <c r="D416" s="2">
        <f t="shared" si="48"/>
        <v>61</v>
      </c>
      <c r="E416" s="1">
        <f t="shared" si="53"/>
        <v>408954.34513384075</v>
      </c>
      <c r="G416" s="1">
        <f t="shared" si="49"/>
        <v>2947.466186918552</v>
      </c>
      <c r="H416" s="69">
        <f>-SUM(E416:G416)*$H$21</f>
        <v>-3707.1163018868342</v>
      </c>
      <c r="I416" s="1">
        <f t="shared" si="50"/>
        <v>-411.90181132075929</v>
      </c>
      <c r="J416" s="1">
        <f t="shared" si="51"/>
        <v>407782.7932075517</v>
      </c>
      <c r="M416" s="7"/>
      <c r="N416" s="1"/>
    </row>
    <row r="417" spans="1:14">
      <c r="A417" s="1">
        <f t="shared" si="52"/>
        <v>394</v>
      </c>
      <c r="B417" s="2">
        <f t="shared" si="46"/>
        <v>32</v>
      </c>
      <c r="C417" s="2">
        <f t="shared" si="47"/>
        <v>10</v>
      </c>
      <c r="D417" s="2">
        <f t="shared" si="48"/>
        <v>61</v>
      </c>
      <c r="E417" s="1">
        <f t="shared" si="53"/>
        <v>407782.7932075517</v>
      </c>
      <c r="G417" s="1">
        <f t="shared" si="49"/>
        <v>2939.0224334041441</v>
      </c>
      <c r="H417" s="1">
        <v>0</v>
      </c>
      <c r="I417" s="1">
        <f t="shared" si="50"/>
        <v>-410.72181564095587</v>
      </c>
      <c r="J417" s="1">
        <f t="shared" si="51"/>
        <v>410311.09382531489</v>
      </c>
      <c r="M417" s="7"/>
      <c r="N417" s="1"/>
    </row>
    <row r="418" spans="1:14">
      <c r="A418" s="1">
        <f t="shared" si="52"/>
        <v>395</v>
      </c>
      <c r="B418" s="2">
        <f t="shared" si="46"/>
        <v>32</v>
      </c>
      <c r="C418" s="2">
        <f t="shared" si="47"/>
        <v>11</v>
      </c>
      <c r="D418" s="2">
        <f t="shared" si="48"/>
        <v>61</v>
      </c>
      <c r="E418" s="1">
        <f t="shared" si="53"/>
        <v>410311.09382531489</v>
      </c>
      <c r="G418" s="1">
        <f t="shared" si="49"/>
        <v>2957.2447133967516</v>
      </c>
      <c r="H418" s="1">
        <v>0</v>
      </c>
      <c r="I418" s="1">
        <f t="shared" si="50"/>
        <v>-413.26833853871165</v>
      </c>
      <c r="J418" s="1">
        <f t="shared" si="51"/>
        <v>412855.07020017295</v>
      </c>
      <c r="M418" s="7"/>
      <c r="N418" s="1"/>
    </row>
    <row r="419" spans="1:14">
      <c r="A419" s="1">
        <f t="shared" si="52"/>
        <v>396</v>
      </c>
      <c r="B419" s="2">
        <f t="shared" si="46"/>
        <v>32</v>
      </c>
      <c r="C419" s="2">
        <f t="shared" si="47"/>
        <v>12</v>
      </c>
      <c r="D419" s="2">
        <f t="shared" si="48"/>
        <v>61</v>
      </c>
      <c r="E419" s="1">
        <f t="shared" si="53"/>
        <v>412855.07020017295</v>
      </c>
      <c r="G419" s="1">
        <f t="shared" si="49"/>
        <v>2975.5799736389672</v>
      </c>
      <c r="H419" s="69">
        <f>-SUM(E419:G419)*$H$21</f>
        <v>-3742.475851564308</v>
      </c>
      <c r="I419" s="1">
        <f t="shared" si="50"/>
        <v>-415.83065017381193</v>
      </c>
      <c r="J419" s="1">
        <f t="shared" si="51"/>
        <v>411672.3436720738</v>
      </c>
      <c r="M419" s="7"/>
      <c r="N419" s="1"/>
    </row>
    <row r="420" spans="1:14">
      <c r="A420" s="1">
        <f t="shared" si="52"/>
        <v>397</v>
      </c>
      <c r="B420" s="2">
        <f t="shared" ref="B420:B483" si="54">B408+1</f>
        <v>33</v>
      </c>
      <c r="C420" s="2">
        <f t="shared" ref="C420:C483" si="55">C408</f>
        <v>1</v>
      </c>
      <c r="D420" s="2">
        <f t="shared" ref="D420:D483" si="56">D408+1</f>
        <v>62</v>
      </c>
      <c r="E420" s="1">
        <f t="shared" si="53"/>
        <v>411672.3436720738</v>
      </c>
      <c r="G420" s="1">
        <f t="shared" si="49"/>
        <v>2967.0556811563847</v>
      </c>
      <c r="H420" s="1">
        <v>0</v>
      </c>
      <c r="I420" s="1">
        <f t="shared" si="50"/>
        <v>-414.6393993532302</v>
      </c>
      <c r="J420" s="1">
        <f t="shared" si="51"/>
        <v>414224.75995387696</v>
      </c>
      <c r="M420" s="7"/>
      <c r="N420" s="1"/>
    </row>
    <row r="421" spans="1:14">
      <c r="A421" s="1">
        <f t="shared" si="52"/>
        <v>398</v>
      </c>
      <c r="B421" s="2">
        <f t="shared" si="54"/>
        <v>33</v>
      </c>
      <c r="C421" s="2">
        <f t="shared" si="55"/>
        <v>2</v>
      </c>
      <c r="D421" s="2">
        <f t="shared" si="56"/>
        <v>62</v>
      </c>
      <c r="E421" s="1">
        <f t="shared" si="53"/>
        <v>414224.75995387696</v>
      </c>
      <c r="G421" s="1">
        <f t="shared" si="49"/>
        <v>2985.4517705367116</v>
      </c>
      <c r="H421" s="1">
        <v>0</v>
      </c>
      <c r="I421" s="1">
        <f t="shared" si="50"/>
        <v>-417.21021172441368</v>
      </c>
      <c r="J421" s="1">
        <f t="shared" si="51"/>
        <v>416793.00151268928</v>
      </c>
      <c r="M421" s="7"/>
      <c r="N421" s="1"/>
    </row>
    <row r="422" spans="1:14">
      <c r="A422" s="1">
        <f t="shared" si="52"/>
        <v>399</v>
      </c>
      <c r="B422" s="2">
        <f t="shared" si="54"/>
        <v>33</v>
      </c>
      <c r="C422" s="2">
        <f t="shared" si="55"/>
        <v>3</v>
      </c>
      <c r="D422" s="2">
        <f t="shared" si="56"/>
        <v>62</v>
      </c>
      <c r="E422" s="1">
        <f t="shared" si="53"/>
        <v>416793.00151268928</v>
      </c>
      <c r="G422" s="1">
        <f t="shared" si="49"/>
        <v>3003.9619178050107</v>
      </c>
      <c r="H422" s="69">
        <f>-SUM(E422:G422)*$H$21</f>
        <v>-3778.1726708744491</v>
      </c>
      <c r="I422" s="1">
        <f t="shared" si="50"/>
        <v>-419.79696343049432</v>
      </c>
      <c r="J422" s="1">
        <f t="shared" si="51"/>
        <v>415598.99379618937</v>
      </c>
      <c r="M422" s="7"/>
      <c r="N422" s="1"/>
    </row>
    <row r="423" spans="1:14">
      <c r="A423" s="1">
        <f t="shared" si="52"/>
        <v>400</v>
      </c>
      <c r="B423" s="2">
        <f t="shared" si="54"/>
        <v>33</v>
      </c>
      <c r="C423" s="2">
        <f t="shared" si="55"/>
        <v>4</v>
      </c>
      <c r="D423" s="2">
        <f t="shared" si="56"/>
        <v>62</v>
      </c>
      <c r="E423" s="1">
        <f t="shared" si="53"/>
        <v>415598.99379618937</v>
      </c>
      <c r="G423" s="1">
        <f t="shared" si="49"/>
        <v>2995.3563181502341</v>
      </c>
      <c r="H423" s="1">
        <v>0</v>
      </c>
      <c r="I423" s="1">
        <f t="shared" si="50"/>
        <v>-418.59435011433965</v>
      </c>
      <c r="J423" s="1">
        <f t="shared" si="51"/>
        <v>418175.75576422527</v>
      </c>
      <c r="M423" s="7"/>
      <c r="N423" s="1"/>
    </row>
    <row r="424" spans="1:14">
      <c r="A424" s="1">
        <f t="shared" si="52"/>
        <v>401</v>
      </c>
      <c r="B424" s="2">
        <f t="shared" si="54"/>
        <v>33</v>
      </c>
      <c r="C424" s="2">
        <f t="shared" si="55"/>
        <v>5</v>
      </c>
      <c r="D424" s="2">
        <f t="shared" si="56"/>
        <v>62</v>
      </c>
      <c r="E424" s="1">
        <f t="shared" si="53"/>
        <v>418175.75576422527</v>
      </c>
      <c r="G424" s="1">
        <f t="shared" si="49"/>
        <v>3013.9278747625931</v>
      </c>
      <c r="H424" s="1">
        <v>0</v>
      </c>
      <c r="I424" s="1">
        <f t="shared" si="50"/>
        <v>-421.18968363898784</v>
      </c>
      <c r="J424" s="1">
        <f t="shared" si="51"/>
        <v>420768.49395534885</v>
      </c>
      <c r="M424" s="7"/>
      <c r="N424" s="1"/>
    </row>
    <row r="425" spans="1:14">
      <c r="A425" s="1">
        <f t="shared" si="52"/>
        <v>402</v>
      </c>
      <c r="B425" s="2">
        <f t="shared" si="54"/>
        <v>33</v>
      </c>
      <c r="C425" s="2">
        <f t="shared" si="55"/>
        <v>6</v>
      </c>
      <c r="D425" s="2">
        <f t="shared" si="56"/>
        <v>62</v>
      </c>
      <c r="E425" s="1">
        <f t="shared" si="53"/>
        <v>420768.49395534885</v>
      </c>
      <c r="G425" s="1">
        <f t="shared" si="49"/>
        <v>3032.6145771801166</v>
      </c>
      <c r="H425" s="69">
        <f>-SUM(E425:G425)*$H$21</f>
        <v>-3814.2099767927612</v>
      </c>
      <c r="I425" s="1">
        <f t="shared" si="50"/>
        <v>-423.80110853252899</v>
      </c>
      <c r="J425" s="1">
        <f t="shared" si="51"/>
        <v>419563.09744720371</v>
      </c>
      <c r="M425" s="7"/>
      <c r="N425" s="1"/>
    </row>
    <row r="426" spans="1:14">
      <c r="A426" s="1">
        <f t="shared" si="52"/>
        <v>403</v>
      </c>
      <c r="B426" s="2">
        <f t="shared" si="54"/>
        <v>33</v>
      </c>
      <c r="C426" s="2">
        <f t="shared" si="55"/>
        <v>7</v>
      </c>
      <c r="D426" s="2">
        <f t="shared" si="56"/>
        <v>62</v>
      </c>
      <c r="E426" s="1">
        <f t="shared" si="53"/>
        <v>419563.09744720371</v>
      </c>
      <c r="G426" s="1">
        <f t="shared" si="49"/>
        <v>3023.9268948217723</v>
      </c>
      <c r="H426" s="1">
        <v>0</v>
      </c>
      <c r="I426" s="1">
        <f t="shared" si="50"/>
        <v>-422.58702434202547</v>
      </c>
      <c r="J426" s="1">
        <f t="shared" si="51"/>
        <v>422164.43731768342</v>
      </c>
      <c r="M426" s="7"/>
      <c r="N426" s="1"/>
    </row>
    <row r="427" spans="1:14">
      <c r="A427" s="1">
        <f t="shared" si="52"/>
        <v>404</v>
      </c>
      <c r="B427" s="2">
        <f t="shared" si="54"/>
        <v>33</v>
      </c>
      <c r="C427" s="2">
        <f t="shared" si="55"/>
        <v>8</v>
      </c>
      <c r="D427" s="2">
        <f t="shared" si="56"/>
        <v>62</v>
      </c>
      <c r="E427" s="1">
        <f t="shared" si="53"/>
        <v>422164.43731768342</v>
      </c>
      <c r="G427" s="1">
        <f t="shared" si="49"/>
        <v>3042.6755923234768</v>
      </c>
      <c r="H427" s="1">
        <v>0</v>
      </c>
      <c r="I427" s="1">
        <f t="shared" si="50"/>
        <v>-425.20711291000691</v>
      </c>
      <c r="J427" s="1">
        <f t="shared" si="51"/>
        <v>424781.9057970969</v>
      </c>
      <c r="M427" s="7"/>
      <c r="N427" s="1"/>
    </row>
    <row r="428" spans="1:14">
      <c r="A428" s="1">
        <f t="shared" si="52"/>
        <v>405</v>
      </c>
      <c r="B428" s="2">
        <f t="shared" si="54"/>
        <v>33</v>
      </c>
      <c r="C428" s="2">
        <f t="shared" si="55"/>
        <v>9</v>
      </c>
      <c r="D428" s="2">
        <f t="shared" si="56"/>
        <v>62</v>
      </c>
      <c r="E428" s="1">
        <f t="shared" si="53"/>
        <v>424781.9057970969</v>
      </c>
      <c r="G428" s="1">
        <f t="shared" si="49"/>
        <v>3061.5405339244062</v>
      </c>
      <c r="H428" s="69">
        <f>-SUM(E428:G428)*$H$21</f>
        <v>-3850.5910169791923</v>
      </c>
      <c r="I428" s="1">
        <f t="shared" si="50"/>
        <v>-427.84344633102131</v>
      </c>
      <c r="J428" s="1">
        <f t="shared" si="51"/>
        <v>423565.01186771109</v>
      </c>
      <c r="M428" s="7"/>
      <c r="N428" s="1"/>
    </row>
    <row r="429" spans="1:14">
      <c r="A429" s="1">
        <f t="shared" si="52"/>
        <v>406</v>
      </c>
      <c r="B429" s="2">
        <f t="shared" si="54"/>
        <v>33</v>
      </c>
      <c r="C429" s="2">
        <f t="shared" si="55"/>
        <v>10</v>
      </c>
      <c r="D429" s="2">
        <f t="shared" si="56"/>
        <v>62</v>
      </c>
      <c r="E429" s="1">
        <f t="shared" si="53"/>
        <v>423565.01186771109</v>
      </c>
      <c r="G429" s="1">
        <f t="shared" si="49"/>
        <v>3052.7699859338786</v>
      </c>
      <c r="H429" s="1">
        <v>0</v>
      </c>
      <c r="I429" s="1">
        <f t="shared" si="50"/>
        <v>-426.617781853645</v>
      </c>
      <c r="J429" s="1">
        <f t="shared" si="51"/>
        <v>426191.16407179134</v>
      </c>
      <c r="M429" s="7"/>
      <c r="N429" s="1"/>
    </row>
    <row r="430" spans="1:14">
      <c r="A430" s="1">
        <f t="shared" si="52"/>
        <v>407</v>
      </c>
      <c r="B430" s="2">
        <f t="shared" si="54"/>
        <v>33</v>
      </c>
      <c r="C430" s="2">
        <f t="shared" si="55"/>
        <v>11</v>
      </c>
      <c r="D430" s="2">
        <f t="shared" si="56"/>
        <v>62</v>
      </c>
      <c r="E430" s="1">
        <f t="shared" si="53"/>
        <v>426191.16407179134</v>
      </c>
      <c r="G430" s="1">
        <f t="shared" si="49"/>
        <v>3071.6975139460701</v>
      </c>
      <c r="H430" s="1">
        <v>0</v>
      </c>
      <c r="I430" s="1">
        <f t="shared" si="50"/>
        <v>-429.26286158573743</v>
      </c>
      <c r="J430" s="1">
        <f t="shared" si="51"/>
        <v>428833.59872415173</v>
      </c>
      <c r="M430" s="7"/>
      <c r="N430" s="1"/>
    </row>
    <row r="431" spans="1:14">
      <c r="A431" s="1">
        <f t="shared" si="52"/>
        <v>408</v>
      </c>
      <c r="B431" s="2">
        <f t="shared" si="54"/>
        <v>33</v>
      </c>
      <c r="C431" s="2">
        <f t="shared" si="55"/>
        <v>12</v>
      </c>
      <c r="D431" s="2">
        <f t="shared" si="56"/>
        <v>62</v>
      </c>
      <c r="E431" s="1">
        <f t="shared" si="53"/>
        <v>428833.59872415173</v>
      </c>
      <c r="G431" s="1">
        <f t="shared" si="49"/>
        <v>3090.7423948273949</v>
      </c>
      <c r="H431" s="69">
        <f>-SUM(E431:G431)*$H$21</f>
        <v>-3887.3190700708128</v>
      </c>
      <c r="I431" s="1">
        <f t="shared" si="50"/>
        <v>-431.92434111897916</v>
      </c>
      <c r="J431" s="1">
        <f t="shared" si="51"/>
        <v>427605.09770778939</v>
      </c>
      <c r="M431" s="7"/>
      <c r="N431" s="1"/>
    </row>
    <row r="432" spans="1:14">
      <c r="A432" s="1">
        <f t="shared" si="52"/>
        <v>409</v>
      </c>
      <c r="B432" s="2">
        <f t="shared" si="54"/>
        <v>34</v>
      </c>
      <c r="C432" s="2">
        <f t="shared" si="55"/>
        <v>1</v>
      </c>
      <c r="D432" s="2">
        <f t="shared" si="56"/>
        <v>63</v>
      </c>
      <c r="E432" s="1">
        <f t="shared" si="53"/>
        <v>427605.09770778939</v>
      </c>
      <c r="G432" s="1">
        <f t="shared" si="49"/>
        <v>3081.888190808269</v>
      </c>
      <c r="H432" s="1">
        <v>0</v>
      </c>
      <c r="I432" s="1">
        <f t="shared" si="50"/>
        <v>-430.68698589859764</v>
      </c>
      <c r="J432" s="1">
        <f t="shared" si="51"/>
        <v>430256.29891269904</v>
      </c>
      <c r="M432" s="7"/>
      <c r="N432" s="1"/>
    </row>
    <row r="433" spans="1:14">
      <c r="A433" s="1">
        <f t="shared" si="52"/>
        <v>410</v>
      </c>
      <c r="B433" s="2">
        <f t="shared" si="54"/>
        <v>34</v>
      </c>
      <c r="C433" s="2">
        <f t="shared" si="55"/>
        <v>2</v>
      </c>
      <c r="D433" s="2">
        <f t="shared" si="56"/>
        <v>63</v>
      </c>
      <c r="E433" s="1">
        <f t="shared" si="53"/>
        <v>430256.29891269904</v>
      </c>
      <c r="G433" s="1">
        <f t="shared" si="49"/>
        <v>3100.9962550681839</v>
      </c>
      <c r="H433" s="1">
        <v>0</v>
      </c>
      <c r="I433" s="1">
        <f t="shared" si="50"/>
        <v>-433.35729516776723</v>
      </c>
      <c r="J433" s="1">
        <f t="shared" si="51"/>
        <v>432923.93787259946</v>
      </c>
      <c r="M433" s="7"/>
      <c r="N433" s="1"/>
    </row>
    <row r="434" spans="1:14">
      <c r="A434" s="1">
        <f t="shared" si="52"/>
        <v>411</v>
      </c>
      <c r="B434" s="2">
        <f t="shared" si="54"/>
        <v>34</v>
      </c>
      <c r="C434" s="2">
        <f t="shared" si="55"/>
        <v>3</v>
      </c>
      <c r="D434" s="2">
        <f t="shared" si="56"/>
        <v>63</v>
      </c>
      <c r="E434" s="1">
        <f t="shared" si="53"/>
        <v>432923.93787259946</v>
      </c>
      <c r="G434" s="1">
        <f t="shared" si="49"/>
        <v>3120.2227915429089</v>
      </c>
      <c r="H434" s="69">
        <f>-SUM(E434:G434)*$H$21</f>
        <v>-3924.3974459772817</v>
      </c>
      <c r="I434" s="1">
        <f t="shared" si="50"/>
        <v>-436.04416066414234</v>
      </c>
      <c r="J434" s="1">
        <f t="shared" si="51"/>
        <v>431683.71905750094</v>
      </c>
      <c r="M434" s="7"/>
      <c r="N434" s="1"/>
    </row>
    <row r="435" spans="1:14">
      <c r="A435" s="1">
        <f t="shared" si="52"/>
        <v>412</v>
      </c>
      <c r="B435" s="2">
        <f t="shared" si="54"/>
        <v>34</v>
      </c>
      <c r="C435" s="2">
        <f t="shared" si="55"/>
        <v>4</v>
      </c>
      <c r="D435" s="2">
        <f t="shared" si="56"/>
        <v>63</v>
      </c>
      <c r="E435" s="1">
        <f t="shared" si="53"/>
        <v>431683.71905750094</v>
      </c>
      <c r="G435" s="1">
        <f t="shared" si="49"/>
        <v>3111.2841335597382</v>
      </c>
      <c r="H435" s="1">
        <v>0</v>
      </c>
      <c r="I435" s="1">
        <f t="shared" si="50"/>
        <v>-434.79500319106069</v>
      </c>
      <c r="J435" s="1">
        <f t="shared" si="51"/>
        <v>434360.20818786963</v>
      </c>
      <c r="M435" s="7"/>
      <c r="N435" s="1"/>
    </row>
    <row r="436" spans="1:14">
      <c r="A436" s="1">
        <f t="shared" si="52"/>
        <v>413</v>
      </c>
      <c r="B436" s="2">
        <f t="shared" si="54"/>
        <v>34</v>
      </c>
      <c r="C436" s="2">
        <f t="shared" si="55"/>
        <v>5</v>
      </c>
      <c r="D436" s="2">
        <f t="shared" si="56"/>
        <v>63</v>
      </c>
      <c r="E436" s="1">
        <f t="shared" si="53"/>
        <v>434360.20818786963</v>
      </c>
      <c r="G436" s="1">
        <f t="shared" si="49"/>
        <v>3130.5744560744306</v>
      </c>
      <c r="H436" s="1">
        <v>0</v>
      </c>
      <c r="I436" s="1">
        <f t="shared" si="50"/>
        <v>-437.4907826439441</v>
      </c>
      <c r="J436" s="1">
        <f t="shared" si="51"/>
        <v>437053.29186130012</v>
      </c>
      <c r="M436" s="7"/>
      <c r="N436" s="1"/>
    </row>
    <row r="437" spans="1:14">
      <c r="A437" s="1">
        <f t="shared" si="52"/>
        <v>414</v>
      </c>
      <c r="B437" s="2">
        <f t="shared" si="54"/>
        <v>34</v>
      </c>
      <c r="C437" s="2">
        <f t="shared" si="55"/>
        <v>6</v>
      </c>
      <c r="D437" s="2">
        <f t="shared" si="56"/>
        <v>63</v>
      </c>
      <c r="E437" s="1">
        <f t="shared" si="53"/>
        <v>437053.29186130012</v>
      </c>
      <c r="G437" s="1">
        <f t="shared" si="49"/>
        <v>3149.9843808262535</v>
      </c>
      <c r="H437" s="69">
        <f>-SUM(E437:G437)*$H$21</f>
        <v>-3961.8294861791378</v>
      </c>
      <c r="I437" s="1">
        <f t="shared" si="50"/>
        <v>-440.20327624212638</v>
      </c>
      <c r="J437" s="1">
        <f t="shared" si="51"/>
        <v>435801.24347970507</v>
      </c>
      <c r="M437" s="7"/>
      <c r="N437" s="1"/>
    </row>
    <row r="438" spans="1:14">
      <c r="A438" s="1">
        <f t="shared" si="52"/>
        <v>415</v>
      </c>
      <c r="B438" s="2">
        <f t="shared" si="54"/>
        <v>34</v>
      </c>
      <c r="C438" s="2">
        <f t="shared" si="55"/>
        <v>7</v>
      </c>
      <c r="D438" s="2">
        <f t="shared" si="56"/>
        <v>63</v>
      </c>
      <c r="E438" s="1">
        <f t="shared" si="53"/>
        <v>435801.24347970507</v>
      </c>
      <c r="G438" s="1">
        <f t="shared" si="49"/>
        <v>3140.9604633326521</v>
      </c>
      <c r="H438" s="1">
        <v>0</v>
      </c>
      <c r="I438" s="1">
        <f t="shared" si="50"/>
        <v>-438.94220394303773</v>
      </c>
      <c r="J438" s="1">
        <f t="shared" si="51"/>
        <v>438503.26173909468</v>
      </c>
      <c r="M438" s="7"/>
      <c r="N438" s="1"/>
    </row>
    <row r="439" spans="1:14">
      <c r="A439" s="1">
        <f t="shared" si="52"/>
        <v>416</v>
      </c>
      <c r="B439" s="2">
        <f t="shared" si="54"/>
        <v>34</v>
      </c>
      <c r="C439" s="2">
        <f t="shared" si="55"/>
        <v>8</v>
      </c>
      <c r="D439" s="2">
        <f t="shared" si="56"/>
        <v>63</v>
      </c>
      <c r="E439" s="1">
        <f t="shared" si="53"/>
        <v>438503.26173909468</v>
      </c>
      <c r="G439" s="1">
        <f t="shared" si="49"/>
        <v>3160.4347825341779</v>
      </c>
      <c r="H439" s="1">
        <v>0</v>
      </c>
      <c r="I439" s="1">
        <f t="shared" si="50"/>
        <v>-441.66369652162888</v>
      </c>
      <c r="J439" s="1">
        <f t="shared" si="51"/>
        <v>441222.03282510728</v>
      </c>
      <c r="M439" s="7"/>
      <c r="N439" s="1"/>
    </row>
    <row r="440" spans="1:14">
      <c r="A440" s="1">
        <f t="shared" si="52"/>
        <v>417</v>
      </c>
      <c r="B440" s="2">
        <f t="shared" si="54"/>
        <v>34</v>
      </c>
      <c r="C440" s="2">
        <f t="shared" si="55"/>
        <v>9</v>
      </c>
      <c r="D440" s="2">
        <f t="shared" si="56"/>
        <v>63</v>
      </c>
      <c r="E440" s="1">
        <f t="shared" si="53"/>
        <v>441222.03282510728</v>
      </c>
      <c r="G440" s="1">
        <f t="shared" si="49"/>
        <v>3180.029844773635</v>
      </c>
      <c r="H440" s="69">
        <f>-SUM(E440:G440)*$H$21</f>
        <v>-3999.6185640289286</v>
      </c>
      <c r="I440" s="1">
        <f t="shared" si="50"/>
        <v>-444.40206266988093</v>
      </c>
      <c r="J440" s="1">
        <f t="shared" si="51"/>
        <v>439958.04204318213</v>
      </c>
      <c r="M440" s="7"/>
      <c r="N440" s="1"/>
    </row>
    <row r="441" spans="1:14">
      <c r="A441" s="1">
        <f t="shared" si="52"/>
        <v>418</v>
      </c>
      <c r="B441" s="2">
        <f t="shared" si="54"/>
        <v>34</v>
      </c>
      <c r="C441" s="2">
        <f t="shared" si="55"/>
        <v>10</v>
      </c>
      <c r="D441" s="2">
        <f t="shared" si="56"/>
        <v>63</v>
      </c>
      <c r="E441" s="1">
        <f t="shared" si="53"/>
        <v>439958.04204318213</v>
      </c>
      <c r="G441" s="1">
        <f t="shared" si="49"/>
        <v>3170.9198545396839</v>
      </c>
      <c r="H441" s="1">
        <v>0</v>
      </c>
      <c r="I441" s="1">
        <f t="shared" si="50"/>
        <v>-443.12896189772181</v>
      </c>
      <c r="J441" s="1">
        <f t="shared" si="51"/>
        <v>442685.83293582406</v>
      </c>
      <c r="M441" s="7"/>
      <c r="N441" s="1"/>
    </row>
    <row r="442" spans="1:14">
      <c r="A442" s="1">
        <f t="shared" si="52"/>
        <v>419</v>
      </c>
      <c r="B442" s="2">
        <f t="shared" si="54"/>
        <v>34</v>
      </c>
      <c r="C442" s="2">
        <f t="shared" si="55"/>
        <v>11</v>
      </c>
      <c r="D442" s="2">
        <f t="shared" si="56"/>
        <v>63</v>
      </c>
      <c r="E442" s="1">
        <f t="shared" si="53"/>
        <v>442685.83293582406</v>
      </c>
      <c r="G442" s="1">
        <f t="shared" si="49"/>
        <v>3190.5799254417675</v>
      </c>
      <c r="H442" s="1">
        <v>0</v>
      </c>
      <c r="I442" s="1">
        <f t="shared" si="50"/>
        <v>-445.87641286126581</v>
      </c>
      <c r="J442" s="1">
        <f t="shared" si="51"/>
        <v>445430.53644840454</v>
      </c>
      <c r="M442" s="7"/>
      <c r="N442" s="1"/>
    </row>
    <row r="443" spans="1:14">
      <c r="A443" s="1">
        <f t="shared" si="52"/>
        <v>420</v>
      </c>
      <c r="B443" s="2">
        <f t="shared" si="54"/>
        <v>34</v>
      </c>
      <c r="C443" s="2">
        <f t="shared" si="55"/>
        <v>12</v>
      </c>
      <c r="D443" s="2">
        <f t="shared" si="56"/>
        <v>63</v>
      </c>
      <c r="E443" s="1">
        <f t="shared" si="53"/>
        <v>445430.53644840454</v>
      </c>
      <c r="G443" s="1">
        <f t="shared" si="49"/>
        <v>3210.3618910638711</v>
      </c>
      <c r="H443" s="69">
        <f>-SUM(E443:G443)*$H$21</f>
        <v>-4037.768085055216</v>
      </c>
      <c r="I443" s="1">
        <f t="shared" si="50"/>
        <v>-448.64089833946844</v>
      </c>
      <c r="J443" s="1">
        <f t="shared" si="51"/>
        <v>444154.48935607373</v>
      </c>
      <c r="M443" s="7"/>
      <c r="N443" s="1"/>
    </row>
    <row r="444" spans="1:14">
      <c r="A444" s="1">
        <f t="shared" si="52"/>
        <v>421</v>
      </c>
      <c r="B444" s="2">
        <f t="shared" si="54"/>
        <v>35</v>
      </c>
      <c r="C444" s="2">
        <f t="shared" si="55"/>
        <v>1</v>
      </c>
      <c r="D444" s="2">
        <f t="shared" si="56"/>
        <v>64</v>
      </c>
      <c r="E444" s="1">
        <f t="shared" si="53"/>
        <v>444154.48935607373</v>
      </c>
      <c r="G444" s="1">
        <f t="shared" si="49"/>
        <v>3201.1650071028266</v>
      </c>
      <c r="H444" s="1">
        <v>0</v>
      </c>
      <c r="I444" s="1">
        <f t="shared" si="50"/>
        <v>-447.35565436317654</v>
      </c>
      <c r="J444" s="1">
        <f t="shared" si="51"/>
        <v>446908.29870881338</v>
      </c>
      <c r="M444" s="7"/>
      <c r="N444" s="1"/>
    </row>
    <row r="445" spans="1:14">
      <c r="A445" s="1">
        <f t="shared" si="52"/>
        <v>422</v>
      </c>
      <c r="B445" s="2">
        <f t="shared" si="54"/>
        <v>35</v>
      </c>
      <c r="C445" s="2">
        <f t="shared" si="55"/>
        <v>2</v>
      </c>
      <c r="D445" s="2">
        <f t="shared" si="56"/>
        <v>64</v>
      </c>
      <c r="E445" s="1">
        <f t="shared" si="53"/>
        <v>446908.29870881338</v>
      </c>
      <c r="G445" s="1">
        <f t="shared" si="49"/>
        <v>3221.0126014590228</v>
      </c>
      <c r="H445" s="1">
        <v>0</v>
      </c>
      <c r="I445" s="1">
        <f t="shared" si="50"/>
        <v>-450.12931131027244</v>
      </c>
      <c r="J445" s="1">
        <f t="shared" si="51"/>
        <v>449679.18199896219</v>
      </c>
      <c r="M445" s="7"/>
      <c r="N445" s="1"/>
    </row>
    <row r="446" spans="1:14">
      <c r="A446" s="1">
        <f t="shared" si="52"/>
        <v>423</v>
      </c>
      <c r="B446" s="2">
        <f t="shared" si="54"/>
        <v>35</v>
      </c>
      <c r="C446" s="2">
        <f t="shared" si="55"/>
        <v>3</v>
      </c>
      <c r="D446" s="2">
        <f t="shared" si="56"/>
        <v>64</v>
      </c>
      <c r="E446" s="1">
        <f t="shared" si="53"/>
        <v>449679.18199896219</v>
      </c>
      <c r="G446" s="1">
        <f t="shared" si="49"/>
        <v>3240.9832532024056</v>
      </c>
      <c r="H446" s="69">
        <f>-SUM(E446:G446)*$H$21</f>
        <v>-4076.2814872694817</v>
      </c>
      <c r="I446" s="1">
        <f t="shared" si="50"/>
        <v>-452.92016525216462</v>
      </c>
      <c r="J446" s="1">
        <f t="shared" si="51"/>
        <v>448390.96359964291</v>
      </c>
      <c r="M446" s="7"/>
      <c r="N446" s="1"/>
    </row>
    <row r="447" spans="1:14">
      <c r="A447" s="1">
        <f t="shared" si="52"/>
        <v>424</v>
      </c>
      <c r="B447" s="2">
        <f t="shared" si="54"/>
        <v>35</v>
      </c>
      <c r="C447" s="2">
        <f t="shared" si="55"/>
        <v>4</v>
      </c>
      <c r="D447" s="2">
        <f t="shared" si="56"/>
        <v>64</v>
      </c>
      <c r="E447" s="1">
        <f t="shared" si="53"/>
        <v>448390.96359964291</v>
      </c>
      <c r="G447" s="1">
        <f t="shared" si="49"/>
        <v>3231.6986466967155</v>
      </c>
      <c r="H447" s="1">
        <v>0</v>
      </c>
      <c r="I447" s="1">
        <f t="shared" si="50"/>
        <v>-451.62266224633959</v>
      </c>
      <c r="J447" s="1">
        <f t="shared" si="51"/>
        <v>451171.03958409326</v>
      </c>
      <c r="M447" s="7"/>
      <c r="N447" s="1"/>
    </row>
    <row r="448" spans="1:14">
      <c r="A448" s="1">
        <f t="shared" si="52"/>
        <v>425</v>
      </c>
      <c r="B448" s="2">
        <f t="shared" si="54"/>
        <v>35</v>
      </c>
      <c r="C448" s="2">
        <f t="shared" si="55"/>
        <v>5</v>
      </c>
      <c r="D448" s="2">
        <f t="shared" si="56"/>
        <v>64</v>
      </c>
      <c r="E448" s="1">
        <f t="shared" si="53"/>
        <v>451171.03958409326</v>
      </c>
      <c r="G448" s="1">
        <f t="shared" si="49"/>
        <v>3251.7355531600765</v>
      </c>
      <c r="H448" s="1">
        <v>0</v>
      </c>
      <c r="I448" s="1">
        <f t="shared" si="50"/>
        <v>-454.42277513725332</v>
      </c>
      <c r="J448" s="1">
        <f t="shared" si="51"/>
        <v>453968.3523621161</v>
      </c>
      <c r="M448" s="7"/>
      <c r="N448" s="1"/>
    </row>
    <row r="449" spans="1:14">
      <c r="A449" s="1">
        <f t="shared" si="52"/>
        <v>426</v>
      </c>
      <c r="B449" s="2">
        <f t="shared" si="54"/>
        <v>35</v>
      </c>
      <c r="C449" s="2">
        <f t="shared" si="55"/>
        <v>6</v>
      </c>
      <c r="D449" s="2">
        <f t="shared" si="56"/>
        <v>64</v>
      </c>
      <c r="E449" s="1">
        <f t="shared" si="53"/>
        <v>453968.3523621161</v>
      </c>
      <c r="G449" s="1">
        <f t="shared" si="49"/>
        <v>3271.8966907676477</v>
      </c>
      <c r="H449" s="69">
        <f>-SUM(E449:G449)*$H$21</f>
        <v>-4115.162241475954</v>
      </c>
      <c r="I449" s="1">
        <f t="shared" si="50"/>
        <v>-457.24024905288377</v>
      </c>
      <c r="J449" s="1">
        <f t="shared" si="51"/>
        <v>452667.84656235494</v>
      </c>
      <c r="M449" s="7"/>
      <c r="N449" s="1"/>
    </row>
    <row r="450" spans="1:14">
      <c r="A450" s="1">
        <f t="shared" si="52"/>
        <v>427</v>
      </c>
      <c r="B450" s="2">
        <f t="shared" si="54"/>
        <v>35</v>
      </c>
      <c r="C450" s="2">
        <f t="shared" si="55"/>
        <v>7</v>
      </c>
      <c r="D450" s="2">
        <f t="shared" si="56"/>
        <v>64</v>
      </c>
      <c r="E450" s="1">
        <f t="shared" si="53"/>
        <v>452667.84656235494</v>
      </c>
      <c r="G450" s="1">
        <f t="shared" si="49"/>
        <v>3262.523524994258</v>
      </c>
      <c r="H450" s="1">
        <v>0</v>
      </c>
      <c r="I450" s="1">
        <f t="shared" si="50"/>
        <v>-455.93037008734922</v>
      </c>
      <c r="J450" s="1">
        <f t="shared" si="51"/>
        <v>455474.43971726188</v>
      </c>
      <c r="M450" s="7"/>
      <c r="N450" s="1"/>
    </row>
    <row r="451" spans="1:14">
      <c r="A451" s="1">
        <f t="shared" si="52"/>
        <v>428</v>
      </c>
      <c r="B451" s="2">
        <f t="shared" si="54"/>
        <v>35</v>
      </c>
      <c r="C451" s="2">
        <f t="shared" si="55"/>
        <v>8</v>
      </c>
      <c r="D451" s="2">
        <f t="shared" si="56"/>
        <v>64</v>
      </c>
      <c r="E451" s="1">
        <f t="shared" si="53"/>
        <v>455474.43971726188</v>
      </c>
      <c r="G451" s="1">
        <f t="shared" si="49"/>
        <v>3282.7515492785283</v>
      </c>
      <c r="H451" s="1">
        <v>0</v>
      </c>
      <c r="I451" s="1">
        <f t="shared" si="50"/>
        <v>-458.75719126654042</v>
      </c>
      <c r="J451" s="1">
        <f t="shared" si="51"/>
        <v>458298.43407527386</v>
      </c>
      <c r="M451" s="7"/>
      <c r="N451" s="1"/>
    </row>
    <row r="452" spans="1:14">
      <c r="A452" s="1">
        <f t="shared" si="52"/>
        <v>429</v>
      </c>
      <c r="B452" s="2">
        <f t="shared" si="54"/>
        <v>35</v>
      </c>
      <c r="C452" s="2">
        <f t="shared" si="55"/>
        <v>9</v>
      </c>
      <c r="D452" s="2">
        <f t="shared" si="56"/>
        <v>64</v>
      </c>
      <c r="E452" s="1">
        <f t="shared" si="53"/>
        <v>458298.43407527386</v>
      </c>
      <c r="G452" s="1">
        <f t="shared" si="49"/>
        <v>3303.1049896596669</v>
      </c>
      <c r="H452" s="69">
        <f>-SUM(E452:G452)*$H$21</f>
        <v>-4154.4138515844024</v>
      </c>
      <c r="I452" s="1">
        <f t="shared" si="50"/>
        <v>-461.60153906493355</v>
      </c>
      <c r="J452" s="1">
        <f t="shared" si="51"/>
        <v>456985.52367428417</v>
      </c>
      <c r="M452" s="7"/>
      <c r="N452" s="1"/>
    </row>
    <row r="453" spans="1:14">
      <c r="A453" s="1">
        <f t="shared" si="52"/>
        <v>430</v>
      </c>
      <c r="B453" s="2">
        <f t="shared" si="54"/>
        <v>35</v>
      </c>
      <c r="C453" s="2">
        <f t="shared" si="55"/>
        <v>10</v>
      </c>
      <c r="D453" s="2">
        <f t="shared" si="56"/>
        <v>64</v>
      </c>
      <c r="E453" s="1">
        <f t="shared" si="53"/>
        <v>456985.52367428417</v>
      </c>
      <c r="G453" s="1">
        <f t="shared" si="49"/>
        <v>3293.6424199146154</v>
      </c>
      <c r="H453" s="1">
        <v>0</v>
      </c>
      <c r="I453" s="1">
        <f t="shared" si="50"/>
        <v>-460.27916609419879</v>
      </c>
      <c r="J453" s="1">
        <f t="shared" si="51"/>
        <v>459818.88692810456</v>
      </c>
      <c r="M453" s="7"/>
      <c r="N453" s="1"/>
    </row>
    <row r="454" spans="1:14">
      <c r="A454" s="1">
        <f t="shared" si="52"/>
        <v>431</v>
      </c>
      <c r="B454" s="2">
        <f t="shared" si="54"/>
        <v>35</v>
      </c>
      <c r="C454" s="2">
        <f t="shared" si="55"/>
        <v>11</v>
      </c>
      <c r="D454" s="2">
        <f t="shared" si="56"/>
        <v>64</v>
      </c>
      <c r="E454" s="1">
        <f t="shared" si="53"/>
        <v>459818.88692810456</v>
      </c>
      <c r="G454" s="1">
        <f t="shared" si="49"/>
        <v>3314.0633849569599</v>
      </c>
      <c r="H454" s="1">
        <v>0</v>
      </c>
      <c r="I454" s="1">
        <f t="shared" si="50"/>
        <v>-463.13295031306154</v>
      </c>
      <c r="J454" s="1">
        <f t="shared" si="51"/>
        <v>462669.81736274849</v>
      </c>
      <c r="M454" s="7"/>
      <c r="N454" s="1"/>
    </row>
    <row r="455" spans="1:14">
      <c r="A455" s="1">
        <f t="shared" si="52"/>
        <v>432</v>
      </c>
      <c r="B455" s="2">
        <f t="shared" si="54"/>
        <v>35</v>
      </c>
      <c r="C455" s="2">
        <f t="shared" si="55"/>
        <v>12</v>
      </c>
      <c r="D455" s="2">
        <f t="shared" si="56"/>
        <v>64</v>
      </c>
      <c r="E455" s="1">
        <f t="shared" si="53"/>
        <v>462669.81736274849</v>
      </c>
      <c r="G455" s="1">
        <f t="shared" si="49"/>
        <v>3334.610962351253</v>
      </c>
      <c r="H455" s="69">
        <f>-SUM(E455:G455)*$H$21</f>
        <v>-4194.039854925898</v>
      </c>
      <c r="I455" s="1">
        <f t="shared" si="50"/>
        <v>-466.00442832509975</v>
      </c>
      <c r="J455" s="1">
        <f t="shared" si="51"/>
        <v>461344.38404184877</v>
      </c>
      <c r="M455" s="7"/>
      <c r="N455" s="1"/>
    </row>
    <row r="456" spans="1:14">
      <c r="A456" s="1">
        <f t="shared" si="52"/>
        <v>433</v>
      </c>
      <c r="B456" s="2">
        <f t="shared" si="54"/>
        <v>36</v>
      </c>
      <c r="C456" s="2">
        <f t="shared" si="55"/>
        <v>1</v>
      </c>
      <c r="D456" s="2">
        <f t="shared" si="56"/>
        <v>65</v>
      </c>
      <c r="E456" s="1">
        <f t="shared" si="53"/>
        <v>461344.38404184877</v>
      </c>
      <c r="G456" s="1">
        <f t="shared" si="49"/>
        <v>3325.0581358735481</v>
      </c>
      <c r="H456" s="1">
        <v>0</v>
      </c>
      <c r="I456" s="1">
        <f t="shared" si="50"/>
        <v>-464.66944217772232</v>
      </c>
      <c r="J456" s="1">
        <f t="shared" si="51"/>
        <v>464204.77273554454</v>
      </c>
      <c r="M456" s="7"/>
      <c r="N456" s="1"/>
    </row>
    <row r="457" spans="1:14">
      <c r="A457" s="1">
        <f t="shared" si="52"/>
        <v>434</v>
      </c>
      <c r="B457" s="2">
        <f t="shared" si="54"/>
        <v>36</v>
      </c>
      <c r="C457" s="2">
        <f t="shared" si="55"/>
        <v>2</v>
      </c>
      <c r="D457" s="2">
        <f t="shared" si="56"/>
        <v>65</v>
      </c>
      <c r="E457" s="1">
        <f t="shared" si="53"/>
        <v>464204.77273554454</v>
      </c>
      <c r="G457" s="1">
        <f t="shared" si="49"/>
        <v>3345.6738819988354</v>
      </c>
      <c r="H457" s="1">
        <v>0</v>
      </c>
      <c r="I457" s="1">
        <f t="shared" si="50"/>
        <v>-467.55044661754334</v>
      </c>
      <c r="J457" s="1">
        <f t="shared" si="51"/>
        <v>467082.89617092581</v>
      </c>
      <c r="M457" s="7"/>
      <c r="N457" s="1"/>
    </row>
    <row r="458" spans="1:14">
      <c r="A458" s="1">
        <f t="shared" si="52"/>
        <v>435</v>
      </c>
      <c r="B458" s="2">
        <f t="shared" si="54"/>
        <v>36</v>
      </c>
      <c r="C458" s="2">
        <f t="shared" si="55"/>
        <v>3</v>
      </c>
      <c r="D458" s="2">
        <f t="shared" si="56"/>
        <v>65</v>
      </c>
      <c r="E458" s="1">
        <f t="shared" si="53"/>
        <v>467082.89617092581</v>
      </c>
      <c r="G458" s="1">
        <f t="shared" si="49"/>
        <v>3366.4174481413784</v>
      </c>
      <c r="H458" s="69">
        <f>-SUM(E458:G458)*$H$21</f>
        <v>-4234.0438225716052</v>
      </c>
      <c r="I458" s="1">
        <f t="shared" si="50"/>
        <v>-470.4493136190672</v>
      </c>
      <c r="J458" s="1">
        <f t="shared" si="51"/>
        <v>465744.82048287656</v>
      </c>
      <c r="M458" s="7"/>
      <c r="N458" s="1"/>
    </row>
    <row r="459" spans="1:14">
      <c r="A459" s="1">
        <f t="shared" si="52"/>
        <v>436</v>
      </c>
      <c r="B459" s="2">
        <f t="shared" si="54"/>
        <v>36</v>
      </c>
      <c r="C459" s="2">
        <f t="shared" si="55"/>
        <v>4</v>
      </c>
      <c r="D459" s="2">
        <f t="shared" si="56"/>
        <v>65</v>
      </c>
      <c r="E459" s="1">
        <f t="shared" si="53"/>
        <v>465744.82048287656</v>
      </c>
      <c r="G459" s="1">
        <f t="shared" si="49"/>
        <v>3356.7735040361454</v>
      </c>
      <c r="H459" s="1">
        <v>0</v>
      </c>
      <c r="I459" s="1">
        <f t="shared" si="50"/>
        <v>-469.10159398691269</v>
      </c>
      <c r="J459" s="1">
        <f t="shared" si="51"/>
        <v>468632.49239292578</v>
      </c>
      <c r="M459" s="7"/>
      <c r="N459" s="1"/>
    </row>
    <row r="460" spans="1:14">
      <c r="A460" s="1">
        <f t="shared" si="52"/>
        <v>437</v>
      </c>
      <c r="B460" s="2">
        <f t="shared" si="54"/>
        <v>36</v>
      </c>
      <c r="C460" s="2">
        <f t="shared" si="55"/>
        <v>5</v>
      </c>
      <c r="D460" s="2">
        <f t="shared" si="56"/>
        <v>65</v>
      </c>
      <c r="E460" s="1">
        <f t="shared" si="53"/>
        <v>468632.49239292578</v>
      </c>
      <c r="G460" s="1">
        <f t="shared" si="49"/>
        <v>3377.5858891227958</v>
      </c>
      <c r="H460" s="1">
        <v>0</v>
      </c>
      <c r="I460" s="1">
        <f t="shared" si="50"/>
        <v>-472.0100782820486</v>
      </c>
      <c r="J460" s="1">
        <f t="shared" si="51"/>
        <v>471538.06820376654</v>
      </c>
      <c r="M460" s="7"/>
      <c r="N460" s="1"/>
    </row>
    <row r="461" spans="1:14">
      <c r="A461" s="1">
        <f t="shared" si="52"/>
        <v>438</v>
      </c>
      <c r="B461" s="2">
        <f t="shared" si="54"/>
        <v>36</v>
      </c>
      <c r="C461" s="2">
        <f t="shared" si="55"/>
        <v>6</v>
      </c>
      <c r="D461" s="2">
        <f t="shared" si="56"/>
        <v>65</v>
      </c>
      <c r="E461" s="1">
        <f t="shared" si="53"/>
        <v>471538.06820376654</v>
      </c>
      <c r="G461" s="1">
        <f t="shared" si="49"/>
        <v>3398.5273134110716</v>
      </c>
      <c r="H461" s="69">
        <f>-SUM(E461:G461)*$H$21</f>
        <v>-4274.4293596545986</v>
      </c>
      <c r="I461" s="1">
        <f t="shared" si="50"/>
        <v>-474.93659551717764</v>
      </c>
      <c r="J461" s="1">
        <f t="shared" si="51"/>
        <v>470187.22956200584</v>
      </c>
      <c r="M461" s="7"/>
      <c r="N461" s="1"/>
    </row>
    <row r="462" spans="1:14">
      <c r="A462" s="1">
        <f t="shared" si="52"/>
        <v>439</v>
      </c>
      <c r="B462" s="2">
        <f t="shared" si="54"/>
        <v>36</v>
      </c>
      <c r="C462" s="2">
        <f t="shared" si="55"/>
        <v>7</v>
      </c>
      <c r="D462" s="2">
        <f t="shared" si="56"/>
        <v>65</v>
      </c>
      <c r="E462" s="1">
        <f t="shared" si="53"/>
        <v>470187.22956200584</v>
      </c>
      <c r="G462" s="1">
        <f t="shared" si="49"/>
        <v>3388.7913825719711</v>
      </c>
      <c r="H462" s="1">
        <v>0</v>
      </c>
      <c r="I462" s="1">
        <f t="shared" si="50"/>
        <v>-473.57602094457781</v>
      </c>
      <c r="J462" s="1">
        <f t="shared" si="51"/>
        <v>473102.44492363324</v>
      </c>
      <c r="M462" s="7"/>
      <c r="N462" s="1"/>
    </row>
    <row r="463" spans="1:14">
      <c r="A463" s="1">
        <f t="shared" si="52"/>
        <v>440</v>
      </c>
      <c r="B463" s="2">
        <f t="shared" si="54"/>
        <v>36</v>
      </c>
      <c r="C463" s="2">
        <f t="shared" si="55"/>
        <v>8</v>
      </c>
      <c r="D463" s="2">
        <f t="shared" si="56"/>
        <v>65</v>
      </c>
      <c r="E463" s="1">
        <f t="shared" si="53"/>
        <v>473102.44492363324</v>
      </c>
      <c r="G463" s="1">
        <f t="shared" si="49"/>
        <v>3409.8022822193884</v>
      </c>
      <c r="H463" s="1">
        <v>0</v>
      </c>
      <c r="I463" s="1">
        <f t="shared" si="50"/>
        <v>-476.51224720585265</v>
      </c>
      <c r="J463" s="1">
        <f t="shared" si="51"/>
        <v>476035.73495864682</v>
      </c>
      <c r="M463" s="7"/>
      <c r="N463" s="1"/>
    </row>
    <row r="464" spans="1:14">
      <c r="A464" s="1">
        <f t="shared" si="52"/>
        <v>441</v>
      </c>
      <c r="B464" s="2">
        <f t="shared" si="54"/>
        <v>36</v>
      </c>
      <c r="C464" s="2">
        <f t="shared" si="55"/>
        <v>9</v>
      </c>
      <c r="D464" s="2">
        <f t="shared" si="56"/>
        <v>65</v>
      </c>
      <c r="E464" s="1">
        <f t="shared" si="53"/>
        <v>476035.73495864682</v>
      </c>
      <c r="G464" s="1">
        <f t="shared" si="49"/>
        <v>3430.9434518817329</v>
      </c>
      <c r="H464" s="69">
        <f>-SUM(E464:G464)*$H$21</f>
        <v>-4315.2001056947574</v>
      </c>
      <c r="I464" s="1">
        <f t="shared" si="50"/>
        <v>-479.46667841052857</v>
      </c>
      <c r="J464" s="1">
        <f t="shared" si="51"/>
        <v>474672.01162642328</v>
      </c>
      <c r="M464" s="7"/>
      <c r="N464" s="1"/>
    </row>
    <row r="465" spans="1:14">
      <c r="A465" s="1">
        <f t="shared" si="52"/>
        <v>442</v>
      </c>
      <c r="B465" s="2">
        <f t="shared" si="54"/>
        <v>36</v>
      </c>
      <c r="C465" s="2">
        <f t="shared" si="55"/>
        <v>10</v>
      </c>
      <c r="D465" s="2">
        <f t="shared" si="56"/>
        <v>65</v>
      </c>
      <c r="E465" s="1">
        <f t="shared" si="53"/>
        <v>474672.01162642328</v>
      </c>
      <c r="G465" s="1">
        <f t="shared" si="49"/>
        <v>3421.1146569126386</v>
      </c>
      <c r="H465" s="1">
        <v>0</v>
      </c>
      <c r="I465" s="1">
        <f t="shared" si="50"/>
        <v>-478.09312628333589</v>
      </c>
      <c r="J465" s="1">
        <f t="shared" si="51"/>
        <v>477615.03315705259</v>
      </c>
      <c r="M465" s="7"/>
      <c r="N465" s="1"/>
    </row>
    <row r="466" spans="1:14">
      <c r="A466" s="1">
        <f t="shared" si="52"/>
        <v>443</v>
      </c>
      <c r="B466" s="2">
        <f t="shared" si="54"/>
        <v>36</v>
      </c>
      <c r="C466" s="2">
        <f t="shared" si="55"/>
        <v>11</v>
      </c>
      <c r="D466" s="2">
        <f t="shared" si="56"/>
        <v>65</v>
      </c>
      <c r="E466" s="1">
        <f t="shared" si="53"/>
        <v>477615.03315705259</v>
      </c>
      <c r="G466" s="1">
        <f t="shared" si="49"/>
        <v>3442.3259646102356</v>
      </c>
      <c r="H466" s="1">
        <v>0</v>
      </c>
      <c r="I466" s="1">
        <f t="shared" si="50"/>
        <v>-481.05735912166278</v>
      </c>
      <c r="J466" s="1">
        <f t="shared" si="51"/>
        <v>480576.30176254112</v>
      </c>
      <c r="M466" s="7"/>
      <c r="N466" s="1"/>
    </row>
    <row r="467" spans="1:14">
      <c r="A467" s="1">
        <f t="shared" si="52"/>
        <v>444</v>
      </c>
      <c r="B467" s="2">
        <f t="shared" si="54"/>
        <v>36</v>
      </c>
      <c r="C467" s="2">
        <f t="shared" si="55"/>
        <v>12</v>
      </c>
      <c r="D467" s="2">
        <f t="shared" si="56"/>
        <v>65</v>
      </c>
      <c r="E467" s="1">
        <f t="shared" si="53"/>
        <v>480576.30176254112</v>
      </c>
      <c r="G467" s="1">
        <f t="shared" si="49"/>
        <v>3463.6687848759166</v>
      </c>
      <c r="H467" s="69">
        <f>-SUM(E467:G467)*$H$21</f>
        <v>-4356.3597349267538</v>
      </c>
      <c r="I467" s="1">
        <f t="shared" si="50"/>
        <v>-484.039970547417</v>
      </c>
      <c r="J467" s="1">
        <f t="shared" si="51"/>
        <v>479199.5708419428</v>
      </c>
      <c r="M467" s="7"/>
      <c r="N467" s="1"/>
    </row>
    <row r="468" spans="1:14">
      <c r="A468" s="1">
        <f t="shared" si="52"/>
        <v>445</v>
      </c>
      <c r="B468" s="2">
        <f t="shared" si="54"/>
        <v>37</v>
      </c>
      <c r="C468" s="2">
        <f t="shared" si="55"/>
        <v>1</v>
      </c>
      <c r="D468" s="2">
        <f t="shared" si="56"/>
        <v>66</v>
      </c>
      <c r="E468" s="1">
        <f t="shared" si="53"/>
        <v>479199.5708419428</v>
      </c>
      <c r="G468" s="1">
        <f t="shared" si="49"/>
        <v>3453.746240011842</v>
      </c>
      <c r="H468" s="1">
        <v>0</v>
      </c>
      <c r="I468" s="1">
        <f t="shared" si="50"/>
        <v>-482.65331708195464</v>
      </c>
      <c r="J468" s="1">
        <f t="shared" si="51"/>
        <v>482170.66376487265</v>
      </c>
      <c r="M468" s="7"/>
      <c r="N468" s="1"/>
    </row>
    <row r="469" spans="1:14">
      <c r="A469" s="1">
        <f t="shared" si="52"/>
        <v>446</v>
      </c>
      <c r="B469" s="2">
        <f t="shared" si="54"/>
        <v>37</v>
      </c>
      <c r="C469" s="2">
        <f t="shared" si="55"/>
        <v>2</v>
      </c>
      <c r="D469" s="2">
        <f t="shared" si="56"/>
        <v>66</v>
      </c>
      <c r="E469" s="1">
        <f t="shared" si="53"/>
        <v>482170.66376487265</v>
      </c>
      <c r="G469" s="1">
        <f t="shared" si="49"/>
        <v>3475.1598673096832</v>
      </c>
      <c r="H469" s="1">
        <v>0</v>
      </c>
      <c r="I469" s="1">
        <f t="shared" si="50"/>
        <v>-485.64582363218233</v>
      </c>
      <c r="J469" s="1">
        <f t="shared" si="51"/>
        <v>485160.17780855013</v>
      </c>
      <c r="M469" s="7"/>
      <c r="N469" s="1"/>
    </row>
    <row r="470" spans="1:14">
      <c r="A470" s="1">
        <f t="shared" si="52"/>
        <v>447</v>
      </c>
      <c r="B470" s="2">
        <f t="shared" si="54"/>
        <v>37</v>
      </c>
      <c r="C470" s="2">
        <f t="shared" si="55"/>
        <v>3</v>
      </c>
      <c r="D470" s="2">
        <f t="shared" si="56"/>
        <v>66</v>
      </c>
      <c r="E470" s="1">
        <f t="shared" si="53"/>
        <v>485160.17780855013</v>
      </c>
      <c r="G470" s="1">
        <f t="shared" si="49"/>
        <v>3496.706261580598</v>
      </c>
      <c r="H470" s="69">
        <f>-SUM(E470:G470)*$H$21</f>
        <v>-4397.9119566311765</v>
      </c>
      <c r="I470" s="1">
        <f t="shared" si="50"/>
        <v>-488.65688407013073</v>
      </c>
      <c r="J470" s="1">
        <f t="shared" si="51"/>
        <v>483770.3152294294</v>
      </c>
      <c r="M470" s="7"/>
      <c r="N470" s="1"/>
    </row>
    <row r="471" spans="1:14">
      <c r="A471" s="1">
        <f t="shared" si="52"/>
        <v>448</v>
      </c>
      <c r="B471" s="2">
        <f t="shared" si="54"/>
        <v>37</v>
      </c>
      <c r="C471" s="2">
        <f t="shared" si="55"/>
        <v>4</v>
      </c>
      <c r="D471" s="2">
        <f t="shared" si="56"/>
        <v>66</v>
      </c>
      <c r="E471" s="1">
        <f t="shared" si="53"/>
        <v>483770.3152294294</v>
      </c>
      <c r="G471" s="1">
        <f t="shared" si="49"/>
        <v>3486.6890726078755</v>
      </c>
      <c r="H471" s="1">
        <v>0</v>
      </c>
      <c r="I471" s="1">
        <f t="shared" si="50"/>
        <v>-487.25700430203733</v>
      </c>
      <c r="J471" s="1">
        <f t="shared" si="51"/>
        <v>486769.74729773524</v>
      </c>
      <c r="M471" s="7"/>
      <c r="N471" s="1"/>
    </row>
    <row r="472" spans="1:14">
      <c r="A472" s="1">
        <f t="shared" si="52"/>
        <v>449</v>
      </c>
      <c r="B472" s="2">
        <f t="shared" si="54"/>
        <v>37</v>
      </c>
      <c r="C472" s="2">
        <f t="shared" si="55"/>
        <v>5</v>
      </c>
      <c r="D472" s="2">
        <f t="shared" si="56"/>
        <v>66</v>
      </c>
      <c r="E472" s="1">
        <f t="shared" si="53"/>
        <v>486769.74729773524</v>
      </c>
      <c r="G472" s="1">
        <f t="shared" ref="G472:G535" si="57">SUM(E472:F472)*$F$8</f>
        <v>3508.3069492889445</v>
      </c>
      <c r="H472" s="1">
        <v>0</v>
      </c>
      <c r="I472" s="1">
        <f t="shared" ref="I472:I535" si="58">-SUM(E472:G472)*0.1%</f>
        <v>-490.27805424702422</v>
      </c>
      <c r="J472" s="1">
        <f t="shared" ref="J472:J535" si="59">SUM(E472:I472)</f>
        <v>489787.77619277715</v>
      </c>
      <c r="M472" s="7"/>
      <c r="N472" s="1"/>
    </row>
    <row r="473" spans="1:14">
      <c r="A473" s="1">
        <f t="shared" ref="A473:A536" si="60">+A472+1</f>
        <v>450</v>
      </c>
      <c r="B473" s="2">
        <f t="shared" si="54"/>
        <v>37</v>
      </c>
      <c r="C473" s="2">
        <f t="shared" si="55"/>
        <v>6</v>
      </c>
      <c r="D473" s="2">
        <f t="shared" si="56"/>
        <v>66</v>
      </c>
      <c r="E473" s="1">
        <f t="shared" ref="E473:E536" si="61">J472</f>
        <v>489787.77619277715</v>
      </c>
      <c r="G473" s="1">
        <f t="shared" si="57"/>
        <v>3530.0588593129542</v>
      </c>
      <c r="H473" s="69">
        <f>-SUM(E473:G473)*$H$21</f>
        <v>-4439.8605154688112</v>
      </c>
      <c r="I473" s="1">
        <f t="shared" si="58"/>
        <v>-493.31783505209012</v>
      </c>
      <c r="J473" s="1">
        <f t="shared" si="59"/>
        <v>488384.65670156921</v>
      </c>
      <c r="M473" s="7"/>
      <c r="N473" s="1"/>
    </row>
    <row r="474" spans="1:14">
      <c r="A474" s="1">
        <f t="shared" si="60"/>
        <v>451</v>
      </c>
      <c r="B474" s="2">
        <f t="shared" si="54"/>
        <v>37</v>
      </c>
      <c r="C474" s="2">
        <f t="shared" si="55"/>
        <v>7</v>
      </c>
      <c r="D474" s="2">
        <f t="shared" si="56"/>
        <v>66</v>
      </c>
      <c r="E474" s="1">
        <f t="shared" si="61"/>
        <v>488384.65670156921</v>
      </c>
      <c r="G474" s="1">
        <f t="shared" si="57"/>
        <v>3519.9461234886453</v>
      </c>
      <c r="H474" s="1">
        <v>0</v>
      </c>
      <c r="I474" s="1">
        <f t="shared" si="58"/>
        <v>-491.90460282505785</v>
      </c>
      <c r="J474" s="1">
        <f t="shared" si="59"/>
        <v>491412.69822223281</v>
      </c>
      <c r="M474" s="7"/>
      <c r="N474" s="1"/>
    </row>
    <row r="475" spans="1:14">
      <c r="A475" s="1">
        <f t="shared" si="60"/>
        <v>452</v>
      </c>
      <c r="B475" s="2">
        <f t="shared" si="54"/>
        <v>37</v>
      </c>
      <c r="C475" s="2">
        <f t="shared" si="55"/>
        <v>8</v>
      </c>
      <c r="D475" s="2">
        <f t="shared" si="56"/>
        <v>66</v>
      </c>
      <c r="E475" s="1">
        <f t="shared" si="61"/>
        <v>491412.69822223281</v>
      </c>
      <c r="G475" s="1">
        <f t="shared" si="57"/>
        <v>3541.7701977427541</v>
      </c>
      <c r="H475" s="1">
        <v>0</v>
      </c>
      <c r="I475" s="1">
        <f t="shared" si="58"/>
        <v>-494.95446841997557</v>
      </c>
      <c r="J475" s="1">
        <f t="shared" si="59"/>
        <v>494459.51395155559</v>
      </c>
      <c r="M475" s="7"/>
      <c r="N475" s="1"/>
    </row>
    <row r="476" spans="1:14">
      <c r="A476" s="1">
        <f t="shared" si="60"/>
        <v>453</v>
      </c>
      <c r="B476" s="2">
        <f t="shared" si="54"/>
        <v>37</v>
      </c>
      <c r="C476" s="2">
        <f t="shared" si="55"/>
        <v>9</v>
      </c>
      <c r="D476" s="2">
        <f t="shared" si="56"/>
        <v>66</v>
      </c>
      <c r="E476" s="1">
        <f t="shared" si="61"/>
        <v>494459.51395155559</v>
      </c>
      <c r="G476" s="1">
        <f t="shared" si="57"/>
        <v>3563.7295837886741</v>
      </c>
      <c r="H476" s="69">
        <f>-SUM(E476:G476)*$H$21</f>
        <v>-4482.2091918180986</v>
      </c>
      <c r="I476" s="1">
        <f t="shared" si="58"/>
        <v>-498.02324353534425</v>
      </c>
      <c r="J476" s="1">
        <f t="shared" si="59"/>
        <v>493043.01109999081</v>
      </c>
      <c r="M476" s="7"/>
      <c r="N476" s="1"/>
    </row>
    <row r="477" spans="1:14">
      <c r="A477" s="1">
        <f t="shared" si="60"/>
        <v>454</v>
      </c>
      <c r="B477" s="2">
        <f t="shared" si="54"/>
        <v>37</v>
      </c>
      <c r="C477" s="2">
        <f t="shared" si="55"/>
        <v>10</v>
      </c>
      <c r="D477" s="2">
        <f t="shared" si="56"/>
        <v>66</v>
      </c>
      <c r="E477" s="1">
        <f t="shared" si="61"/>
        <v>493043.01109999081</v>
      </c>
      <c r="G477" s="1">
        <f t="shared" si="57"/>
        <v>3553.5203897592173</v>
      </c>
      <c r="H477" s="1">
        <v>0</v>
      </c>
      <c r="I477" s="1">
        <f t="shared" si="58"/>
        <v>-496.59653148975002</v>
      </c>
      <c r="J477" s="1">
        <f t="shared" si="59"/>
        <v>496099.93495826027</v>
      </c>
      <c r="M477" s="7"/>
      <c r="N477" s="1"/>
    </row>
    <row r="478" spans="1:14">
      <c r="A478" s="1">
        <f t="shared" si="60"/>
        <v>455</v>
      </c>
      <c r="B478" s="2">
        <f t="shared" si="54"/>
        <v>37</v>
      </c>
      <c r="C478" s="2">
        <f t="shared" si="55"/>
        <v>11</v>
      </c>
      <c r="D478" s="2">
        <f t="shared" si="56"/>
        <v>66</v>
      </c>
      <c r="E478" s="1">
        <f t="shared" si="61"/>
        <v>496099.93495826027</v>
      </c>
      <c r="G478" s="1">
        <f t="shared" si="57"/>
        <v>3575.5526283585773</v>
      </c>
      <c r="H478" s="1">
        <v>0</v>
      </c>
      <c r="I478" s="1">
        <f t="shared" si="58"/>
        <v>-499.67548758661889</v>
      </c>
      <c r="J478" s="1">
        <f t="shared" si="59"/>
        <v>499175.81209903222</v>
      </c>
      <c r="M478" s="7"/>
      <c r="N478" s="1"/>
    </row>
    <row r="479" spans="1:14">
      <c r="A479" s="1">
        <f t="shared" si="60"/>
        <v>456</v>
      </c>
      <c r="B479" s="2">
        <f t="shared" si="54"/>
        <v>37</v>
      </c>
      <c r="C479" s="2">
        <f t="shared" si="55"/>
        <v>12</v>
      </c>
      <c r="D479" s="2">
        <f t="shared" si="56"/>
        <v>66</v>
      </c>
      <c r="E479" s="1">
        <f t="shared" si="61"/>
        <v>499175.81209903222</v>
      </c>
      <c r="G479" s="1">
        <f t="shared" si="57"/>
        <v>3597.7214693928349</v>
      </c>
      <c r="H479" s="69">
        <f>-SUM(E479:G479)*$H$21</f>
        <v>-4524.9618021158258</v>
      </c>
      <c r="I479" s="1">
        <f t="shared" si="58"/>
        <v>-502.77353356842508</v>
      </c>
      <c r="J479" s="1">
        <f t="shared" si="59"/>
        <v>497745.79823274078</v>
      </c>
      <c r="M479" s="7"/>
      <c r="N479" s="1"/>
    </row>
    <row r="480" spans="1:14">
      <c r="A480" s="1">
        <f t="shared" si="60"/>
        <v>457</v>
      </c>
      <c r="B480" s="2">
        <f t="shared" si="54"/>
        <v>38</v>
      </c>
      <c r="C480" s="2">
        <f t="shared" si="55"/>
        <v>1</v>
      </c>
      <c r="D480" s="2">
        <f t="shared" si="56"/>
        <v>67</v>
      </c>
      <c r="E480" s="1">
        <f t="shared" si="61"/>
        <v>497745.79823274078</v>
      </c>
      <c r="G480" s="1">
        <f t="shared" si="57"/>
        <v>3587.4148971119139</v>
      </c>
      <c r="H480" s="1">
        <v>0</v>
      </c>
      <c r="I480" s="1">
        <f t="shared" si="58"/>
        <v>-501.33321312985265</v>
      </c>
      <c r="J480" s="1">
        <f t="shared" si="59"/>
        <v>500831.87991672283</v>
      </c>
      <c r="M480" s="7"/>
      <c r="N480" s="1"/>
    </row>
    <row r="481" spans="1:14">
      <c r="A481" s="1">
        <f t="shared" si="60"/>
        <v>458</v>
      </c>
      <c r="B481" s="2">
        <f t="shared" si="54"/>
        <v>38</v>
      </c>
      <c r="C481" s="2">
        <f t="shared" si="55"/>
        <v>2</v>
      </c>
      <c r="D481" s="2">
        <f t="shared" si="56"/>
        <v>67</v>
      </c>
      <c r="E481" s="1">
        <f t="shared" si="61"/>
        <v>500831.87991672283</v>
      </c>
      <c r="G481" s="1">
        <f t="shared" si="57"/>
        <v>3609.6572855883801</v>
      </c>
      <c r="H481" s="1">
        <v>0</v>
      </c>
      <c r="I481" s="1">
        <f t="shared" si="58"/>
        <v>-504.44153720231122</v>
      </c>
      <c r="J481" s="1">
        <f t="shared" si="59"/>
        <v>503937.09566510888</v>
      </c>
      <c r="M481" s="7"/>
      <c r="N481" s="1"/>
    </row>
    <row r="482" spans="1:14">
      <c r="A482" s="1">
        <f t="shared" si="60"/>
        <v>459</v>
      </c>
      <c r="B482" s="2">
        <f t="shared" si="54"/>
        <v>38</v>
      </c>
      <c r="C482" s="2">
        <f t="shared" si="55"/>
        <v>3</v>
      </c>
      <c r="D482" s="2">
        <f t="shared" si="56"/>
        <v>67</v>
      </c>
      <c r="E482" s="1">
        <f t="shared" si="61"/>
        <v>503937.09566510888</v>
      </c>
      <c r="G482" s="1">
        <f t="shared" si="57"/>
        <v>3632.0375794533579</v>
      </c>
      <c r="H482" s="69">
        <f>-SUM(E482:G482)*$H$21</f>
        <v>-4568.1221992010605</v>
      </c>
      <c r="I482" s="1">
        <f t="shared" si="58"/>
        <v>-507.56913324456224</v>
      </c>
      <c r="J482" s="1">
        <f t="shared" si="59"/>
        <v>502493.4419121166</v>
      </c>
      <c r="M482" s="7"/>
      <c r="N482" s="1"/>
    </row>
    <row r="483" spans="1:14">
      <c r="A483" s="1">
        <f t="shared" si="60"/>
        <v>460</v>
      </c>
      <c r="B483" s="2">
        <f t="shared" si="54"/>
        <v>38</v>
      </c>
      <c r="C483" s="2">
        <f t="shared" si="55"/>
        <v>4</v>
      </c>
      <c r="D483" s="2">
        <f t="shared" si="56"/>
        <v>67</v>
      </c>
      <c r="E483" s="1">
        <f t="shared" si="61"/>
        <v>502493.4419121166</v>
      </c>
      <c r="G483" s="1">
        <f t="shared" si="57"/>
        <v>3621.6327000989882</v>
      </c>
      <c r="H483" s="1">
        <v>0</v>
      </c>
      <c r="I483" s="1">
        <f t="shared" si="58"/>
        <v>-506.11507461221555</v>
      </c>
      <c r="J483" s="1">
        <f t="shared" si="59"/>
        <v>505608.95953760337</v>
      </c>
      <c r="M483" s="7"/>
      <c r="N483" s="1"/>
    </row>
    <row r="484" spans="1:14">
      <c r="A484" s="1">
        <f t="shared" si="60"/>
        <v>461</v>
      </c>
      <c r="B484" s="2">
        <f t="shared" ref="B484:B547" si="62">B472+1</f>
        <v>38</v>
      </c>
      <c r="C484" s="2">
        <f t="shared" ref="C484:C547" si="63">C472</f>
        <v>5</v>
      </c>
      <c r="D484" s="2">
        <f t="shared" ref="D484:D547" si="64">D472+1</f>
        <v>67</v>
      </c>
      <c r="E484" s="1">
        <f t="shared" si="61"/>
        <v>505608.95953760337</v>
      </c>
      <c r="G484" s="1">
        <f t="shared" si="57"/>
        <v>3644.0872429229939</v>
      </c>
      <c r="H484" s="1">
        <v>0</v>
      </c>
      <c r="I484" s="1">
        <f t="shared" si="58"/>
        <v>-509.25304678052635</v>
      </c>
      <c r="J484" s="1">
        <f t="shared" si="59"/>
        <v>508743.79373374581</v>
      </c>
      <c r="M484" s="7"/>
      <c r="N484" s="1"/>
    </row>
    <row r="485" spans="1:14">
      <c r="A485" s="1">
        <f t="shared" si="60"/>
        <v>462</v>
      </c>
      <c r="B485" s="2">
        <f t="shared" si="62"/>
        <v>38</v>
      </c>
      <c r="C485" s="2">
        <f t="shared" si="63"/>
        <v>6</v>
      </c>
      <c r="D485" s="2">
        <f t="shared" si="64"/>
        <v>67</v>
      </c>
      <c r="E485" s="1">
        <f t="shared" si="61"/>
        <v>508743.79373374581</v>
      </c>
      <c r="G485" s="1">
        <f t="shared" si="57"/>
        <v>3666.6810065170739</v>
      </c>
      <c r="H485" s="69">
        <f>-SUM(E485:G485)*$H$21</f>
        <v>-4611.6942726623665</v>
      </c>
      <c r="I485" s="1">
        <f t="shared" si="58"/>
        <v>-512.41047474026288</v>
      </c>
      <c r="J485" s="1">
        <f t="shared" si="59"/>
        <v>507286.3699928603</v>
      </c>
      <c r="M485" s="7"/>
      <c r="N485" s="1"/>
    </row>
    <row r="486" spans="1:14">
      <c r="A486" s="1">
        <f t="shared" si="60"/>
        <v>463</v>
      </c>
      <c r="B486" s="2">
        <f t="shared" si="62"/>
        <v>38</v>
      </c>
      <c r="C486" s="2">
        <f t="shared" si="63"/>
        <v>7</v>
      </c>
      <c r="D486" s="2">
        <f t="shared" si="64"/>
        <v>67</v>
      </c>
      <c r="E486" s="1">
        <f t="shared" si="61"/>
        <v>507286.3699928603</v>
      </c>
      <c r="G486" s="1">
        <f t="shared" si="57"/>
        <v>3656.1768824078986</v>
      </c>
      <c r="H486" s="1">
        <v>0</v>
      </c>
      <c r="I486" s="1">
        <f t="shared" si="58"/>
        <v>-510.94254687526825</v>
      </c>
      <c r="J486" s="1">
        <f t="shared" si="59"/>
        <v>510431.60432839295</v>
      </c>
      <c r="M486" s="7"/>
      <c r="N486" s="1"/>
    </row>
    <row r="487" spans="1:14">
      <c r="A487" s="1">
        <f t="shared" si="60"/>
        <v>464</v>
      </c>
      <c r="B487" s="2">
        <f t="shared" si="62"/>
        <v>38</v>
      </c>
      <c r="C487" s="2">
        <f t="shared" si="63"/>
        <v>8</v>
      </c>
      <c r="D487" s="2">
        <f t="shared" si="64"/>
        <v>67</v>
      </c>
      <c r="E487" s="1">
        <f t="shared" si="61"/>
        <v>510431.60432839295</v>
      </c>
      <c r="G487" s="1">
        <f t="shared" si="57"/>
        <v>3678.8456031690971</v>
      </c>
      <c r="H487" s="1">
        <v>0</v>
      </c>
      <c r="I487" s="1">
        <f t="shared" si="58"/>
        <v>-514.11044993156213</v>
      </c>
      <c r="J487" s="1">
        <f t="shared" si="59"/>
        <v>513596.33948163048</v>
      </c>
      <c r="M487" s="7"/>
      <c r="N487" s="1"/>
    </row>
    <row r="488" spans="1:14">
      <c r="A488" s="1">
        <f t="shared" si="60"/>
        <v>465</v>
      </c>
      <c r="B488" s="2">
        <f t="shared" si="62"/>
        <v>38</v>
      </c>
      <c r="C488" s="2">
        <f t="shared" si="63"/>
        <v>9</v>
      </c>
      <c r="D488" s="2">
        <f t="shared" si="64"/>
        <v>67</v>
      </c>
      <c r="E488" s="1">
        <f t="shared" si="61"/>
        <v>513596.33948163048</v>
      </c>
      <c r="G488" s="1">
        <f t="shared" si="57"/>
        <v>3701.6548726284232</v>
      </c>
      <c r="H488" s="69">
        <f>-SUM(E488:G488)*$H$21</f>
        <v>-4655.6819491883307</v>
      </c>
      <c r="I488" s="1">
        <f t="shared" si="58"/>
        <v>-517.29799435425889</v>
      </c>
      <c r="J488" s="1">
        <f t="shared" si="59"/>
        <v>512125.01441071625</v>
      </c>
      <c r="M488" s="7"/>
      <c r="N488" s="1"/>
    </row>
    <row r="489" spans="1:14">
      <c r="A489" s="1">
        <f t="shared" si="60"/>
        <v>466</v>
      </c>
      <c r="B489" s="2">
        <f t="shared" si="62"/>
        <v>38</v>
      </c>
      <c r="C489" s="2">
        <f t="shared" si="63"/>
        <v>10</v>
      </c>
      <c r="D489" s="2">
        <f t="shared" si="64"/>
        <v>67</v>
      </c>
      <c r="E489" s="1">
        <f t="shared" si="61"/>
        <v>512125.01441071625</v>
      </c>
      <c r="G489" s="1">
        <f t="shared" si="57"/>
        <v>3691.0505571392068</v>
      </c>
      <c r="H489" s="1">
        <v>0</v>
      </c>
      <c r="I489" s="1">
        <f t="shared" si="58"/>
        <v>-515.81606496785548</v>
      </c>
      <c r="J489" s="1">
        <f t="shared" si="59"/>
        <v>515300.24890288763</v>
      </c>
      <c r="M489" s="7"/>
      <c r="N489" s="1"/>
    </row>
    <row r="490" spans="1:14">
      <c r="A490" s="1">
        <f t="shared" si="60"/>
        <v>467</v>
      </c>
      <c r="B490" s="2">
        <f t="shared" si="62"/>
        <v>38</v>
      </c>
      <c r="C490" s="2">
        <f t="shared" si="63"/>
        <v>11</v>
      </c>
      <c r="D490" s="2">
        <f t="shared" si="64"/>
        <v>67</v>
      </c>
      <c r="E490" s="1">
        <f t="shared" si="61"/>
        <v>515300.24890288763</v>
      </c>
      <c r="G490" s="1">
        <f t="shared" si="57"/>
        <v>3713.9354987288352</v>
      </c>
      <c r="H490" s="1">
        <v>0</v>
      </c>
      <c r="I490" s="1">
        <f t="shared" si="58"/>
        <v>-519.01418440161649</v>
      </c>
      <c r="J490" s="1">
        <f t="shared" si="59"/>
        <v>518495.17021721485</v>
      </c>
      <c r="M490" s="7"/>
      <c r="N490" s="1"/>
    </row>
    <row r="491" spans="1:14">
      <c r="A491" s="1">
        <f t="shared" si="60"/>
        <v>468</v>
      </c>
      <c r="B491" s="2">
        <f t="shared" si="62"/>
        <v>38</v>
      </c>
      <c r="C491" s="2">
        <f t="shared" si="63"/>
        <v>12</v>
      </c>
      <c r="D491" s="2">
        <f t="shared" si="64"/>
        <v>67</v>
      </c>
      <c r="E491" s="1">
        <f t="shared" si="61"/>
        <v>518495.17021721485</v>
      </c>
      <c r="G491" s="1">
        <f t="shared" si="57"/>
        <v>3736.962329610808</v>
      </c>
      <c r="H491" s="69">
        <f>-SUM(E491:G491)*$H$21</f>
        <v>-4700.0891929214313</v>
      </c>
      <c r="I491" s="1">
        <f t="shared" si="58"/>
        <v>-522.23213254682571</v>
      </c>
      <c r="J491" s="1">
        <f t="shared" si="59"/>
        <v>517009.81122135743</v>
      </c>
      <c r="M491" s="7"/>
      <c r="N491" s="1"/>
    </row>
    <row r="492" spans="1:14">
      <c r="A492" s="1">
        <f t="shared" si="60"/>
        <v>469</v>
      </c>
      <c r="B492" s="2">
        <f t="shared" si="62"/>
        <v>39</v>
      </c>
      <c r="C492" s="2">
        <f t="shared" si="63"/>
        <v>1</v>
      </c>
      <c r="D492" s="2">
        <f t="shared" si="64"/>
        <v>68</v>
      </c>
      <c r="E492" s="1">
        <f t="shared" si="61"/>
        <v>517009.81122135743</v>
      </c>
      <c r="G492" s="1">
        <f t="shared" si="57"/>
        <v>3726.256867087131</v>
      </c>
      <c r="H492" s="1">
        <v>0</v>
      </c>
      <c r="I492" s="1">
        <f t="shared" si="58"/>
        <v>-520.73606808844465</v>
      </c>
      <c r="J492" s="1">
        <f t="shared" si="59"/>
        <v>520215.33202035615</v>
      </c>
      <c r="M492" s="7"/>
      <c r="N492" s="1"/>
    </row>
    <row r="493" spans="1:14">
      <c r="A493" s="1">
        <f t="shared" si="60"/>
        <v>470</v>
      </c>
      <c r="B493" s="2">
        <f t="shared" si="62"/>
        <v>39</v>
      </c>
      <c r="C493" s="2">
        <f t="shared" si="63"/>
        <v>2</v>
      </c>
      <c r="D493" s="2">
        <f t="shared" si="64"/>
        <v>68</v>
      </c>
      <c r="E493" s="1">
        <f t="shared" si="61"/>
        <v>520215.33202035615</v>
      </c>
      <c r="G493" s="1">
        <f t="shared" si="57"/>
        <v>3749.3600918821157</v>
      </c>
      <c r="H493" s="1">
        <v>0</v>
      </c>
      <c r="I493" s="1">
        <f t="shared" si="58"/>
        <v>-523.96469211223825</v>
      </c>
      <c r="J493" s="1">
        <f t="shared" si="59"/>
        <v>523440.72742012603</v>
      </c>
      <c r="M493" s="7"/>
      <c r="N493" s="1"/>
    </row>
    <row r="494" spans="1:14">
      <c r="A494" s="1">
        <f t="shared" si="60"/>
        <v>471</v>
      </c>
      <c r="B494" s="2">
        <f t="shared" si="62"/>
        <v>39</v>
      </c>
      <c r="C494" s="2">
        <f t="shared" si="63"/>
        <v>3</v>
      </c>
      <c r="D494" s="2">
        <f t="shared" si="64"/>
        <v>68</v>
      </c>
      <c r="E494" s="1">
        <f t="shared" si="61"/>
        <v>523440.72742012603</v>
      </c>
      <c r="G494" s="1">
        <f t="shared" si="57"/>
        <v>3772.6065593506373</v>
      </c>
      <c r="H494" s="69">
        <f>-SUM(E494:G494)*$H$21</f>
        <v>-4744.920005815291</v>
      </c>
      <c r="I494" s="1">
        <f t="shared" si="58"/>
        <v>-527.21333397947672</v>
      </c>
      <c r="J494" s="1">
        <f t="shared" si="59"/>
        <v>521941.20063968195</v>
      </c>
      <c r="M494" s="7"/>
      <c r="N494" s="1"/>
    </row>
    <row r="495" spans="1:14">
      <c r="A495" s="1">
        <f t="shared" si="60"/>
        <v>472</v>
      </c>
      <c r="B495" s="2">
        <f t="shared" si="62"/>
        <v>39</v>
      </c>
      <c r="C495" s="2">
        <f t="shared" si="63"/>
        <v>4</v>
      </c>
      <c r="D495" s="2">
        <f t="shared" si="64"/>
        <v>68</v>
      </c>
      <c r="E495" s="1">
        <f t="shared" si="61"/>
        <v>521941.20063968195</v>
      </c>
      <c r="G495" s="1">
        <f t="shared" si="57"/>
        <v>3761.7989850227714</v>
      </c>
      <c r="H495" s="1">
        <v>0</v>
      </c>
      <c r="I495" s="1">
        <f t="shared" si="58"/>
        <v>-525.70299962470472</v>
      </c>
      <c r="J495" s="1">
        <f t="shared" si="59"/>
        <v>525177.29662508005</v>
      </c>
      <c r="M495" s="7"/>
      <c r="N495" s="1"/>
    </row>
    <row r="496" spans="1:14">
      <c r="A496" s="1">
        <f t="shared" si="60"/>
        <v>473</v>
      </c>
      <c r="B496" s="2">
        <f t="shared" si="62"/>
        <v>39</v>
      </c>
      <c r="C496" s="2">
        <f t="shared" si="63"/>
        <v>5</v>
      </c>
      <c r="D496" s="2">
        <f t="shared" si="64"/>
        <v>68</v>
      </c>
      <c r="E496" s="1">
        <f t="shared" si="61"/>
        <v>525177.29662508005</v>
      </c>
      <c r="G496" s="1">
        <f t="shared" si="57"/>
        <v>3785.1225750715876</v>
      </c>
      <c r="H496" s="1">
        <v>0</v>
      </c>
      <c r="I496" s="1">
        <f t="shared" si="58"/>
        <v>-528.96241920015166</v>
      </c>
      <c r="J496" s="1">
        <f t="shared" si="59"/>
        <v>528433.45678095159</v>
      </c>
      <c r="M496" s="7"/>
      <c r="N496" s="1"/>
    </row>
    <row r="497" spans="1:14">
      <c r="A497" s="1">
        <f t="shared" si="60"/>
        <v>474</v>
      </c>
      <c r="B497" s="2">
        <f t="shared" si="62"/>
        <v>39</v>
      </c>
      <c r="C497" s="2">
        <f t="shared" si="63"/>
        <v>6</v>
      </c>
      <c r="D497" s="2">
        <f t="shared" si="64"/>
        <v>68</v>
      </c>
      <c r="E497" s="1">
        <f t="shared" si="61"/>
        <v>528433.45678095159</v>
      </c>
      <c r="G497" s="1">
        <f t="shared" si="57"/>
        <v>3808.5907740840757</v>
      </c>
      <c r="H497" s="69">
        <f>-SUM(E497:G497)*$H$21</f>
        <v>-4790.1784279953217</v>
      </c>
      <c r="I497" s="1">
        <f t="shared" si="58"/>
        <v>-532.2420475550357</v>
      </c>
      <c r="J497" s="1">
        <f t="shared" si="59"/>
        <v>526919.62707948533</v>
      </c>
      <c r="M497" s="7"/>
      <c r="N497" s="1"/>
    </row>
    <row r="498" spans="1:14">
      <c r="A498" s="1">
        <f t="shared" si="60"/>
        <v>475</v>
      </c>
      <c r="B498" s="2">
        <f t="shared" si="62"/>
        <v>39</v>
      </c>
      <c r="C498" s="2">
        <f t="shared" si="63"/>
        <v>7</v>
      </c>
      <c r="D498" s="2">
        <f t="shared" si="64"/>
        <v>68</v>
      </c>
      <c r="E498" s="1">
        <f t="shared" si="61"/>
        <v>526919.62707948533</v>
      </c>
      <c r="G498" s="1">
        <f t="shared" si="57"/>
        <v>3797.6801139800377</v>
      </c>
      <c r="H498" s="1">
        <v>0</v>
      </c>
      <c r="I498" s="1">
        <f t="shared" si="58"/>
        <v>-530.71730719346544</v>
      </c>
      <c r="J498" s="1">
        <f t="shared" si="59"/>
        <v>530186.58988627198</v>
      </c>
      <c r="M498" s="7"/>
      <c r="N498" s="1"/>
    </row>
    <row r="499" spans="1:14">
      <c r="A499" s="1">
        <f t="shared" si="60"/>
        <v>476</v>
      </c>
      <c r="B499" s="2">
        <f t="shared" si="62"/>
        <v>39</v>
      </c>
      <c r="C499" s="2">
        <f t="shared" si="63"/>
        <v>8</v>
      </c>
      <c r="D499" s="2">
        <f t="shared" si="64"/>
        <v>68</v>
      </c>
      <c r="E499" s="1">
        <f t="shared" si="61"/>
        <v>530186.58988627198</v>
      </c>
      <c r="G499" s="1">
        <f t="shared" si="57"/>
        <v>3821.2261711903425</v>
      </c>
      <c r="H499" s="1">
        <v>0</v>
      </c>
      <c r="I499" s="1">
        <f t="shared" si="58"/>
        <v>-534.00781605746238</v>
      </c>
      <c r="J499" s="1">
        <f t="shared" si="59"/>
        <v>533473.80824140494</v>
      </c>
      <c r="M499" s="7"/>
      <c r="N499" s="1"/>
    </row>
    <row r="500" spans="1:14">
      <c r="A500" s="1">
        <f t="shared" si="60"/>
        <v>477</v>
      </c>
      <c r="B500" s="2">
        <f t="shared" si="62"/>
        <v>39</v>
      </c>
      <c r="C500" s="2">
        <f t="shared" si="63"/>
        <v>9</v>
      </c>
      <c r="D500" s="2">
        <f t="shared" si="64"/>
        <v>68</v>
      </c>
      <c r="E500" s="1">
        <f t="shared" si="61"/>
        <v>533473.80824140494</v>
      </c>
      <c r="G500" s="1">
        <f t="shared" si="57"/>
        <v>3844.9182166865248</v>
      </c>
      <c r="H500" s="69">
        <f>-SUM(E500:G500)*$H$21</f>
        <v>-4835.8685381228242</v>
      </c>
      <c r="I500" s="1">
        <f t="shared" si="58"/>
        <v>-537.31872645809153</v>
      </c>
      <c r="J500" s="1">
        <f t="shared" si="59"/>
        <v>531945.53919351054</v>
      </c>
      <c r="M500" s="7"/>
      <c r="N500" s="1"/>
    </row>
    <row r="501" spans="1:14">
      <c r="A501" s="1">
        <f t="shared" si="60"/>
        <v>478</v>
      </c>
      <c r="B501" s="2">
        <f t="shared" si="62"/>
        <v>39</v>
      </c>
      <c r="C501" s="2">
        <f t="shared" si="63"/>
        <v>10</v>
      </c>
      <c r="D501" s="2">
        <f t="shared" si="64"/>
        <v>68</v>
      </c>
      <c r="E501" s="1">
        <f t="shared" si="61"/>
        <v>531945.53919351054</v>
      </c>
      <c r="G501" s="1">
        <f t="shared" si="57"/>
        <v>3833.9034875443058</v>
      </c>
      <c r="H501" s="1">
        <v>0</v>
      </c>
      <c r="I501" s="1">
        <f t="shared" si="58"/>
        <v>-535.77944268105477</v>
      </c>
      <c r="J501" s="1">
        <f t="shared" si="59"/>
        <v>535243.66323837382</v>
      </c>
      <c r="M501" s="7"/>
      <c r="N501" s="1"/>
    </row>
    <row r="502" spans="1:14">
      <c r="A502" s="1">
        <f t="shared" si="60"/>
        <v>479</v>
      </c>
      <c r="B502" s="2">
        <f t="shared" si="62"/>
        <v>39</v>
      </c>
      <c r="C502" s="2">
        <f t="shared" si="63"/>
        <v>11</v>
      </c>
      <c r="D502" s="2">
        <f t="shared" si="64"/>
        <v>68</v>
      </c>
      <c r="E502" s="1">
        <f t="shared" si="61"/>
        <v>535243.66323837382</v>
      </c>
      <c r="G502" s="1">
        <f t="shared" si="57"/>
        <v>3857.67413387236</v>
      </c>
      <c r="H502" s="1">
        <v>0</v>
      </c>
      <c r="I502" s="1">
        <f t="shared" si="58"/>
        <v>-539.10133737224623</v>
      </c>
      <c r="J502" s="1">
        <f t="shared" si="59"/>
        <v>538562.23603487399</v>
      </c>
      <c r="M502" s="7"/>
      <c r="N502" s="1"/>
    </row>
    <row r="503" spans="1:14">
      <c r="A503" s="1">
        <f t="shared" si="60"/>
        <v>480</v>
      </c>
      <c r="B503" s="2">
        <f t="shared" si="62"/>
        <v>39</v>
      </c>
      <c r="C503" s="2">
        <f t="shared" si="63"/>
        <v>12</v>
      </c>
      <c r="D503" s="2">
        <f t="shared" si="64"/>
        <v>68</v>
      </c>
      <c r="E503" s="1">
        <f t="shared" si="61"/>
        <v>538562.23603487399</v>
      </c>
      <c r="G503" s="1">
        <f t="shared" si="57"/>
        <v>3881.5921609648726</v>
      </c>
      <c r="H503" s="69">
        <f>-SUM(E503:G503)*$H$21</f>
        <v>-4881.9944537625497</v>
      </c>
      <c r="I503" s="1">
        <f t="shared" si="58"/>
        <v>-542.44382819583882</v>
      </c>
      <c r="J503" s="1">
        <f t="shared" si="59"/>
        <v>537019.3899138805</v>
      </c>
      <c r="M503" s="7"/>
      <c r="N503" s="1"/>
    </row>
    <row r="504" spans="1:14">
      <c r="A504" s="1">
        <f t="shared" si="60"/>
        <v>481</v>
      </c>
      <c r="B504" s="2">
        <f t="shared" si="62"/>
        <v>40</v>
      </c>
      <c r="C504" s="2">
        <f t="shared" si="63"/>
        <v>1</v>
      </c>
      <c r="D504" s="2">
        <f t="shared" si="64"/>
        <v>69</v>
      </c>
      <c r="E504" s="1">
        <f t="shared" si="61"/>
        <v>537019.3899138805</v>
      </c>
      <c r="G504" s="1">
        <f t="shared" si="57"/>
        <v>3870.4723701438252</v>
      </c>
      <c r="H504" s="1">
        <v>0</v>
      </c>
      <c r="I504" s="1">
        <f t="shared" si="58"/>
        <v>-540.88986228402439</v>
      </c>
      <c r="J504" s="1">
        <f t="shared" si="59"/>
        <v>540348.9724217403</v>
      </c>
      <c r="M504" s="7"/>
      <c r="N504" s="1"/>
    </row>
    <row r="505" spans="1:14">
      <c r="A505" s="1">
        <f t="shared" si="60"/>
        <v>482</v>
      </c>
      <c r="B505" s="2">
        <f t="shared" si="62"/>
        <v>40</v>
      </c>
      <c r="C505" s="2">
        <f t="shared" si="63"/>
        <v>2</v>
      </c>
      <c r="D505" s="2">
        <f t="shared" si="64"/>
        <v>69</v>
      </c>
      <c r="E505" s="1">
        <f t="shared" si="61"/>
        <v>540348.9724217403</v>
      </c>
      <c r="G505" s="1">
        <f t="shared" si="57"/>
        <v>3894.4697477857239</v>
      </c>
      <c r="H505" s="1">
        <v>0</v>
      </c>
      <c r="I505" s="1">
        <f t="shared" si="58"/>
        <v>-544.24344216952602</v>
      </c>
      <c r="J505" s="1">
        <f t="shared" si="59"/>
        <v>543699.1987273565</v>
      </c>
      <c r="M505" s="7"/>
      <c r="N505" s="1"/>
    </row>
    <row r="506" spans="1:14">
      <c r="A506" s="1">
        <f t="shared" si="60"/>
        <v>483</v>
      </c>
      <c r="B506" s="2">
        <f t="shared" si="62"/>
        <v>40</v>
      </c>
      <c r="C506" s="2">
        <f t="shared" si="63"/>
        <v>3</v>
      </c>
      <c r="D506" s="2">
        <f t="shared" si="64"/>
        <v>69</v>
      </c>
      <c r="E506" s="1">
        <f t="shared" si="61"/>
        <v>543699.1987273565</v>
      </c>
      <c r="G506" s="1">
        <f t="shared" si="57"/>
        <v>3918.6159119525264</v>
      </c>
      <c r="H506" s="69">
        <f>-SUM(E506:G506)*$H$21</f>
        <v>-4928.5603317537825</v>
      </c>
      <c r="I506" s="1">
        <f t="shared" si="58"/>
        <v>-547.61781463930913</v>
      </c>
      <c r="J506" s="1">
        <f t="shared" si="59"/>
        <v>542141.63649291592</v>
      </c>
      <c r="M506" s="7"/>
      <c r="N506" s="1"/>
    </row>
    <row r="507" spans="1:14">
      <c r="A507" s="1">
        <f t="shared" si="60"/>
        <v>484</v>
      </c>
      <c r="B507" s="2">
        <f t="shared" si="62"/>
        <v>40</v>
      </c>
      <c r="C507" s="2">
        <f t="shared" si="63"/>
        <v>4</v>
      </c>
      <c r="D507" s="2">
        <f t="shared" si="64"/>
        <v>69</v>
      </c>
      <c r="E507" s="1">
        <f t="shared" si="61"/>
        <v>542141.63649291592</v>
      </c>
      <c r="G507" s="1">
        <f t="shared" si="57"/>
        <v>3907.3900573439087</v>
      </c>
      <c r="H507" s="1">
        <v>0</v>
      </c>
      <c r="I507" s="1">
        <f t="shared" si="58"/>
        <v>-546.04902655025978</v>
      </c>
      <c r="J507" s="1">
        <f t="shared" si="59"/>
        <v>545502.97752370953</v>
      </c>
      <c r="M507" s="7"/>
      <c r="N507" s="1"/>
    </row>
    <row r="508" spans="1:14">
      <c r="A508" s="1">
        <f t="shared" si="60"/>
        <v>485</v>
      </c>
      <c r="B508" s="2">
        <f t="shared" si="62"/>
        <v>40</v>
      </c>
      <c r="C508" s="2">
        <f t="shared" si="63"/>
        <v>5</v>
      </c>
      <c r="D508" s="2">
        <f t="shared" si="64"/>
        <v>69</v>
      </c>
      <c r="E508" s="1">
        <f t="shared" si="61"/>
        <v>545502.97752370953</v>
      </c>
      <c r="G508" s="1">
        <f t="shared" si="57"/>
        <v>3931.6163289286346</v>
      </c>
      <c r="H508" s="1">
        <v>0</v>
      </c>
      <c r="I508" s="1">
        <f t="shared" si="58"/>
        <v>-549.43459385263816</v>
      </c>
      <c r="J508" s="1">
        <f t="shared" si="59"/>
        <v>548885.15925878554</v>
      </c>
      <c r="M508" s="7"/>
      <c r="N508" s="1"/>
    </row>
    <row r="509" spans="1:14">
      <c r="A509" s="1">
        <f t="shared" si="60"/>
        <v>486</v>
      </c>
      <c r="B509" s="2">
        <f t="shared" si="62"/>
        <v>40</v>
      </c>
      <c r="C509" s="2">
        <f t="shared" si="63"/>
        <v>6</v>
      </c>
      <c r="D509" s="2">
        <f t="shared" si="64"/>
        <v>69</v>
      </c>
      <c r="E509" s="1">
        <f t="shared" si="61"/>
        <v>548885.15925878554</v>
      </c>
      <c r="G509" s="1">
        <f t="shared" si="57"/>
        <v>3955.9928062072595</v>
      </c>
      <c r="H509" s="69">
        <f>-SUM(E509:G509)*$H$21</f>
        <v>-4975.5703685849357</v>
      </c>
      <c r="I509" s="1">
        <f t="shared" si="58"/>
        <v>-552.8411520649928</v>
      </c>
      <c r="J509" s="1">
        <f t="shared" si="59"/>
        <v>547312.7405443429</v>
      </c>
      <c r="M509" s="7"/>
      <c r="N509" s="1"/>
    </row>
    <row r="510" spans="1:14">
      <c r="A510" s="1">
        <f t="shared" si="60"/>
        <v>487</v>
      </c>
      <c r="B510" s="2">
        <f t="shared" si="62"/>
        <v>40</v>
      </c>
      <c r="C510" s="2">
        <f t="shared" si="63"/>
        <v>7</v>
      </c>
      <c r="D510" s="2">
        <f t="shared" si="64"/>
        <v>69</v>
      </c>
      <c r="E510" s="1">
        <f t="shared" si="61"/>
        <v>547312.7405443429</v>
      </c>
      <c r="G510" s="1">
        <f t="shared" si="57"/>
        <v>3944.6598761439272</v>
      </c>
      <c r="H510" s="1">
        <v>0</v>
      </c>
      <c r="I510" s="1">
        <f t="shared" si="58"/>
        <v>-551.25740042048687</v>
      </c>
      <c r="J510" s="1">
        <f t="shared" si="59"/>
        <v>550706.14302006632</v>
      </c>
      <c r="M510" s="7"/>
      <c r="N510" s="1"/>
    </row>
    <row r="511" spans="1:14">
      <c r="A511" s="1">
        <f t="shared" si="60"/>
        <v>488</v>
      </c>
      <c r="B511" s="2">
        <f t="shared" si="62"/>
        <v>40</v>
      </c>
      <c r="C511" s="2">
        <f t="shared" si="63"/>
        <v>8</v>
      </c>
      <c r="D511" s="2">
        <f t="shared" si="64"/>
        <v>69</v>
      </c>
      <c r="E511" s="1">
        <f t="shared" si="61"/>
        <v>550706.14302006632</v>
      </c>
      <c r="G511" s="1">
        <f t="shared" si="57"/>
        <v>3969.1172249282449</v>
      </c>
      <c r="H511" s="1">
        <v>0</v>
      </c>
      <c r="I511" s="1">
        <f t="shared" si="58"/>
        <v>-554.67526024499455</v>
      </c>
      <c r="J511" s="1">
        <f t="shared" si="59"/>
        <v>554120.58498474956</v>
      </c>
      <c r="M511" s="7"/>
      <c r="N511" s="1"/>
    </row>
    <row r="512" spans="1:14">
      <c r="A512" s="1">
        <f t="shared" si="60"/>
        <v>489</v>
      </c>
      <c r="B512" s="2">
        <f t="shared" si="62"/>
        <v>40</v>
      </c>
      <c r="C512" s="2">
        <f t="shared" si="63"/>
        <v>9</v>
      </c>
      <c r="D512" s="2">
        <f t="shared" si="64"/>
        <v>69</v>
      </c>
      <c r="E512" s="1">
        <f t="shared" si="61"/>
        <v>554120.58498474956</v>
      </c>
      <c r="G512" s="1">
        <f t="shared" si="57"/>
        <v>3993.726212111902</v>
      </c>
      <c r="H512" s="69">
        <f>-SUM(E512:G512)*$H$21</f>
        <v>-5023.0288007717536</v>
      </c>
      <c r="I512" s="1">
        <f t="shared" si="58"/>
        <v>-558.11431119686142</v>
      </c>
      <c r="J512" s="1">
        <f t="shared" si="59"/>
        <v>552533.16808489279</v>
      </c>
      <c r="M512" s="7"/>
      <c r="N512" s="1"/>
    </row>
    <row r="513" spans="1:14">
      <c r="A513" s="1">
        <f t="shared" si="60"/>
        <v>490</v>
      </c>
      <c r="B513" s="2">
        <f t="shared" si="62"/>
        <v>40</v>
      </c>
      <c r="C513" s="2">
        <f t="shared" si="63"/>
        <v>10</v>
      </c>
      <c r="D513" s="2">
        <f t="shared" si="64"/>
        <v>69</v>
      </c>
      <c r="E513" s="1">
        <f t="shared" si="61"/>
        <v>552533.16808489279</v>
      </c>
      <c r="G513" s="1">
        <f t="shared" si="57"/>
        <v>3982.2851852771346</v>
      </c>
      <c r="H513" s="1">
        <v>0</v>
      </c>
      <c r="I513" s="1">
        <f t="shared" si="58"/>
        <v>-556.51545327016993</v>
      </c>
      <c r="J513" s="1">
        <f t="shared" si="59"/>
        <v>555958.93781689974</v>
      </c>
      <c r="M513" s="7"/>
      <c r="N513" s="1"/>
    </row>
    <row r="514" spans="1:14">
      <c r="A514" s="1">
        <f t="shared" si="60"/>
        <v>491</v>
      </c>
      <c r="B514" s="2">
        <f t="shared" si="62"/>
        <v>40</v>
      </c>
      <c r="C514" s="2">
        <f t="shared" si="63"/>
        <v>11</v>
      </c>
      <c r="D514" s="2">
        <f t="shared" si="64"/>
        <v>69</v>
      </c>
      <c r="E514" s="1">
        <f t="shared" si="61"/>
        <v>555958.93781689974</v>
      </c>
      <c r="G514" s="1">
        <f t="shared" si="57"/>
        <v>4006.975815342344</v>
      </c>
      <c r="H514" s="1">
        <v>0</v>
      </c>
      <c r="I514" s="1">
        <f t="shared" si="58"/>
        <v>-559.96591363224218</v>
      </c>
      <c r="J514" s="1">
        <f t="shared" si="59"/>
        <v>559405.94771860994</v>
      </c>
      <c r="M514" s="7"/>
      <c r="N514" s="1"/>
    </row>
    <row r="515" spans="1:14">
      <c r="A515" s="1">
        <f t="shared" si="60"/>
        <v>492</v>
      </c>
      <c r="B515" s="2">
        <f t="shared" si="62"/>
        <v>40</v>
      </c>
      <c r="C515" s="2">
        <f t="shared" si="63"/>
        <v>12</v>
      </c>
      <c r="D515" s="2">
        <f t="shared" si="64"/>
        <v>69</v>
      </c>
      <c r="E515" s="1">
        <f t="shared" si="61"/>
        <v>559405.94771860994</v>
      </c>
      <c r="G515" s="1">
        <f t="shared" si="57"/>
        <v>4031.8195301778937</v>
      </c>
      <c r="H515" s="69">
        <f>-SUM(E515:G515)*$H$21</f>
        <v>-5070.9399052390909</v>
      </c>
      <c r="I515" s="1">
        <f t="shared" si="58"/>
        <v>-563.43776724878785</v>
      </c>
      <c r="J515" s="1">
        <f t="shared" si="59"/>
        <v>557803.38957629993</v>
      </c>
      <c r="M515" s="7"/>
      <c r="N515" s="1"/>
    </row>
    <row r="516" spans="1:14">
      <c r="A516" s="1">
        <f t="shared" si="60"/>
        <v>493</v>
      </c>
      <c r="B516" s="2">
        <f t="shared" si="62"/>
        <v>41</v>
      </c>
      <c r="C516" s="2">
        <f t="shared" si="63"/>
        <v>1</v>
      </c>
      <c r="D516" s="2">
        <f t="shared" si="64"/>
        <v>70</v>
      </c>
      <c r="E516" s="1">
        <f t="shared" si="61"/>
        <v>557803.38957629993</v>
      </c>
      <c r="G516" s="1">
        <f t="shared" si="57"/>
        <v>4020.2693755133582</v>
      </c>
      <c r="H516" s="1">
        <v>0</v>
      </c>
      <c r="I516" s="1">
        <f t="shared" si="58"/>
        <v>-561.82365895181329</v>
      </c>
      <c r="J516" s="1">
        <f t="shared" si="59"/>
        <v>561261.83529286145</v>
      </c>
      <c r="M516" s="7"/>
      <c r="N516" s="1"/>
    </row>
    <row r="517" spans="1:14">
      <c r="A517" s="1">
        <f t="shared" si="60"/>
        <v>494</v>
      </c>
      <c r="B517" s="2">
        <f t="shared" si="62"/>
        <v>41</v>
      </c>
      <c r="C517" s="2">
        <f t="shared" si="63"/>
        <v>2</v>
      </c>
      <c r="D517" s="2">
        <f t="shared" si="64"/>
        <v>70</v>
      </c>
      <c r="E517" s="1">
        <f t="shared" si="61"/>
        <v>561261.83529286145</v>
      </c>
      <c r="G517" s="1">
        <f t="shared" si="57"/>
        <v>4045.1955119639251</v>
      </c>
      <c r="H517" s="1">
        <v>0</v>
      </c>
      <c r="I517" s="1">
        <f t="shared" si="58"/>
        <v>-565.30703080482533</v>
      </c>
      <c r="J517" s="1">
        <f t="shared" si="59"/>
        <v>564741.72377402056</v>
      </c>
      <c r="M517" s="7"/>
      <c r="N517" s="1"/>
    </row>
    <row r="518" spans="1:14">
      <c r="A518" s="1">
        <f t="shared" si="60"/>
        <v>495</v>
      </c>
      <c r="B518" s="2">
        <f t="shared" si="62"/>
        <v>41</v>
      </c>
      <c r="C518" s="2">
        <f t="shared" si="63"/>
        <v>3</v>
      </c>
      <c r="D518" s="2">
        <f t="shared" si="64"/>
        <v>70</v>
      </c>
      <c r="E518" s="1">
        <f t="shared" si="61"/>
        <v>564741.72377402056</v>
      </c>
      <c r="G518" s="1">
        <f t="shared" si="57"/>
        <v>4070.276193351739</v>
      </c>
      <c r="H518" s="69">
        <f>-SUM(E518:G518)*$H$21</f>
        <v>-5119.3079997063514</v>
      </c>
      <c r="I518" s="1">
        <f t="shared" si="58"/>
        <v>-568.81199996737234</v>
      </c>
      <c r="J518" s="1">
        <f t="shared" si="59"/>
        <v>563123.87996769859</v>
      </c>
      <c r="M518" s="7"/>
      <c r="N518" s="1"/>
    </row>
    <row r="519" spans="1:14">
      <c r="A519" s="1">
        <f t="shared" si="60"/>
        <v>496</v>
      </c>
      <c r="B519" s="2">
        <f t="shared" si="62"/>
        <v>41</v>
      </c>
      <c r="C519" s="2">
        <f t="shared" si="63"/>
        <v>4</v>
      </c>
      <c r="D519" s="2">
        <f t="shared" si="64"/>
        <v>70</v>
      </c>
      <c r="E519" s="1">
        <f t="shared" si="61"/>
        <v>563123.87996769859</v>
      </c>
      <c r="G519" s="1">
        <f t="shared" si="57"/>
        <v>4058.6158699645671</v>
      </c>
      <c r="H519" s="1">
        <v>0</v>
      </c>
      <c r="I519" s="1">
        <f t="shared" si="58"/>
        <v>-567.18249583766317</v>
      </c>
      <c r="J519" s="1">
        <f t="shared" si="59"/>
        <v>566615.3133418255</v>
      </c>
      <c r="M519" s="7"/>
      <c r="N519" s="1"/>
    </row>
    <row r="520" spans="1:14">
      <c r="A520" s="1">
        <f t="shared" si="60"/>
        <v>497</v>
      </c>
      <c r="B520" s="2">
        <f t="shared" si="62"/>
        <v>41</v>
      </c>
      <c r="C520" s="2">
        <f t="shared" si="63"/>
        <v>5</v>
      </c>
      <c r="D520" s="2">
        <f t="shared" si="64"/>
        <v>70</v>
      </c>
      <c r="E520" s="1">
        <f t="shared" si="61"/>
        <v>566615.3133418255</v>
      </c>
      <c r="G520" s="1">
        <f t="shared" si="57"/>
        <v>4083.7797591286499</v>
      </c>
      <c r="H520" s="1">
        <v>0</v>
      </c>
      <c r="I520" s="1">
        <f t="shared" si="58"/>
        <v>-570.6990931009542</v>
      </c>
      <c r="J520" s="1">
        <f t="shared" si="59"/>
        <v>570128.39400785323</v>
      </c>
      <c r="M520" s="7"/>
      <c r="N520" s="1"/>
    </row>
    <row r="521" spans="1:14">
      <c r="A521" s="1">
        <f t="shared" si="60"/>
        <v>498</v>
      </c>
      <c r="B521" s="2">
        <f t="shared" si="62"/>
        <v>41</v>
      </c>
      <c r="C521" s="2">
        <f t="shared" si="63"/>
        <v>6</v>
      </c>
      <c r="D521" s="2">
        <f t="shared" si="64"/>
        <v>70</v>
      </c>
      <c r="E521" s="1">
        <f t="shared" si="61"/>
        <v>570128.39400785323</v>
      </c>
      <c r="G521" s="1">
        <f t="shared" si="57"/>
        <v>4109.0996673243808</v>
      </c>
      <c r="H521" s="69">
        <f>-SUM(E521:G521)*$H$21</f>
        <v>-5168.1374430765991</v>
      </c>
      <c r="I521" s="1">
        <f t="shared" si="58"/>
        <v>-574.23749367517757</v>
      </c>
      <c r="J521" s="1">
        <f t="shared" si="59"/>
        <v>568495.11873842578</v>
      </c>
      <c r="M521" s="7"/>
      <c r="N521" s="1"/>
    </row>
    <row r="522" spans="1:14">
      <c r="A522" s="1">
        <f t="shared" si="60"/>
        <v>499</v>
      </c>
      <c r="B522" s="2">
        <f t="shared" si="62"/>
        <v>41</v>
      </c>
      <c r="C522" s="2">
        <f t="shared" si="63"/>
        <v>7</v>
      </c>
      <c r="D522" s="2">
        <f t="shared" si="64"/>
        <v>70</v>
      </c>
      <c r="E522" s="1">
        <f t="shared" si="61"/>
        <v>568495.11873842578</v>
      </c>
      <c r="G522" s="1">
        <f t="shared" si="57"/>
        <v>4097.328124393367</v>
      </c>
      <c r="H522" s="1">
        <v>0</v>
      </c>
      <c r="I522" s="1">
        <f t="shared" si="58"/>
        <v>-572.5924468628192</v>
      </c>
      <c r="J522" s="1">
        <f t="shared" si="59"/>
        <v>572019.8544159563</v>
      </c>
      <c r="M522" s="7"/>
      <c r="N522" s="1"/>
    </row>
    <row r="523" spans="1:14">
      <c r="A523" s="1">
        <f t="shared" si="60"/>
        <v>500</v>
      </c>
      <c r="B523" s="2">
        <f t="shared" si="62"/>
        <v>41</v>
      </c>
      <c r="C523" s="2">
        <f t="shared" si="63"/>
        <v>8</v>
      </c>
      <c r="D523" s="2">
        <f t="shared" si="64"/>
        <v>70</v>
      </c>
      <c r="E523" s="1">
        <f t="shared" si="61"/>
        <v>572019.8544159563</v>
      </c>
      <c r="G523" s="1">
        <f t="shared" si="57"/>
        <v>4122.7320340252518</v>
      </c>
      <c r="H523" s="1">
        <v>0</v>
      </c>
      <c r="I523" s="1">
        <f t="shared" si="58"/>
        <v>-576.14258644998154</v>
      </c>
      <c r="J523" s="1">
        <f t="shared" si="59"/>
        <v>575566.44386353157</v>
      </c>
      <c r="M523" s="7"/>
      <c r="N523" s="1"/>
    </row>
    <row r="524" spans="1:14">
      <c r="A524" s="1">
        <f t="shared" si="60"/>
        <v>501</v>
      </c>
      <c r="B524" s="2">
        <f t="shared" si="62"/>
        <v>41</v>
      </c>
      <c r="C524" s="2">
        <f t="shared" si="63"/>
        <v>9</v>
      </c>
      <c r="D524" s="2">
        <f t="shared" si="64"/>
        <v>70</v>
      </c>
      <c r="E524" s="1">
        <f t="shared" si="61"/>
        <v>575566.44386353157</v>
      </c>
      <c r="G524" s="1">
        <f t="shared" si="57"/>
        <v>4148.2934508435255</v>
      </c>
      <c r="H524" s="69">
        <f>-SUM(E524:G524)*$H$21</f>
        <v>-5217.4326358293765</v>
      </c>
      <c r="I524" s="1">
        <f t="shared" si="58"/>
        <v>-579.71473731437516</v>
      </c>
      <c r="J524" s="1">
        <f t="shared" si="59"/>
        <v>573917.58994123142</v>
      </c>
      <c r="M524" s="7"/>
      <c r="N524" s="1"/>
    </row>
    <row r="525" spans="1:14">
      <c r="A525" s="1">
        <f t="shared" si="60"/>
        <v>502</v>
      </c>
      <c r="B525" s="2">
        <f t="shared" si="62"/>
        <v>41</v>
      </c>
      <c r="C525" s="2">
        <f t="shared" si="63"/>
        <v>10</v>
      </c>
      <c r="D525" s="2">
        <f t="shared" si="64"/>
        <v>70</v>
      </c>
      <c r="E525" s="1">
        <f t="shared" si="61"/>
        <v>573917.58994123142</v>
      </c>
      <c r="G525" s="1">
        <f t="shared" si="57"/>
        <v>4136.4096275244274</v>
      </c>
      <c r="H525" s="1">
        <v>0</v>
      </c>
      <c r="I525" s="1">
        <f t="shared" si="58"/>
        <v>-578.0539995687559</v>
      </c>
      <c r="J525" s="1">
        <f t="shared" si="59"/>
        <v>577475.94556918705</v>
      </c>
      <c r="M525" s="7"/>
      <c r="N525" s="1"/>
    </row>
    <row r="526" spans="1:14">
      <c r="A526" s="1">
        <f t="shared" si="60"/>
        <v>503</v>
      </c>
      <c r="B526" s="2">
        <f t="shared" si="62"/>
        <v>41</v>
      </c>
      <c r="C526" s="2">
        <f t="shared" si="63"/>
        <v>11</v>
      </c>
      <c r="D526" s="2">
        <f t="shared" si="64"/>
        <v>70</v>
      </c>
      <c r="E526" s="1">
        <f t="shared" si="61"/>
        <v>577475.94556918705</v>
      </c>
      <c r="G526" s="1">
        <f t="shared" si="57"/>
        <v>4162.055847008899</v>
      </c>
      <c r="H526" s="1">
        <v>0</v>
      </c>
      <c r="I526" s="1">
        <f t="shared" si="58"/>
        <v>-581.63800141619606</v>
      </c>
      <c r="J526" s="1">
        <f t="shared" si="59"/>
        <v>581056.36341477977</v>
      </c>
      <c r="M526" s="7"/>
      <c r="N526" s="1"/>
    </row>
    <row r="527" spans="1:14">
      <c r="A527" s="1">
        <f t="shared" si="60"/>
        <v>504</v>
      </c>
      <c r="B527" s="2">
        <f t="shared" si="62"/>
        <v>41</v>
      </c>
      <c r="C527" s="2">
        <f t="shared" si="63"/>
        <v>12</v>
      </c>
      <c r="D527" s="2">
        <f t="shared" si="64"/>
        <v>70</v>
      </c>
      <c r="E527" s="1">
        <f t="shared" si="61"/>
        <v>581056.36341477977</v>
      </c>
      <c r="G527" s="1">
        <f t="shared" si="57"/>
        <v>4187.8610760289512</v>
      </c>
      <c r="H527" s="69">
        <f>-SUM(E527:G527)*$H$21</f>
        <v>-5267.1980204172787</v>
      </c>
      <c r="I527" s="1">
        <f t="shared" si="58"/>
        <v>-585.24422449080873</v>
      </c>
      <c r="J527" s="1">
        <f t="shared" si="59"/>
        <v>579391.7822459006</v>
      </c>
      <c r="M527" s="7"/>
      <c r="N527" s="1"/>
    </row>
    <row r="528" spans="1:14">
      <c r="A528" s="1">
        <f t="shared" si="60"/>
        <v>505</v>
      </c>
      <c r="B528" s="2">
        <f t="shared" si="62"/>
        <v>42</v>
      </c>
      <c r="C528" s="2">
        <f t="shared" si="63"/>
        <v>1</v>
      </c>
      <c r="D528" s="2">
        <f t="shared" si="64"/>
        <v>71</v>
      </c>
      <c r="E528" s="1">
        <f t="shared" si="61"/>
        <v>579391.7822459006</v>
      </c>
      <c r="G528" s="1">
        <f t="shared" si="57"/>
        <v>4175.8639013588863</v>
      </c>
      <c r="H528" s="1">
        <v>0</v>
      </c>
      <c r="I528" s="1">
        <f t="shared" si="58"/>
        <v>-583.56764614725955</v>
      </c>
      <c r="J528" s="1">
        <f t="shared" si="59"/>
        <v>582984.07850111229</v>
      </c>
      <c r="M528" s="7"/>
      <c r="N528" s="1"/>
    </row>
    <row r="529" spans="1:14">
      <c r="A529" s="1">
        <f t="shared" si="60"/>
        <v>506</v>
      </c>
      <c r="B529" s="2">
        <f t="shared" si="62"/>
        <v>42</v>
      </c>
      <c r="C529" s="2">
        <f t="shared" si="63"/>
        <v>2</v>
      </c>
      <c r="D529" s="2">
        <f t="shared" si="64"/>
        <v>71</v>
      </c>
      <c r="E529" s="1">
        <f t="shared" si="61"/>
        <v>582984.07850111229</v>
      </c>
      <c r="G529" s="1">
        <f t="shared" si="57"/>
        <v>4201.7547419175444</v>
      </c>
      <c r="H529" s="1">
        <v>0</v>
      </c>
      <c r="I529" s="1">
        <f t="shared" si="58"/>
        <v>-587.18583324302995</v>
      </c>
      <c r="J529" s="1">
        <f t="shared" si="59"/>
        <v>586598.64740978682</v>
      </c>
      <c r="M529" s="7"/>
      <c r="N529" s="1"/>
    </row>
    <row r="530" spans="1:14">
      <c r="A530" s="1">
        <f t="shared" si="60"/>
        <v>507</v>
      </c>
      <c r="B530" s="2">
        <f t="shared" si="62"/>
        <v>42</v>
      </c>
      <c r="C530" s="2">
        <f t="shared" si="63"/>
        <v>3</v>
      </c>
      <c r="D530" s="2">
        <f t="shared" si="64"/>
        <v>71</v>
      </c>
      <c r="E530" s="1">
        <f t="shared" si="61"/>
        <v>586598.64740978682</v>
      </c>
      <c r="G530" s="1">
        <f t="shared" si="57"/>
        <v>4227.8061086908165</v>
      </c>
      <c r="H530" s="69">
        <f>-SUM(E530:G530)*$H$21</f>
        <v>-5317.4380816662988</v>
      </c>
      <c r="I530" s="1">
        <f t="shared" si="58"/>
        <v>-590.82645351847759</v>
      </c>
      <c r="J530" s="1">
        <f t="shared" si="59"/>
        <v>584918.1889832929</v>
      </c>
      <c r="M530" s="7"/>
      <c r="N530" s="1"/>
    </row>
    <row r="531" spans="1:14">
      <c r="A531" s="1">
        <f t="shared" si="60"/>
        <v>508</v>
      </c>
      <c r="B531" s="2">
        <f t="shared" si="62"/>
        <v>42</v>
      </c>
      <c r="C531" s="2">
        <f t="shared" si="63"/>
        <v>4</v>
      </c>
      <c r="D531" s="2">
        <f t="shared" si="64"/>
        <v>71</v>
      </c>
      <c r="E531" s="1">
        <f t="shared" si="61"/>
        <v>584918.1889832929</v>
      </c>
      <c r="G531" s="1">
        <f t="shared" si="57"/>
        <v>4215.6945014917483</v>
      </c>
      <c r="H531" s="1">
        <v>0</v>
      </c>
      <c r="I531" s="1">
        <f t="shared" si="58"/>
        <v>-589.13388348478463</v>
      </c>
      <c r="J531" s="1">
        <f t="shared" si="59"/>
        <v>588544.74960129987</v>
      </c>
      <c r="M531" s="7"/>
      <c r="N531" s="1"/>
    </row>
    <row r="532" spans="1:14">
      <c r="A532" s="1">
        <f t="shared" si="60"/>
        <v>509</v>
      </c>
      <c r="B532" s="2">
        <f t="shared" si="62"/>
        <v>42</v>
      </c>
      <c r="C532" s="2">
        <f t="shared" si="63"/>
        <v>5</v>
      </c>
      <c r="D532" s="2">
        <f t="shared" si="64"/>
        <v>71</v>
      </c>
      <c r="E532" s="1">
        <f t="shared" si="61"/>
        <v>588544.74960129987</v>
      </c>
      <c r="G532" s="1">
        <f t="shared" si="57"/>
        <v>4241.8322963912933</v>
      </c>
      <c r="H532" s="1">
        <v>0</v>
      </c>
      <c r="I532" s="1">
        <f t="shared" si="58"/>
        <v>-592.78658189769112</v>
      </c>
      <c r="J532" s="1">
        <f t="shared" si="59"/>
        <v>592193.79531579348</v>
      </c>
      <c r="M532" s="7"/>
      <c r="N532" s="1"/>
    </row>
    <row r="533" spans="1:14">
      <c r="A533" s="1">
        <f t="shared" si="60"/>
        <v>510</v>
      </c>
      <c r="B533" s="2">
        <f t="shared" si="62"/>
        <v>42</v>
      </c>
      <c r="C533" s="2">
        <f t="shared" si="63"/>
        <v>6</v>
      </c>
      <c r="D533" s="2">
        <f t="shared" si="64"/>
        <v>71</v>
      </c>
      <c r="E533" s="1">
        <f t="shared" si="61"/>
        <v>592193.79531579348</v>
      </c>
      <c r="G533" s="1">
        <f t="shared" si="57"/>
        <v>4268.1321486510124</v>
      </c>
      <c r="H533" s="69">
        <f>-SUM(E533:G533)*$H$21</f>
        <v>-5368.1573471800011</v>
      </c>
      <c r="I533" s="1">
        <f t="shared" si="58"/>
        <v>-596.46192746444456</v>
      </c>
      <c r="J533" s="1">
        <f t="shared" si="59"/>
        <v>590497.30818980013</v>
      </c>
      <c r="M533" s="7"/>
      <c r="N533" s="1"/>
    </row>
    <row r="534" spans="1:14">
      <c r="A534" s="1">
        <f t="shared" si="60"/>
        <v>511</v>
      </c>
      <c r="B534" s="2">
        <f t="shared" si="62"/>
        <v>42</v>
      </c>
      <c r="C534" s="2">
        <f t="shared" si="63"/>
        <v>7</v>
      </c>
      <c r="D534" s="2">
        <f t="shared" si="64"/>
        <v>71</v>
      </c>
      <c r="E534" s="1">
        <f t="shared" si="61"/>
        <v>590497.30818980013</v>
      </c>
      <c r="G534" s="1">
        <f t="shared" si="57"/>
        <v>4255.9050174323147</v>
      </c>
      <c r="H534" s="1">
        <v>0</v>
      </c>
      <c r="I534" s="1">
        <f t="shared" si="58"/>
        <v>-594.75321320723242</v>
      </c>
      <c r="J534" s="1">
        <f t="shared" si="59"/>
        <v>594158.45999402518</v>
      </c>
      <c r="M534" s="7"/>
      <c r="N534" s="1"/>
    </row>
    <row r="535" spans="1:14">
      <c r="A535" s="1">
        <f t="shared" si="60"/>
        <v>512</v>
      </c>
      <c r="B535" s="2">
        <f t="shared" si="62"/>
        <v>42</v>
      </c>
      <c r="C535" s="2">
        <f t="shared" si="63"/>
        <v>8</v>
      </c>
      <c r="D535" s="2">
        <f t="shared" si="64"/>
        <v>71</v>
      </c>
      <c r="E535" s="1">
        <f t="shared" si="61"/>
        <v>594158.45999402518</v>
      </c>
      <c r="G535" s="1">
        <f t="shared" si="57"/>
        <v>4282.2921221948218</v>
      </c>
      <c r="H535" s="1">
        <v>0</v>
      </c>
      <c r="I535" s="1">
        <f t="shared" si="58"/>
        <v>-598.44075211621998</v>
      </c>
      <c r="J535" s="1">
        <f t="shared" si="59"/>
        <v>597842.31136410369</v>
      </c>
      <c r="M535" s="7"/>
      <c r="N535" s="1"/>
    </row>
    <row r="536" spans="1:14">
      <c r="A536" s="1">
        <f t="shared" si="60"/>
        <v>513</v>
      </c>
      <c r="B536" s="2">
        <f t="shared" si="62"/>
        <v>42</v>
      </c>
      <c r="C536" s="2">
        <f t="shared" si="63"/>
        <v>9</v>
      </c>
      <c r="D536" s="2">
        <f t="shared" si="64"/>
        <v>71</v>
      </c>
      <c r="E536" s="1">
        <f t="shared" si="61"/>
        <v>597842.31136410369</v>
      </c>
      <c r="G536" s="1">
        <f t="shared" ref="G536:G599" si="65">SUM(E536:F536)*$F$8</f>
        <v>4308.8428300675705</v>
      </c>
      <c r="H536" s="69">
        <f>-SUM(E536:G536)*$H$21</f>
        <v>-5419.3603877475425</v>
      </c>
      <c r="I536" s="1">
        <f t="shared" ref="I536:I599" si="66">-SUM(E536:G536)*0.1%</f>
        <v>-602.15115419417134</v>
      </c>
      <c r="J536" s="1">
        <f t="shared" ref="J536:J599" si="67">SUM(E536:I536)</f>
        <v>596129.64265222964</v>
      </c>
      <c r="M536" s="7"/>
      <c r="N536" s="1"/>
    </row>
    <row r="537" spans="1:14">
      <c r="A537" s="1">
        <f t="shared" ref="A537:A600" si="68">+A536+1</f>
        <v>514</v>
      </c>
      <c r="B537" s="2">
        <f t="shared" si="62"/>
        <v>42</v>
      </c>
      <c r="C537" s="2">
        <f t="shared" si="63"/>
        <v>10</v>
      </c>
      <c r="D537" s="2">
        <f t="shared" si="64"/>
        <v>71</v>
      </c>
      <c r="E537" s="1">
        <f t="shared" ref="E537:E600" si="69">J536</f>
        <v>596129.64265222964</v>
      </c>
      <c r="G537" s="1">
        <f t="shared" si="65"/>
        <v>4296.4990729276633</v>
      </c>
      <c r="H537" s="1">
        <v>0</v>
      </c>
      <c r="I537" s="1">
        <f t="shared" si="66"/>
        <v>-600.42614172515732</v>
      </c>
      <c r="J537" s="1">
        <f t="shared" si="67"/>
        <v>599825.71558343212</v>
      </c>
      <c r="M537" s="7"/>
      <c r="N537" s="1"/>
    </row>
    <row r="538" spans="1:14">
      <c r="A538" s="1">
        <f t="shared" si="68"/>
        <v>515</v>
      </c>
      <c r="B538" s="2">
        <f t="shared" si="62"/>
        <v>42</v>
      </c>
      <c r="C538" s="2">
        <f t="shared" si="63"/>
        <v>11</v>
      </c>
      <c r="D538" s="2">
        <f t="shared" si="64"/>
        <v>71</v>
      </c>
      <c r="E538" s="1">
        <f t="shared" si="69"/>
        <v>599825.71558343212</v>
      </c>
      <c r="G538" s="1">
        <f t="shared" si="65"/>
        <v>4323.1378655428607</v>
      </c>
      <c r="H538" s="1">
        <v>0</v>
      </c>
      <c r="I538" s="1">
        <f t="shared" si="66"/>
        <v>-604.14885344897505</v>
      </c>
      <c r="J538" s="1">
        <f t="shared" si="67"/>
        <v>603544.7045955261</v>
      </c>
      <c r="M538" s="7"/>
      <c r="N538" s="1"/>
    </row>
    <row r="539" spans="1:14">
      <c r="A539" s="1">
        <f t="shared" si="68"/>
        <v>516</v>
      </c>
      <c r="B539" s="2">
        <f t="shared" si="62"/>
        <v>42</v>
      </c>
      <c r="C539" s="2">
        <f t="shared" si="63"/>
        <v>12</v>
      </c>
      <c r="D539" s="2">
        <f t="shared" si="64"/>
        <v>71</v>
      </c>
      <c r="E539" s="1">
        <f t="shared" si="69"/>
        <v>603544.7045955261</v>
      </c>
      <c r="G539" s="1">
        <f t="shared" si="65"/>
        <v>4349.9418217621815</v>
      </c>
      <c r="H539" s="69">
        <f>-SUM(E539:G539)*$H$21</f>
        <v>-5471.051817755595</v>
      </c>
      <c r="I539" s="1">
        <f t="shared" si="66"/>
        <v>-607.89464641728819</v>
      </c>
      <c r="J539" s="1">
        <f t="shared" si="67"/>
        <v>601815.69995311543</v>
      </c>
      <c r="M539" s="7"/>
      <c r="N539" s="1"/>
    </row>
    <row r="540" spans="1:14">
      <c r="A540" s="1">
        <f t="shared" si="68"/>
        <v>517</v>
      </c>
      <c r="B540" s="2">
        <f t="shared" si="62"/>
        <v>43</v>
      </c>
      <c r="C540" s="2">
        <f t="shared" si="63"/>
        <v>1</v>
      </c>
      <c r="D540" s="2">
        <f t="shared" si="64"/>
        <v>72</v>
      </c>
      <c r="E540" s="1">
        <f t="shared" si="69"/>
        <v>601815.69995311543</v>
      </c>
      <c r="G540" s="1">
        <f t="shared" si="65"/>
        <v>4337.4803262892265</v>
      </c>
      <c r="H540" s="1">
        <v>0</v>
      </c>
      <c r="I540" s="1">
        <f t="shared" si="66"/>
        <v>-606.15318027940464</v>
      </c>
      <c r="J540" s="1">
        <f t="shared" si="67"/>
        <v>605547.0270991252</v>
      </c>
      <c r="M540" s="7"/>
      <c r="N540" s="1"/>
    </row>
    <row r="541" spans="1:14">
      <c r="A541" s="1">
        <f t="shared" si="68"/>
        <v>518</v>
      </c>
      <c r="B541" s="2">
        <f t="shared" si="62"/>
        <v>43</v>
      </c>
      <c r="C541" s="2">
        <f t="shared" si="63"/>
        <v>2</v>
      </c>
      <c r="D541" s="2">
        <f t="shared" si="64"/>
        <v>72</v>
      </c>
      <c r="E541" s="1">
        <f t="shared" si="69"/>
        <v>605547.0270991252</v>
      </c>
      <c r="G541" s="1">
        <f t="shared" si="65"/>
        <v>4364.3732074287964</v>
      </c>
      <c r="H541" s="1">
        <v>0</v>
      </c>
      <c r="I541" s="1">
        <f t="shared" si="66"/>
        <v>-609.91140030655401</v>
      </c>
      <c r="J541" s="1">
        <f t="shared" si="67"/>
        <v>609301.48890624754</v>
      </c>
      <c r="M541" s="7"/>
      <c r="N541" s="1"/>
    </row>
    <row r="542" spans="1:14">
      <c r="A542" s="1">
        <f t="shared" si="68"/>
        <v>519</v>
      </c>
      <c r="B542" s="2">
        <f t="shared" si="62"/>
        <v>43</v>
      </c>
      <c r="C542" s="2">
        <f t="shared" si="63"/>
        <v>3</v>
      </c>
      <c r="D542" s="2">
        <f t="shared" si="64"/>
        <v>72</v>
      </c>
      <c r="E542" s="1">
        <f t="shared" si="69"/>
        <v>609301.48890624754</v>
      </c>
      <c r="G542" s="1">
        <f t="shared" si="65"/>
        <v>4391.4328275508142</v>
      </c>
      <c r="H542" s="69">
        <f>-SUM(E542:G542)*$H$21</f>
        <v>-5523.2362956041861</v>
      </c>
      <c r="I542" s="1">
        <f t="shared" si="66"/>
        <v>-613.69292173379836</v>
      </c>
      <c r="J542" s="1">
        <f t="shared" si="67"/>
        <v>607555.99251646036</v>
      </c>
      <c r="M542" s="7"/>
      <c r="N542" s="1"/>
    </row>
    <row r="543" spans="1:14">
      <c r="A543" s="1">
        <f t="shared" si="68"/>
        <v>520</v>
      </c>
      <c r="B543" s="2">
        <f t="shared" si="62"/>
        <v>43</v>
      </c>
      <c r="C543" s="2">
        <f t="shared" si="63"/>
        <v>4</v>
      </c>
      <c r="D543" s="2">
        <f t="shared" si="64"/>
        <v>72</v>
      </c>
      <c r="E543" s="1">
        <f t="shared" si="69"/>
        <v>607555.99251646036</v>
      </c>
      <c r="G543" s="1">
        <f t="shared" si="65"/>
        <v>4378.8524707224688</v>
      </c>
      <c r="H543" s="1">
        <v>0</v>
      </c>
      <c r="I543" s="1">
        <f t="shared" si="66"/>
        <v>-611.93484498718294</v>
      </c>
      <c r="J543" s="1">
        <f t="shared" si="67"/>
        <v>611322.91014219564</v>
      </c>
      <c r="M543" s="7"/>
      <c r="N543" s="1"/>
    </row>
    <row r="544" spans="1:14">
      <c r="A544" s="1">
        <f t="shared" si="68"/>
        <v>521</v>
      </c>
      <c r="B544" s="2">
        <f t="shared" si="62"/>
        <v>43</v>
      </c>
      <c r="C544" s="2">
        <f t="shared" si="63"/>
        <v>5</v>
      </c>
      <c r="D544" s="2">
        <f t="shared" si="64"/>
        <v>72</v>
      </c>
      <c r="E544" s="1">
        <f t="shared" si="69"/>
        <v>611322.91014219564</v>
      </c>
      <c r="G544" s="1">
        <f t="shared" si="65"/>
        <v>4406.0018639563968</v>
      </c>
      <c r="H544" s="1">
        <v>0</v>
      </c>
      <c r="I544" s="1">
        <f t="shared" si="66"/>
        <v>-615.72891200615209</v>
      </c>
      <c r="J544" s="1">
        <f t="shared" si="67"/>
        <v>615113.18309414596</v>
      </c>
      <c r="M544" s="7"/>
      <c r="N544" s="1"/>
    </row>
    <row r="545" spans="1:14">
      <c r="A545" s="1">
        <f t="shared" si="68"/>
        <v>522</v>
      </c>
      <c r="B545" s="2">
        <f t="shared" si="62"/>
        <v>43</v>
      </c>
      <c r="C545" s="2">
        <f t="shared" si="63"/>
        <v>6</v>
      </c>
      <c r="D545" s="2">
        <f t="shared" si="64"/>
        <v>72</v>
      </c>
      <c r="E545" s="1">
        <f t="shared" si="69"/>
        <v>615113.18309414596</v>
      </c>
      <c r="G545" s="1">
        <f t="shared" si="65"/>
        <v>4433.3195865775106</v>
      </c>
      <c r="H545" s="69">
        <f>-SUM(E545:G545)*$H$21</f>
        <v>-5575.9185241265113</v>
      </c>
      <c r="I545" s="1">
        <f t="shared" si="66"/>
        <v>-619.54650268072351</v>
      </c>
      <c r="J545" s="1">
        <f t="shared" si="67"/>
        <v>613351.03765391617</v>
      </c>
      <c r="M545" s="7"/>
      <c r="N545" s="1"/>
    </row>
    <row r="546" spans="1:14">
      <c r="A546" s="1">
        <f t="shared" si="68"/>
        <v>523</v>
      </c>
      <c r="B546" s="2">
        <f t="shared" si="62"/>
        <v>43</v>
      </c>
      <c r="C546" s="2">
        <f t="shared" si="63"/>
        <v>7</v>
      </c>
      <c r="D546" s="2">
        <f t="shared" si="64"/>
        <v>72</v>
      </c>
      <c r="E546" s="1">
        <f t="shared" si="69"/>
        <v>613351.03765391617</v>
      </c>
      <c r="G546" s="1">
        <f t="shared" si="65"/>
        <v>4420.619234659719</v>
      </c>
      <c r="H546" s="1">
        <v>0</v>
      </c>
      <c r="I546" s="1">
        <f t="shared" si="66"/>
        <v>-617.77165688857588</v>
      </c>
      <c r="J546" s="1">
        <f t="shared" si="67"/>
        <v>617153.88523168734</v>
      </c>
      <c r="M546" s="7"/>
      <c r="N546" s="1"/>
    </row>
    <row r="547" spans="1:14">
      <c r="A547" s="1">
        <f t="shared" si="68"/>
        <v>524</v>
      </c>
      <c r="B547" s="2">
        <f t="shared" si="62"/>
        <v>43</v>
      </c>
      <c r="C547" s="2">
        <f t="shared" si="63"/>
        <v>8</v>
      </c>
      <c r="D547" s="2">
        <f t="shared" si="64"/>
        <v>72</v>
      </c>
      <c r="E547" s="1">
        <f t="shared" si="69"/>
        <v>617153.88523168734</v>
      </c>
      <c r="G547" s="1">
        <f t="shared" si="65"/>
        <v>4448.0275866747024</v>
      </c>
      <c r="H547" s="1">
        <v>0</v>
      </c>
      <c r="I547" s="1">
        <f t="shared" si="66"/>
        <v>-621.60191281836205</v>
      </c>
      <c r="J547" s="1">
        <f t="shared" si="67"/>
        <v>620980.31090554362</v>
      </c>
      <c r="M547" s="7"/>
      <c r="N547" s="1"/>
    </row>
    <row r="548" spans="1:14">
      <c r="A548" s="1">
        <f t="shared" si="68"/>
        <v>525</v>
      </c>
      <c r="B548" s="2">
        <f t="shared" ref="B548:B611" si="70">B536+1</f>
        <v>43</v>
      </c>
      <c r="C548" s="2">
        <f t="shared" ref="C548:C611" si="71">C536</f>
        <v>9</v>
      </c>
      <c r="D548" s="2">
        <f t="shared" ref="D548:D611" si="72">D536+1</f>
        <v>72</v>
      </c>
      <c r="E548" s="1">
        <f t="shared" si="69"/>
        <v>620980.31090554362</v>
      </c>
      <c r="G548" s="1">
        <f t="shared" si="65"/>
        <v>4475.6058736513514</v>
      </c>
      <c r="H548" s="69">
        <f>-SUM(E548:G548)*$H$21</f>
        <v>-5629.1032510127552</v>
      </c>
      <c r="I548" s="1">
        <f t="shared" si="66"/>
        <v>-625.45591677919492</v>
      </c>
      <c r="J548" s="1">
        <f t="shared" si="67"/>
        <v>619201.35761140299</v>
      </c>
      <c r="M548" s="7"/>
      <c r="N548" s="1"/>
    </row>
    <row r="549" spans="1:14">
      <c r="A549" s="1">
        <f t="shared" si="68"/>
        <v>526</v>
      </c>
      <c r="B549" s="2">
        <f t="shared" si="70"/>
        <v>43</v>
      </c>
      <c r="C549" s="2">
        <f t="shared" si="71"/>
        <v>10</v>
      </c>
      <c r="D549" s="2">
        <f t="shared" si="72"/>
        <v>72</v>
      </c>
      <c r="E549" s="1">
        <f t="shared" si="69"/>
        <v>619201.35761140299</v>
      </c>
      <c r="G549" s="1">
        <f t="shared" si="65"/>
        <v>4462.7843820961734</v>
      </c>
      <c r="H549" s="1">
        <v>0</v>
      </c>
      <c r="I549" s="1">
        <f t="shared" si="66"/>
        <v>-623.66414199349913</v>
      </c>
      <c r="J549" s="1">
        <f t="shared" si="67"/>
        <v>623040.47785150562</v>
      </c>
      <c r="M549" s="7"/>
      <c r="N549" s="1"/>
    </row>
    <row r="550" spans="1:14">
      <c r="A550" s="1">
        <f t="shared" si="68"/>
        <v>527</v>
      </c>
      <c r="B550" s="2">
        <f t="shared" si="70"/>
        <v>43</v>
      </c>
      <c r="C550" s="2">
        <f t="shared" si="71"/>
        <v>11</v>
      </c>
      <c r="D550" s="2">
        <f t="shared" si="72"/>
        <v>72</v>
      </c>
      <c r="E550" s="1">
        <f t="shared" si="69"/>
        <v>623040.47785150562</v>
      </c>
      <c r="G550" s="1">
        <f t="shared" si="65"/>
        <v>4490.4541629161176</v>
      </c>
      <c r="H550" s="1">
        <v>0</v>
      </c>
      <c r="I550" s="1">
        <f t="shared" si="66"/>
        <v>-627.53093201442175</v>
      </c>
      <c r="J550" s="1">
        <f t="shared" si="67"/>
        <v>626903.40108240733</v>
      </c>
      <c r="M550" s="7"/>
      <c r="N550" s="1"/>
    </row>
    <row r="551" spans="1:14">
      <c r="A551" s="1">
        <f t="shared" si="68"/>
        <v>528</v>
      </c>
      <c r="B551" s="2">
        <f t="shared" si="70"/>
        <v>43</v>
      </c>
      <c r="C551" s="2">
        <f t="shared" si="71"/>
        <v>12</v>
      </c>
      <c r="D551" s="2">
        <f t="shared" si="72"/>
        <v>72</v>
      </c>
      <c r="E551" s="1">
        <f t="shared" si="69"/>
        <v>626903.40108240733</v>
      </c>
      <c r="G551" s="1">
        <f t="shared" si="65"/>
        <v>4518.2954995866412</v>
      </c>
      <c r="H551" s="69">
        <f>-SUM(E551:G551)*$H$21</f>
        <v>-5682.7952692379458</v>
      </c>
      <c r="I551" s="1">
        <f t="shared" si="66"/>
        <v>-631.42169658199396</v>
      </c>
      <c r="J551" s="1">
        <f t="shared" si="67"/>
        <v>625107.47961617401</v>
      </c>
      <c r="M551" s="7"/>
      <c r="N551" s="1"/>
    </row>
    <row r="552" spans="1:14">
      <c r="A552" s="1">
        <f t="shared" si="68"/>
        <v>529</v>
      </c>
      <c r="B552" s="2">
        <f t="shared" si="70"/>
        <v>44</v>
      </c>
      <c r="C552" s="2">
        <f t="shared" si="71"/>
        <v>1</v>
      </c>
      <c r="D552" s="2">
        <f t="shared" si="72"/>
        <v>73</v>
      </c>
      <c r="E552" s="1">
        <f t="shared" si="69"/>
        <v>625107.47961617401</v>
      </c>
      <c r="G552" s="1">
        <f t="shared" si="65"/>
        <v>4505.3517129291076</v>
      </c>
      <c r="H552" s="1">
        <v>0</v>
      </c>
      <c r="I552" s="1">
        <f t="shared" si="66"/>
        <v>-629.61283132910307</v>
      </c>
      <c r="J552" s="1">
        <f t="shared" si="67"/>
        <v>628983.21849777398</v>
      </c>
      <c r="M552" s="7"/>
      <c r="N552" s="1"/>
    </row>
    <row r="553" spans="1:14">
      <c r="A553" s="1">
        <f t="shared" si="68"/>
        <v>530</v>
      </c>
      <c r="B553" s="2">
        <f t="shared" si="70"/>
        <v>44</v>
      </c>
      <c r="C553" s="2">
        <f t="shared" si="71"/>
        <v>2</v>
      </c>
      <c r="D553" s="2">
        <f t="shared" si="72"/>
        <v>73</v>
      </c>
      <c r="E553" s="1">
        <f t="shared" si="69"/>
        <v>628983.21849777398</v>
      </c>
      <c r="G553" s="1">
        <f t="shared" si="65"/>
        <v>4533.2854161377209</v>
      </c>
      <c r="H553" s="1">
        <v>0</v>
      </c>
      <c r="I553" s="1">
        <f t="shared" si="66"/>
        <v>-633.51650391391172</v>
      </c>
      <c r="J553" s="1">
        <f t="shared" si="67"/>
        <v>632882.98740999785</v>
      </c>
      <c r="M553" s="7"/>
      <c r="N553" s="1"/>
    </row>
    <row r="554" spans="1:14">
      <c r="A554" s="1">
        <f t="shared" si="68"/>
        <v>531</v>
      </c>
      <c r="B554" s="2">
        <f t="shared" si="70"/>
        <v>44</v>
      </c>
      <c r="C554" s="2">
        <f t="shared" si="71"/>
        <v>3</v>
      </c>
      <c r="D554" s="2">
        <f t="shared" si="72"/>
        <v>73</v>
      </c>
      <c r="E554" s="1">
        <f t="shared" si="69"/>
        <v>632882.98740999785</v>
      </c>
      <c r="G554" s="1">
        <f t="shared" si="65"/>
        <v>4561.3923115463367</v>
      </c>
      <c r="H554" s="69">
        <f>-SUM(E554:G554)*$H$21</f>
        <v>-5736.9994174938984</v>
      </c>
      <c r="I554" s="1">
        <f t="shared" si="66"/>
        <v>-637.44437972154424</v>
      </c>
      <c r="J554" s="1">
        <f t="shared" si="67"/>
        <v>631069.93592432875</v>
      </c>
      <c r="M554" s="7"/>
      <c r="N554" s="1"/>
    </row>
    <row r="555" spans="1:14">
      <c r="A555" s="1">
        <f t="shared" si="68"/>
        <v>532</v>
      </c>
      <c r="B555" s="2">
        <f t="shared" si="70"/>
        <v>44</v>
      </c>
      <c r="C555" s="2">
        <f t="shared" si="71"/>
        <v>4</v>
      </c>
      <c r="D555" s="2">
        <f t="shared" si="72"/>
        <v>73</v>
      </c>
      <c r="E555" s="1">
        <f t="shared" si="69"/>
        <v>631069.93592432875</v>
      </c>
      <c r="G555" s="1">
        <f t="shared" si="65"/>
        <v>4548.3250633003181</v>
      </c>
      <c r="H555" s="1">
        <v>0</v>
      </c>
      <c r="I555" s="1">
        <f t="shared" si="66"/>
        <v>-635.61826098762913</v>
      </c>
      <c r="J555" s="1">
        <f t="shared" si="67"/>
        <v>634982.64272664138</v>
      </c>
      <c r="M555" s="7"/>
      <c r="N555" s="1"/>
    </row>
    <row r="556" spans="1:14">
      <c r="A556" s="1">
        <f t="shared" si="68"/>
        <v>533</v>
      </c>
      <c r="B556" s="2">
        <f t="shared" si="70"/>
        <v>44</v>
      </c>
      <c r="C556" s="2">
        <f t="shared" si="71"/>
        <v>5</v>
      </c>
      <c r="D556" s="2">
        <f t="shared" si="72"/>
        <v>73</v>
      </c>
      <c r="E556" s="1">
        <f t="shared" si="69"/>
        <v>634982.64272664138</v>
      </c>
      <c r="G556" s="1">
        <f t="shared" si="65"/>
        <v>4576.5252062658319</v>
      </c>
      <c r="H556" s="1">
        <v>0</v>
      </c>
      <c r="I556" s="1">
        <f t="shared" si="66"/>
        <v>-639.55916793290726</v>
      </c>
      <c r="J556" s="1">
        <f t="shared" si="67"/>
        <v>638919.60876497428</v>
      </c>
      <c r="M556" s="7"/>
      <c r="N556" s="1"/>
    </row>
    <row r="557" spans="1:14">
      <c r="A557" s="1">
        <f t="shared" si="68"/>
        <v>534</v>
      </c>
      <c r="B557" s="2">
        <f t="shared" si="70"/>
        <v>44</v>
      </c>
      <c r="C557" s="2">
        <f t="shared" si="71"/>
        <v>6</v>
      </c>
      <c r="D557" s="2">
        <f t="shared" si="72"/>
        <v>73</v>
      </c>
      <c r="E557" s="1">
        <f t="shared" si="69"/>
        <v>638919.60876497428</v>
      </c>
      <c r="G557" s="1">
        <f t="shared" si="65"/>
        <v>4604.9001933887475</v>
      </c>
      <c r="H557" s="69">
        <f>-SUM(E557:G557)*$H$21</f>
        <v>-5791.7205806252678</v>
      </c>
      <c r="I557" s="1">
        <f t="shared" si="66"/>
        <v>-643.52450895836296</v>
      </c>
      <c r="J557" s="1">
        <f t="shared" si="67"/>
        <v>637089.26386877941</v>
      </c>
      <c r="M557" s="7"/>
      <c r="N557" s="1"/>
    </row>
    <row r="558" spans="1:14">
      <c r="A558" s="1">
        <f t="shared" si="68"/>
        <v>535</v>
      </c>
      <c r="B558" s="2">
        <f t="shared" si="70"/>
        <v>44</v>
      </c>
      <c r="C558" s="2">
        <f t="shared" si="71"/>
        <v>7</v>
      </c>
      <c r="D558" s="2">
        <f t="shared" si="72"/>
        <v>73</v>
      </c>
      <c r="E558" s="1">
        <f t="shared" si="69"/>
        <v>637089.26386877941</v>
      </c>
      <c r="G558" s="1">
        <f t="shared" si="65"/>
        <v>4591.7083059418301</v>
      </c>
      <c r="H558" s="1">
        <v>0</v>
      </c>
      <c r="I558" s="1">
        <f t="shared" si="66"/>
        <v>-641.68097217472121</v>
      </c>
      <c r="J558" s="1">
        <f t="shared" si="67"/>
        <v>641039.29120254645</v>
      </c>
      <c r="M558" s="7"/>
      <c r="N558" s="1"/>
    </row>
    <row r="559" spans="1:14">
      <c r="A559" s="1">
        <f t="shared" si="68"/>
        <v>536</v>
      </c>
      <c r="B559" s="2">
        <f t="shared" si="70"/>
        <v>44</v>
      </c>
      <c r="C559" s="2">
        <f t="shared" si="71"/>
        <v>8</v>
      </c>
      <c r="D559" s="2">
        <f t="shared" si="72"/>
        <v>73</v>
      </c>
      <c r="E559" s="1">
        <f t="shared" si="69"/>
        <v>641039.29120254645</v>
      </c>
      <c r="G559" s="1">
        <f t="shared" si="65"/>
        <v>4620.1774300438665</v>
      </c>
      <c r="H559" s="1">
        <v>0</v>
      </c>
      <c r="I559" s="1">
        <f t="shared" si="66"/>
        <v>-645.65946863259023</v>
      </c>
      <c r="J559" s="1">
        <f t="shared" si="67"/>
        <v>645013.80916395772</v>
      </c>
      <c r="M559" s="7"/>
      <c r="N559" s="1"/>
    </row>
    <row r="560" spans="1:14">
      <c r="A560" s="1">
        <f t="shared" si="68"/>
        <v>537</v>
      </c>
      <c r="B560" s="2">
        <f t="shared" si="70"/>
        <v>44</v>
      </c>
      <c r="C560" s="2">
        <f t="shared" si="71"/>
        <v>9</v>
      </c>
      <c r="D560" s="2">
        <f t="shared" si="72"/>
        <v>73</v>
      </c>
      <c r="E560" s="1">
        <f t="shared" si="69"/>
        <v>645013.80916395772</v>
      </c>
      <c r="G560" s="1">
        <f t="shared" si="65"/>
        <v>4648.8230660175504</v>
      </c>
      <c r="H560" s="69">
        <f>-SUM(E560:G560)*$H$21</f>
        <v>-5846.9636900697787</v>
      </c>
      <c r="I560" s="1">
        <f t="shared" si="66"/>
        <v>-649.66263222997532</v>
      </c>
      <c r="J560" s="1">
        <f t="shared" si="67"/>
        <v>643166.0059076756</v>
      </c>
      <c r="M560" s="7"/>
      <c r="N560" s="1"/>
    </row>
    <row r="561" spans="1:14">
      <c r="A561" s="1">
        <f t="shared" si="68"/>
        <v>538</v>
      </c>
      <c r="B561" s="2">
        <f t="shared" si="70"/>
        <v>44</v>
      </c>
      <c r="C561" s="2">
        <f t="shared" si="71"/>
        <v>10</v>
      </c>
      <c r="D561" s="2">
        <f t="shared" si="72"/>
        <v>73</v>
      </c>
      <c r="E561" s="1">
        <f t="shared" si="69"/>
        <v>643166.0059076756</v>
      </c>
      <c r="G561" s="1">
        <f t="shared" si="65"/>
        <v>4635.5053505249152</v>
      </c>
      <c r="H561" s="1">
        <v>0</v>
      </c>
      <c r="I561" s="1">
        <f t="shared" si="66"/>
        <v>-647.80151125820055</v>
      </c>
      <c r="J561" s="1">
        <f t="shared" si="67"/>
        <v>647153.70974694227</v>
      </c>
      <c r="M561" s="7"/>
      <c r="N561" s="1"/>
    </row>
    <row r="562" spans="1:14">
      <c r="A562" s="1">
        <f t="shared" si="68"/>
        <v>539</v>
      </c>
      <c r="B562" s="2">
        <f t="shared" si="70"/>
        <v>44</v>
      </c>
      <c r="C562" s="2">
        <f t="shared" si="71"/>
        <v>11</v>
      </c>
      <c r="D562" s="2">
        <f t="shared" si="72"/>
        <v>73</v>
      </c>
      <c r="E562" s="1">
        <f t="shared" si="69"/>
        <v>647153.70974694227</v>
      </c>
      <c r="G562" s="1">
        <f t="shared" si="65"/>
        <v>4664.2460213835093</v>
      </c>
      <c r="H562" s="1">
        <v>0</v>
      </c>
      <c r="I562" s="1">
        <f t="shared" si="66"/>
        <v>-651.81795576832587</v>
      </c>
      <c r="J562" s="1">
        <f t="shared" si="67"/>
        <v>651166.13781255751</v>
      </c>
      <c r="M562" s="7"/>
      <c r="N562" s="1"/>
    </row>
    <row r="563" spans="1:14">
      <c r="A563" s="1">
        <f t="shared" si="68"/>
        <v>540</v>
      </c>
      <c r="B563" s="2">
        <f t="shared" si="70"/>
        <v>44</v>
      </c>
      <c r="C563" s="2">
        <f t="shared" si="71"/>
        <v>12</v>
      </c>
      <c r="D563" s="2">
        <f t="shared" si="72"/>
        <v>73</v>
      </c>
      <c r="E563" s="1">
        <f t="shared" si="69"/>
        <v>651166.13781255751</v>
      </c>
      <c r="G563" s="1">
        <f t="shared" si="65"/>
        <v>4693.1648877351399</v>
      </c>
      <c r="H563" s="69">
        <f>-SUM(E563:G563)*$H$21</f>
        <v>-5902.733724302635</v>
      </c>
      <c r="I563" s="1">
        <f t="shared" si="66"/>
        <v>-655.85930270029269</v>
      </c>
      <c r="J563" s="1">
        <f t="shared" si="67"/>
        <v>649300.70967328979</v>
      </c>
      <c r="M563" s="7"/>
      <c r="N563" s="1"/>
    </row>
    <row r="564" spans="1:14">
      <c r="A564" s="1">
        <f t="shared" si="68"/>
        <v>541</v>
      </c>
      <c r="B564" s="2">
        <f t="shared" si="70"/>
        <v>45</v>
      </c>
      <c r="C564" s="2">
        <f t="shared" si="71"/>
        <v>1</v>
      </c>
      <c r="D564" s="2">
        <f t="shared" si="72"/>
        <v>74</v>
      </c>
      <c r="E564" s="1">
        <f t="shared" si="69"/>
        <v>649300.70967328979</v>
      </c>
      <c r="G564" s="1">
        <f t="shared" si="65"/>
        <v>4679.7201440124181</v>
      </c>
      <c r="H564" s="1">
        <v>0</v>
      </c>
      <c r="I564" s="1">
        <f t="shared" si="66"/>
        <v>-653.98042981730214</v>
      </c>
      <c r="J564" s="1">
        <f t="shared" si="67"/>
        <v>653326.44938748481</v>
      </c>
      <c r="M564" s="7"/>
      <c r="N564" s="1"/>
    </row>
    <row r="565" spans="1:14">
      <c r="A565" s="1">
        <f t="shared" si="68"/>
        <v>542</v>
      </c>
      <c r="B565" s="2">
        <f t="shared" si="70"/>
        <v>45</v>
      </c>
      <c r="C565" s="2">
        <f t="shared" si="71"/>
        <v>2</v>
      </c>
      <c r="D565" s="2">
        <f t="shared" si="72"/>
        <v>74</v>
      </c>
      <c r="E565" s="1">
        <f t="shared" si="69"/>
        <v>653326.44938748481</v>
      </c>
      <c r="G565" s="1">
        <f t="shared" si="65"/>
        <v>4708.7349517192333</v>
      </c>
      <c r="H565" s="1">
        <v>0</v>
      </c>
      <c r="I565" s="1">
        <f t="shared" si="66"/>
        <v>-658.03518433920397</v>
      </c>
      <c r="J565" s="1">
        <f t="shared" si="67"/>
        <v>657377.14915486483</v>
      </c>
      <c r="M565" s="7"/>
      <c r="N565" s="1"/>
    </row>
    <row r="566" spans="1:14">
      <c r="A566" s="1">
        <f t="shared" si="68"/>
        <v>543</v>
      </c>
      <c r="B566" s="2">
        <f t="shared" si="70"/>
        <v>45</v>
      </c>
      <c r="C566" s="2">
        <f t="shared" si="71"/>
        <v>3</v>
      </c>
      <c r="D566" s="2">
        <f t="shared" si="72"/>
        <v>74</v>
      </c>
      <c r="E566" s="1">
        <f t="shared" si="69"/>
        <v>657377.14915486483</v>
      </c>
      <c r="G566" s="1">
        <f t="shared" si="65"/>
        <v>4737.9296545993411</v>
      </c>
      <c r="H566" s="69">
        <f>-SUM(E566:G566)*$H$21</f>
        <v>-5959.0357092851782</v>
      </c>
      <c r="I566" s="1">
        <f t="shared" si="66"/>
        <v>-662.11507880946408</v>
      </c>
      <c r="J566" s="1">
        <f t="shared" si="67"/>
        <v>655493.9280213695</v>
      </c>
      <c r="M566" s="7"/>
      <c r="N566" s="1"/>
    </row>
    <row r="567" spans="1:14">
      <c r="A567" s="1">
        <f t="shared" si="68"/>
        <v>544</v>
      </c>
      <c r="B567" s="2">
        <f t="shared" si="70"/>
        <v>45</v>
      </c>
      <c r="C567" s="2">
        <f t="shared" si="71"/>
        <v>4</v>
      </c>
      <c r="D567" s="2">
        <f t="shared" si="72"/>
        <v>74</v>
      </c>
      <c r="E567" s="1">
        <f t="shared" si="69"/>
        <v>655493.9280213695</v>
      </c>
      <c r="G567" s="1">
        <f t="shared" si="65"/>
        <v>4724.3566710144587</v>
      </c>
      <c r="H567" s="1">
        <v>0</v>
      </c>
      <c r="I567" s="1">
        <f t="shared" si="66"/>
        <v>-660.21828469238392</v>
      </c>
      <c r="J567" s="1">
        <f t="shared" si="67"/>
        <v>659558.06640769157</v>
      </c>
      <c r="M567" s="7"/>
      <c r="N567" s="1"/>
    </row>
    <row r="568" spans="1:14">
      <c r="A568" s="1">
        <f t="shared" si="68"/>
        <v>545</v>
      </c>
      <c r="B568" s="2">
        <f t="shared" si="70"/>
        <v>45</v>
      </c>
      <c r="C568" s="2">
        <f t="shared" si="71"/>
        <v>5</v>
      </c>
      <c r="D568" s="2">
        <f t="shared" si="72"/>
        <v>74</v>
      </c>
      <c r="E568" s="1">
        <f t="shared" si="69"/>
        <v>659558.06640769157</v>
      </c>
      <c r="G568" s="1">
        <f t="shared" si="65"/>
        <v>4753.6482303662033</v>
      </c>
      <c r="H568" s="1">
        <v>0</v>
      </c>
      <c r="I568" s="1">
        <f t="shared" si="66"/>
        <v>-664.31171463805777</v>
      </c>
      <c r="J568" s="1">
        <f t="shared" si="67"/>
        <v>663647.40292341972</v>
      </c>
      <c r="M568" s="7"/>
      <c r="N568" s="1"/>
    </row>
    <row r="569" spans="1:14">
      <c r="A569" s="1">
        <f t="shared" si="68"/>
        <v>546</v>
      </c>
      <c r="B569" s="2">
        <f t="shared" si="70"/>
        <v>45</v>
      </c>
      <c r="C569" s="2">
        <f t="shared" si="71"/>
        <v>6</v>
      </c>
      <c r="D569" s="2">
        <f t="shared" si="72"/>
        <v>74</v>
      </c>
      <c r="E569" s="1">
        <f t="shared" si="69"/>
        <v>663647.40292341972</v>
      </c>
      <c r="G569" s="1">
        <f t="shared" si="65"/>
        <v>4783.1214007835406</v>
      </c>
      <c r="H569" s="69">
        <f>-SUM(E569:G569)*$H$21</f>
        <v>-6015.8747189178303</v>
      </c>
      <c r="I569" s="1">
        <f t="shared" si="66"/>
        <v>-668.43052432420325</v>
      </c>
      <c r="J569" s="1">
        <f t="shared" si="67"/>
        <v>661746.21908096119</v>
      </c>
      <c r="M569" s="7"/>
      <c r="N569" s="1"/>
    </row>
    <row r="570" spans="1:14">
      <c r="A570" s="1">
        <f t="shared" si="68"/>
        <v>547</v>
      </c>
      <c r="B570" s="2">
        <f t="shared" si="70"/>
        <v>45</v>
      </c>
      <c r="C570" s="2">
        <f t="shared" si="71"/>
        <v>7</v>
      </c>
      <c r="D570" s="2">
        <f t="shared" si="72"/>
        <v>74</v>
      </c>
      <c r="E570" s="1">
        <f t="shared" si="69"/>
        <v>661746.21908096119</v>
      </c>
      <c r="G570" s="1">
        <f t="shared" si="65"/>
        <v>4769.4189541475271</v>
      </c>
      <c r="H570" s="1">
        <v>0</v>
      </c>
      <c r="I570" s="1">
        <f t="shared" si="66"/>
        <v>-666.51563803510874</v>
      </c>
      <c r="J570" s="1">
        <f t="shared" si="67"/>
        <v>665849.12239707354</v>
      </c>
      <c r="M570" s="7"/>
      <c r="N570" s="1"/>
    </row>
    <row r="571" spans="1:14">
      <c r="A571" s="1">
        <f t="shared" si="68"/>
        <v>548</v>
      </c>
      <c r="B571" s="2">
        <f t="shared" si="70"/>
        <v>45</v>
      </c>
      <c r="C571" s="2">
        <f t="shared" si="71"/>
        <v>8</v>
      </c>
      <c r="D571" s="2">
        <f t="shared" si="72"/>
        <v>74</v>
      </c>
      <c r="E571" s="1">
        <f t="shared" si="69"/>
        <v>665849.12239707354</v>
      </c>
      <c r="G571" s="1">
        <f t="shared" si="65"/>
        <v>4798.9899048815978</v>
      </c>
      <c r="H571" s="1">
        <v>0</v>
      </c>
      <c r="I571" s="1">
        <f t="shared" si="66"/>
        <v>-670.64811230195517</v>
      </c>
      <c r="J571" s="1">
        <f t="shared" si="67"/>
        <v>669977.46418965317</v>
      </c>
      <c r="M571" s="7"/>
      <c r="N571" s="1"/>
    </row>
    <row r="572" spans="1:14">
      <c r="A572" s="1">
        <f t="shared" si="68"/>
        <v>549</v>
      </c>
      <c r="B572" s="2">
        <f t="shared" si="70"/>
        <v>45</v>
      </c>
      <c r="C572" s="2">
        <f t="shared" si="71"/>
        <v>9</v>
      </c>
      <c r="D572" s="2">
        <f t="shared" si="72"/>
        <v>74</v>
      </c>
      <c r="E572" s="1">
        <f t="shared" si="69"/>
        <v>669977.46418965317</v>
      </c>
      <c r="G572" s="1">
        <f t="shared" si="65"/>
        <v>4828.7441989402387</v>
      </c>
      <c r="H572" s="69">
        <f>-SUM(E572:G572)*$H$21</f>
        <v>-6073.2558754973415</v>
      </c>
      <c r="I572" s="1">
        <f t="shared" si="66"/>
        <v>-674.8062083885934</v>
      </c>
      <c r="J572" s="1">
        <f t="shared" si="67"/>
        <v>668058.14630470739</v>
      </c>
      <c r="M572" s="7"/>
      <c r="N572" s="1"/>
    </row>
    <row r="573" spans="1:14">
      <c r="A573" s="1">
        <f t="shared" si="68"/>
        <v>550</v>
      </c>
      <c r="B573" s="2">
        <f t="shared" si="70"/>
        <v>45</v>
      </c>
      <c r="C573" s="2">
        <f t="shared" si="71"/>
        <v>10</v>
      </c>
      <c r="D573" s="2">
        <f t="shared" si="72"/>
        <v>74</v>
      </c>
      <c r="E573" s="1">
        <f t="shared" si="69"/>
        <v>668058.14630470739</v>
      </c>
      <c r="G573" s="1">
        <f t="shared" si="65"/>
        <v>4814.9110543969909</v>
      </c>
      <c r="H573" s="1">
        <v>0</v>
      </c>
      <c r="I573" s="1">
        <f t="shared" si="66"/>
        <v>-672.87305735910445</v>
      </c>
      <c r="J573" s="1">
        <f t="shared" si="67"/>
        <v>672200.18430174526</v>
      </c>
      <c r="M573" s="7"/>
      <c r="N573" s="1"/>
    </row>
    <row r="574" spans="1:14">
      <c r="A574" s="1">
        <f t="shared" si="68"/>
        <v>551</v>
      </c>
      <c r="B574" s="2">
        <f t="shared" si="70"/>
        <v>45</v>
      </c>
      <c r="C574" s="2">
        <f t="shared" si="71"/>
        <v>11</v>
      </c>
      <c r="D574" s="2">
        <f t="shared" si="72"/>
        <v>74</v>
      </c>
      <c r="E574" s="1">
        <f t="shared" si="69"/>
        <v>672200.18430174526</v>
      </c>
      <c r="G574" s="1">
        <f t="shared" si="65"/>
        <v>4844.7640614293659</v>
      </c>
      <c r="H574" s="1">
        <v>0</v>
      </c>
      <c r="I574" s="1">
        <f t="shared" si="66"/>
        <v>-677.04494836317474</v>
      </c>
      <c r="J574" s="1">
        <f t="shared" si="67"/>
        <v>676367.90341481147</v>
      </c>
      <c r="M574" s="7"/>
      <c r="N574" s="1"/>
    </row>
    <row r="575" spans="1:14">
      <c r="A575" s="1">
        <f t="shared" si="68"/>
        <v>552</v>
      </c>
      <c r="B575" s="2">
        <f t="shared" si="70"/>
        <v>45</v>
      </c>
      <c r="C575" s="2">
        <f t="shared" si="71"/>
        <v>12</v>
      </c>
      <c r="D575" s="2">
        <f t="shared" si="72"/>
        <v>74</v>
      </c>
      <c r="E575" s="1">
        <f t="shared" si="69"/>
        <v>676367.90341481147</v>
      </c>
      <c r="G575" s="1">
        <f t="shared" si="65"/>
        <v>4874.8021605680769</v>
      </c>
      <c r="H575" s="69">
        <f>-SUM(E575:G575)*$H$21</f>
        <v>-6131.1843501784169</v>
      </c>
      <c r="I575" s="1">
        <f t="shared" si="66"/>
        <v>-681.24270557537955</v>
      </c>
      <c r="J575" s="1">
        <f t="shared" si="67"/>
        <v>674430.27851962566</v>
      </c>
      <c r="M575" s="7"/>
      <c r="N575" s="1"/>
    </row>
    <row r="576" spans="1:14">
      <c r="A576" s="1">
        <f t="shared" si="68"/>
        <v>553</v>
      </c>
      <c r="B576" s="2">
        <f t="shared" si="70"/>
        <v>46</v>
      </c>
      <c r="C576" s="2">
        <f t="shared" si="71"/>
        <v>1</v>
      </c>
      <c r="D576" s="2">
        <f t="shared" si="72"/>
        <v>75</v>
      </c>
      <c r="E576" s="1">
        <f t="shared" si="69"/>
        <v>674430.27851962566</v>
      </c>
      <c r="G576" s="1">
        <f t="shared" si="65"/>
        <v>4860.8370714830771</v>
      </c>
      <c r="H576" s="1">
        <v>0</v>
      </c>
      <c r="I576" s="1">
        <f t="shared" si="66"/>
        <v>-679.29111559110868</v>
      </c>
      <c r="J576" s="1">
        <f t="shared" si="67"/>
        <v>678611.82447551761</v>
      </c>
      <c r="M576" s="7"/>
      <c r="N576" s="1"/>
    </row>
    <row r="577" spans="1:14">
      <c r="A577" s="1">
        <f t="shared" si="68"/>
        <v>554</v>
      </c>
      <c r="B577" s="2">
        <f t="shared" si="70"/>
        <v>46</v>
      </c>
      <c r="C577" s="2">
        <f t="shared" si="71"/>
        <v>2</v>
      </c>
      <c r="D577" s="2">
        <f t="shared" si="72"/>
        <v>75</v>
      </c>
      <c r="E577" s="1">
        <f t="shared" si="69"/>
        <v>678611.82447551761</v>
      </c>
      <c r="G577" s="1">
        <f t="shared" si="65"/>
        <v>4890.9748251484743</v>
      </c>
      <c r="H577" s="1">
        <v>0</v>
      </c>
      <c r="I577" s="1">
        <f t="shared" si="66"/>
        <v>-683.50279930066608</v>
      </c>
      <c r="J577" s="1">
        <f t="shared" si="67"/>
        <v>682819.29650136537</v>
      </c>
      <c r="M577" s="7"/>
      <c r="N577" s="1"/>
    </row>
    <row r="578" spans="1:14">
      <c r="A578" s="1">
        <f t="shared" si="68"/>
        <v>555</v>
      </c>
      <c r="B578" s="2">
        <f t="shared" si="70"/>
        <v>46</v>
      </c>
      <c r="C578" s="2">
        <f t="shared" si="71"/>
        <v>3</v>
      </c>
      <c r="D578" s="2">
        <f t="shared" si="72"/>
        <v>75</v>
      </c>
      <c r="E578" s="1">
        <f t="shared" si="69"/>
        <v>682819.29650136537</v>
      </c>
      <c r="G578" s="1">
        <f t="shared" si="65"/>
        <v>4921.29943638236</v>
      </c>
      <c r="H578" s="69">
        <f>-SUM(E578:G578)*$H$21</f>
        <v>-6189.6653634397308</v>
      </c>
      <c r="I578" s="1">
        <f t="shared" si="66"/>
        <v>-687.7405959377478</v>
      </c>
      <c r="J578" s="1">
        <f t="shared" si="67"/>
        <v>680863.18997837033</v>
      </c>
      <c r="M578" s="7"/>
      <c r="N578" s="1"/>
    </row>
    <row r="579" spans="1:14">
      <c r="A579" s="1">
        <f t="shared" si="68"/>
        <v>556</v>
      </c>
      <c r="B579" s="2">
        <f t="shared" si="70"/>
        <v>46</v>
      </c>
      <c r="C579" s="2">
        <f t="shared" si="71"/>
        <v>4</v>
      </c>
      <c r="D579" s="2">
        <f t="shared" si="72"/>
        <v>75</v>
      </c>
      <c r="E579" s="1">
        <f t="shared" si="69"/>
        <v>680863.18997837033</v>
      </c>
      <c r="G579" s="1">
        <f t="shared" si="65"/>
        <v>4907.201144230331</v>
      </c>
      <c r="H579" s="1">
        <v>0</v>
      </c>
      <c r="I579" s="1">
        <f t="shared" si="66"/>
        <v>-685.7703911226007</v>
      </c>
      <c r="J579" s="1">
        <f t="shared" si="67"/>
        <v>685084.62073147809</v>
      </c>
      <c r="M579" s="7"/>
      <c r="N579" s="1"/>
    </row>
    <row r="580" spans="1:14">
      <c r="A580" s="1">
        <f t="shared" si="68"/>
        <v>557</v>
      </c>
      <c r="B580" s="2">
        <f t="shared" si="70"/>
        <v>46</v>
      </c>
      <c r="C580" s="2">
        <f t="shared" si="71"/>
        <v>5</v>
      </c>
      <c r="D580" s="2">
        <f t="shared" si="72"/>
        <v>75</v>
      </c>
      <c r="E580" s="1">
        <f t="shared" si="69"/>
        <v>685084.62073147809</v>
      </c>
      <c r="G580" s="1">
        <f t="shared" si="65"/>
        <v>4937.6263605246604</v>
      </c>
      <c r="H580" s="1">
        <v>0</v>
      </c>
      <c r="I580" s="1">
        <f t="shared" si="66"/>
        <v>-690.02224709200277</v>
      </c>
      <c r="J580" s="1">
        <f t="shared" si="67"/>
        <v>689332.22484491079</v>
      </c>
      <c r="M580" s="7"/>
      <c r="N580" s="1"/>
    </row>
    <row r="581" spans="1:14">
      <c r="A581" s="1">
        <f t="shared" si="68"/>
        <v>558</v>
      </c>
      <c r="B581" s="2">
        <f t="shared" si="70"/>
        <v>46</v>
      </c>
      <c r="C581" s="2">
        <f t="shared" si="71"/>
        <v>6</v>
      </c>
      <c r="D581" s="2">
        <f t="shared" si="72"/>
        <v>75</v>
      </c>
      <c r="E581" s="1">
        <f t="shared" si="69"/>
        <v>689332.22484491079</v>
      </c>
      <c r="G581" s="1">
        <f t="shared" si="65"/>
        <v>4968.2402166891225</v>
      </c>
      <c r="H581" s="69">
        <f>-SUM(E581:G581)*$H$21</f>
        <v>-6248.7041855543994</v>
      </c>
      <c r="I581" s="1">
        <f t="shared" si="66"/>
        <v>-694.30046506159988</v>
      </c>
      <c r="J581" s="1">
        <f t="shared" si="67"/>
        <v>687357.46041098388</v>
      </c>
      <c r="M581" s="7"/>
      <c r="N581" s="1"/>
    </row>
    <row r="582" spans="1:14">
      <c r="A582" s="1">
        <f t="shared" si="68"/>
        <v>559</v>
      </c>
      <c r="B582" s="2">
        <f t="shared" si="70"/>
        <v>46</v>
      </c>
      <c r="C582" s="2">
        <f t="shared" si="71"/>
        <v>7</v>
      </c>
      <c r="D582" s="2">
        <f t="shared" si="72"/>
        <v>75</v>
      </c>
      <c r="E582" s="1">
        <f t="shared" si="69"/>
        <v>687357.46041098388</v>
      </c>
      <c r="G582" s="1">
        <f t="shared" si="65"/>
        <v>4954.007450940604</v>
      </c>
      <c r="H582" s="1">
        <v>0</v>
      </c>
      <c r="I582" s="1">
        <f t="shared" si="66"/>
        <v>-692.31146786192448</v>
      </c>
      <c r="J582" s="1">
        <f t="shared" si="67"/>
        <v>691619.15639406256</v>
      </c>
      <c r="M582" s="7"/>
      <c r="N582" s="1"/>
    </row>
    <row r="583" spans="1:14">
      <c r="A583" s="1">
        <f t="shared" si="68"/>
        <v>560</v>
      </c>
      <c r="B583" s="2">
        <f t="shared" si="70"/>
        <v>46</v>
      </c>
      <c r="C583" s="2">
        <f t="shared" si="71"/>
        <v>8</v>
      </c>
      <c r="D583" s="2">
        <f t="shared" si="72"/>
        <v>75</v>
      </c>
      <c r="E583" s="1">
        <f t="shared" si="69"/>
        <v>691619.15639406256</v>
      </c>
      <c r="G583" s="1">
        <f t="shared" si="65"/>
        <v>4984.7228717657326</v>
      </c>
      <c r="H583" s="1">
        <v>0</v>
      </c>
      <c r="I583" s="1">
        <f t="shared" si="66"/>
        <v>-696.60387926582825</v>
      </c>
      <c r="J583" s="1">
        <f t="shared" si="67"/>
        <v>695907.27538656245</v>
      </c>
      <c r="M583" s="7"/>
      <c r="N583" s="1"/>
    </row>
    <row r="584" spans="1:14">
      <c r="A584" s="1">
        <f t="shared" si="68"/>
        <v>561</v>
      </c>
      <c r="B584" s="2">
        <f t="shared" si="70"/>
        <v>46</v>
      </c>
      <c r="C584" s="2">
        <f t="shared" si="71"/>
        <v>9</v>
      </c>
      <c r="D584" s="2">
        <f t="shared" si="72"/>
        <v>75</v>
      </c>
      <c r="E584" s="1">
        <f t="shared" si="69"/>
        <v>695907.27538656245</v>
      </c>
      <c r="G584" s="1">
        <f t="shared" si="65"/>
        <v>5015.6287317627457</v>
      </c>
      <c r="H584" s="69">
        <f>-SUM(E584:G584)*$H$21</f>
        <v>-6308.3061370649275</v>
      </c>
      <c r="I584" s="1">
        <f t="shared" si="66"/>
        <v>-700.92290411832528</v>
      </c>
      <c r="J584" s="1">
        <f t="shared" si="67"/>
        <v>693913.67507714196</v>
      </c>
      <c r="M584" s="7"/>
      <c r="N584" s="1"/>
    </row>
    <row r="585" spans="1:14">
      <c r="A585" s="1">
        <f t="shared" si="68"/>
        <v>562</v>
      </c>
      <c r="B585" s="2">
        <f t="shared" si="70"/>
        <v>46</v>
      </c>
      <c r="C585" s="2">
        <f t="shared" si="71"/>
        <v>10</v>
      </c>
      <c r="D585" s="2">
        <f t="shared" si="72"/>
        <v>75</v>
      </c>
      <c r="E585" s="1">
        <f t="shared" si="69"/>
        <v>693913.67507714196</v>
      </c>
      <c r="G585" s="1">
        <f t="shared" si="65"/>
        <v>5001.2602097696026</v>
      </c>
      <c r="H585" s="1">
        <v>0</v>
      </c>
      <c r="I585" s="1">
        <f t="shared" si="66"/>
        <v>-698.9149352869116</v>
      </c>
      <c r="J585" s="1">
        <f t="shared" si="67"/>
        <v>698216.0203516247</v>
      </c>
      <c r="M585" s="7"/>
      <c r="N585" s="1"/>
    </row>
    <row r="586" spans="1:14">
      <c r="A586" s="1">
        <f t="shared" si="68"/>
        <v>563</v>
      </c>
      <c r="B586" s="2">
        <f t="shared" si="70"/>
        <v>46</v>
      </c>
      <c r="C586" s="2">
        <f t="shared" si="71"/>
        <v>11</v>
      </c>
      <c r="D586" s="2">
        <f t="shared" si="72"/>
        <v>75</v>
      </c>
      <c r="E586" s="1">
        <f t="shared" si="69"/>
        <v>698216.0203516247</v>
      </c>
      <c r="G586" s="1">
        <f t="shared" si="65"/>
        <v>5032.2686031804524</v>
      </c>
      <c r="H586" s="1">
        <v>0</v>
      </c>
      <c r="I586" s="1">
        <f t="shared" si="66"/>
        <v>-703.24828895480516</v>
      </c>
      <c r="J586" s="1">
        <f t="shared" si="67"/>
        <v>702545.04066585028</v>
      </c>
      <c r="M586" s="7"/>
      <c r="N586" s="1"/>
    </row>
    <row r="587" spans="1:14">
      <c r="A587" s="1">
        <f t="shared" si="68"/>
        <v>564</v>
      </c>
      <c r="B587" s="2">
        <f t="shared" si="70"/>
        <v>46</v>
      </c>
      <c r="C587" s="2">
        <f t="shared" si="71"/>
        <v>12</v>
      </c>
      <c r="D587" s="2">
        <f t="shared" si="72"/>
        <v>75</v>
      </c>
      <c r="E587" s="1">
        <f t="shared" si="69"/>
        <v>702545.04066585028</v>
      </c>
      <c r="G587" s="1">
        <f t="shared" si="65"/>
        <v>5063.4692522271998</v>
      </c>
      <c r="H587" s="69">
        <f>-SUM(E587:G587)*$H$21</f>
        <v>-6368.4765892626983</v>
      </c>
      <c r="I587" s="1">
        <f t="shared" si="66"/>
        <v>-707.60850991807752</v>
      </c>
      <c r="J587" s="1">
        <f t="shared" si="67"/>
        <v>700532.42481889669</v>
      </c>
      <c r="M587" s="7"/>
      <c r="N587" s="1"/>
    </row>
    <row r="588" spans="1:14">
      <c r="A588" s="1">
        <f t="shared" si="68"/>
        <v>565</v>
      </c>
      <c r="B588" s="2">
        <f t="shared" si="70"/>
        <v>47</v>
      </c>
      <c r="C588" s="2">
        <f t="shared" si="71"/>
        <v>1</v>
      </c>
      <c r="D588" s="2">
        <f t="shared" si="72"/>
        <v>76</v>
      </c>
      <c r="E588" s="1">
        <f t="shared" si="69"/>
        <v>700532.42481889669</v>
      </c>
      <c r="G588" s="1">
        <f t="shared" si="65"/>
        <v>5048.9636791070252</v>
      </c>
      <c r="H588" s="1">
        <v>0</v>
      </c>
      <c r="I588" s="1">
        <f t="shared" si="66"/>
        <v>-705.58138849800378</v>
      </c>
      <c r="J588" s="1">
        <f t="shared" si="67"/>
        <v>704875.80710950575</v>
      </c>
      <c r="M588" s="7"/>
      <c r="N588" s="1"/>
    </row>
    <row r="589" spans="1:14">
      <c r="A589" s="1">
        <f t="shared" si="68"/>
        <v>566</v>
      </c>
      <c r="B589" s="2">
        <f t="shared" si="70"/>
        <v>47</v>
      </c>
      <c r="C589" s="2">
        <f t="shared" si="71"/>
        <v>2</v>
      </c>
      <c r="D589" s="2">
        <f t="shared" si="72"/>
        <v>76</v>
      </c>
      <c r="E589" s="1">
        <f t="shared" si="69"/>
        <v>704875.80710950575</v>
      </c>
      <c r="G589" s="1">
        <f t="shared" si="65"/>
        <v>5080.2678395610274</v>
      </c>
      <c r="H589" s="1">
        <v>0</v>
      </c>
      <c r="I589" s="1">
        <f t="shared" si="66"/>
        <v>-709.95607494906676</v>
      </c>
      <c r="J589" s="1">
        <f t="shared" si="67"/>
        <v>709246.11887411762</v>
      </c>
      <c r="M589" s="7"/>
      <c r="N589" s="1"/>
    </row>
    <row r="590" spans="1:14">
      <c r="A590" s="1">
        <f t="shared" si="68"/>
        <v>567</v>
      </c>
      <c r="B590" s="2">
        <f t="shared" si="70"/>
        <v>47</v>
      </c>
      <c r="C590" s="2">
        <f t="shared" si="71"/>
        <v>3</v>
      </c>
      <c r="D590" s="2">
        <f t="shared" si="72"/>
        <v>76</v>
      </c>
      <c r="E590" s="1">
        <f t="shared" si="69"/>
        <v>709246.11887411762</v>
      </c>
      <c r="G590" s="1">
        <f t="shared" si="65"/>
        <v>5111.7660894409009</v>
      </c>
      <c r="H590" s="69">
        <f>-SUM(E590:G590)*$H$21</f>
        <v>-6429.2209646720275</v>
      </c>
      <c r="I590" s="1">
        <f t="shared" si="66"/>
        <v>-714.35788496355849</v>
      </c>
      <c r="J590" s="1">
        <f t="shared" si="67"/>
        <v>707214.30611392297</v>
      </c>
      <c r="M590" s="7"/>
      <c r="N590" s="1"/>
    </row>
    <row r="591" spans="1:14">
      <c r="A591" s="1">
        <f t="shared" si="68"/>
        <v>568</v>
      </c>
      <c r="B591" s="2">
        <f t="shared" si="70"/>
        <v>47</v>
      </c>
      <c r="C591" s="2">
        <f t="shared" si="71"/>
        <v>4</v>
      </c>
      <c r="D591" s="2">
        <f t="shared" si="72"/>
        <v>76</v>
      </c>
      <c r="E591" s="1">
        <f t="shared" si="69"/>
        <v>707214.30611392297</v>
      </c>
      <c r="G591" s="1">
        <f t="shared" si="65"/>
        <v>5097.1221579603252</v>
      </c>
      <c r="H591" s="1">
        <v>0</v>
      </c>
      <c r="I591" s="1">
        <f t="shared" si="66"/>
        <v>-712.3114282718833</v>
      </c>
      <c r="J591" s="1">
        <f t="shared" si="67"/>
        <v>711599.11684361135</v>
      </c>
      <c r="M591" s="7"/>
      <c r="N591" s="1"/>
    </row>
    <row r="592" spans="1:14">
      <c r="A592" s="1">
        <f t="shared" si="68"/>
        <v>569</v>
      </c>
      <c r="B592" s="2">
        <f t="shared" si="70"/>
        <v>47</v>
      </c>
      <c r="C592" s="2">
        <f t="shared" si="71"/>
        <v>5</v>
      </c>
      <c r="D592" s="2">
        <f t="shared" si="72"/>
        <v>76</v>
      </c>
      <c r="E592" s="1">
        <f t="shared" si="69"/>
        <v>711599.11684361135</v>
      </c>
      <c r="G592" s="1">
        <f t="shared" si="65"/>
        <v>5128.7249065692549</v>
      </c>
      <c r="H592" s="1">
        <v>0</v>
      </c>
      <c r="I592" s="1">
        <f t="shared" si="66"/>
        <v>-716.72784175018057</v>
      </c>
      <c r="J592" s="1">
        <f t="shared" si="67"/>
        <v>716011.11390843045</v>
      </c>
      <c r="M592" s="7"/>
      <c r="N592" s="1"/>
    </row>
    <row r="593" spans="1:14">
      <c r="A593" s="1">
        <f t="shared" si="68"/>
        <v>570</v>
      </c>
      <c r="B593" s="2">
        <f t="shared" si="70"/>
        <v>47</v>
      </c>
      <c r="C593" s="2">
        <f t="shared" si="71"/>
        <v>6</v>
      </c>
      <c r="D593" s="2">
        <f t="shared" si="72"/>
        <v>76</v>
      </c>
      <c r="E593" s="1">
        <f t="shared" si="69"/>
        <v>716011.11390843045</v>
      </c>
      <c r="G593" s="1">
        <f t="shared" si="65"/>
        <v>5160.5235958852527</v>
      </c>
      <c r="H593" s="69">
        <f>-SUM(E593:G593)*$H$21</f>
        <v>-6490.5447375388421</v>
      </c>
      <c r="I593" s="1">
        <f t="shared" si="66"/>
        <v>-721.17163750431575</v>
      </c>
      <c r="J593" s="1">
        <f t="shared" si="67"/>
        <v>713959.92112927255</v>
      </c>
      <c r="M593" s="7"/>
      <c r="N593" s="1"/>
    </row>
    <row r="594" spans="1:14">
      <c r="A594" s="1">
        <f t="shared" si="68"/>
        <v>571</v>
      </c>
      <c r="B594" s="2">
        <f t="shared" si="70"/>
        <v>47</v>
      </c>
      <c r="C594" s="2">
        <f t="shared" si="71"/>
        <v>7</v>
      </c>
      <c r="D594" s="2">
        <f t="shared" si="72"/>
        <v>76</v>
      </c>
      <c r="E594" s="1">
        <f t="shared" si="69"/>
        <v>713959.92112927255</v>
      </c>
      <c r="G594" s="1">
        <f t="shared" si="65"/>
        <v>5145.7399863421369</v>
      </c>
      <c r="H594" s="1">
        <v>0</v>
      </c>
      <c r="I594" s="1">
        <f t="shared" si="66"/>
        <v>-719.10566111561468</v>
      </c>
      <c r="J594" s="1">
        <f t="shared" si="67"/>
        <v>718386.55545449909</v>
      </c>
      <c r="M594" s="7"/>
      <c r="N594" s="1"/>
    </row>
    <row r="595" spans="1:14">
      <c r="A595" s="1">
        <f t="shared" si="68"/>
        <v>572</v>
      </c>
      <c r="B595" s="2">
        <f t="shared" si="70"/>
        <v>47</v>
      </c>
      <c r="C595" s="2">
        <f t="shared" si="71"/>
        <v>8</v>
      </c>
      <c r="D595" s="2">
        <f t="shared" si="72"/>
        <v>76</v>
      </c>
      <c r="E595" s="1">
        <f t="shared" si="69"/>
        <v>718386.55545449909</v>
      </c>
      <c r="G595" s="1">
        <f t="shared" si="65"/>
        <v>5177.6441711263533</v>
      </c>
      <c r="H595" s="1">
        <v>0</v>
      </c>
      <c r="I595" s="1">
        <f t="shared" si="66"/>
        <v>-723.56419962562541</v>
      </c>
      <c r="J595" s="1">
        <f t="shared" si="67"/>
        <v>722840.63542599976</v>
      </c>
      <c r="M595" s="7"/>
      <c r="N595" s="1"/>
    </row>
    <row r="596" spans="1:14">
      <c r="A596" s="1">
        <f t="shared" si="68"/>
        <v>573</v>
      </c>
      <c r="B596" s="2">
        <f t="shared" si="70"/>
        <v>47</v>
      </c>
      <c r="C596" s="2">
        <f t="shared" si="71"/>
        <v>9</v>
      </c>
      <c r="D596" s="2">
        <f t="shared" si="72"/>
        <v>76</v>
      </c>
      <c r="E596" s="1">
        <f t="shared" si="69"/>
        <v>722840.63542599976</v>
      </c>
      <c r="G596" s="1">
        <f t="shared" si="65"/>
        <v>5209.7461655568877</v>
      </c>
      <c r="H596" s="69">
        <f>-SUM(E596:G596)*$H$21</f>
        <v>-6552.4534343240102</v>
      </c>
      <c r="I596" s="1">
        <f t="shared" si="66"/>
        <v>-728.05038159155663</v>
      </c>
      <c r="J596" s="1">
        <f t="shared" si="67"/>
        <v>720769.87777564104</v>
      </c>
      <c r="M596" s="7"/>
      <c r="N596" s="1"/>
    </row>
    <row r="597" spans="1:14">
      <c r="A597" s="1">
        <f t="shared" si="68"/>
        <v>574</v>
      </c>
      <c r="B597" s="2">
        <f t="shared" si="70"/>
        <v>47</v>
      </c>
      <c r="C597" s="2">
        <f t="shared" si="71"/>
        <v>10</v>
      </c>
      <c r="D597" s="2">
        <f t="shared" si="72"/>
        <v>76</v>
      </c>
      <c r="E597" s="1">
        <f t="shared" si="69"/>
        <v>720769.87777564104</v>
      </c>
      <c r="G597" s="1">
        <f t="shared" si="65"/>
        <v>5194.821545661388</v>
      </c>
      <c r="H597" s="1">
        <v>0</v>
      </c>
      <c r="I597" s="1">
        <f t="shared" si="66"/>
        <v>-725.96469932130253</v>
      </c>
      <c r="J597" s="1">
        <f t="shared" si="67"/>
        <v>725238.73462198116</v>
      </c>
      <c r="M597" s="7"/>
      <c r="N597" s="1"/>
    </row>
    <row r="598" spans="1:14">
      <c r="A598" s="1">
        <f t="shared" si="68"/>
        <v>575</v>
      </c>
      <c r="B598" s="2">
        <f t="shared" si="70"/>
        <v>47</v>
      </c>
      <c r="C598" s="2">
        <f t="shared" si="71"/>
        <v>11</v>
      </c>
      <c r="D598" s="2">
        <f t="shared" si="72"/>
        <v>76</v>
      </c>
      <c r="E598" s="1">
        <f t="shared" si="69"/>
        <v>725238.73462198116</v>
      </c>
      <c r="G598" s="1">
        <f t="shared" si="65"/>
        <v>5227.0300418064926</v>
      </c>
      <c r="H598" s="1">
        <v>0</v>
      </c>
      <c r="I598" s="1">
        <f t="shared" si="66"/>
        <v>-730.4657646637877</v>
      </c>
      <c r="J598" s="1">
        <f t="shared" si="67"/>
        <v>729735.29889912391</v>
      </c>
      <c r="M598" s="7"/>
      <c r="N598" s="1"/>
    </row>
    <row r="599" spans="1:14">
      <c r="A599" s="1">
        <f t="shared" si="68"/>
        <v>576</v>
      </c>
      <c r="B599" s="2">
        <f t="shared" si="70"/>
        <v>47</v>
      </c>
      <c r="C599" s="2">
        <f t="shared" si="71"/>
        <v>12</v>
      </c>
      <c r="D599" s="2">
        <f t="shared" si="72"/>
        <v>76</v>
      </c>
      <c r="E599" s="1">
        <f t="shared" si="69"/>
        <v>729735.29889912391</v>
      </c>
      <c r="G599" s="1">
        <f t="shared" si="65"/>
        <v>5259.4382343636507</v>
      </c>
      <c r="H599" s="69">
        <f>-SUM(E599:G599)*$H$21</f>
        <v>-6614.9526342013887</v>
      </c>
      <c r="I599" s="1">
        <f t="shared" si="66"/>
        <v>-734.99473713348766</v>
      </c>
      <c r="J599" s="1">
        <f t="shared" si="67"/>
        <v>727644.78976215271</v>
      </c>
      <c r="M599" s="7"/>
      <c r="N599" s="1"/>
    </row>
    <row r="600" spans="1:14">
      <c r="A600" s="1">
        <f t="shared" si="68"/>
        <v>577</v>
      </c>
      <c r="B600" s="2">
        <f t="shared" si="70"/>
        <v>48</v>
      </c>
      <c r="C600" s="2">
        <f t="shared" si="71"/>
        <v>1</v>
      </c>
      <c r="D600" s="2">
        <f t="shared" si="72"/>
        <v>77</v>
      </c>
      <c r="E600" s="1">
        <f t="shared" si="69"/>
        <v>727644.78976215271</v>
      </c>
      <c r="G600" s="1">
        <f t="shared" ref="G600:G663" si="73">SUM(E600:F600)*$F$8</f>
        <v>5244.371259118162</v>
      </c>
      <c r="H600" s="1">
        <v>0</v>
      </c>
      <c r="I600" s="1">
        <f t="shared" ref="I600:I663" si="74">-SUM(E600:G600)*0.1%</f>
        <v>-732.88916102127087</v>
      </c>
      <c r="J600" s="1">
        <f t="shared" ref="J600:J663" si="75">SUM(E600:I600)</f>
        <v>732156.27186024969</v>
      </c>
      <c r="M600" s="7"/>
      <c r="N600" s="1"/>
    </row>
    <row r="601" spans="1:14">
      <c r="A601" s="1">
        <f t="shared" ref="A601:A664" si="76">+A600+1</f>
        <v>578</v>
      </c>
      <c r="B601" s="2">
        <f t="shared" si="70"/>
        <v>48</v>
      </c>
      <c r="C601" s="2">
        <f t="shared" si="71"/>
        <v>2</v>
      </c>
      <c r="D601" s="2">
        <f t="shared" si="72"/>
        <v>77</v>
      </c>
      <c r="E601" s="1">
        <f t="shared" ref="E601:E664" si="77">J600</f>
        <v>732156.27186024969</v>
      </c>
      <c r="G601" s="1">
        <f t="shared" si="73"/>
        <v>5276.8869692341095</v>
      </c>
      <c r="H601" s="1">
        <v>0</v>
      </c>
      <c r="I601" s="1">
        <f t="shared" si="74"/>
        <v>-737.43315882948377</v>
      </c>
      <c r="J601" s="1">
        <f t="shared" si="75"/>
        <v>736695.72567065433</v>
      </c>
      <c r="M601" s="7"/>
      <c r="N601" s="1"/>
    </row>
    <row r="602" spans="1:14">
      <c r="A602" s="1">
        <f t="shared" si="76"/>
        <v>579</v>
      </c>
      <c r="B602" s="2">
        <f t="shared" si="70"/>
        <v>48</v>
      </c>
      <c r="C602" s="2">
        <f t="shared" si="71"/>
        <v>3</v>
      </c>
      <c r="D602" s="2">
        <f t="shared" si="72"/>
        <v>77</v>
      </c>
      <c r="E602" s="1">
        <f t="shared" si="77"/>
        <v>736695.72567065433</v>
      </c>
      <c r="G602" s="1">
        <f t="shared" si="73"/>
        <v>5309.6042805243642</v>
      </c>
      <c r="H602" s="69">
        <f>-SUM(E602:G602)*$H$21</f>
        <v>-6678.0479695606091</v>
      </c>
      <c r="I602" s="1">
        <f t="shared" si="74"/>
        <v>-742.00532995117874</v>
      </c>
      <c r="J602" s="1">
        <f t="shared" si="75"/>
        <v>734585.27665166697</v>
      </c>
      <c r="M602" s="7"/>
      <c r="N602" s="1"/>
    </row>
    <row r="603" spans="1:14">
      <c r="A603" s="1">
        <f t="shared" si="76"/>
        <v>580</v>
      </c>
      <c r="B603" s="2">
        <f t="shared" si="70"/>
        <v>48</v>
      </c>
      <c r="C603" s="2">
        <f t="shared" si="71"/>
        <v>4</v>
      </c>
      <c r="D603" s="2">
        <f t="shared" si="72"/>
        <v>77</v>
      </c>
      <c r="E603" s="1">
        <f t="shared" si="77"/>
        <v>734585.27665166697</v>
      </c>
      <c r="G603" s="1">
        <f t="shared" si="73"/>
        <v>5294.3935921022994</v>
      </c>
      <c r="H603" s="1">
        <v>0</v>
      </c>
      <c r="I603" s="1">
        <f t="shared" si="74"/>
        <v>-739.87967024376928</v>
      </c>
      <c r="J603" s="1">
        <f t="shared" si="75"/>
        <v>739139.79057352548</v>
      </c>
      <c r="M603" s="7"/>
      <c r="N603" s="1"/>
    </row>
    <row r="604" spans="1:14">
      <c r="A604" s="1">
        <f t="shared" si="76"/>
        <v>581</v>
      </c>
      <c r="B604" s="2">
        <f t="shared" si="70"/>
        <v>48</v>
      </c>
      <c r="C604" s="2">
        <f t="shared" si="71"/>
        <v>5</v>
      </c>
      <c r="D604" s="2">
        <f t="shared" si="72"/>
        <v>77</v>
      </c>
      <c r="E604" s="1">
        <f t="shared" si="77"/>
        <v>739139.79057352548</v>
      </c>
      <c r="G604" s="1">
        <f t="shared" si="73"/>
        <v>5327.219446484979</v>
      </c>
      <c r="H604" s="1">
        <v>0</v>
      </c>
      <c r="I604" s="1">
        <f t="shared" si="74"/>
        <v>-744.46701002001043</v>
      </c>
      <c r="J604" s="1">
        <f t="shared" si="75"/>
        <v>743722.54300999036</v>
      </c>
      <c r="M604" s="7"/>
      <c r="N604" s="1"/>
    </row>
    <row r="605" spans="1:14">
      <c r="A605" s="1">
        <f t="shared" si="76"/>
        <v>582</v>
      </c>
      <c r="B605" s="2">
        <f t="shared" si="70"/>
        <v>48</v>
      </c>
      <c r="C605" s="2">
        <f t="shared" si="71"/>
        <v>6</v>
      </c>
      <c r="D605" s="2">
        <f t="shared" si="72"/>
        <v>77</v>
      </c>
      <c r="E605" s="1">
        <f t="shared" si="77"/>
        <v>743722.54300999036</v>
      </c>
      <c r="G605" s="1">
        <f t="shared" si="73"/>
        <v>5360.2488249723947</v>
      </c>
      <c r="H605" s="69">
        <f>-SUM(E605:G605)*$H$21</f>
        <v>-6741.7451265146656</v>
      </c>
      <c r="I605" s="1">
        <f t="shared" si="74"/>
        <v>-749.08279183496279</v>
      </c>
      <c r="J605" s="1">
        <f t="shared" si="75"/>
        <v>741591.96391661314</v>
      </c>
      <c r="M605" s="7"/>
      <c r="N605" s="1"/>
    </row>
    <row r="606" spans="1:14">
      <c r="A606" s="1">
        <f t="shared" si="76"/>
        <v>583</v>
      </c>
      <c r="B606" s="2">
        <f t="shared" si="70"/>
        <v>48</v>
      </c>
      <c r="C606" s="2">
        <f t="shared" si="71"/>
        <v>7</v>
      </c>
      <c r="D606" s="2">
        <f t="shared" si="72"/>
        <v>77</v>
      </c>
      <c r="E606" s="1">
        <f t="shared" si="77"/>
        <v>741591.96391661314</v>
      </c>
      <c r="G606" s="1">
        <f t="shared" si="73"/>
        <v>5344.893052595824</v>
      </c>
      <c r="H606" s="1">
        <v>0</v>
      </c>
      <c r="I606" s="1">
        <f t="shared" si="74"/>
        <v>-746.93685696920897</v>
      </c>
      <c r="J606" s="1">
        <f t="shared" si="75"/>
        <v>746189.92011223966</v>
      </c>
      <c r="M606" s="7"/>
      <c r="N606" s="1"/>
    </row>
    <row r="607" spans="1:14">
      <c r="A607" s="1">
        <f t="shared" si="76"/>
        <v>584</v>
      </c>
      <c r="B607" s="2">
        <f t="shared" si="70"/>
        <v>48</v>
      </c>
      <c r="C607" s="2">
        <f t="shared" si="71"/>
        <v>8</v>
      </c>
      <c r="D607" s="2">
        <f t="shared" si="72"/>
        <v>77</v>
      </c>
      <c r="E607" s="1">
        <f t="shared" si="77"/>
        <v>746189.92011223966</v>
      </c>
      <c r="G607" s="1">
        <f t="shared" si="73"/>
        <v>5378.0320094911385</v>
      </c>
      <c r="H607" s="1">
        <v>0</v>
      </c>
      <c r="I607" s="1">
        <f t="shared" si="74"/>
        <v>-751.56795212173074</v>
      </c>
      <c r="J607" s="1">
        <f t="shared" si="75"/>
        <v>750816.38416960905</v>
      </c>
      <c r="M607" s="7"/>
      <c r="N607" s="1"/>
    </row>
    <row r="608" spans="1:14">
      <c r="A608" s="1">
        <f t="shared" si="76"/>
        <v>585</v>
      </c>
      <c r="B608" s="2">
        <f t="shared" si="70"/>
        <v>48</v>
      </c>
      <c r="C608" s="2">
        <f t="shared" si="71"/>
        <v>9</v>
      </c>
      <c r="D608" s="2">
        <f t="shared" si="72"/>
        <v>77</v>
      </c>
      <c r="E608" s="1">
        <f t="shared" si="77"/>
        <v>750816.38416960905</v>
      </c>
      <c r="G608" s="1">
        <f t="shared" si="73"/>
        <v>5411.3764317630848</v>
      </c>
      <c r="H608" s="69">
        <f>-SUM(E608:G608)*$H$21</f>
        <v>-6806.0498454123499</v>
      </c>
      <c r="I608" s="1">
        <f t="shared" si="74"/>
        <v>-756.2277606013721</v>
      </c>
      <c r="J608" s="1">
        <f t="shared" si="75"/>
        <v>748665.48299535841</v>
      </c>
      <c r="M608" s="7"/>
      <c r="N608" s="1"/>
    </row>
    <row r="609" spans="1:14">
      <c r="A609" s="1">
        <f t="shared" si="76"/>
        <v>586</v>
      </c>
      <c r="B609" s="2">
        <f t="shared" si="70"/>
        <v>48</v>
      </c>
      <c r="C609" s="2">
        <f t="shared" si="71"/>
        <v>10</v>
      </c>
      <c r="D609" s="2">
        <f t="shared" si="72"/>
        <v>77</v>
      </c>
      <c r="E609" s="1">
        <f t="shared" si="77"/>
        <v>748665.48299535841</v>
      </c>
      <c r="G609" s="1">
        <f t="shared" si="73"/>
        <v>5395.8741915792025</v>
      </c>
      <c r="H609" s="1">
        <v>0</v>
      </c>
      <c r="I609" s="1">
        <f t="shared" si="74"/>
        <v>-754.06135718693758</v>
      </c>
      <c r="J609" s="1">
        <f t="shared" si="75"/>
        <v>753307.2958297506</v>
      </c>
      <c r="M609" s="7"/>
      <c r="N609" s="1"/>
    </row>
    <row r="610" spans="1:14">
      <c r="A610" s="1">
        <f t="shared" si="76"/>
        <v>587</v>
      </c>
      <c r="B610" s="2">
        <f t="shared" si="70"/>
        <v>48</v>
      </c>
      <c r="C610" s="2">
        <f t="shared" si="71"/>
        <v>11</v>
      </c>
      <c r="D610" s="2">
        <f t="shared" si="72"/>
        <v>77</v>
      </c>
      <c r="E610" s="1">
        <f t="shared" si="77"/>
        <v>753307.2958297506</v>
      </c>
      <c r="G610" s="1">
        <f t="shared" si="73"/>
        <v>5429.3292374496596</v>
      </c>
      <c r="H610" s="1">
        <v>0</v>
      </c>
      <c r="I610" s="1">
        <f t="shared" si="74"/>
        <v>-758.73662506720029</v>
      </c>
      <c r="J610" s="1">
        <f t="shared" si="75"/>
        <v>757977.88844213309</v>
      </c>
      <c r="M610" s="7"/>
      <c r="N610" s="1"/>
    </row>
    <row r="611" spans="1:14">
      <c r="A611" s="1">
        <f t="shared" si="76"/>
        <v>588</v>
      </c>
      <c r="B611" s="2">
        <f t="shared" si="70"/>
        <v>48</v>
      </c>
      <c r="C611" s="2">
        <f t="shared" si="71"/>
        <v>12</v>
      </c>
      <c r="D611" s="2">
        <f t="shared" si="72"/>
        <v>77</v>
      </c>
      <c r="E611" s="1">
        <f t="shared" si="77"/>
        <v>757977.88844213309</v>
      </c>
      <c r="G611" s="1">
        <f t="shared" si="73"/>
        <v>5462.9917084850604</v>
      </c>
      <c r="H611" s="69">
        <f>-SUM(E611:G611)*$H$21</f>
        <v>-6870.9679213555637</v>
      </c>
      <c r="I611" s="1">
        <f t="shared" si="74"/>
        <v>-763.44088015061811</v>
      </c>
      <c r="J611" s="1">
        <f t="shared" si="75"/>
        <v>755806.47134911199</v>
      </c>
      <c r="M611" s="7"/>
      <c r="N611" s="1"/>
    </row>
    <row r="612" spans="1:14">
      <c r="A612" s="1">
        <f t="shared" si="76"/>
        <v>589</v>
      </c>
      <c r="B612" s="2">
        <f t="shared" ref="B612:B675" si="78">B600+1</f>
        <v>49</v>
      </c>
      <c r="C612" s="2">
        <f t="shared" ref="C612:C675" si="79">C600</f>
        <v>1</v>
      </c>
      <c r="D612" s="2">
        <f t="shared" ref="D612:D675" si="80">D600+1</f>
        <v>78</v>
      </c>
      <c r="E612" s="1">
        <f t="shared" si="77"/>
        <v>755806.47134911199</v>
      </c>
      <c r="G612" s="1">
        <f t="shared" si="73"/>
        <v>5447.3416034414713</v>
      </c>
      <c r="H612" s="1">
        <v>0</v>
      </c>
      <c r="I612" s="1">
        <f t="shared" si="74"/>
        <v>-761.25381295255352</v>
      </c>
      <c r="J612" s="1">
        <f t="shared" si="75"/>
        <v>760492.55913960095</v>
      </c>
      <c r="M612" s="7"/>
      <c r="N612" s="1"/>
    </row>
    <row r="613" spans="1:14">
      <c r="A613" s="1">
        <f t="shared" si="76"/>
        <v>590</v>
      </c>
      <c r="B613" s="2">
        <f t="shared" si="78"/>
        <v>49</v>
      </c>
      <c r="C613" s="2">
        <f t="shared" si="79"/>
        <v>2</v>
      </c>
      <c r="D613" s="2">
        <f t="shared" si="80"/>
        <v>78</v>
      </c>
      <c r="E613" s="1">
        <f t="shared" si="77"/>
        <v>760492.55913960095</v>
      </c>
      <c r="G613" s="1">
        <f t="shared" si="73"/>
        <v>5481.1157532353263</v>
      </c>
      <c r="H613" s="1">
        <v>0</v>
      </c>
      <c r="I613" s="1">
        <f t="shared" si="74"/>
        <v>-765.97367489283624</v>
      </c>
      <c r="J613" s="1">
        <f t="shared" si="75"/>
        <v>765207.70121794345</v>
      </c>
      <c r="M613" s="7"/>
      <c r="N613" s="1"/>
    </row>
    <row r="614" spans="1:14">
      <c r="A614" s="1">
        <f t="shared" si="76"/>
        <v>591</v>
      </c>
      <c r="B614" s="2">
        <f t="shared" si="78"/>
        <v>49</v>
      </c>
      <c r="C614" s="2">
        <f t="shared" si="79"/>
        <v>3</v>
      </c>
      <c r="D614" s="2">
        <f t="shared" si="80"/>
        <v>78</v>
      </c>
      <c r="E614" s="1">
        <f t="shared" si="77"/>
        <v>765207.70121794345</v>
      </c>
      <c r="G614" s="1">
        <f t="shared" si="73"/>
        <v>5515.0993066754609</v>
      </c>
      <c r="H614" s="69">
        <f>-SUM(E614:G614)*$H$21</f>
        <v>-6936.5052047215713</v>
      </c>
      <c r="I614" s="1">
        <f t="shared" si="74"/>
        <v>-770.72280052461895</v>
      </c>
      <c r="J614" s="1">
        <f t="shared" si="75"/>
        <v>763015.57251937268</v>
      </c>
      <c r="M614" s="7"/>
      <c r="N614" s="1"/>
    </row>
    <row r="615" spans="1:14">
      <c r="A615" s="1">
        <f t="shared" si="76"/>
        <v>592</v>
      </c>
      <c r="B615" s="2">
        <f t="shared" si="78"/>
        <v>49</v>
      </c>
      <c r="C615" s="2">
        <f t="shared" si="79"/>
        <v>4</v>
      </c>
      <c r="D615" s="2">
        <f t="shared" si="80"/>
        <v>78</v>
      </c>
      <c r="E615" s="1">
        <f t="shared" si="77"/>
        <v>763015.57251937268</v>
      </c>
      <c r="G615" s="1">
        <f t="shared" si="73"/>
        <v>5499.2999263942802</v>
      </c>
      <c r="H615" s="1">
        <v>0</v>
      </c>
      <c r="I615" s="1">
        <f t="shared" si="74"/>
        <v>-768.51487244576697</v>
      </c>
      <c r="J615" s="1">
        <f t="shared" si="75"/>
        <v>767746.35757332121</v>
      </c>
      <c r="M615" s="7"/>
      <c r="N615" s="1"/>
    </row>
    <row r="616" spans="1:14">
      <c r="A616" s="1">
        <f t="shared" si="76"/>
        <v>593</v>
      </c>
      <c r="B616" s="2">
        <f t="shared" si="78"/>
        <v>49</v>
      </c>
      <c r="C616" s="2">
        <f t="shared" si="79"/>
        <v>5</v>
      </c>
      <c r="D616" s="2">
        <f t="shared" si="80"/>
        <v>78</v>
      </c>
      <c r="E616" s="1">
        <f t="shared" si="77"/>
        <v>767746.35757332121</v>
      </c>
      <c r="G616" s="1">
        <f t="shared" si="73"/>
        <v>5533.3962238172344</v>
      </c>
      <c r="H616" s="1">
        <v>0</v>
      </c>
      <c r="I616" s="1">
        <f t="shared" si="74"/>
        <v>-773.27975379713848</v>
      </c>
      <c r="J616" s="1">
        <f t="shared" si="75"/>
        <v>772506.47404334135</v>
      </c>
      <c r="M616" s="7"/>
      <c r="N616" s="1"/>
    </row>
    <row r="617" spans="1:14">
      <c r="A617" s="1">
        <f t="shared" si="76"/>
        <v>594</v>
      </c>
      <c r="B617" s="2">
        <f t="shared" si="78"/>
        <v>49</v>
      </c>
      <c r="C617" s="2">
        <f t="shared" si="79"/>
        <v>6</v>
      </c>
      <c r="D617" s="2">
        <f t="shared" si="80"/>
        <v>78</v>
      </c>
      <c r="E617" s="1">
        <f t="shared" si="77"/>
        <v>772506.47404334135</v>
      </c>
      <c r="G617" s="1">
        <f t="shared" si="73"/>
        <v>5567.7039222391368</v>
      </c>
      <c r="H617" s="69">
        <f>-SUM(E617:G617)*$H$21</f>
        <v>-7002.6676016902256</v>
      </c>
      <c r="I617" s="1">
        <f t="shared" si="74"/>
        <v>-778.07417796558047</v>
      </c>
      <c r="J617" s="1">
        <f t="shared" si="75"/>
        <v>770293.43618592457</v>
      </c>
      <c r="M617" s="7"/>
      <c r="N617" s="1"/>
    </row>
    <row r="618" spans="1:14">
      <c r="A618" s="1">
        <f t="shared" si="76"/>
        <v>595</v>
      </c>
      <c r="B618" s="2">
        <f t="shared" si="78"/>
        <v>49</v>
      </c>
      <c r="C618" s="2">
        <f t="shared" si="79"/>
        <v>7</v>
      </c>
      <c r="D618" s="2">
        <f t="shared" si="80"/>
        <v>78</v>
      </c>
      <c r="E618" s="1">
        <f t="shared" si="77"/>
        <v>770293.43618592457</v>
      </c>
      <c r="G618" s="1">
        <f t="shared" si="73"/>
        <v>5551.7538428898833</v>
      </c>
      <c r="H618" s="1">
        <v>0</v>
      </c>
      <c r="I618" s="1">
        <f t="shared" si="74"/>
        <v>-775.8451900288145</v>
      </c>
      <c r="J618" s="1">
        <f t="shared" si="75"/>
        <v>775069.34483878571</v>
      </c>
      <c r="M618" s="7"/>
      <c r="N618" s="1"/>
    </row>
    <row r="619" spans="1:14">
      <c r="A619" s="1">
        <f t="shared" si="76"/>
        <v>596</v>
      </c>
      <c r="B619" s="2">
        <f t="shared" si="78"/>
        <v>49</v>
      </c>
      <c r="C619" s="2">
        <f t="shared" si="79"/>
        <v>8</v>
      </c>
      <c r="D619" s="2">
        <f t="shared" si="80"/>
        <v>78</v>
      </c>
      <c r="E619" s="1">
        <f t="shared" si="77"/>
        <v>775069.34483878571</v>
      </c>
      <c r="G619" s="1">
        <f t="shared" si="73"/>
        <v>5586.1753606793882</v>
      </c>
      <c r="H619" s="1">
        <v>0</v>
      </c>
      <c r="I619" s="1">
        <f t="shared" si="74"/>
        <v>-780.65552019946517</v>
      </c>
      <c r="J619" s="1">
        <f t="shared" si="75"/>
        <v>779874.86467926565</v>
      </c>
      <c r="M619" s="7"/>
      <c r="N619" s="1"/>
    </row>
    <row r="620" spans="1:14">
      <c r="A620" s="1">
        <f t="shared" si="76"/>
        <v>597</v>
      </c>
      <c r="B620" s="2">
        <f t="shared" si="78"/>
        <v>49</v>
      </c>
      <c r="C620" s="2">
        <f t="shared" si="79"/>
        <v>9</v>
      </c>
      <c r="D620" s="2">
        <f t="shared" si="80"/>
        <v>78</v>
      </c>
      <c r="E620" s="1">
        <f t="shared" si="77"/>
        <v>779874.86467926565</v>
      </c>
      <c r="G620" s="1">
        <f t="shared" si="73"/>
        <v>5620.8102958718373</v>
      </c>
      <c r="H620" s="69">
        <f>-SUM(E620:G620)*$H$21</f>
        <v>-7069.4610747762381</v>
      </c>
      <c r="I620" s="1">
        <f t="shared" si="74"/>
        <v>-785.49567497513749</v>
      </c>
      <c r="J620" s="1">
        <f t="shared" si="75"/>
        <v>777640.71822538611</v>
      </c>
      <c r="M620" s="7"/>
      <c r="N620" s="1"/>
    </row>
    <row r="621" spans="1:14">
      <c r="A621" s="1">
        <f t="shared" si="76"/>
        <v>598</v>
      </c>
      <c r="B621" s="2">
        <f t="shared" si="78"/>
        <v>49</v>
      </c>
      <c r="C621" s="2">
        <f t="shared" si="79"/>
        <v>10</v>
      </c>
      <c r="D621" s="2">
        <f t="shared" si="80"/>
        <v>78</v>
      </c>
      <c r="E621" s="1">
        <f t="shared" si="77"/>
        <v>777640.71822538611</v>
      </c>
      <c r="G621" s="1">
        <f t="shared" si="73"/>
        <v>5604.7080800431268</v>
      </c>
      <c r="H621" s="1">
        <v>0</v>
      </c>
      <c r="I621" s="1">
        <f t="shared" si="74"/>
        <v>-783.24542630542919</v>
      </c>
      <c r="J621" s="1">
        <f t="shared" si="75"/>
        <v>782462.18087912374</v>
      </c>
      <c r="M621" s="7"/>
      <c r="N621" s="1"/>
    </row>
    <row r="622" spans="1:14">
      <c r="A622" s="1">
        <f t="shared" si="76"/>
        <v>599</v>
      </c>
      <c r="B622" s="2">
        <f t="shared" si="78"/>
        <v>49</v>
      </c>
      <c r="C622" s="2">
        <f t="shared" si="79"/>
        <v>11</v>
      </c>
      <c r="D622" s="2">
        <f t="shared" si="80"/>
        <v>78</v>
      </c>
      <c r="E622" s="1">
        <f t="shared" si="77"/>
        <v>782462.18087912374</v>
      </c>
      <c r="G622" s="1">
        <f t="shared" si="73"/>
        <v>5639.4579202452924</v>
      </c>
      <c r="H622" s="1">
        <v>0</v>
      </c>
      <c r="I622" s="1">
        <f t="shared" si="74"/>
        <v>-788.10163879936897</v>
      </c>
      <c r="J622" s="1">
        <f t="shared" si="75"/>
        <v>787313.53716056957</v>
      </c>
      <c r="M622" s="7"/>
      <c r="N622" s="1"/>
    </row>
    <row r="623" spans="1:14">
      <c r="A623" s="1">
        <f t="shared" si="76"/>
        <v>600</v>
      </c>
      <c r="B623" s="2">
        <f t="shared" si="78"/>
        <v>49</v>
      </c>
      <c r="C623" s="2">
        <f t="shared" si="79"/>
        <v>12</v>
      </c>
      <c r="D623" s="2">
        <f t="shared" si="80"/>
        <v>78</v>
      </c>
      <c r="E623" s="1">
        <f t="shared" si="77"/>
        <v>787313.53716056957</v>
      </c>
      <c r="G623" s="1">
        <f t="shared" si="73"/>
        <v>5674.4232134874437</v>
      </c>
      <c r="H623" s="69">
        <f>-SUM(E623:G623)*$H$21</f>
        <v>-7136.8916433665145</v>
      </c>
      <c r="I623" s="1">
        <f t="shared" si="74"/>
        <v>-792.98796037405702</v>
      </c>
      <c r="J623" s="1">
        <f t="shared" si="75"/>
        <v>785058.08077031642</v>
      </c>
      <c r="M623" s="7"/>
      <c r="N623" s="1"/>
    </row>
    <row r="624" spans="1:14">
      <c r="A624" s="1">
        <f t="shared" si="76"/>
        <v>601</v>
      </c>
      <c r="B624" s="2">
        <f t="shared" si="78"/>
        <v>50</v>
      </c>
      <c r="C624" s="2">
        <f t="shared" si="79"/>
        <v>1</v>
      </c>
      <c r="D624" s="2">
        <f t="shared" si="80"/>
        <v>79</v>
      </c>
      <c r="E624" s="1">
        <f t="shared" si="77"/>
        <v>785058.08077031642</v>
      </c>
      <c r="G624" s="1">
        <f t="shared" si="73"/>
        <v>5658.1674100574428</v>
      </c>
      <c r="H624" s="1">
        <v>0</v>
      </c>
      <c r="I624" s="1">
        <f t="shared" si="74"/>
        <v>-790.71624818037378</v>
      </c>
      <c r="J624" s="1">
        <f t="shared" si="75"/>
        <v>789925.53193219344</v>
      </c>
      <c r="M624" s="7"/>
      <c r="N624" s="1"/>
    </row>
    <row r="625" spans="1:14">
      <c r="A625" s="1">
        <f t="shared" si="76"/>
        <v>602</v>
      </c>
      <c r="B625" s="2">
        <f t="shared" si="78"/>
        <v>50</v>
      </c>
      <c r="C625" s="2">
        <f t="shared" si="79"/>
        <v>2</v>
      </c>
      <c r="D625" s="2">
        <f t="shared" si="80"/>
        <v>79</v>
      </c>
      <c r="E625" s="1">
        <f t="shared" si="77"/>
        <v>789925.53193219344</v>
      </c>
      <c r="G625" s="1">
        <f t="shared" si="73"/>
        <v>5693.2487043065958</v>
      </c>
      <c r="H625" s="1">
        <v>0</v>
      </c>
      <c r="I625" s="1">
        <f t="shared" si="74"/>
        <v>-795.61878063649999</v>
      </c>
      <c r="J625" s="1">
        <f t="shared" si="75"/>
        <v>794823.16185586352</v>
      </c>
      <c r="M625" s="7"/>
      <c r="N625" s="1"/>
    </row>
    <row r="626" spans="1:14">
      <c r="A626" s="1">
        <f t="shared" si="76"/>
        <v>603</v>
      </c>
      <c r="B626" s="2">
        <f t="shared" si="78"/>
        <v>50</v>
      </c>
      <c r="C626" s="2">
        <f t="shared" si="79"/>
        <v>3</v>
      </c>
      <c r="D626" s="2">
        <f t="shared" si="80"/>
        <v>79</v>
      </c>
      <c r="E626" s="1">
        <f t="shared" si="77"/>
        <v>794823.16185586352</v>
      </c>
      <c r="G626" s="1">
        <f t="shared" si="73"/>
        <v>5728.5475066492718</v>
      </c>
      <c r="H626" s="69">
        <f>-SUM(E626:G626)*$H$21</f>
        <v>-7204.9653842626158</v>
      </c>
      <c r="I626" s="1">
        <f t="shared" si="74"/>
        <v>-800.55170936251284</v>
      </c>
      <c r="J626" s="1">
        <f t="shared" si="75"/>
        <v>792546.19226888765</v>
      </c>
      <c r="M626" s="7"/>
      <c r="N626" s="1"/>
    </row>
    <row r="627" spans="1:14">
      <c r="A627" s="1">
        <f t="shared" si="76"/>
        <v>604</v>
      </c>
      <c r="B627" s="2">
        <f t="shared" si="78"/>
        <v>50</v>
      </c>
      <c r="C627" s="2">
        <f t="shared" si="79"/>
        <v>4</v>
      </c>
      <c r="D627" s="2">
        <f t="shared" si="80"/>
        <v>79</v>
      </c>
      <c r="E627" s="1">
        <f t="shared" si="77"/>
        <v>792546.19226888765</v>
      </c>
      <c r="G627" s="1">
        <f t="shared" si="73"/>
        <v>5712.1366506549266</v>
      </c>
      <c r="H627" s="1">
        <v>0</v>
      </c>
      <c r="I627" s="1">
        <f t="shared" si="74"/>
        <v>-798.25832891954258</v>
      </c>
      <c r="J627" s="1">
        <f t="shared" si="75"/>
        <v>797460.07059062307</v>
      </c>
      <c r="M627" s="7"/>
      <c r="N627" s="1"/>
    </row>
    <row r="628" spans="1:14">
      <c r="A628" s="1">
        <f t="shared" si="76"/>
        <v>605</v>
      </c>
      <c r="B628" s="2">
        <f t="shared" si="78"/>
        <v>50</v>
      </c>
      <c r="C628" s="2">
        <f t="shared" si="79"/>
        <v>5</v>
      </c>
      <c r="D628" s="2">
        <f t="shared" si="80"/>
        <v>79</v>
      </c>
      <c r="E628" s="1">
        <f t="shared" si="77"/>
        <v>797460.07059062307</v>
      </c>
      <c r="G628" s="1">
        <f t="shared" si="73"/>
        <v>5747.5525604558288</v>
      </c>
      <c r="H628" s="1">
        <v>0</v>
      </c>
      <c r="I628" s="1">
        <f t="shared" si="74"/>
        <v>-803.20762315107891</v>
      </c>
      <c r="J628" s="1">
        <f t="shared" si="75"/>
        <v>802404.41552792781</v>
      </c>
      <c r="M628" s="7"/>
      <c r="N628" s="1"/>
    </row>
    <row r="629" spans="1:14">
      <c r="A629" s="1">
        <f t="shared" si="76"/>
        <v>606</v>
      </c>
      <c r="B629" s="2">
        <f t="shared" si="78"/>
        <v>50</v>
      </c>
      <c r="C629" s="2">
        <f t="shared" si="79"/>
        <v>6</v>
      </c>
      <c r="D629" s="2">
        <f t="shared" si="80"/>
        <v>79</v>
      </c>
      <c r="E629" s="1">
        <f t="shared" si="77"/>
        <v>802404.41552792781</v>
      </c>
      <c r="G629" s="1">
        <f t="shared" si="73"/>
        <v>5783.1880530054877</v>
      </c>
      <c r="H629" s="69">
        <f>-SUM(E629:G629)*$H$21</f>
        <v>-7273.6884322284004</v>
      </c>
      <c r="I629" s="1">
        <f t="shared" si="74"/>
        <v>-808.18760358093334</v>
      </c>
      <c r="J629" s="1">
        <f t="shared" si="75"/>
        <v>800105.72754512401</v>
      </c>
      <c r="M629" s="7"/>
      <c r="N629" s="1"/>
    </row>
    <row r="630" spans="1:14">
      <c r="A630" s="1">
        <f t="shared" si="76"/>
        <v>607</v>
      </c>
      <c r="B630" s="2">
        <f t="shared" si="78"/>
        <v>50</v>
      </c>
      <c r="C630" s="2">
        <f t="shared" si="79"/>
        <v>7</v>
      </c>
      <c r="D630" s="2">
        <f t="shared" si="80"/>
        <v>79</v>
      </c>
      <c r="E630" s="1">
        <f t="shared" si="77"/>
        <v>800105.72754512401</v>
      </c>
      <c r="G630" s="1">
        <f t="shared" si="73"/>
        <v>5766.6206655105025</v>
      </c>
      <c r="H630" s="1">
        <v>0</v>
      </c>
      <c r="I630" s="1">
        <f t="shared" si="74"/>
        <v>-805.87234821063453</v>
      </c>
      <c r="J630" s="1">
        <f t="shared" si="75"/>
        <v>805066.47586242389</v>
      </c>
      <c r="M630" s="7"/>
      <c r="N630" s="1"/>
    </row>
    <row r="631" spans="1:14">
      <c r="A631" s="1">
        <f t="shared" si="76"/>
        <v>608</v>
      </c>
      <c r="B631" s="2">
        <f t="shared" si="78"/>
        <v>50</v>
      </c>
      <c r="C631" s="2">
        <f t="shared" si="79"/>
        <v>8</v>
      </c>
      <c r="D631" s="2">
        <f t="shared" si="80"/>
        <v>79</v>
      </c>
      <c r="E631" s="1">
        <f t="shared" si="77"/>
        <v>805066.47586242389</v>
      </c>
      <c r="G631" s="1">
        <f t="shared" si="73"/>
        <v>5802.3743825232641</v>
      </c>
      <c r="H631" s="1">
        <v>0</v>
      </c>
      <c r="I631" s="1">
        <f t="shared" si="74"/>
        <v>-810.86885024494711</v>
      </c>
      <c r="J631" s="1">
        <f t="shared" si="75"/>
        <v>810057.98139470222</v>
      </c>
      <c r="M631" s="7"/>
      <c r="N631" s="1"/>
    </row>
    <row r="632" spans="1:14">
      <c r="A632" s="1">
        <f t="shared" si="76"/>
        <v>609</v>
      </c>
      <c r="B632" s="2">
        <f t="shared" si="78"/>
        <v>50</v>
      </c>
      <c r="C632" s="2">
        <f t="shared" si="79"/>
        <v>9</v>
      </c>
      <c r="D632" s="2">
        <f t="shared" si="80"/>
        <v>79</v>
      </c>
      <c r="E632" s="1">
        <f t="shared" si="77"/>
        <v>810057.98139470222</v>
      </c>
      <c r="G632" s="1">
        <f t="shared" si="73"/>
        <v>5838.349776728679</v>
      </c>
      <c r="H632" s="69">
        <f>-SUM(E632:G632)*$H$21</f>
        <v>-7343.0669805428788</v>
      </c>
      <c r="I632" s="1">
        <f t="shared" si="74"/>
        <v>-815.89633117143092</v>
      </c>
      <c r="J632" s="1">
        <f t="shared" si="75"/>
        <v>807737.36785971664</v>
      </c>
      <c r="M632" s="7"/>
      <c r="N632" s="1"/>
    </row>
    <row r="633" spans="1:14">
      <c r="A633" s="1">
        <f t="shared" si="76"/>
        <v>610</v>
      </c>
      <c r="B633" s="2">
        <f t="shared" si="78"/>
        <v>50</v>
      </c>
      <c r="C633" s="2">
        <f t="shared" si="79"/>
        <v>10</v>
      </c>
      <c r="D633" s="2">
        <f t="shared" si="80"/>
        <v>79</v>
      </c>
      <c r="E633" s="1">
        <f t="shared" si="77"/>
        <v>807737.36785971664</v>
      </c>
      <c r="G633" s="1">
        <f t="shared" si="73"/>
        <v>5821.6243646902349</v>
      </c>
      <c r="H633" s="1">
        <v>0</v>
      </c>
      <c r="I633" s="1">
        <f t="shared" si="74"/>
        <v>-813.55899222440689</v>
      </c>
      <c r="J633" s="1">
        <f t="shared" si="75"/>
        <v>812745.43323218252</v>
      </c>
      <c r="M633" s="7"/>
      <c r="N633" s="1"/>
    </row>
    <row r="634" spans="1:14">
      <c r="A634" s="1">
        <f t="shared" si="76"/>
        <v>611</v>
      </c>
      <c r="B634" s="2">
        <f t="shared" si="78"/>
        <v>50</v>
      </c>
      <c r="C634" s="2">
        <f t="shared" si="79"/>
        <v>11</v>
      </c>
      <c r="D634" s="2">
        <f t="shared" si="80"/>
        <v>79</v>
      </c>
      <c r="E634" s="1">
        <f t="shared" si="77"/>
        <v>812745.43323218252</v>
      </c>
      <c r="G634" s="1">
        <f t="shared" si="73"/>
        <v>5857.7191110179456</v>
      </c>
      <c r="H634" s="1">
        <v>0</v>
      </c>
      <c r="I634" s="1">
        <f t="shared" si="74"/>
        <v>-818.60315234320058</v>
      </c>
      <c r="J634" s="1">
        <f t="shared" si="75"/>
        <v>817784.54919085733</v>
      </c>
      <c r="M634" s="7"/>
      <c r="N634" s="1"/>
    </row>
    <row r="635" spans="1:14">
      <c r="A635" s="1">
        <f t="shared" si="76"/>
        <v>612</v>
      </c>
      <c r="B635" s="2">
        <f t="shared" si="78"/>
        <v>50</v>
      </c>
      <c r="C635" s="2">
        <f t="shared" si="79"/>
        <v>12</v>
      </c>
      <c r="D635" s="2">
        <f t="shared" si="80"/>
        <v>79</v>
      </c>
      <c r="E635" s="1">
        <f t="shared" si="77"/>
        <v>817784.54919085733</v>
      </c>
      <c r="G635" s="1">
        <f t="shared" si="73"/>
        <v>5894.0376489596192</v>
      </c>
      <c r="H635" s="69">
        <f>-SUM(E635:G635)*$H$21</f>
        <v>-7413.1072815583539</v>
      </c>
      <c r="I635" s="1">
        <f t="shared" si="74"/>
        <v>-823.67858683981706</v>
      </c>
      <c r="J635" s="1">
        <f t="shared" si="75"/>
        <v>815441.80097141885</v>
      </c>
      <c r="M635" s="7"/>
      <c r="N635" s="1"/>
    </row>
    <row r="636" spans="1:14">
      <c r="A636" s="1">
        <f t="shared" si="76"/>
        <v>613</v>
      </c>
      <c r="B636" s="2">
        <f t="shared" si="78"/>
        <v>51</v>
      </c>
      <c r="C636" s="2">
        <f t="shared" si="79"/>
        <v>1</v>
      </c>
      <c r="D636" s="2">
        <f t="shared" si="80"/>
        <v>80</v>
      </c>
      <c r="E636" s="1">
        <f t="shared" si="77"/>
        <v>815441.80097141885</v>
      </c>
      <c r="G636" s="1">
        <f t="shared" si="73"/>
        <v>5877.1527050938221</v>
      </c>
      <c r="H636" s="1">
        <v>0</v>
      </c>
      <c r="I636" s="1">
        <f t="shared" si="74"/>
        <v>-821.31895367651271</v>
      </c>
      <c r="J636" s="1">
        <f t="shared" si="75"/>
        <v>820497.6347228362</v>
      </c>
      <c r="M636" s="7"/>
      <c r="N636" s="1"/>
    </row>
    <row r="637" spans="1:14">
      <c r="A637" s="1">
        <f t="shared" si="76"/>
        <v>614</v>
      </c>
      <c r="B637" s="2">
        <f t="shared" si="78"/>
        <v>51</v>
      </c>
      <c r="C637" s="2">
        <f t="shared" si="79"/>
        <v>2</v>
      </c>
      <c r="D637" s="2">
        <f t="shared" si="80"/>
        <v>80</v>
      </c>
      <c r="E637" s="1">
        <f t="shared" si="77"/>
        <v>820497.6347228362</v>
      </c>
      <c r="G637" s="1">
        <f t="shared" si="73"/>
        <v>5913.5917335729237</v>
      </c>
      <c r="H637" s="1">
        <v>0</v>
      </c>
      <c r="I637" s="1">
        <f t="shared" si="74"/>
        <v>-826.41122645640905</v>
      </c>
      <c r="J637" s="1">
        <f t="shared" si="75"/>
        <v>825584.81522995268</v>
      </c>
      <c r="M637" s="7"/>
      <c r="N637" s="1"/>
    </row>
    <row r="638" spans="1:14">
      <c r="A638" s="1">
        <f t="shared" si="76"/>
        <v>615</v>
      </c>
      <c r="B638" s="2">
        <f t="shared" si="78"/>
        <v>51</v>
      </c>
      <c r="C638" s="2">
        <f t="shared" si="79"/>
        <v>3</v>
      </c>
      <c r="D638" s="2">
        <f t="shared" si="80"/>
        <v>80</v>
      </c>
      <c r="E638" s="1">
        <f t="shared" si="77"/>
        <v>825584.81522995268</v>
      </c>
      <c r="G638" s="1">
        <f t="shared" si="73"/>
        <v>5950.2566882552601</v>
      </c>
      <c r="H638" s="69">
        <f>-SUM(E638:G638)*$H$21</f>
        <v>-7483.8156472638721</v>
      </c>
      <c r="I638" s="1">
        <f t="shared" si="74"/>
        <v>-831.5350719182079</v>
      </c>
      <c r="J638" s="1">
        <f t="shared" si="75"/>
        <v>823219.72119902587</v>
      </c>
      <c r="M638" s="7"/>
      <c r="N638" s="1"/>
    </row>
    <row r="639" spans="1:14">
      <c r="A639" s="1">
        <f t="shared" si="76"/>
        <v>616</v>
      </c>
      <c r="B639" s="2">
        <f t="shared" si="78"/>
        <v>51</v>
      </c>
      <c r="C639" s="2">
        <f t="shared" si="79"/>
        <v>4</v>
      </c>
      <c r="D639" s="2">
        <f t="shared" si="80"/>
        <v>80</v>
      </c>
      <c r="E639" s="1">
        <f t="shared" si="77"/>
        <v>823219.72119902587</v>
      </c>
      <c r="G639" s="1">
        <f t="shared" si="73"/>
        <v>5933.2106909013055</v>
      </c>
      <c r="H639" s="1">
        <v>0</v>
      </c>
      <c r="I639" s="1">
        <f t="shared" si="74"/>
        <v>-829.15293188992712</v>
      </c>
      <c r="J639" s="1">
        <f t="shared" si="75"/>
        <v>828323.77895803715</v>
      </c>
      <c r="M639" s="7"/>
      <c r="N639" s="1"/>
    </row>
    <row r="640" spans="1:14">
      <c r="A640" s="1">
        <f t="shared" si="76"/>
        <v>617</v>
      </c>
      <c r="B640" s="2">
        <f t="shared" si="78"/>
        <v>51</v>
      </c>
      <c r="C640" s="2">
        <f t="shared" si="79"/>
        <v>5</v>
      </c>
      <c r="D640" s="2">
        <f t="shared" si="80"/>
        <v>80</v>
      </c>
      <c r="E640" s="1">
        <f t="shared" si="77"/>
        <v>828323.77895803715</v>
      </c>
      <c r="G640" s="1">
        <f t="shared" si="73"/>
        <v>5969.9972853947365</v>
      </c>
      <c r="H640" s="1">
        <v>0</v>
      </c>
      <c r="I640" s="1">
        <f t="shared" si="74"/>
        <v>-834.29377624343181</v>
      </c>
      <c r="J640" s="1">
        <f t="shared" si="75"/>
        <v>833459.48246718838</v>
      </c>
      <c r="M640" s="7"/>
      <c r="N640" s="1"/>
    </row>
    <row r="641" spans="1:14">
      <c r="A641" s="1">
        <f t="shared" si="76"/>
        <v>618</v>
      </c>
      <c r="B641" s="2">
        <f t="shared" si="78"/>
        <v>51</v>
      </c>
      <c r="C641" s="2">
        <f t="shared" si="79"/>
        <v>6</v>
      </c>
      <c r="D641" s="2">
        <f t="shared" si="80"/>
        <v>80</v>
      </c>
      <c r="E641" s="1">
        <f t="shared" si="77"/>
        <v>833459.48246718838</v>
      </c>
      <c r="G641" s="1">
        <f t="shared" si="73"/>
        <v>6007.0119610410065</v>
      </c>
      <c r="H641" s="69">
        <f>-SUM(E641:G641)*$H$21</f>
        <v>-7555.1984498540651</v>
      </c>
      <c r="I641" s="1">
        <f t="shared" si="74"/>
        <v>-839.46649442822945</v>
      </c>
      <c r="J641" s="1">
        <f t="shared" si="75"/>
        <v>831071.82948394713</v>
      </c>
      <c r="M641" s="7"/>
      <c r="N641" s="1"/>
    </row>
    <row r="642" spans="1:14">
      <c r="A642" s="1">
        <f t="shared" si="76"/>
        <v>619</v>
      </c>
      <c r="B642" s="2">
        <f t="shared" si="78"/>
        <v>51</v>
      </c>
      <c r="C642" s="2">
        <f t="shared" si="79"/>
        <v>7</v>
      </c>
      <c r="D642" s="2">
        <f t="shared" si="80"/>
        <v>80</v>
      </c>
      <c r="E642" s="1">
        <f t="shared" si="77"/>
        <v>831071.82948394713</v>
      </c>
      <c r="G642" s="1">
        <f t="shared" si="73"/>
        <v>5989.8033740240489</v>
      </c>
      <c r="H642" s="1">
        <v>0</v>
      </c>
      <c r="I642" s="1">
        <f t="shared" si="74"/>
        <v>-837.06163285797118</v>
      </c>
      <c r="J642" s="1">
        <f t="shared" si="75"/>
        <v>836224.57122511312</v>
      </c>
      <c r="M642" s="7"/>
      <c r="N642" s="1"/>
    </row>
    <row r="643" spans="1:14">
      <c r="A643" s="1">
        <f t="shared" si="76"/>
        <v>620</v>
      </c>
      <c r="B643" s="2">
        <f t="shared" si="78"/>
        <v>51</v>
      </c>
      <c r="C643" s="2">
        <f t="shared" si="79"/>
        <v>8</v>
      </c>
      <c r="D643" s="2">
        <f t="shared" si="80"/>
        <v>80</v>
      </c>
      <c r="E643" s="1">
        <f t="shared" si="77"/>
        <v>836224.57122511312</v>
      </c>
      <c r="G643" s="1">
        <f t="shared" si="73"/>
        <v>6026.9408497171853</v>
      </c>
      <c r="H643" s="1">
        <v>0</v>
      </c>
      <c r="I643" s="1">
        <f t="shared" si="74"/>
        <v>-842.25151207483043</v>
      </c>
      <c r="J643" s="1">
        <f t="shared" si="75"/>
        <v>841409.26056275552</v>
      </c>
      <c r="M643" s="7"/>
      <c r="N643" s="1"/>
    </row>
    <row r="644" spans="1:14">
      <c r="A644" s="1">
        <f t="shared" si="76"/>
        <v>621</v>
      </c>
      <c r="B644" s="2">
        <f t="shared" si="78"/>
        <v>51</v>
      </c>
      <c r="C644" s="2">
        <f t="shared" si="79"/>
        <v>9</v>
      </c>
      <c r="D644" s="2">
        <f t="shared" si="80"/>
        <v>80</v>
      </c>
      <c r="E644" s="1">
        <f t="shared" si="77"/>
        <v>841409.26056275552</v>
      </c>
      <c r="G644" s="1">
        <f t="shared" si="73"/>
        <v>6064.3085820673014</v>
      </c>
      <c r="H644" s="69">
        <f>-SUM(E644:G644)*$H$21</f>
        <v>-7627.2621223034057</v>
      </c>
      <c r="I644" s="1">
        <f t="shared" si="74"/>
        <v>-847.47356914482282</v>
      </c>
      <c r="J644" s="1">
        <f t="shared" si="75"/>
        <v>838998.83345337457</v>
      </c>
      <c r="M644" s="7"/>
      <c r="N644" s="1"/>
    </row>
    <row r="645" spans="1:14">
      <c r="A645" s="1">
        <f t="shared" si="76"/>
        <v>622</v>
      </c>
      <c r="B645" s="2">
        <f t="shared" si="78"/>
        <v>51</v>
      </c>
      <c r="C645" s="2">
        <f t="shared" si="79"/>
        <v>10</v>
      </c>
      <c r="D645" s="2">
        <f t="shared" si="80"/>
        <v>80</v>
      </c>
      <c r="E645" s="1">
        <f t="shared" si="77"/>
        <v>838998.83345337457</v>
      </c>
      <c r="G645" s="1">
        <f t="shared" si="73"/>
        <v>6046.9358545600116</v>
      </c>
      <c r="H645" s="1">
        <v>0</v>
      </c>
      <c r="I645" s="1">
        <f t="shared" si="74"/>
        <v>-845.04576930793462</v>
      </c>
      <c r="J645" s="1">
        <f t="shared" si="75"/>
        <v>844200.72353862668</v>
      </c>
      <c r="M645" s="7"/>
      <c r="N645" s="1"/>
    </row>
    <row r="646" spans="1:14">
      <c r="A646" s="1">
        <f t="shared" si="76"/>
        <v>623</v>
      </c>
      <c r="B646" s="2">
        <f t="shared" si="78"/>
        <v>51</v>
      </c>
      <c r="C646" s="2">
        <f t="shared" si="79"/>
        <v>11</v>
      </c>
      <c r="D646" s="2">
        <f t="shared" si="80"/>
        <v>80</v>
      </c>
      <c r="E646" s="1">
        <f t="shared" si="77"/>
        <v>844200.72353862668</v>
      </c>
      <c r="G646" s="1">
        <f t="shared" si="73"/>
        <v>6084.4275582594291</v>
      </c>
      <c r="H646" s="1">
        <v>0</v>
      </c>
      <c r="I646" s="1">
        <f t="shared" si="74"/>
        <v>-850.28515109688612</v>
      </c>
      <c r="J646" s="1">
        <f t="shared" si="75"/>
        <v>849434.86594578926</v>
      </c>
      <c r="M646" s="7"/>
      <c r="N646" s="1"/>
    </row>
    <row r="647" spans="1:14">
      <c r="A647" s="1">
        <f t="shared" si="76"/>
        <v>624</v>
      </c>
      <c r="B647" s="2">
        <f t="shared" si="78"/>
        <v>51</v>
      </c>
      <c r="C647" s="2">
        <f t="shared" si="79"/>
        <v>12</v>
      </c>
      <c r="D647" s="2">
        <f t="shared" si="80"/>
        <v>80</v>
      </c>
      <c r="E647" s="1">
        <f t="shared" si="77"/>
        <v>849434.86594578926</v>
      </c>
      <c r="G647" s="1">
        <f t="shared" si="73"/>
        <v>6122.1517148705525</v>
      </c>
      <c r="H647" s="69">
        <f>-SUM(E647:G647)*$H$21</f>
        <v>-7700.0131589459397</v>
      </c>
      <c r="I647" s="1">
        <f t="shared" si="74"/>
        <v>-855.55701766065988</v>
      </c>
      <c r="J647" s="1">
        <f t="shared" si="75"/>
        <v>847001.44748405321</v>
      </c>
      <c r="M647" s="7"/>
      <c r="N647" s="1"/>
    </row>
    <row r="648" spans="1:14">
      <c r="A648" s="1">
        <f t="shared" si="76"/>
        <v>625</v>
      </c>
      <c r="B648" s="2">
        <f t="shared" si="78"/>
        <v>52</v>
      </c>
      <c r="C648" s="2">
        <f t="shared" si="79"/>
        <v>1</v>
      </c>
      <c r="D648" s="2">
        <f t="shared" si="80"/>
        <v>81</v>
      </c>
      <c r="E648" s="1">
        <f t="shared" si="77"/>
        <v>847001.44748405321</v>
      </c>
      <c r="G648" s="1">
        <f t="shared" si="73"/>
        <v>6104.6132812533642</v>
      </c>
      <c r="H648" s="1">
        <v>0</v>
      </c>
      <c r="I648" s="1">
        <f t="shared" si="74"/>
        <v>-853.10606076530655</v>
      </c>
      <c r="J648" s="1">
        <f t="shared" si="75"/>
        <v>852252.95470454125</v>
      </c>
      <c r="M648" s="7"/>
      <c r="N648" s="1"/>
    </row>
    <row r="649" spans="1:14">
      <c r="A649" s="1">
        <f t="shared" si="76"/>
        <v>626</v>
      </c>
      <c r="B649" s="2">
        <f t="shared" si="78"/>
        <v>52</v>
      </c>
      <c r="C649" s="2">
        <f t="shared" si="79"/>
        <v>2</v>
      </c>
      <c r="D649" s="2">
        <f t="shared" si="80"/>
        <v>81</v>
      </c>
      <c r="E649" s="1">
        <f t="shared" si="77"/>
        <v>852252.95470454125</v>
      </c>
      <c r="G649" s="1">
        <f t="shared" si="73"/>
        <v>6142.4625916884479</v>
      </c>
      <c r="H649" s="1">
        <v>0</v>
      </c>
      <c r="I649" s="1">
        <f t="shared" si="74"/>
        <v>-858.39541729622977</v>
      </c>
      <c r="J649" s="1">
        <f t="shared" si="75"/>
        <v>857537.02187893353</v>
      </c>
      <c r="M649" s="7"/>
      <c r="N649" s="1"/>
    </row>
    <row r="650" spans="1:14">
      <c r="A650" s="1">
        <f t="shared" si="76"/>
        <v>627</v>
      </c>
      <c r="B650" s="2">
        <f t="shared" si="78"/>
        <v>52</v>
      </c>
      <c r="C650" s="2">
        <f t="shared" si="79"/>
        <v>3</v>
      </c>
      <c r="D650" s="2">
        <f t="shared" si="80"/>
        <v>81</v>
      </c>
      <c r="E650" s="1">
        <f t="shared" si="77"/>
        <v>857537.02187893353</v>
      </c>
      <c r="G650" s="1">
        <f t="shared" si="73"/>
        <v>6180.5465722384788</v>
      </c>
      <c r="H650" s="69">
        <f>-SUM(E650:G650)*$H$21</f>
        <v>-7773.4581160605485</v>
      </c>
      <c r="I650" s="1">
        <f t="shared" si="74"/>
        <v>-863.71756845117204</v>
      </c>
      <c r="J650" s="1">
        <f t="shared" si="75"/>
        <v>855080.3927666602</v>
      </c>
      <c r="M650" s="7"/>
      <c r="N650" s="1"/>
    </row>
    <row r="651" spans="1:14">
      <c r="A651" s="1">
        <f t="shared" si="76"/>
        <v>628</v>
      </c>
      <c r="B651" s="2">
        <f t="shared" si="78"/>
        <v>52</v>
      </c>
      <c r="C651" s="2">
        <f t="shared" si="79"/>
        <v>4</v>
      </c>
      <c r="D651" s="2">
        <f t="shared" si="80"/>
        <v>81</v>
      </c>
      <c r="E651" s="1">
        <f t="shared" si="77"/>
        <v>855080.3927666602</v>
      </c>
      <c r="G651" s="1">
        <f t="shared" si="73"/>
        <v>6162.8408519584909</v>
      </c>
      <c r="H651" s="1">
        <v>0</v>
      </c>
      <c r="I651" s="1">
        <f t="shared" si="74"/>
        <v>-861.24323361861866</v>
      </c>
      <c r="J651" s="1">
        <f t="shared" si="75"/>
        <v>860381.99038500001</v>
      </c>
      <c r="M651" s="7"/>
      <c r="N651" s="1"/>
    </row>
    <row r="652" spans="1:14">
      <c r="A652" s="1">
        <f t="shared" si="76"/>
        <v>629</v>
      </c>
      <c r="B652" s="2">
        <f t="shared" si="78"/>
        <v>52</v>
      </c>
      <c r="C652" s="2">
        <f t="shared" si="79"/>
        <v>5</v>
      </c>
      <c r="D652" s="2">
        <f t="shared" si="80"/>
        <v>81</v>
      </c>
      <c r="E652" s="1">
        <f t="shared" si="77"/>
        <v>860381.99038500001</v>
      </c>
      <c r="G652" s="1">
        <f t="shared" si="73"/>
        <v>6201.0511800859258</v>
      </c>
      <c r="H652" s="1">
        <v>0</v>
      </c>
      <c r="I652" s="1">
        <f t="shared" si="74"/>
        <v>-866.58304156508598</v>
      </c>
      <c r="J652" s="1">
        <f t="shared" si="75"/>
        <v>865716.45852352085</v>
      </c>
      <c r="M652" s="7"/>
      <c r="N652" s="1"/>
    </row>
    <row r="653" spans="1:14">
      <c r="A653" s="1">
        <f t="shared" si="76"/>
        <v>630</v>
      </c>
      <c r="B653" s="2">
        <f t="shared" si="78"/>
        <v>52</v>
      </c>
      <c r="C653" s="2">
        <f t="shared" si="79"/>
        <v>6</v>
      </c>
      <c r="D653" s="2">
        <f t="shared" si="80"/>
        <v>81</v>
      </c>
      <c r="E653" s="1">
        <f t="shared" si="77"/>
        <v>865716.45852352085</v>
      </c>
      <c r="G653" s="1">
        <f t="shared" si="73"/>
        <v>6239.4984166798758</v>
      </c>
      <c r="H653" s="69">
        <f>-SUM(E653:G653)*$H$21</f>
        <v>-7847.6036124618076</v>
      </c>
      <c r="I653" s="1">
        <f t="shared" si="74"/>
        <v>-871.95595694020074</v>
      </c>
      <c r="J653" s="1">
        <f t="shared" si="75"/>
        <v>863236.39737079875</v>
      </c>
      <c r="M653" s="7"/>
      <c r="N653" s="1"/>
    </row>
    <row r="654" spans="1:14">
      <c r="A654" s="1">
        <f t="shared" si="76"/>
        <v>631</v>
      </c>
      <c r="B654" s="2">
        <f t="shared" si="78"/>
        <v>52</v>
      </c>
      <c r="C654" s="2">
        <f t="shared" si="79"/>
        <v>7</v>
      </c>
      <c r="D654" s="2">
        <f t="shared" si="80"/>
        <v>81</v>
      </c>
      <c r="E654" s="1">
        <f t="shared" si="77"/>
        <v>863236.39737079875</v>
      </c>
      <c r="G654" s="1">
        <f t="shared" si="73"/>
        <v>6221.6238141084168</v>
      </c>
      <c r="H654" s="1">
        <v>0</v>
      </c>
      <c r="I654" s="1">
        <f t="shared" si="74"/>
        <v>-869.45802118490724</v>
      </c>
      <c r="J654" s="1">
        <f t="shared" si="75"/>
        <v>868588.56316372228</v>
      </c>
      <c r="M654" s="7"/>
      <c r="N654" s="1"/>
    </row>
    <row r="655" spans="1:14">
      <c r="A655" s="1">
        <f t="shared" si="76"/>
        <v>632</v>
      </c>
      <c r="B655" s="2">
        <f t="shared" si="78"/>
        <v>52</v>
      </c>
      <c r="C655" s="2">
        <f t="shared" si="79"/>
        <v>8</v>
      </c>
      <c r="D655" s="2">
        <f t="shared" si="80"/>
        <v>81</v>
      </c>
      <c r="E655" s="1">
        <f t="shared" si="77"/>
        <v>868588.56316372228</v>
      </c>
      <c r="G655" s="1">
        <f t="shared" si="73"/>
        <v>6260.1986034195843</v>
      </c>
      <c r="H655" s="1">
        <v>0</v>
      </c>
      <c r="I655" s="1">
        <f t="shared" si="74"/>
        <v>-874.84876176714192</v>
      </c>
      <c r="J655" s="1">
        <f t="shared" si="75"/>
        <v>873973.91300537472</v>
      </c>
      <c r="M655" s="7"/>
      <c r="N655" s="1"/>
    </row>
    <row r="656" spans="1:14">
      <c r="A656" s="1">
        <f t="shared" si="76"/>
        <v>633</v>
      </c>
      <c r="B656" s="2">
        <f t="shared" si="78"/>
        <v>52</v>
      </c>
      <c r="C656" s="2">
        <f t="shared" si="79"/>
        <v>9</v>
      </c>
      <c r="D656" s="2">
        <f t="shared" si="80"/>
        <v>81</v>
      </c>
      <c r="E656" s="1">
        <f t="shared" si="77"/>
        <v>873973.91300537472</v>
      </c>
      <c r="G656" s="1">
        <f t="shared" si="73"/>
        <v>6299.0125608988783</v>
      </c>
      <c r="H656" s="69">
        <f>-SUM(E656:G656)*$H$21</f>
        <v>-7922.4563300964637</v>
      </c>
      <c r="I656" s="1">
        <f t="shared" si="74"/>
        <v>-880.27292556627367</v>
      </c>
      <c r="J656" s="1">
        <f t="shared" si="75"/>
        <v>871470.19631061086</v>
      </c>
      <c r="M656" s="7"/>
      <c r="N656" s="1"/>
    </row>
    <row r="657" spans="1:14">
      <c r="A657" s="1">
        <f t="shared" si="76"/>
        <v>634</v>
      </c>
      <c r="B657" s="2">
        <f t="shared" si="78"/>
        <v>52</v>
      </c>
      <c r="C657" s="2">
        <f t="shared" si="79"/>
        <v>10</v>
      </c>
      <c r="D657" s="2">
        <f t="shared" si="80"/>
        <v>81</v>
      </c>
      <c r="E657" s="1">
        <f t="shared" si="77"/>
        <v>871470.19631061086</v>
      </c>
      <c r="G657" s="1">
        <f t="shared" si="73"/>
        <v>6280.9674651877067</v>
      </c>
      <c r="H657" s="1">
        <v>0</v>
      </c>
      <c r="I657" s="1">
        <f t="shared" si="74"/>
        <v>-877.75116377579855</v>
      </c>
      <c r="J657" s="1">
        <f t="shared" si="75"/>
        <v>876873.41261202272</v>
      </c>
      <c r="M657" s="7"/>
      <c r="N657" s="1"/>
    </row>
    <row r="658" spans="1:14">
      <c r="A658" s="1">
        <f t="shared" si="76"/>
        <v>635</v>
      </c>
      <c r="B658" s="2">
        <f t="shared" si="78"/>
        <v>52</v>
      </c>
      <c r="C658" s="2">
        <f t="shared" si="79"/>
        <v>11</v>
      </c>
      <c r="D658" s="2">
        <f t="shared" si="80"/>
        <v>81</v>
      </c>
      <c r="E658" s="1">
        <f t="shared" si="77"/>
        <v>876873.41261202272</v>
      </c>
      <c r="G658" s="1">
        <f t="shared" si="73"/>
        <v>6319.9101920190024</v>
      </c>
      <c r="H658" s="1">
        <v>0</v>
      </c>
      <c r="I658" s="1">
        <f t="shared" si="74"/>
        <v>-883.19332280404171</v>
      </c>
      <c r="J658" s="1">
        <f t="shared" si="75"/>
        <v>882310.12948123761</v>
      </c>
      <c r="M658" s="7"/>
      <c r="N658" s="1"/>
    </row>
    <row r="659" spans="1:14">
      <c r="A659" s="1">
        <f t="shared" si="76"/>
        <v>636</v>
      </c>
      <c r="B659" s="2">
        <f t="shared" si="78"/>
        <v>52</v>
      </c>
      <c r="C659" s="2">
        <f t="shared" si="79"/>
        <v>12</v>
      </c>
      <c r="D659" s="2">
        <f t="shared" si="80"/>
        <v>81</v>
      </c>
      <c r="E659" s="1">
        <f t="shared" si="77"/>
        <v>882310.12948123761</v>
      </c>
      <c r="G659" s="1">
        <f t="shared" si="73"/>
        <v>6359.0943682737288</v>
      </c>
      <c r="H659" s="69">
        <f>-SUM(E659:G659)*$H$21</f>
        <v>-7998.0230146456033</v>
      </c>
      <c r="I659" s="1">
        <f t="shared" si="74"/>
        <v>-888.66922384951135</v>
      </c>
      <c r="J659" s="1">
        <f t="shared" si="75"/>
        <v>879782.53161101625</v>
      </c>
      <c r="M659" s="7"/>
      <c r="N659" s="1"/>
    </row>
    <row r="660" spans="1:14">
      <c r="A660" s="1">
        <f t="shared" si="76"/>
        <v>637</v>
      </c>
      <c r="B660" s="2">
        <f t="shared" si="78"/>
        <v>53</v>
      </c>
      <c r="C660" s="2">
        <f t="shared" si="79"/>
        <v>1</v>
      </c>
      <c r="D660" s="2">
        <f t="shared" si="80"/>
        <v>82</v>
      </c>
      <c r="E660" s="1">
        <f t="shared" si="77"/>
        <v>879782.53161101625</v>
      </c>
      <c r="G660" s="1">
        <f t="shared" si="73"/>
        <v>6340.8771532098644</v>
      </c>
      <c r="H660" s="1">
        <v>0</v>
      </c>
      <c r="I660" s="1">
        <f t="shared" si="74"/>
        <v>-886.12340876422616</v>
      </c>
      <c r="J660" s="1">
        <f t="shared" si="75"/>
        <v>885237.28535546188</v>
      </c>
      <c r="M660" s="7"/>
      <c r="N660" s="1"/>
    </row>
    <row r="661" spans="1:14">
      <c r="A661" s="1">
        <f t="shared" si="76"/>
        <v>638</v>
      </c>
      <c r="B661" s="2">
        <f t="shared" si="78"/>
        <v>53</v>
      </c>
      <c r="C661" s="2">
        <f t="shared" si="79"/>
        <v>2</v>
      </c>
      <c r="D661" s="2">
        <f t="shared" si="80"/>
        <v>82</v>
      </c>
      <c r="E661" s="1">
        <f t="shared" si="77"/>
        <v>885237.28535546188</v>
      </c>
      <c r="G661" s="1">
        <f t="shared" si="73"/>
        <v>6380.1913270559917</v>
      </c>
      <c r="H661" s="1">
        <v>0</v>
      </c>
      <c r="I661" s="1">
        <f t="shared" si="74"/>
        <v>-891.61747668251792</v>
      </c>
      <c r="J661" s="1">
        <f t="shared" si="75"/>
        <v>890725.85920583538</v>
      </c>
      <c r="M661" s="7"/>
      <c r="N661" s="1"/>
    </row>
    <row r="662" spans="1:14">
      <c r="A662" s="1">
        <f t="shared" si="76"/>
        <v>639</v>
      </c>
      <c r="B662" s="2">
        <f t="shared" si="78"/>
        <v>53</v>
      </c>
      <c r="C662" s="2">
        <f t="shared" si="79"/>
        <v>3</v>
      </c>
      <c r="D662" s="2">
        <f t="shared" si="80"/>
        <v>82</v>
      </c>
      <c r="E662" s="1">
        <f t="shared" si="77"/>
        <v>890725.85920583538</v>
      </c>
      <c r="G662" s="1">
        <f t="shared" si="73"/>
        <v>6419.7492533401264</v>
      </c>
      <c r="H662" s="69">
        <f>-SUM(E662:G662)*$H$21</f>
        <v>-8074.3104761325812</v>
      </c>
      <c r="I662" s="1">
        <f t="shared" si="74"/>
        <v>-897.14560845917561</v>
      </c>
      <c r="J662" s="1">
        <f t="shared" si="75"/>
        <v>888174.15237458388</v>
      </c>
      <c r="M662" s="7"/>
      <c r="N662" s="1"/>
    </row>
    <row r="663" spans="1:14">
      <c r="A663" s="1">
        <f t="shared" si="76"/>
        <v>640</v>
      </c>
      <c r="B663" s="2">
        <f t="shared" si="78"/>
        <v>53</v>
      </c>
      <c r="C663" s="2">
        <f t="shared" si="79"/>
        <v>4</v>
      </c>
      <c r="D663" s="2">
        <f t="shared" si="80"/>
        <v>82</v>
      </c>
      <c r="E663" s="1">
        <f t="shared" si="77"/>
        <v>888174.15237458388</v>
      </c>
      <c r="G663" s="1">
        <f t="shared" si="73"/>
        <v>6401.3582771993024</v>
      </c>
      <c r="H663" s="1">
        <v>0</v>
      </c>
      <c r="I663" s="1">
        <f t="shared" si="74"/>
        <v>-894.57551065178325</v>
      </c>
      <c r="J663" s="1">
        <f t="shared" si="75"/>
        <v>893680.9351411314</v>
      </c>
      <c r="M663" s="7"/>
      <c r="N663" s="1"/>
    </row>
    <row r="664" spans="1:14">
      <c r="A664" s="1">
        <f t="shared" si="76"/>
        <v>641</v>
      </c>
      <c r="B664" s="2">
        <f t="shared" si="78"/>
        <v>53</v>
      </c>
      <c r="C664" s="2">
        <f t="shared" si="79"/>
        <v>5</v>
      </c>
      <c r="D664" s="2">
        <f t="shared" si="80"/>
        <v>82</v>
      </c>
      <c r="E664" s="1">
        <f t="shared" si="77"/>
        <v>893680.9351411314</v>
      </c>
      <c r="G664" s="1">
        <f t="shared" ref="G664:G727" si="81">SUM(E664:F664)*$F$8</f>
        <v>6441.0474410295401</v>
      </c>
      <c r="H664" s="1">
        <v>0</v>
      </c>
      <c r="I664" s="1">
        <f t="shared" ref="I664:I727" si="82">-SUM(E664:G664)*0.1%</f>
        <v>-900.12198258216097</v>
      </c>
      <c r="J664" s="1">
        <f t="shared" ref="J664:J727" si="83">SUM(E664:I664)</f>
        <v>899221.86059957882</v>
      </c>
      <c r="M664" s="7"/>
      <c r="N664" s="1"/>
    </row>
    <row r="665" spans="1:14">
      <c r="A665" s="1">
        <f t="shared" ref="A665:A728" si="84">+A664+1</f>
        <v>642</v>
      </c>
      <c r="B665" s="2">
        <f t="shared" si="78"/>
        <v>53</v>
      </c>
      <c r="C665" s="2">
        <f t="shared" si="79"/>
        <v>6</v>
      </c>
      <c r="D665" s="2">
        <f t="shared" si="80"/>
        <v>82</v>
      </c>
      <c r="E665" s="1">
        <f t="shared" ref="E665:E728" si="85">J664</f>
        <v>899221.86059957882</v>
      </c>
      <c r="G665" s="1">
        <f t="shared" si="81"/>
        <v>6480.9826822791838</v>
      </c>
      <c r="H665" s="69">
        <f>-SUM(E665:G665)*$H$21</f>
        <v>-8151.3255895367229</v>
      </c>
      <c r="I665" s="1">
        <f t="shared" si="82"/>
        <v>-905.70284328185801</v>
      </c>
      <c r="J665" s="1">
        <f t="shared" si="83"/>
        <v>896645.81484903942</v>
      </c>
      <c r="M665" s="7"/>
      <c r="N665" s="1"/>
    </row>
    <row r="666" spans="1:14">
      <c r="A666" s="1">
        <f t="shared" si="84"/>
        <v>643</v>
      </c>
      <c r="B666" s="2">
        <f t="shared" si="78"/>
        <v>53</v>
      </c>
      <c r="C666" s="2">
        <f t="shared" si="79"/>
        <v>7</v>
      </c>
      <c r="D666" s="2">
        <f t="shared" si="80"/>
        <v>82</v>
      </c>
      <c r="E666" s="1">
        <f t="shared" si="85"/>
        <v>896645.81484903942</v>
      </c>
      <c r="G666" s="1">
        <f t="shared" si="81"/>
        <v>6462.4162876778864</v>
      </c>
      <c r="H666" s="1">
        <v>0</v>
      </c>
      <c r="I666" s="1">
        <f t="shared" si="82"/>
        <v>-903.10823113671734</v>
      </c>
      <c r="J666" s="1">
        <f t="shared" si="83"/>
        <v>902205.12290558068</v>
      </c>
      <c r="M666" s="7"/>
      <c r="N666" s="1"/>
    </row>
    <row r="667" spans="1:14">
      <c r="A667" s="1">
        <f t="shared" si="84"/>
        <v>644</v>
      </c>
      <c r="B667" s="2">
        <f t="shared" si="78"/>
        <v>53</v>
      </c>
      <c r="C667" s="2">
        <f t="shared" si="79"/>
        <v>8</v>
      </c>
      <c r="D667" s="2">
        <f t="shared" si="80"/>
        <v>82</v>
      </c>
      <c r="E667" s="1">
        <f t="shared" si="85"/>
        <v>902205.12290558068</v>
      </c>
      <c r="G667" s="1">
        <f t="shared" si="81"/>
        <v>6502.4840182553826</v>
      </c>
      <c r="H667" s="1">
        <v>0</v>
      </c>
      <c r="I667" s="1">
        <f t="shared" si="82"/>
        <v>-908.70760692383612</v>
      </c>
      <c r="J667" s="1">
        <f t="shared" si="83"/>
        <v>907798.89931691217</v>
      </c>
      <c r="M667" s="7"/>
      <c r="N667" s="1"/>
    </row>
    <row r="668" spans="1:14">
      <c r="A668" s="1">
        <f t="shared" si="84"/>
        <v>645</v>
      </c>
      <c r="B668" s="2">
        <f t="shared" si="78"/>
        <v>53</v>
      </c>
      <c r="C668" s="2">
        <f t="shared" si="79"/>
        <v>9</v>
      </c>
      <c r="D668" s="2">
        <f t="shared" si="80"/>
        <v>82</v>
      </c>
      <c r="E668" s="1">
        <f t="shared" si="85"/>
        <v>907798.89931691217</v>
      </c>
      <c r="G668" s="1">
        <f t="shared" si="81"/>
        <v>6542.800173410028</v>
      </c>
      <c r="H668" s="69">
        <f>-SUM(E668:G668)*$H$21</f>
        <v>-8229.0752954129002</v>
      </c>
      <c r="I668" s="1">
        <f t="shared" si="82"/>
        <v>-914.34169949032218</v>
      </c>
      <c r="J668" s="1">
        <f t="shared" si="83"/>
        <v>905198.28249541891</v>
      </c>
      <c r="M668" s="7"/>
      <c r="N668" s="1"/>
    </row>
    <row r="669" spans="1:14">
      <c r="A669" s="1">
        <f t="shared" si="84"/>
        <v>646</v>
      </c>
      <c r="B669" s="2">
        <f t="shared" si="78"/>
        <v>53</v>
      </c>
      <c r="C669" s="2">
        <f t="shared" si="79"/>
        <v>10</v>
      </c>
      <c r="D669" s="2">
        <f t="shared" si="80"/>
        <v>82</v>
      </c>
      <c r="E669" s="1">
        <f t="shared" si="85"/>
        <v>905198.28249541891</v>
      </c>
      <c r="G669" s="1">
        <f t="shared" si="81"/>
        <v>6524.0566871561423</v>
      </c>
      <c r="H669" s="1">
        <v>0</v>
      </c>
      <c r="I669" s="1">
        <f t="shared" si="82"/>
        <v>-911.72233918257507</v>
      </c>
      <c r="J669" s="1">
        <f t="shared" si="83"/>
        <v>910810.61684339237</v>
      </c>
      <c r="M669" s="7"/>
      <c r="N669" s="1"/>
    </row>
    <row r="670" spans="1:14">
      <c r="A670" s="1">
        <f t="shared" si="84"/>
        <v>647</v>
      </c>
      <c r="B670" s="2">
        <f t="shared" si="78"/>
        <v>53</v>
      </c>
      <c r="C670" s="2">
        <f t="shared" si="79"/>
        <v>11</v>
      </c>
      <c r="D670" s="2">
        <f t="shared" si="80"/>
        <v>82</v>
      </c>
      <c r="E670" s="1">
        <f t="shared" si="85"/>
        <v>910810.61684339237</v>
      </c>
      <c r="G670" s="1">
        <f t="shared" si="81"/>
        <v>6564.5065953602461</v>
      </c>
      <c r="H670" s="1">
        <v>0</v>
      </c>
      <c r="I670" s="1">
        <f t="shared" si="82"/>
        <v>-917.37512343875267</v>
      </c>
      <c r="J670" s="1">
        <f t="shared" si="83"/>
        <v>916457.74831531383</v>
      </c>
      <c r="M670" s="7"/>
      <c r="N670" s="1"/>
    </row>
    <row r="671" spans="1:14">
      <c r="A671" s="1">
        <f t="shared" si="84"/>
        <v>648</v>
      </c>
      <c r="B671" s="2">
        <f t="shared" si="78"/>
        <v>53</v>
      </c>
      <c r="C671" s="2">
        <f t="shared" si="79"/>
        <v>12</v>
      </c>
      <c r="D671" s="2">
        <f t="shared" si="80"/>
        <v>82</v>
      </c>
      <c r="E671" s="1">
        <f t="shared" si="85"/>
        <v>916457.74831531383</v>
      </c>
      <c r="G671" s="1">
        <f t="shared" si="81"/>
        <v>6605.207297687115</v>
      </c>
      <c r="H671" s="69">
        <f>-SUM(E671:G671)*$H$21</f>
        <v>-8307.5666005170096</v>
      </c>
      <c r="I671" s="1">
        <f t="shared" si="82"/>
        <v>-923.0629556130009</v>
      </c>
      <c r="J671" s="1">
        <f t="shared" si="83"/>
        <v>913832.32605687086</v>
      </c>
      <c r="M671" s="7"/>
      <c r="N671" s="1"/>
    </row>
    <row r="672" spans="1:14">
      <c r="A672" s="1">
        <f t="shared" si="84"/>
        <v>649</v>
      </c>
      <c r="B672" s="2">
        <f t="shared" si="78"/>
        <v>54</v>
      </c>
      <c r="C672" s="2">
        <f t="shared" si="79"/>
        <v>1</v>
      </c>
      <c r="D672" s="2">
        <f t="shared" si="80"/>
        <v>83</v>
      </c>
      <c r="E672" s="1">
        <f t="shared" si="85"/>
        <v>913832.32605687086</v>
      </c>
      <c r="G672" s="1">
        <f t="shared" si="81"/>
        <v>6586.2850306291348</v>
      </c>
      <c r="H672" s="1">
        <v>0</v>
      </c>
      <c r="I672" s="1">
        <f t="shared" si="82"/>
        <v>-920.41861108750004</v>
      </c>
      <c r="J672" s="1">
        <f t="shared" si="83"/>
        <v>919498.19247641251</v>
      </c>
      <c r="M672" s="7"/>
      <c r="N672" s="1"/>
    </row>
    <row r="673" spans="1:14">
      <c r="A673" s="1">
        <f t="shared" si="84"/>
        <v>650</v>
      </c>
      <c r="B673" s="2">
        <f t="shared" si="78"/>
        <v>54</v>
      </c>
      <c r="C673" s="2">
        <f t="shared" si="79"/>
        <v>2</v>
      </c>
      <c r="D673" s="2">
        <f t="shared" si="80"/>
        <v>83</v>
      </c>
      <c r="E673" s="1">
        <f t="shared" si="85"/>
        <v>919498.19247641251</v>
      </c>
      <c r="G673" s="1">
        <f t="shared" si="81"/>
        <v>6627.1207617808132</v>
      </c>
      <c r="H673" s="1">
        <v>0</v>
      </c>
      <c r="I673" s="1">
        <f t="shared" si="82"/>
        <v>-926.12531323819326</v>
      </c>
      <c r="J673" s="1">
        <f t="shared" si="83"/>
        <v>925199.18792495504</v>
      </c>
      <c r="M673" s="7"/>
      <c r="N673" s="1"/>
    </row>
    <row r="674" spans="1:14">
      <c r="A674" s="1">
        <f t="shared" si="84"/>
        <v>651</v>
      </c>
      <c r="B674" s="2">
        <f t="shared" si="78"/>
        <v>54</v>
      </c>
      <c r="C674" s="2">
        <f t="shared" si="79"/>
        <v>3</v>
      </c>
      <c r="D674" s="2">
        <f t="shared" si="80"/>
        <v>83</v>
      </c>
      <c r="E674" s="1">
        <f t="shared" si="85"/>
        <v>925199.18792495504</v>
      </c>
      <c r="G674" s="1">
        <f t="shared" si="81"/>
        <v>6668.209679202283</v>
      </c>
      <c r="H674" s="69">
        <f>-SUM(E674:G674)*$H$21</f>
        <v>-8386.8065784374176</v>
      </c>
      <c r="I674" s="1">
        <f t="shared" si="82"/>
        <v>-931.8673976041573</v>
      </c>
      <c r="J674" s="1">
        <f t="shared" si="83"/>
        <v>922548.72362811572</v>
      </c>
      <c r="M674" s="7"/>
      <c r="N674" s="1"/>
    </row>
    <row r="675" spans="1:14">
      <c r="A675" s="1">
        <f t="shared" si="84"/>
        <v>652</v>
      </c>
      <c r="B675" s="2">
        <f t="shared" si="78"/>
        <v>54</v>
      </c>
      <c r="C675" s="2">
        <f t="shared" si="79"/>
        <v>4</v>
      </c>
      <c r="D675" s="2">
        <f t="shared" si="80"/>
        <v>83</v>
      </c>
      <c r="E675" s="1">
        <f t="shared" si="85"/>
        <v>922548.72362811572</v>
      </c>
      <c r="G675" s="1">
        <f t="shared" si="81"/>
        <v>6649.1069260770855</v>
      </c>
      <c r="H675" s="1">
        <v>0</v>
      </c>
      <c r="I675" s="1">
        <f t="shared" si="82"/>
        <v>-929.19783055419282</v>
      </c>
      <c r="J675" s="1">
        <f t="shared" si="83"/>
        <v>928268.63272363856</v>
      </c>
      <c r="M675" s="7"/>
      <c r="N675" s="1"/>
    </row>
    <row r="676" spans="1:14">
      <c r="A676" s="1">
        <f t="shared" si="84"/>
        <v>653</v>
      </c>
      <c r="B676" s="2">
        <f t="shared" ref="B676:B739" si="86">B664+1</f>
        <v>54</v>
      </c>
      <c r="C676" s="2">
        <f t="shared" ref="C676:C739" si="87">C664</f>
        <v>5</v>
      </c>
      <c r="D676" s="2">
        <f t="shared" ref="D676:D739" si="88">D664+1</f>
        <v>83</v>
      </c>
      <c r="E676" s="1">
        <f t="shared" si="85"/>
        <v>928268.63272363856</v>
      </c>
      <c r="G676" s="1">
        <f t="shared" si="81"/>
        <v>6690.3321602674296</v>
      </c>
      <c r="H676" s="1">
        <v>0</v>
      </c>
      <c r="I676" s="1">
        <f t="shared" si="82"/>
        <v>-934.95896488390599</v>
      </c>
      <c r="J676" s="1">
        <f t="shared" si="83"/>
        <v>934024.00591902202</v>
      </c>
      <c r="M676" s="7"/>
      <c r="N676" s="1"/>
    </row>
    <row r="677" spans="1:14">
      <c r="A677" s="1">
        <f t="shared" si="84"/>
        <v>654</v>
      </c>
      <c r="B677" s="2">
        <f t="shared" si="86"/>
        <v>54</v>
      </c>
      <c r="C677" s="2">
        <f t="shared" si="87"/>
        <v>6</v>
      </c>
      <c r="D677" s="2">
        <f t="shared" si="88"/>
        <v>83</v>
      </c>
      <c r="E677" s="1">
        <f t="shared" si="85"/>
        <v>934024.00591902202</v>
      </c>
      <c r="G677" s="1">
        <f t="shared" si="81"/>
        <v>6731.8129956915855</v>
      </c>
      <c r="H677" s="69">
        <f>-SUM(E677:G677)*$H$21</f>
        <v>-8466.8023702324226</v>
      </c>
      <c r="I677" s="1">
        <f t="shared" si="82"/>
        <v>-940.75581891471359</v>
      </c>
      <c r="J677" s="1">
        <f t="shared" si="83"/>
        <v>931348.26072556642</v>
      </c>
      <c r="M677" s="7"/>
      <c r="N677" s="1"/>
    </row>
    <row r="678" spans="1:14">
      <c r="A678" s="1">
        <f t="shared" si="84"/>
        <v>655</v>
      </c>
      <c r="B678" s="2">
        <f t="shared" si="86"/>
        <v>54</v>
      </c>
      <c r="C678" s="2">
        <f t="shared" si="87"/>
        <v>7</v>
      </c>
      <c r="D678" s="2">
        <f t="shared" si="88"/>
        <v>83</v>
      </c>
      <c r="E678" s="1">
        <f t="shared" si="85"/>
        <v>931348.26072556642</v>
      </c>
      <c r="G678" s="1">
        <f t="shared" si="81"/>
        <v>6712.5280349707518</v>
      </c>
      <c r="H678" s="1">
        <v>0</v>
      </c>
      <c r="I678" s="1">
        <f t="shared" si="82"/>
        <v>-938.06078876053721</v>
      </c>
      <c r="J678" s="1">
        <f t="shared" si="83"/>
        <v>937122.72797177662</v>
      </c>
      <c r="M678" s="7"/>
      <c r="N678" s="1"/>
    </row>
    <row r="679" spans="1:14">
      <c r="A679" s="1">
        <f t="shared" si="84"/>
        <v>656</v>
      </c>
      <c r="B679" s="2">
        <f t="shared" si="86"/>
        <v>54</v>
      </c>
      <c r="C679" s="2">
        <f t="shared" si="87"/>
        <v>8</v>
      </c>
      <c r="D679" s="2">
        <f t="shared" si="88"/>
        <v>83</v>
      </c>
      <c r="E679" s="1">
        <f t="shared" si="85"/>
        <v>937122.72797177662</v>
      </c>
      <c r="G679" s="1">
        <f t="shared" si="81"/>
        <v>6754.1464873926307</v>
      </c>
      <c r="H679" s="1">
        <v>0</v>
      </c>
      <c r="I679" s="1">
        <f t="shared" si="82"/>
        <v>-943.87687445916924</v>
      </c>
      <c r="J679" s="1">
        <f t="shared" si="83"/>
        <v>942932.99758471001</v>
      </c>
      <c r="M679" s="7"/>
      <c r="N679" s="1"/>
    </row>
    <row r="680" spans="1:14">
      <c r="A680" s="1">
        <f t="shared" si="84"/>
        <v>657</v>
      </c>
      <c r="B680" s="2">
        <f t="shared" si="86"/>
        <v>54</v>
      </c>
      <c r="C680" s="2">
        <f t="shared" si="87"/>
        <v>9</v>
      </c>
      <c r="D680" s="2">
        <f t="shared" si="88"/>
        <v>83</v>
      </c>
      <c r="E680" s="1">
        <f t="shared" si="85"/>
        <v>942932.99758471001</v>
      </c>
      <c r="G680" s="1">
        <f t="shared" si="81"/>
        <v>6796.0229790469657</v>
      </c>
      <c r="H680" s="69">
        <f>-SUM(E680:G680)*$H$21</f>
        <v>-8547.5611850738132</v>
      </c>
      <c r="I680" s="1">
        <f t="shared" si="82"/>
        <v>-949.72902056375699</v>
      </c>
      <c r="J680" s="1">
        <f t="shared" si="83"/>
        <v>940231.73035811936</v>
      </c>
      <c r="M680" s="7"/>
      <c r="N680" s="1"/>
    </row>
    <row r="681" spans="1:14">
      <c r="A681" s="1">
        <f t="shared" si="84"/>
        <v>658</v>
      </c>
      <c r="B681" s="2">
        <f t="shared" si="86"/>
        <v>54</v>
      </c>
      <c r="C681" s="2">
        <f t="shared" si="87"/>
        <v>10</v>
      </c>
      <c r="D681" s="2">
        <f t="shared" si="88"/>
        <v>83</v>
      </c>
      <c r="E681" s="1">
        <f t="shared" si="85"/>
        <v>940231.73035811936</v>
      </c>
      <c r="G681" s="1">
        <f t="shared" si="81"/>
        <v>6776.5540727816433</v>
      </c>
      <c r="H681" s="1">
        <v>0</v>
      </c>
      <c r="I681" s="1">
        <f t="shared" si="82"/>
        <v>-947.00828443090109</v>
      </c>
      <c r="J681" s="1">
        <f t="shared" si="83"/>
        <v>946061.2761464701</v>
      </c>
      <c r="M681" s="7"/>
      <c r="N681" s="1"/>
    </row>
    <row r="682" spans="1:14">
      <c r="A682" s="1">
        <f t="shared" si="84"/>
        <v>659</v>
      </c>
      <c r="B682" s="2">
        <f t="shared" si="86"/>
        <v>54</v>
      </c>
      <c r="C682" s="2">
        <f t="shared" si="87"/>
        <v>11</v>
      </c>
      <c r="D682" s="2">
        <f t="shared" si="88"/>
        <v>83</v>
      </c>
      <c r="E682" s="1">
        <f t="shared" si="85"/>
        <v>946061.2761464701</v>
      </c>
      <c r="G682" s="1">
        <f t="shared" si="81"/>
        <v>6818.5694940645099</v>
      </c>
      <c r="H682" s="1">
        <v>0</v>
      </c>
      <c r="I682" s="1">
        <f t="shared" si="82"/>
        <v>-952.87984564053465</v>
      </c>
      <c r="J682" s="1">
        <f t="shared" si="83"/>
        <v>951926.96579489415</v>
      </c>
      <c r="M682" s="7"/>
      <c r="N682" s="1"/>
    </row>
    <row r="683" spans="1:14">
      <c r="A683" s="1">
        <f t="shared" si="84"/>
        <v>660</v>
      </c>
      <c r="B683" s="2">
        <f t="shared" si="86"/>
        <v>54</v>
      </c>
      <c r="C683" s="2">
        <f t="shared" si="87"/>
        <v>12</v>
      </c>
      <c r="D683" s="2">
        <f t="shared" si="88"/>
        <v>83</v>
      </c>
      <c r="E683" s="1">
        <f t="shared" si="85"/>
        <v>951926.96579489415</v>
      </c>
      <c r="G683" s="1">
        <f t="shared" si="81"/>
        <v>6860.8454158328186</v>
      </c>
      <c r="H683" s="69">
        <f>-SUM(E683:G683)*$H$21</f>
        <v>-8629.0903008965433</v>
      </c>
      <c r="I683" s="1">
        <f t="shared" si="82"/>
        <v>-958.787811210727</v>
      </c>
      <c r="J683" s="1">
        <f t="shared" si="83"/>
        <v>949199.93309861969</v>
      </c>
      <c r="M683" s="7"/>
      <c r="N683" s="1"/>
    </row>
    <row r="684" spans="1:14">
      <c r="A684" s="1">
        <f t="shared" si="84"/>
        <v>661</v>
      </c>
      <c r="B684" s="2">
        <f t="shared" si="86"/>
        <v>55</v>
      </c>
      <c r="C684" s="2">
        <f t="shared" si="87"/>
        <v>1</v>
      </c>
      <c r="D684" s="2">
        <f t="shared" si="88"/>
        <v>84</v>
      </c>
      <c r="E684" s="1">
        <f t="shared" si="85"/>
        <v>949199.93309861969</v>
      </c>
      <c r="G684" s="1">
        <f t="shared" si="81"/>
        <v>6841.1908094970922</v>
      </c>
      <c r="H684" s="1">
        <v>0</v>
      </c>
      <c r="I684" s="1">
        <f t="shared" si="82"/>
        <v>-956.0411239081169</v>
      </c>
      <c r="J684" s="1">
        <f t="shared" si="83"/>
        <v>955085.0827842087</v>
      </c>
      <c r="M684" s="7"/>
      <c r="N684" s="1"/>
    </row>
    <row r="685" spans="1:14">
      <c r="A685" s="1">
        <f t="shared" si="84"/>
        <v>662</v>
      </c>
      <c r="B685" s="2">
        <f t="shared" si="86"/>
        <v>55</v>
      </c>
      <c r="C685" s="2">
        <f t="shared" si="87"/>
        <v>2</v>
      </c>
      <c r="D685" s="2">
        <f t="shared" si="88"/>
        <v>84</v>
      </c>
      <c r="E685" s="1">
        <f t="shared" si="85"/>
        <v>955085.0827842087</v>
      </c>
      <c r="G685" s="1">
        <f t="shared" si="81"/>
        <v>6883.6069860449925</v>
      </c>
      <c r="H685" s="1">
        <v>0</v>
      </c>
      <c r="I685" s="1">
        <f t="shared" si="82"/>
        <v>-961.96868977025372</v>
      </c>
      <c r="J685" s="1">
        <f t="shared" si="83"/>
        <v>961006.72108048352</v>
      </c>
      <c r="M685" s="7"/>
      <c r="N685" s="1"/>
    </row>
    <row r="686" spans="1:14">
      <c r="A686" s="1">
        <f t="shared" si="84"/>
        <v>663</v>
      </c>
      <c r="B686" s="2">
        <f t="shared" si="86"/>
        <v>55</v>
      </c>
      <c r="C686" s="2">
        <f t="shared" si="87"/>
        <v>3</v>
      </c>
      <c r="D686" s="2">
        <f t="shared" si="88"/>
        <v>84</v>
      </c>
      <c r="E686" s="1">
        <f t="shared" si="85"/>
        <v>961006.72108048352</v>
      </c>
      <c r="G686" s="1">
        <f t="shared" si="81"/>
        <v>6926.2861478074619</v>
      </c>
      <c r="H686" s="69">
        <f>-SUM(E686:G686)*$H$21</f>
        <v>-8711.3970650546198</v>
      </c>
      <c r="I686" s="1">
        <f t="shared" si="82"/>
        <v>-967.93300722829099</v>
      </c>
      <c r="J686" s="1">
        <f t="shared" si="83"/>
        <v>958253.67715600808</v>
      </c>
      <c r="M686" s="7"/>
      <c r="N686" s="1"/>
    </row>
    <row r="687" spans="1:14">
      <c r="A687" s="1">
        <f t="shared" si="84"/>
        <v>664</v>
      </c>
      <c r="B687" s="2">
        <f t="shared" si="86"/>
        <v>55</v>
      </c>
      <c r="C687" s="2">
        <f t="shared" si="87"/>
        <v>4</v>
      </c>
      <c r="D687" s="2">
        <f t="shared" si="88"/>
        <v>84</v>
      </c>
      <c r="E687" s="1">
        <f t="shared" si="85"/>
        <v>958253.67715600808</v>
      </c>
      <c r="G687" s="1">
        <f t="shared" si="81"/>
        <v>6906.4440701402418</v>
      </c>
      <c r="H687" s="1">
        <v>0</v>
      </c>
      <c r="I687" s="1">
        <f t="shared" si="82"/>
        <v>-965.16012122614836</v>
      </c>
      <c r="J687" s="1">
        <f t="shared" si="83"/>
        <v>964194.96110492223</v>
      </c>
      <c r="M687" s="7"/>
      <c r="N687" s="1"/>
    </row>
    <row r="688" spans="1:14">
      <c r="A688" s="1">
        <f t="shared" si="84"/>
        <v>665</v>
      </c>
      <c r="B688" s="2">
        <f t="shared" si="86"/>
        <v>55</v>
      </c>
      <c r="C688" s="2">
        <f t="shared" si="87"/>
        <v>5</v>
      </c>
      <c r="D688" s="2">
        <f t="shared" si="88"/>
        <v>84</v>
      </c>
      <c r="E688" s="1">
        <f t="shared" si="85"/>
        <v>964194.96110492223</v>
      </c>
      <c r="G688" s="1">
        <f t="shared" si="81"/>
        <v>6949.2648244730399</v>
      </c>
      <c r="H688" s="1">
        <v>0</v>
      </c>
      <c r="I688" s="1">
        <f t="shared" si="82"/>
        <v>-971.14422592939536</v>
      </c>
      <c r="J688" s="1">
        <f t="shared" si="83"/>
        <v>970173.0817034659</v>
      </c>
      <c r="M688" s="7"/>
      <c r="N688" s="1"/>
    </row>
    <row r="689" spans="1:14">
      <c r="A689" s="1">
        <f t="shared" si="84"/>
        <v>666</v>
      </c>
      <c r="B689" s="2">
        <f t="shared" si="86"/>
        <v>55</v>
      </c>
      <c r="C689" s="2">
        <f t="shared" si="87"/>
        <v>6</v>
      </c>
      <c r="D689" s="2">
        <f t="shared" si="88"/>
        <v>84</v>
      </c>
      <c r="E689" s="1">
        <f t="shared" si="85"/>
        <v>970173.0817034659</v>
      </c>
      <c r="G689" s="1">
        <f t="shared" si="81"/>
        <v>6992.3510724496009</v>
      </c>
      <c r="H689" s="69">
        <f>-SUM(E689:G689)*$H$21</f>
        <v>-8794.4888949832402</v>
      </c>
      <c r="I689" s="1">
        <f t="shared" si="82"/>
        <v>-977.16543277591552</v>
      </c>
      <c r="J689" s="1">
        <f t="shared" si="83"/>
        <v>967393.77844815643</v>
      </c>
      <c r="M689" s="7"/>
      <c r="N689" s="1"/>
    </row>
    <row r="690" spans="1:14">
      <c r="A690" s="1">
        <f t="shared" si="84"/>
        <v>667</v>
      </c>
      <c r="B690" s="2">
        <f t="shared" si="86"/>
        <v>55</v>
      </c>
      <c r="C690" s="2">
        <f t="shared" si="87"/>
        <v>7</v>
      </c>
      <c r="D690" s="2">
        <f t="shared" si="88"/>
        <v>84</v>
      </c>
      <c r="E690" s="1">
        <f t="shared" si="85"/>
        <v>967393.77844815643</v>
      </c>
      <c r="G690" s="1">
        <f t="shared" si="81"/>
        <v>6972.3197352949937</v>
      </c>
      <c r="H690" s="1">
        <v>0</v>
      </c>
      <c r="I690" s="1">
        <f t="shared" si="82"/>
        <v>-974.36609818345153</v>
      </c>
      <c r="J690" s="1">
        <f t="shared" si="83"/>
        <v>973391.73208526801</v>
      </c>
      <c r="M690" s="7"/>
      <c r="N690" s="1"/>
    </row>
    <row r="691" spans="1:14">
      <c r="A691" s="1">
        <f t="shared" si="84"/>
        <v>668</v>
      </c>
      <c r="B691" s="2">
        <f t="shared" si="86"/>
        <v>55</v>
      </c>
      <c r="C691" s="2">
        <f t="shared" si="87"/>
        <v>8</v>
      </c>
      <c r="D691" s="2">
        <f t="shared" si="88"/>
        <v>84</v>
      </c>
      <c r="E691" s="1">
        <f t="shared" si="85"/>
        <v>973391.73208526801</v>
      </c>
      <c r="G691" s="1">
        <f t="shared" si="81"/>
        <v>7015.5489263928557</v>
      </c>
      <c r="H691" s="1">
        <v>0</v>
      </c>
      <c r="I691" s="1">
        <f t="shared" si="82"/>
        <v>-980.40728101166087</v>
      </c>
      <c r="J691" s="1">
        <f t="shared" si="83"/>
        <v>979426.87373064912</v>
      </c>
      <c r="M691" s="7"/>
      <c r="N691" s="1"/>
    </row>
    <row r="692" spans="1:14">
      <c r="A692" s="1">
        <f t="shared" si="84"/>
        <v>669</v>
      </c>
      <c r="B692" s="2">
        <f t="shared" si="86"/>
        <v>55</v>
      </c>
      <c r="C692" s="2">
        <f t="shared" si="87"/>
        <v>9</v>
      </c>
      <c r="D692" s="2">
        <f t="shared" si="88"/>
        <v>84</v>
      </c>
      <c r="E692" s="1">
        <f t="shared" si="85"/>
        <v>979426.87373064912</v>
      </c>
      <c r="G692" s="1">
        <f t="shared" si="81"/>
        <v>7059.0461434897979</v>
      </c>
      <c r="H692" s="69">
        <f>-SUM(E692:G692)*$H$21</f>
        <v>-8878.3732788672514</v>
      </c>
      <c r="I692" s="1">
        <f t="shared" si="82"/>
        <v>-986.48591987413897</v>
      </c>
      <c r="J692" s="1">
        <f t="shared" si="83"/>
        <v>976621.06067539752</v>
      </c>
      <c r="M692" s="7"/>
      <c r="N692" s="1"/>
    </row>
    <row r="693" spans="1:14">
      <c r="A693" s="1">
        <f t="shared" si="84"/>
        <v>670</v>
      </c>
      <c r="B693" s="2">
        <f t="shared" si="86"/>
        <v>55</v>
      </c>
      <c r="C693" s="2">
        <f t="shared" si="87"/>
        <v>10</v>
      </c>
      <c r="D693" s="2">
        <f t="shared" si="88"/>
        <v>84</v>
      </c>
      <c r="E693" s="1">
        <f t="shared" si="85"/>
        <v>976621.06067539752</v>
      </c>
      <c r="G693" s="1">
        <f t="shared" si="81"/>
        <v>7038.8237416359625</v>
      </c>
      <c r="H693" s="1">
        <v>0</v>
      </c>
      <c r="I693" s="1">
        <f t="shared" si="82"/>
        <v>-983.6598844170336</v>
      </c>
      <c r="J693" s="1">
        <f t="shared" si="83"/>
        <v>982676.22453261644</v>
      </c>
      <c r="M693" s="7"/>
      <c r="N693" s="1"/>
    </row>
    <row r="694" spans="1:14">
      <c r="A694" s="1">
        <f t="shared" si="84"/>
        <v>671</v>
      </c>
      <c r="B694" s="2">
        <f t="shared" si="86"/>
        <v>55</v>
      </c>
      <c r="C694" s="2">
        <f t="shared" si="87"/>
        <v>11</v>
      </c>
      <c r="D694" s="2">
        <f t="shared" si="88"/>
        <v>84</v>
      </c>
      <c r="E694" s="1">
        <f t="shared" si="85"/>
        <v>982676.22453261644</v>
      </c>
      <c r="G694" s="1">
        <f t="shared" si="81"/>
        <v>7082.4652652871246</v>
      </c>
      <c r="H694" s="1">
        <v>0</v>
      </c>
      <c r="I694" s="1">
        <f t="shared" si="82"/>
        <v>-989.75868979790357</v>
      </c>
      <c r="J694" s="1">
        <f t="shared" si="83"/>
        <v>988768.93110810558</v>
      </c>
      <c r="M694" s="7"/>
      <c r="N694" s="1"/>
    </row>
    <row r="695" spans="1:14">
      <c r="A695" s="1">
        <f t="shared" si="84"/>
        <v>672</v>
      </c>
      <c r="B695" s="2">
        <f t="shared" si="86"/>
        <v>55</v>
      </c>
      <c r="C695" s="2">
        <f t="shared" si="87"/>
        <v>12</v>
      </c>
      <c r="D695" s="2">
        <f t="shared" si="88"/>
        <v>84</v>
      </c>
      <c r="E695" s="1">
        <f t="shared" si="85"/>
        <v>988768.93110810558</v>
      </c>
      <c r="G695" s="1">
        <f t="shared" si="81"/>
        <v>7126.3773714470271</v>
      </c>
      <c r="H695" s="69">
        <f>-SUM(E695:G695)*$H$21</f>
        <v>-8963.0577763159745</v>
      </c>
      <c r="I695" s="1">
        <f t="shared" si="82"/>
        <v>-995.89530847955268</v>
      </c>
      <c r="J695" s="1">
        <f t="shared" si="83"/>
        <v>985936.35539475712</v>
      </c>
      <c r="M695" s="7"/>
      <c r="N695" s="1"/>
    </row>
    <row r="696" spans="1:14">
      <c r="A696" s="1">
        <f t="shared" si="84"/>
        <v>673</v>
      </c>
      <c r="B696" s="2">
        <f t="shared" si="86"/>
        <v>56</v>
      </c>
      <c r="C696" s="2">
        <f t="shared" si="87"/>
        <v>1</v>
      </c>
      <c r="D696" s="2">
        <f t="shared" si="88"/>
        <v>85</v>
      </c>
      <c r="E696" s="1">
        <f t="shared" si="85"/>
        <v>985936.35539475712</v>
      </c>
      <c r="G696" s="1">
        <f t="shared" si="81"/>
        <v>7105.9620824634885</v>
      </c>
      <c r="H696" s="1">
        <v>0</v>
      </c>
      <c r="I696" s="1">
        <f t="shared" si="82"/>
        <v>-993.04231747722054</v>
      </c>
      <c r="J696" s="1">
        <f t="shared" si="83"/>
        <v>992049.27515974338</v>
      </c>
      <c r="M696" s="7"/>
      <c r="N696" s="1"/>
    </row>
    <row r="697" spans="1:14">
      <c r="A697" s="1">
        <f t="shared" si="84"/>
        <v>674</v>
      </c>
      <c r="B697" s="2">
        <f t="shared" si="86"/>
        <v>56</v>
      </c>
      <c r="C697" s="2">
        <f t="shared" si="87"/>
        <v>2</v>
      </c>
      <c r="D697" s="2">
        <f t="shared" si="88"/>
        <v>85</v>
      </c>
      <c r="E697" s="1">
        <f t="shared" si="85"/>
        <v>992049.27515974338</v>
      </c>
      <c r="G697" s="1">
        <f t="shared" si="81"/>
        <v>7150.0198716153463</v>
      </c>
      <c r="H697" s="1">
        <v>0</v>
      </c>
      <c r="I697" s="1">
        <f t="shared" si="82"/>
        <v>-999.1992950313587</v>
      </c>
      <c r="J697" s="1">
        <f t="shared" si="83"/>
        <v>998200.09573632735</v>
      </c>
      <c r="M697" s="7"/>
      <c r="N697" s="1"/>
    </row>
    <row r="698" spans="1:14">
      <c r="A698" s="1">
        <f t="shared" si="84"/>
        <v>675</v>
      </c>
      <c r="B698" s="2">
        <f t="shared" si="86"/>
        <v>56</v>
      </c>
      <c r="C698" s="2">
        <f t="shared" si="87"/>
        <v>3</v>
      </c>
      <c r="D698" s="2">
        <f t="shared" si="88"/>
        <v>85</v>
      </c>
      <c r="E698" s="1">
        <f t="shared" si="85"/>
        <v>998200.09573632735</v>
      </c>
      <c r="G698" s="1">
        <f t="shared" si="81"/>
        <v>7194.3508241703339</v>
      </c>
      <c r="H698" s="69">
        <f>-SUM(E698:G698)*$H$21</f>
        <v>-9048.55001904448</v>
      </c>
      <c r="I698" s="1">
        <f t="shared" si="82"/>
        <v>-1005.3944465604976</v>
      </c>
      <c r="J698" s="1">
        <f t="shared" si="83"/>
        <v>995340.50209489267</v>
      </c>
      <c r="M698" s="7"/>
      <c r="N698" s="1"/>
    </row>
    <row r="699" spans="1:14">
      <c r="A699" s="1">
        <f t="shared" si="84"/>
        <v>676</v>
      </c>
      <c r="B699" s="2">
        <f t="shared" si="86"/>
        <v>56</v>
      </c>
      <c r="C699" s="2">
        <f t="shared" si="87"/>
        <v>4</v>
      </c>
      <c r="D699" s="2">
        <f t="shared" si="88"/>
        <v>85</v>
      </c>
      <c r="E699" s="1">
        <f t="shared" si="85"/>
        <v>995340.50209489267</v>
      </c>
      <c r="G699" s="1">
        <f t="shared" si="81"/>
        <v>7173.7408082437451</v>
      </c>
      <c r="H699" s="1">
        <v>0</v>
      </c>
      <c r="I699" s="1">
        <f t="shared" si="82"/>
        <v>-1002.5142429031364</v>
      </c>
      <c r="J699" s="1">
        <f t="shared" si="83"/>
        <v>1001511.7286602333</v>
      </c>
      <c r="M699" s="7"/>
      <c r="N699" s="1"/>
    </row>
    <row r="700" spans="1:14">
      <c r="A700" s="1">
        <f t="shared" si="84"/>
        <v>677</v>
      </c>
      <c r="B700" s="2">
        <f t="shared" si="86"/>
        <v>56</v>
      </c>
      <c r="C700" s="2">
        <f t="shared" si="87"/>
        <v>5</v>
      </c>
      <c r="D700" s="2">
        <f t="shared" si="88"/>
        <v>85</v>
      </c>
      <c r="E700" s="1">
        <f t="shared" si="85"/>
        <v>1001511.7286602333</v>
      </c>
      <c r="G700" s="1">
        <f t="shared" si="81"/>
        <v>7218.2188333572876</v>
      </c>
      <c r="H700" s="1">
        <v>0</v>
      </c>
      <c r="I700" s="1">
        <f t="shared" si="82"/>
        <v>-1008.7299474935907</v>
      </c>
      <c r="J700" s="1">
        <f t="shared" si="83"/>
        <v>1007721.217546097</v>
      </c>
      <c r="M700" s="7"/>
      <c r="N700" s="1"/>
    </row>
    <row r="701" spans="1:14">
      <c r="A701" s="1">
        <f t="shared" si="84"/>
        <v>678</v>
      </c>
      <c r="B701" s="2">
        <f t="shared" si="86"/>
        <v>56</v>
      </c>
      <c r="C701" s="2">
        <f t="shared" si="87"/>
        <v>6</v>
      </c>
      <c r="D701" s="2">
        <f t="shared" si="88"/>
        <v>85</v>
      </c>
      <c r="E701" s="1">
        <f t="shared" si="85"/>
        <v>1007721.217546097</v>
      </c>
      <c r="G701" s="1">
        <f t="shared" si="81"/>
        <v>7262.9726273856641</v>
      </c>
      <c r="H701" s="69">
        <f>-SUM(E701:G701)*$H$21</f>
        <v>-9134.8577115613443</v>
      </c>
      <c r="I701" s="1">
        <f t="shared" si="82"/>
        <v>-1014.9841901734827</v>
      </c>
      <c r="J701" s="1">
        <f t="shared" si="83"/>
        <v>1004834.3482717478</v>
      </c>
      <c r="M701" s="7"/>
      <c r="N701" s="1"/>
    </row>
    <row r="702" spans="1:14">
      <c r="A702" s="1">
        <f t="shared" si="84"/>
        <v>679</v>
      </c>
      <c r="B702" s="2">
        <f t="shared" si="86"/>
        <v>56</v>
      </c>
      <c r="C702" s="2">
        <f t="shared" si="87"/>
        <v>7</v>
      </c>
      <c r="D702" s="2">
        <f t="shared" si="88"/>
        <v>85</v>
      </c>
      <c r="E702" s="1">
        <f t="shared" si="85"/>
        <v>1004834.3482717478</v>
      </c>
      <c r="G702" s="1">
        <f t="shared" si="81"/>
        <v>7242.1660271540086</v>
      </c>
      <c r="H702" s="1">
        <v>0</v>
      </c>
      <c r="I702" s="1">
        <f t="shared" si="82"/>
        <v>-1012.0765142989018</v>
      </c>
      <c r="J702" s="1">
        <f t="shared" si="83"/>
        <v>1011064.4377846029</v>
      </c>
      <c r="M702" s="7"/>
      <c r="N702" s="1"/>
    </row>
    <row r="703" spans="1:14">
      <c r="A703" s="1">
        <f t="shared" si="84"/>
        <v>680</v>
      </c>
      <c r="B703" s="2">
        <f t="shared" si="86"/>
        <v>56</v>
      </c>
      <c r="C703" s="2">
        <f t="shared" si="87"/>
        <v>8</v>
      </c>
      <c r="D703" s="2">
        <f t="shared" si="88"/>
        <v>85</v>
      </c>
      <c r="E703" s="1">
        <f t="shared" si="85"/>
        <v>1011064.4377846029</v>
      </c>
      <c r="G703" s="1">
        <f t="shared" si="81"/>
        <v>7287.0682965616279</v>
      </c>
      <c r="H703" s="1">
        <v>0</v>
      </c>
      <c r="I703" s="1">
        <f t="shared" si="82"/>
        <v>-1018.3515060811645</v>
      </c>
      <c r="J703" s="1">
        <f t="shared" si="83"/>
        <v>1017333.1545750833</v>
      </c>
      <c r="M703" s="7"/>
      <c r="N703" s="1"/>
    </row>
    <row r="704" spans="1:14">
      <c r="A704" s="1">
        <f t="shared" si="84"/>
        <v>681</v>
      </c>
      <c r="B704" s="2">
        <f t="shared" si="86"/>
        <v>56</v>
      </c>
      <c r="C704" s="2">
        <f t="shared" si="87"/>
        <v>9</v>
      </c>
      <c r="D704" s="2">
        <f t="shared" si="88"/>
        <v>85</v>
      </c>
      <c r="E704" s="1">
        <f t="shared" si="85"/>
        <v>1017333.1545750833</v>
      </c>
      <c r="G704" s="1">
        <f t="shared" si="81"/>
        <v>7332.2489652479153</v>
      </c>
      <c r="H704" s="69">
        <f>-SUM(E704:G704)*$H$21</f>
        <v>-9221.9886318629815</v>
      </c>
      <c r="I704" s="1">
        <f t="shared" si="82"/>
        <v>-1024.6654035403312</v>
      </c>
      <c r="J704" s="1">
        <f t="shared" si="83"/>
        <v>1014418.7495049278</v>
      </c>
      <c r="M704" s="7"/>
      <c r="N704" s="1"/>
    </row>
    <row r="705" spans="1:14">
      <c r="A705" s="1">
        <f t="shared" si="84"/>
        <v>682</v>
      </c>
      <c r="B705" s="2">
        <f t="shared" si="86"/>
        <v>56</v>
      </c>
      <c r="C705" s="2">
        <f t="shared" si="87"/>
        <v>10</v>
      </c>
      <c r="D705" s="2">
        <f t="shared" si="88"/>
        <v>85</v>
      </c>
      <c r="E705" s="1">
        <f t="shared" si="85"/>
        <v>1014418.7495049278</v>
      </c>
      <c r="G705" s="1">
        <f t="shared" si="81"/>
        <v>7311.2439056331159</v>
      </c>
      <c r="H705" s="1">
        <v>0</v>
      </c>
      <c r="I705" s="1">
        <f t="shared" si="82"/>
        <v>-1021.729993410561</v>
      </c>
      <c r="J705" s="1">
        <f t="shared" si="83"/>
        <v>1020708.2634171504</v>
      </c>
      <c r="M705" s="7"/>
      <c r="N705" s="1"/>
    </row>
    <row r="706" spans="1:14">
      <c r="A706" s="1">
        <f t="shared" si="84"/>
        <v>683</v>
      </c>
      <c r="B706" s="2">
        <f t="shared" si="86"/>
        <v>56</v>
      </c>
      <c r="C706" s="2">
        <f t="shared" si="87"/>
        <v>11</v>
      </c>
      <c r="D706" s="2">
        <f t="shared" si="88"/>
        <v>85</v>
      </c>
      <c r="E706" s="1">
        <f t="shared" si="85"/>
        <v>1020708.2634171504</v>
      </c>
      <c r="G706" s="1">
        <f t="shared" si="81"/>
        <v>7356.5744658998447</v>
      </c>
      <c r="H706" s="1">
        <v>0</v>
      </c>
      <c r="I706" s="1">
        <f t="shared" si="82"/>
        <v>-1028.0648378830501</v>
      </c>
      <c r="J706" s="1">
        <f t="shared" si="83"/>
        <v>1027036.7730451672</v>
      </c>
      <c r="M706" s="7"/>
      <c r="N706" s="1"/>
    </row>
    <row r="707" spans="1:14">
      <c r="A707" s="1">
        <f t="shared" si="84"/>
        <v>684</v>
      </c>
      <c r="B707" s="2">
        <f t="shared" si="86"/>
        <v>56</v>
      </c>
      <c r="C707" s="2">
        <f t="shared" si="87"/>
        <v>12</v>
      </c>
      <c r="D707" s="2">
        <f t="shared" si="88"/>
        <v>85</v>
      </c>
      <c r="E707" s="1">
        <f t="shared" si="85"/>
        <v>1027036.7730451672</v>
      </c>
      <c r="G707" s="1">
        <f t="shared" si="81"/>
        <v>7402.1860808982456</v>
      </c>
      <c r="H707" s="69">
        <f>-SUM(E707:G707)*$H$21</f>
        <v>-9309.9506321345907</v>
      </c>
      <c r="I707" s="1">
        <f t="shared" si="82"/>
        <v>-1034.4389591260656</v>
      </c>
      <c r="J707" s="1">
        <f t="shared" si="83"/>
        <v>1024094.5695348049</v>
      </c>
      <c r="M707" s="7"/>
      <c r="N707" s="1"/>
    </row>
    <row r="708" spans="1:14">
      <c r="A708" s="1">
        <f t="shared" si="84"/>
        <v>685</v>
      </c>
      <c r="B708" s="2">
        <f t="shared" si="86"/>
        <v>57</v>
      </c>
      <c r="C708" s="2">
        <f t="shared" si="87"/>
        <v>1</v>
      </c>
      <c r="D708" s="2">
        <f t="shared" si="88"/>
        <v>86</v>
      </c>
      <c r="E708" s="1">
        <f t="shared" si="85"/>
        <v>1024094.5695348049</v>
      </c>
      <c r="G708" s="1">
        <f t="shared" si="81"/>
        <v>7380.9806689371926</v>
      </c>
      <c r="H708" s="1">
        <v>0</v>
      </c>
      <c r="I708" s="1">
        <f t="shared" si="82"/>
        <v>-1031.4755502037422</v>
      </c>
      <c r="J708" s="1">
        <f t="shared" si="83"/>
        <v>1030444.0746535384</v>
      </c>
      <c r="M708" s="7"/>
      <c r="N708" s="1"/>
    </row>
    <row r="709" spans="1:14">
      <c r="A709" s="1">
        <f t="shared" si="84"/>
        <v>686</v>
      </c>
      <c r="B709" s="2">
        <f t="shared" si="86"/>
        <v>57</v>
      </c>
      <c r="C709" s="2">
        <f t="shared" si="87"/>
        <v>2</v>
      </c>
      <c r="D709" s="2">
        <f t="shared" si="88"/>
        <v>86</v>
      </c>
      <c r="E709" s="1">
        <f t="shared" si="85"/>
        <v>1030444.0746535384</v>
      </c>
      <c r="G709" s="1">
        <f t="shared" si="81"/>
        <v>7426.7436052253697</v>
      </c>
      <c r="H709" s="1">
        <v>0</v>
      </c>
      <c r="I709" s="1">
        <f t="shared" si="82"/>
        <v>-1037.8708182587638</v>
      </c>
      <c r="J709" s="1">
        <f t="shared" si="83"/>
        <v>1036832.947440505</v>
      </c>
      <c r="M709" s="7"/>
      <c r="N709" s="1"/>
    </row>
    <row r="710" spans="1:14">
      <c r="A710" s="1">
        <f t="shared" si="84"/>
        <v>687</v>
      </c>
      <c r="B710" s="2">
        <f t="shared" si="86"/>
        <v>57</v>
      </c>
      <c r="C710" s="2">
        <f t="shared" si="87"/>
        <v>3</v>
      </c>
      <c r="D710" s="2">
        <f t="shared" si="88"/>
        <v>86</v>
      </c>
      <c r="E710" s="1">
        <f t="shared" si="85"/>
        <v>1036832.947440505</v>
      </c>
      <c r="G710" s="1">
        <f t="shared" si="81"/>
        <v>7472.7902770267056</v>
      </c>
      <c r="H710" s="69">
        <f>-SUM(E710:G710)*$H$21</f>
        <v>-9398.751639457787</v>
      </c>
      <c r="I710" s="1">
        <f t="shared" si="82"/>
        <v>-1044.3057377175317</v>
      </c>
      <c r="J710" s="1">
        <f t="shared" si="83"/>
        <v>1033862.6803403564</v>
      </c>
      <c r="M710" s="7"/>
      <c r="N710" s="1"/>
    </row>
    <row r="711" spans="1:14">
      <c r="A711" s="1">
        <f t="shared" si="84"/>
        <v>688</v>
      </c>
      <c r="B711" s="2">
        <f t="shared" si="86"/>
        <v>57</v>
      </c>
      <c r="C711" s="2">
        <f t="shared" si="87"/>
        <v>4</v>
      </c>
      <c r="D711" s="2">
        <f t="shared" si="88"/>
        <v>86</v>
      </c>
      <c r="E711" s="1">
        <f t="shared" si="85"/>
        <v>1033862.6803403564</v>
      </c>
      <c r="G711" s="1">
        <f t="shared" si="81"/>
        <v>7451.3826017006504</v>
      </c>
      <c r="H711" s="1">
        <v>0</v>
      </c>
      <c r="I711" s="1">
        <f t="shared" si="82"/>
        <v>-1041.314062942057</v>
      </c>
      <c r="J711" s="1">
        <f t="shared" si="83"/>
        <v>1040272.748879115</v>
      </c>
      <c r="M711" s="7"/>
      <c r="N711" s="1"/>
    </row>
    <row r="712" spans="1:14">
      <c r="A712" s="1">
        <f t="shared" si="84"/>
        <v>689</v>
      </c>
      <c r="B712" s="2">
        <f t="shared" si="86"/>
        <v>57</v>
      </c>
      <c r="C712" s="2">
        <f t="shared" si="87"/>
        <v>5</v>
      </c>
      <c r="D712" s="2">
        <f t="shared" si="88"/>
        <v>86</v>
      </c>
      <c r="E712" s="1">
        <f t="shared" si="85"/>
        <v>1040272.748879115</v>
      </c>
      <c r="G712" s="1">
        <f t="shared" si="81"/>
        <v>7497.58203813808</v>
      </c>
      <c r="H712" s="1">
        <v>0</v>
      </c>
      <c r="I712" s="1">
        <f t="shared" si="82"/>
        <v>-1047.770330917253</v>
      </c>
      <c r="J712" s="1">
        <f t="shared" si="83"/>
        <v>1046722.5605863358</v>
      </c>
      <c r="M712" s="7"/>
      <c r="N712" s="1"/>
    </row>
    <row r="713" spans="1:14">
      <c r="A713" s="1">
        <f t="shared" si="84"/>
        <v>690</v>
      </c>
      <c r="B713" s="2">
        <f t="shared" si="86"/>
        <v>57</v>
      </c>
      <c r="C713" s="2">
        <f t="shared" si="87"/>
        <v>6</v>
      </c>
      <c r="D713" s="2">
        <f t="shared" si="88"/>
        <v>86</v>
      </c>
      <c r="E713" s="1">
        <f t="shared" si="85"/>
        <v>1046722.5605863358</v>
      </c>
      <c r="G713" s="1">
        <f t="shared" si="81"/>
        <v>7544.0679164402245</v>
      </c>
      <c r="H713" s="69">
        <f>-SUM(E713:G713)*$H$21</f>
        <v>-9488.3996565249872</v>
      </c>
      <c r="I713" s="1">
        <f t="shared" si="82"/>
        <v>-1054.2666285027763</v>
      </c>
      <c r="J713" s="1">
        <f t="shared" si="83"/>
        <v>1043723.9622177484</v>
      </c>
      <c r="M713" s="7"/>
      <c r="N713" s="1"/>
    </row>
    <row r="714" spans="1:14">
      <c r="A714" s="1">
        <f t="shared" si="84"/>
        <v>691</v>
      </c>
      <c r="B714" s="2">
        <f t="shared" si="86"/>
        <v>57</v>
      </c>
      <c r="C714" s="2">
        <f t="shared" si="87"/>
        <v>7</v>
      </c>
      <c r="D714" s="2">
        <f t="shared" si="88"/>
        <v>86</v>
      </c>
      <c r="E714" s="1">
        <f t="shared" si="85"/>
        <v>1043723.9622177484</v>
      </c>
      <c r="G714" s="1">
        <f t="shared" si="81"/>
        <v>7522.456048502574</v>
      </c>
      <c r="H714" s="1">
        <v>0</v>
      </c>
      <c r="I714" s="1">
        <f t="shared" si="82"/>
        <v>-1051.2464182662511</v>
      </c>
      <c r="J714" s="1">
        <f t="shared" si="83"/>
        <v>1050195.1718479847</v>
      </c>
      <c r="M714" s="7"/>
      <c r="N714" s="1"/>
    </row>
    <row r="715" spans="1:14">
      <c r="A715" s="1">
        <f t="shared" si="84"/>
        <v>692</v>
      </c>
      <c r="B715" s="2">
        <f t="shared" si="86"/>
        <v>57</v>
      </c>
      <c r="C715" s="2">
        <f t="shared" si="87"/>
        <v>8</v>
      </c>
      <c r="D715" s="2">
        <f t="shared" si="88"/>
        <v>86</v>
      </c>
      <c r="E715" s="1">
        <f t="shared" si="85"/>
        <v>1050195.1718479847</v>
      </c>
      <c r="G715" s="1">
        <f t="shared" si="81"/>
        <v>7569.0961485541848</v>
      </c>
      <c r="H715" s="1">
        <v>0</v>
      </c>
      <c r="I715" s="1">
        <f t="shared" si="82"/>
        <v>-1057.7642679965388</v>
      </c>
      <c r="J715" s="1">
        <f t="shared" si="83"/>
        <v>1056706.5037285422</v>
      </c>
      <c r="M715" s="7"/>
      <c r="N715" s="1"/>
    </row>
    <row r="716" spans="1:14">
      <c r="A716" s="1">
        <f t="shared" si="84"/>
        <v>693</v>
      </c>
      <c r="B716" s="2">
        <f t="shared" si="86"/>
        <v>57</v>
      </c>
      <c r="C716" s="2">
        <f t="shared" si="87"/>
        <v>9</v>
      </c>
      <c r="D716" s="2">
        <f t="shared" si="88"/>
        <v>86</v>
      </c>
      <c r="E716" s="1">
        <f t="shared" si="85"/>
        <v>1056706.5037285422</v>
      </c>
      <c r="G716" s="1">
        <f t="shared" si="81"/>
        <v>7616.0254226360321</v>
      </c>
      <c r="H716" s="69">
        <f>-SUM(E716:G716)*$H$21</f>
        <v>-9578.9027623606053</v>
      </c>
      <c r="I716" s="1">
        <f t="shared" si="82"/>
        <v>-1064.3225291511783</v>
      </c>
      <c r="J716" s="1">
        <f t="shared" si="83"/>
        <v>1053679.3038596665</v>
      </c>
      <c r="M716" s="7"/>
      <c r="N716" s="1"/>
    </row>
    <row r="717" spans="1:14">
      <c r="A717" s="1">
        <f t="shared" si="84"/>
        <v>694</v>
      </c>
      <c r="B717" s="2">
        <f t="shared" si="86"/>
        <v>57</v>
      </c>
      <c r="C717" s="2">
        <f t="shared" si="87"/>
        <v>10</v>
      </c>
      <c r="D717" s="2">
        <f t="shared" si="88"/>
        <v>86</v>
      </c>
      <c r="E717" s="1">
        <f t="shared" si="85"/>
        <v>1053679.3038596665</v>
      </c>
      <c r="G717" s="1">
        <f t="shared" si="81"/>
        <v>7594.2074144384769</v>
      </c>
      <c r="H717" s="1">
        <v>0</v>
      </c>
      <c r="I717" s="1">
        <f t="shared" si="82"/>
        <v>-1061.273511274105</v>
      </c>
      <c r="J717" s="1">
        <f t="shared" si="83"/>
        <v>1060212.2377628309</v>
      </c>
      <c r="M717" s="7"/>
      <c r="N717" s="1"/>
    </row>
    <row r="718" spans="1:14">
      <c r="A718" s="1">
        <f t="shared" si="84"/>
        <v>695</v>
      </c>
      <c r="B718" s="2">
        <f t="shared" si="86"/>
        <v>57</v>
      </c>
      <c r="C718" s="2">
        <f t="shared" si="87"/>
        <v>11</v>
      </c>
      <c r="D718" s="2">
        <f t="shared" si="88"/>
        <v>86</v>
      </c>
      <c r="E718" s="1">
        <f t="shared" si="85"/>
        <v>1060212.2377628309</v>
      </c>
      <c r="G718" s="1">
        <f t="shared" si="81"/>
        <v>7641.2923812815343</v>
      </c>
      <c r="H718" s="1">
        <v>0</v>
      </c>
      <c r="I718" s="1">
        <f t="shared" si="82"/>
        <v>-1067.8535301441125</v>
      </c>
      <c r="J718" s="1">
        <f t="shared" si="83"/>
        <v>1066785.6766139683</v>
      </c>
      <c r="M718" s="7"/>
      <c r="N718" s="1"/>
    </row>
    <row r="719" spans="1:14">
      <c r="A719" s="1">
        <f t="shared" si="84"/>
        <v>696</v>
      </c>
      <c r="B719" s="2">
        <f t="shared" si="86"/>
        <v>57</v>
      </c>
      <c r="C719" s="2">
        <f t="shared" si="87"/>
        <v>12</v>
      </c>
      <c r="D719" s="2">
        <f t="shared" si="88"/>
        <v>86</v>
      </c>
      <c r="E719" s="1">
        <f t="shared" si="85"/>
        <v>1066785.6766139683</v>
      </c>
      <c r="G719" s="1">
        <f t="shared" si="81"/>
        <v>7688.6692803805363</v>
      </c>
      <c r="H719" s="69">
        <f>-SUM(E719:G719)*$H$21</f>
        <v>-9670.2691130491403</v>
      </c>
      <c r="I719" s="1">
        <f t="shared" si="82"/>
        <v>-1074.4743458943487</v>
      </c>
      <c r="J719" s="1">
        <f t="shared" si="83"/>
        <v>1063729.6024354054</v>
      </c>
      <c r="M719" s="7"/>
      <c r="N719" s="1"/>
    </row>
    <row r="720" spans="1:14">
      <c r="A720" s="1">
        <f t="shared" si="84"/>
        <v>697</v>
      </c>
      <c r="B720" s="2">
        <f t="shared" si="86"/>
        <v>58</v>
      </c>
      <c r="C720" s="2">
        <f t="shared" si="87"/>
        <v>1</v>
      </c>
      <c r="D720" s="2">
        <f t="shared" si="88"/>
        <v>87</v>
      </c>
      <c r="E720" s="1">
        <f t="shared" si="85"/>
        <v>1063729.6024354054</v>
      </c>
      <c r="G720" s="1">
        <f t="shared" si="81"/>
        <v>7666.6431656975356</v>
      </c>
      <c r="H720" s="1">
        <v>0</v>
      </c>
      <c r="I720" s="1">
        <f t="shared" si="82"/>
        <v>-1071.3962456011029</v>
      </c>
      <c r="J720" s="1">
        <f t="shared" si="83"/>
        <v>1070324.8493555018</v>
      </c>
      <c r="M720" s="7"/>
      <c r="N720" s="1"/>
    </row>
    <row r="721" spans="1:14">
      <c r="A721" s="1">
        <f t="shared" si="84"/>
        <v>698</v>
      </c>
      <c r="B721" s="2">
        <f t="shared" si="86"/>
        <v>58</v>
      </c>
      <c r="C721" s="2">
        <f t="shared" si="87"/>
        <v>2</v>
      </c>
      <c r="D721" s="2">
        <f t="shared" si="88"/>
        <v>87</v>
      </c>
      <c r="E721" s="1">
        <f t="shared" si="85"/>
        <v>1070324.8493555018</v>
      </c>
      <c r="G721" s="1">
        <f t="shared" si="81"/>
        <v>7714.1772426004263</v>
      </c>
      <c r="H721" s="1">
        <v>0</v>
      </c>
      <c r="I721" s="1">
        <f t="shared" si="82"/>
        <v>-1078.0390265981023</v>
      </c>
      <c r="J721" s="1">
        <f t="shared" si="83"/>
        <v>1076960.987571504</v>
      </c>
      <c r="M721" s="7"/>
      <c r="N721" s="1"/>
    </row>
    <row r="722" spans="1:14">
      <c r="A722" s="1">
        <f t="shared" si="84"/>
        <v>699</v>
      </c>
      <c r="B722" s="2">
        <f t="shared" si="86"/>
        <v>58</v>
      </c>
      <c r="C722" s="2">
        <f t="shared" si="87"/>
        <v>3</v>
      </c>
      <c r="D722" s="2">
        <f t="shared" si="88"/>
        <v>87</v>
      </c>
      <c r="E722" s="1">
        <f t="shared" si="85"/>
        <v>1076960.987571504</v>
      </c>
      <c r="G722" s="1">
        <f t="shared" si="81"/>
        <v>7762.0060362937238</v>
      </c>
      <c r="H722" s="69">
        <f>-SUM(E722:G722)*$H$21</f>
        <v>-9762.5069424701796</v>
      </c>
      <c r="I722" s="1">
        <f t="shared" si="82"/>
        <v>-1084.7229936077977</v>
      </c>
      <c r="J722" s="1">
        <f t="shared" si="83"/>
        <v>1073875.7636717197</v>
      </c>
      <c r="M722" s="7"/>
      <c r="N722" s="1"/>
    </row>
    <row r="723" spans="1:14">
      <c r="A723" s="1">
        <f t="shared" si="84"/>
        <v>700</v>
      </c>
      <c r="B723" s="2">
        <f t="shared" si="86"/>
        <v>58</v>
      </c>
      <c r="C723" s="2">
        <f t="shared" si="87"/>
        <v>4</v>
      </c>
      <c r="D723" s="2">
        <f t="shared" si="88"/>
        <v>87</v>
      </c>
      <c r="E723" s="1">
        <f t="shared" si="85"/>
        <v>1073875.7636717197</v>
      </c>
      <c r="G723" s="1">
        <f t="shared" si="81"/>
        <v>7739.7698301453065</v>
      </c>
      <c r="H723" s="1">
        <v>0</v>
      </c>
      <c r="I723" s="1">
        <f t="shared" si="82"/>
        <v>-1081.6155335018652</v>
      </c>
      <c r="J723" s="1">
        <f t="shared" si="83"/>
        <v>1080533.9179683633</v>
      </c>
      <c r="M723" s="7"/>
      <c r="N723" s="1"/>
    </row>
    <row r="724" spans="1:14">
      <c r="A724" s="1">
        <f t="shared" si="84"/>
        <v>701</v>
      </c>
      <c r="B724" s="2">
        <f t="shared" si="86"/>
        <v>58</v>
      </c>
      <c r="C724" s="2">
        <f t="shared" si="87"/>
        <v>5</v>
      </c>
      <c r="D724" s="2">
        <f t="shared" si="88"/>
        <v>87</v>
      </c>
      <c r="E724" s="1">
        <f t="shared" si="85"/>
        <v>1080533.9179683633</v>
      </c>
      <c r="G724" s="1">
        <f t="shared" si="81"/>
        <v>7787.7573008499421</v>
      </c>
      <c r="H724" s="1">
        <v>0</v>
      </c>
      <c r="I724" s="1">
        <f t="shared" si="82"/>
        <v>-1088.3216752692133</v>
      </c>
      <c r="J724" s="1">
        <f t="shared" si="83"/>
        <v>1087233.3535939441</v>
      </c>
      <c r="M724" s="7"/>
      <c r="N724" s="1"/>
    </row>
    <row r="725" spans="1:14">
      <c r="A725" s="1">
        <f t="shared" si="84"/>
        <v>702</v>
      </c>
      <c r="B725" s="2">
        <f t="shared" si="86"/>
        <v>58</v>
      </c>
      <c r="C725" s="2">
        <f t="shared" si="87"/>
        <v>6</v>
      </c>
      <c r="D725" s="2">
        <f t="shared" si="88"/>
        <v>87</v>
      </c>
      <c r="E725" s="1">
        <f t="shared" si="85"/>
        <v>1087233.3535939441</v>
      </c>
      <c r="G725" s="1">
        <f t="shared" si="81"/>
        <v>7836.0422994391474</v>
      </c>
      <c r="H725" s="69">
        <f>-SUM(E725:G725)*$H$21</f>
        <v>-9855.6245630404501</v>
      </c>
      <c r="I725" s="1">
        <f t="shared" si="82"/>
        <v>-1095.0693958933832</v>
      </c>
      <c r="J725" s="1">
        <f t="shared" si="83"/>
        <v>1084118.7019344494</v>
      </c>
      <c r="M725" s="7"/>
      <c r="N725" s="1"/>
    </row>
    <row r="726" spans="1:14">
      <c r="A726" s="1">
        <f t="shared" si="84"/>
        <v>703</v>
      </c>
      <c r="B726" s="2">
        <f t="shared" si="86"/>
        <v>58</v>
      </c>
      <c r="C726" s="2">
        <f t="shared" si="87"/>
        <v>7</v>
      </c>
      <c r="D726" s="2">
        <f t="shared" si="88"/>
        <v>87</v>
      </c>
      <c r="E726" s="1">
        <f t="shared" si="85"/>
        <v>1084118.7019344494</v>
      </c>
      <c r="G726" s="1">
        <f t="shared" si="81"/>
        <v>7813.5939979120276</v>
      </c>
      <c r="H726" s="1">
        <v>0</v>
      </c>
      <c r="I726" s="1">
        <f t="shared" si="82"/>
        <v>-1091.9322959323615</v>
      </c>
      <c r="J726" s="1">
        <f t="shared" si="83"/>
        <v>1090840.363636429</v>
      </c>
      <c r="M726" s="7"/>
      <c r="N726" s="1"/>
    </row>
    <row r="727" spans="1:14">
      <c r="A727" s="1">
        <f t="shared" si="84"/>
        <v>704</v>
      </c>
      <c r="B727" s="2">
        <f t="shared" si="86"/>
        <v>58</v>
      </c>
      <c r="C727" s="2">
        <f t="shared" si="87"/>
        <v>8</v>
      </c>
      <c r="D727" s="2">
        <f t="shared" si="88"/>
        <v>87</v>
      </c>
      <c r="E727" s="1">
        <f t="shared" si="85"/>
        <v>1090840.363636429</v>
      </c>
      <c r="G727" s="1">
        <f t="shared" si="81"/>
        <v>7862.0391870198882</v>
      </c>
      <c r="H727" s="1">
        <v>0</v>
      </c>
      <c r="I727" s="1">
        <f t="shared" si="82"/>
        <v>-1098.7024028234489</v>
      </c>
      <c r="J727" s="1">
        <f t="shared" si="83"/>
        <v>1097603.7004206255</v>
      </c>
      <c r="M727" s="7"/>
      <c r="N727" s="1"/>
    </row>
    <row r="728" spans="1:14">
      <c r="A728" s="1">
        <f t="shared" si="84"/>
        <v>705</v>
      </c>
      <c r="B728" s="2">
        <f t="shared" si="86"/>
        <v>58</v>
      </c>
      <c r="C728" s="2">
        <f t="shared" si="87"/>
        <v>9</v>
      </c>
      <c r="D728" s="2">
        <f t="shared" si="88"/>
        <v>87</v>
      </c>
      <c r="E728" s="1">
        <f t="shared" si="85"/>
        <v>1097603.7004206255</v>
      </c>
      <c r="G728" s="1">
        <f t="shared" ref="G728:G755" si="89">SUM(E728:F728)*$F$8</f>
        <v>7910.7847419195132</v>
      </c>
      <c r="H728" s="69">
        <f>-SUM(E728:G728)*$H$21</f>
        <v>-9949.6303664629067</v>
      </c>
      <c r="I728" s="1">
        <f t="shared" ref="I728:I755" si="90">-SUM(E728:G728)*0.1%</f>
        <v>-1105.514485162545</v>
      </c>
      <c r="J728" s="1">
        <f t="shared" ref="J728:J755" si="91">SUM(E728:I728)</f>
        <v>1094459.3403109196</v>
      </c>
      <c r="M728" s="7"/>
      <c r="N728" s="1"/>
    </row>
    <row r="729" spans="1:14">
      <c r="A729" s="1">
        <f t="shared" ref="A729:A755" si="92">+A728+1</f>
        <v>706</v>
      </c>
      <c r="B729" s="2">
        <f t="shared" si="86"/>
        <v>58</v>
      </c>
      <c r="C729" s="2">
        <f t="shared" si="87"/>
        <v>10</v>
      </c>
      <c r="D729" s="2">
        <f t="shared" si="88"/>
        <v>87</v>
      </c>
      <c r="E729" s="1">
        <f t="shared" ref="E729:E755" si="93">J728</f>
        <v>1094459.3403109196</v>
      </c>
      <c r="G729" s="1">
        <f t="shared" si="89"/>
        <v>7888.1223219864987</v>
      </c>
      <c r="H729" s="1">
        <v>0</v>
      </c>
      <c r="I729" s="1">
        <f t="shared" si="90"/>
        <v>-1102.3474626329062</v>
      </c>
      <c r="J729" s="1">
        <f t="shared" si="91"/>
        <v>1101245.1151702732</v>
      </c>
      <c r="M729" s="7"/>
      <c r="N729" s="1"/>
    </row>
    <row r="730" spans="1:14">
      <c r="A730" s="1">
        <f t="shared" si="92"/>
        <v>707</v>
      </c>
      <c r="B730" s="2">
        <f t="shared" si="86"/>
        <v>58</v>
      </c>
      <c r="C730" s="2">
        <f t="shared" si="87"/>
        <v>11</v>
      </c>
      <c r="D730" s="2">
        <f t="shared" si="88"/>
        <v>87</v>
      </c>
      <c r="E730" s="1">
        <f t="shared" si="93"/>
        <v>1101245.1151702732</v>
      </c>
      <c r="G730" s="1">
        <f t="shared" si="89"/>
        <v>7937.0295953483728</v>
      </c>
      <c r="H730" s="1">
        <v>0</v>
      </c>
      <c r="I730" s="1">
        <f t="shared" si="90"/>
        <v>-1109.1821447656216</v>
      </c>
      <c r="J730" s="1">
        <f t="shared" si="91"/>
        <v>1108072.962620856</v>
      </c>
      <c r="M730" s="7"/>
      <c r="N730" s="1"/>
    </row>
    <row r="731" spans="1:14">
      <c r="A731" s="1">
        <f t="shared" si="92"/>
        <v>708</v>
      </c>
      <c r="B731" s="2">
        <f t="shared" si="86"/>
        <v>58</v>
      </c>
      <c r="C731" s="2">
        <f t="shared" si="87"/>
        <v>12</v>
      </c>
      <c r="D731" s="2">
        <f t="shared" si="88"/>
        <v>87</v>
      </c>
      <c r="E731" s="1">
        <f t="shared" si="93"/>
        <v>1108072.962620856</v>
      </c>
      <c r="G731" s="1">
        <f t="shared" si="89"/>
        <v>7986.2400994779828</v>
      </c>
      <c r="H731" s="69">
        <f>-SUM(E731:G731)*$H$21</f>
        <v>-10044.532824483007</v>
      </c>
      <c r="I731" s="1">
        <f t="shared" si="90"/>
        <v>-1116.059202720334</v>
      </c>
      <c r="J731" s="1">
        <f t="shared" si="91"/>
        <v>1104898.6106931306</v>
      </c>
      <c r="M731" s="7"/>
      <c r="N731" s="1"/>
    </row>
    <row r="732" spans="1:14">
      <c r="A732" s="1">
        <f t="shared" si="92"/>
        <v>709</v>
      </c>
      <c r="B732" s="2">
        <f t="shared" si="86"/>
        <v>59</v>
      </c>
      <c r="C732" s="2">
        <f t="shared" si="87"/>
        <v>1</v>
      </c>
      <c r="D732" s="2">
        <f t="shared" si="88"/>
        <v>88</v>
      </c>
      <c r="E732" s="1">
        <f t="shared" si="93"/>
        <v>1104898.6106931306</v>
      </c>
      <c r="G732" s="1">
        <f t="shared" si="89"/>
        <v>7963.3615188156646</v>
      </c>
      <c r="H732" s="1">
        <v>0</v>
      </c>
      <c r="I732" s="1">
        <f t="shared" si="90"/>
        <v>-1112.8619722119463</v>
      </c>
      <c r="J732" s="1">
        <f t="shared" si="91"/>
        <v>1111749.1102397344</v>
      </c>
      <c r="M732" s="7"/>
      <c r="N732" s="1"/>
    </row>
    <row r="733" spans="1:14">
      <c r="A733" s="1">
        <f t="shared" si="92"/>
        <v>710</v>
      </c>
      <c r="B733" s="2">
        <f t="shared" si="86"/>
        <v>59</v>
      </c>
      <c r="C733" s="2">
        <f t="shared" si="87"/>
        <v>2</v>
      </c>
      <c r="D733" s="2">
        <f t="shared" si="88"/>
        <v>88</v>
      </c>
      <c r="E733" s="1">
        <f t="shared" si="93"/>
        <v>1111749.1102397344</v>
      </c>
      <c r="G733" s="1">
        <f t="shared" si="89"/>
        <v>8012.7352839250852</v>
      </c>
      <c r="H733" s="1">
        <v>0</v>
      </c>
      <c r="I733" s="1">
        <f t="shared" si="90"/>
        <v>-1119.7618455236595</v>
      </c>
      <c r="J733" s="1">
        <f t="shared" si="91"/>
        <v>1118642.0836781359</v>
      </c>
      <c r="M733" s="7"/>
      <c r="N733" s="1"/>
    </row>
    <row r="734" spans="1:14">
      <c r="A734" s="1">
        <f t="shared" si="92"/>
        <v>711</v>
      </c>
      <c r="B734" s="2">
        <f t="shared" si="86"/>
        <v>59</v>
      </c>
      <c r="C734" s="2">
        <f t="shared" si="87"/>
        <v>3</v>
      </c>
      <c r="D734" s="2">
        <f t="shared" si="88"/>
        <v>88</v>
      </c>
      <c r="E734" s="1">
        <f t="shared" si="93"/>
        <v>1118642.0836781359</v>
      </c>
      <c r="G734" s="1">
        <f t="shared" si="89"/>
        <v>8062.4151721051876</v>
      </c>
      <c r="H734" s="69">
        <f>-SUM(E734:G734)*$H$21</f>
        <v>-10140.340489652172</v>
      </c>
      <c r="I734" s="1">
        <f t="shared" si="90"/>
        <v>-1126.7044988502412</v>
      </c>
      <c r="J734" s="1">
        <f t="shared" si="91"/>
        <v>1115437.4538617386</v>
      </c>
      <c r="M734" s="7"/>
      <c r="N734" s="1"/>
    </row>
    <row r="735" spans="1:14">
      <c r="A735" s="1">
        <f t="shared" si="92"/>
        <v>712</v>
      </c>
      <c r="B735" s="2">
        <f t="shared" si="86"/>
        <v>59</v>
      </c>
      <c r="C735" s="2">
        <f t="shared" si="87"/>
        <v>4</v>
      </c>
      <c r="D735" s="2">
        <f t="shared" si="88"/>
        <v>88</v>
      </c>
      <c r="E735" s="1">
        <f t="shared" si="93"/>
        <v>1115437.4538617386</v>
      </c>
      <c r="G735" s="1">
        <f t="shared" si="89"/>
        <v>8039.3183689098805</v>
      </c>
      <c r="H735" s="1">
        <v>0</v>
      </c>
      <c r="I735" s="1">
        <f t="shared" si="90"/>
        <v>-1123.4767722306485</v>
      </c>
      <c r="J735" s="1">
        <f t="shared" si="91"/>
        <v>1122353.2954584179</v>
      </c>
      <c r="M735" s="7"/>
      <c r="N735" s="1"/>
    </row>
    <row r="736" spans="1:14">
      <c r="A736" s="1">
        <f t="shared" si="92"/>
        <v>713</v>
      </c>
      <c r="B736" s="2">
        <f t="shared" si="86"/>
        <v>59</v>
      </c>
      <c r="C736" s="2">
        <f t="shared" si="87"/>
        <v>5</v>
      </c>
      <c r="D736" s="2">
        <f t="shared" si="88"/>
        <v>88</v>
      </c>
      <c r="E736" s="1">
        <f t="shared" si="93"/>
        <v>1122353.2954584179</v>
      </c>
      <c r="G736" s="1">
        <f t="shared" si="89"/>
        <v>8089.1630753003355</v>
      </c>
      <c r="H736" s="1">
        <v>0</v>
      </c>
      <c r="I736" s="1">
        <f t="shared" si="90"/>
        <v>-1130.4424585337183</v>
      </c>
      <c r="J736" s="1">
        <f t="shared" si="91"/>
        <v>1129312.0160751846</v>
      </c>
      <c r="M736" s="7"/>
      <c r="N736" s="1"/>
    </row>
    <row r="737" spans="1:14">
      <c r="A737" s="1">
        <f t="shared" si="92"/>
        <v>714</v>
      </c>
      <c r="B737" s="2">
        <f t="shared" si="86"/>
        <v>59</v>
      </c>
      <c r="C737" s="2">
        <f t="shared" si="87"/>
        <v>6</v>
      </c>
      <c r="D737" s="2">
        <f t="shared" si="88"/>
        <v>88</v>
      </c>
      <c r="E737" s="1">
        <f t="shared" si="93"/>
        <v>1129312.0160751846</v>
      </c>
      <c r="G737" s="1">
        <f t="shared" si="89"/>
        <v>8139.316824652039</v>
      </c>
      <c r="H737" s="69">
        <f>-SUM(E737:G737)*$H$21</f>
        <v>-10237.061996098531</v>
      </c>
      <c r="I737" s="1">
        <f t="shared" si="90"/>
        <v>-1137.4513328998366</v>
      </c>
      <c r="J737" s="1">
        <f t="shared" si="91"/>
        <v>1126076.8195708382</v>
      </c>
      <c r="M737" s="7"/>
      <c r="N737" s="1"/>
    </row>
    <row r="738" spans="1:14">
      <c r="A738" s="1">
        <f t="shared" si="92"/>
        <v>715</v>
      </c>
      <c r="B738" s="2">
        <f t="shared" si="86"/>
        <v>59</v>
      </c>
      <c r="C738" s="2">
        <f t="shared" si="87"/>
        <v>7</v>
      </c>
      <c r="D738" s="2">
        <f t="shared" si="88"/>
        <v>88</v>
      </c>
      <c r="E738" s="1">
        <f t="shared" si="93"/>
        <v>1126076.8195708382</v>
      </c>
      <c r="G738" s="1">
        <f t="shared" si="89"/>
        <v>8115.9997174539794</v>
      </c>
      <c r="H738" s="1">
        <v>0</v>
      </c>
      <c r="I738" s="1">
        <f t="shared" si="90"/>
        <v>-1134.1928192882922</v>
      </c>
      <c r="J738" s="1">
        <f t="shared" si="91"/>
        <v>1133058.626469004</v>
      </c>
      <c r="M738" s="7"/>
      <c r="N738" s="1"/>
    </row>
    <row r="739" spans="1:14">
      <c r="A739" s="1">
        <f t="shared" si="92"/>
        <v>716</v>
      </c>
      <c r="B739" s="2">
        <f t="shared" si="86"/>
        <v>59</v>
      </c>
      <c r="C739" s="2">
        <f t="shared" si="87"/>
        <v>8</v>
      </c>
      <c r="D739" s="2">
        <f t="shared" si="88"/>
        <v>88</v>
      </c>
      <c r="E739" s="1">
        <f t="shared" si="93"/>
        <v>1133058.626469004</v>
      </c>
      <c r="G739" s="1">
        <f t="shared" si="89"/>
        <v>8166.3198570998939</v>
      </c>
      <c r="H739" s="1">
        <v>0</v>
      </c>
      <c r="I739" s="1">
        <f t="shared" si="90"/>
        <v>-1141.2249463261037</v>
      </c>
      <c r="J739" s="1">
        <f t="shared" si="91"/>
        <v>1140083.7213797776</v>
      </c>
      <c r="M739" s="7"/>
      <c r="N739" s="1"/>
    </row>
    <row r="740" spans="1:14">
      <c r="A740" s="1">
        <f t="shared" si="92"/>
        <v>717</v>
      </c>
      <c r="B740" s="2">
        <f t="shared" ref="B740:B755" si="94">B728+1</f>
        <v>59</v>
      </c>
      <c r="C740" s="2">
        <f t="shared" ref="C740:C755" si="95">C728</f>
        <v>9</v>
      </c>
      <c r="D740" s="2">
        <f t="shared" ref="D740:D755" si="96">D728+1</f>
        <v>88</v>
      </c>
      <c r="E740" s="1">
        <f t="shared" si="93"/>
        <v>1140083.7213797776</v>
      </c>
      <c r="G740" s="1">
        <f t="shared" si="89"/>
        <v>8216.9519874483867</v>
      </c>
      <c r="H740" s="69">
        <f>-SUM(E740:G740)*$H$21</f>
        <v>-10334.706060305036</v>
      </c>
      <c r="I740" s="1">
        <f t="shared" si="90"/>
        <v>-1148.300673367226</v>
      </c>
      <c r="J740" s="1">
        <f t="shared" si="91"/>
        <v>1136817.6666335538</v>
      </c>
      <c r="M740" s="7"/>
      <c r="N740" s="1"/>
    </row>
    <row r="741" spans="1:14">
      <c r="A741" s="1">
        <f t="shared" si="92"/>
        <v>718</v>
      </c>
      <c r="B741" s="2">
        <f t="shared" si="94"/>
        <v>59</v>
      </c>
      <c r="C741" s="2">
        <f t="shared" si="95"/>
        <v>10</v>
      </c>
      <c r="D741" s="2">
        <f t="shared" si="96"/>
        <v>88</v>
      </c>
      <c r="E741" s="1">
        <f t="shared" si="93"/>
        <v>1136817.6666335538</v>
      </c>
      <c r="G741" s="1">
        <f t="shared" si="89"/>
        <v>8193.4124749241491</v>
      </c>
      <c r="H741" s="1">
        <v>0</v>
      </c>
      <c r="I741" s="1">
        <f t="shared" si="90"/>
        <v>-1145.011079108478</v>
      </c>
      <c r="J741" s="1">
        <f t="shared" si="91"/>
        <v>1143866.0680293695</v>
      </c>
      <c r="M741" s="7"/>
      <c r="N741" s="1"/>
    </row>
    <row r="742" spans="1:14">
      <c r="A742" s="1">
        <f t="shared" si="92"/>
        <v>719</v>
      </c>
      <c r="B742" s="2">
        <f t="shared" si="94"/>
        <v>59</v>
      </c>
      <c r="C742" s="2">
        <f t="shared" si="95"/>
        <v>11</v>
      </c>
      <c r="D742" s="2">
        <f t="shared" si="96"/>
        <v>88</v>
      </c>
      <c r="E742" s="1">
        <f t="shared" si="93"/>
        <v>1143866.0680293695</v>
      </c>
      <c r="G742" s="1">
        <f t="shared" si="89"/>
        <v>8244.2125826457013</v>
      </c>
      <c r="H742" s="1">
        <v>0</v>
      </c>
      <c r="I742" s="1">
        <f t="shared" si="90"/>
        <v>-1152.1102806120152</v>
      </c>
      <c r="J742" s="1">
        <f t="shared" si="91"/>
        <v>1150958.1703314031</v>
      </c>
      <c r="M742" s="7"/>
      <c r="N742" s="1"/>
    </row>
    <row r="743" spans="1:14">
      <c r="A743" s="1">
        <f t="shared" si="92"/>
        <v>720</v>
      </c>
      <c r="B743" s="2">
        <f t="shared" si="94"/>
        <v>59</v>
      </c>
      <c r="C743" s="2">
        <f t="shared" si="95"/>
        <v>12</v>
      </c>
      <c r="D743" s="2">
        <f t="shared" si="96"/>
        <v>88</v>
      </c>
      <c r="E743" s="1">
        <f t="shared" si="93"/>
        <v>1150958.1703314031</v>
      </c>
      <c r="G743" s="1">
        <f t="shared" si="89"/>
        <v>8295.3276569275749</v>
      </c>
      <c r="H743" s="69">
        <f>-SUM(E743:G743)*$H$21</f>
        <v>-10433.281481894977</v>
      </c>
      <c r="I743" s="1">
        <f t="shared" si="90"/>
        <v>-1159.2534979883308</v>
      </c>
      <c r="J743" s="1">
        <f t="shared" si="91"/>
        <v>1147660.9630084476</v>
      </c>
      <c r="M743" s="7"/>
      <c r="N743" s="1"/>
    </row>
    <row r="744" spans="1:14">
      <c r="A744" s="1">
        <f t="shared" si="92"/>
        <v>721</v>
      </c>
      <c r="B744" s="2">
        <f t="shared" si="94"/>
        <v>60</v>
      </c>
      <c r="C744" s="2">
        <f t="shared" si="95"/>
        <v>1</v>
      </c>
      <c r="D744" s="2">
        <f t="shared" si="96"/>
        <v>89</v>
      </c>
      <c r="E744" s="1">
        <f t="shared" si="93"/>
        <v>1147660.9630084476</v>
      </c>
      <c r="G744" s="1">
        <f t="shared" si="89"/>
        <v>8271.5636177107008</v>
      </c>
      <c r="H744" s="1">
        <v>0</v>
      </c>
      <c r="I744" s="1">
        <f t="shared" si="90"/>
        <v>-1155.9325266261583</v>
      </c>
      <c r="J744" s="1">
        <f t="shared" si="91"/>
        <v>1154776.5940995321</v>
      </c>
      <c r="M744" s="7"/>
      <c r="N744" s="1"/>
    </row>
    <row r="745" spans="1:14">
      <c r="A745" s="1">
        <f t="shared" si="92"/>
        <v>722</v>
      </c>
      <c r="B745" s="2">
        <f t="shared" si="94"/>
        <v>60</v>
      </c>
      <c r="C745" s="2">
        <f t="shared" si="95"/>
        <v>2</v>
      </c>
      <c r="D745" s="2">
        <f t="shared" si="96"/>
        <v>89</v>
      </c>
      <c r="E745" s="1">
        <f t="shared" si="93"/>
        <v>1154776.5940995321</v>
      </c>
      <c r="G745" s="1">
        <f t="shared" si="89"/>
        <v>8322.8482715825012</v>
      </c>
      <c r="H745" s="1">
        <v>0</v>
      </c>
      <c r="I745" s="1">
        <f t="shared" si="90"/>
        <v>-1163.0994423711147</v>
      </c>
      <c r="J745" s="1">
        <f t="shared" si="91"/>
        <v>1161936.3429287435</v>
      </c>
      <c r="M745" s="7"/>
      <c r="N745" s="1"/>
    </row>
    <row r="746" spans="1:14">
      <c r="A746" s="1">
        <f t="shared" si="92"/>
        <v>723</v>
      </c>
      <c r="B746" s="2">
        <f t="shared" si="94"/>
        <v>60</v>
      </c>
      <c r="C746" s="2">
        <f t="shared" si="95"/>
        <v>3</v>
      </c>
      <c r="D746" s="2">
        <f t="shared" si="96"/>
        <v>89</v>
      </c>
      <c r="E746" s="1">
        <f t="shared" si="93"/>
        <v>1161936.3429287435</v>
      </c>
      <c r="G746" s="1">
        <f t="shared" si="89"/>
        <v>8374.4508962569598</v>
      </c>
      <c r="H746" s="69">
        <f>-SUM(E746:G746)*$H$21</f>
        <v>-10532.797144425005</v>
      </c>
      <c r="I746" s="1">
        <f t="shared" si="90"/>
        <v>-1170.3107938250005</v>
      </c>
      <c r="J746" s="1">
        <f t="shared" si="91"/>
        <v>1158607.6858867505</v>
      </c>
      <c r="M746" s="7"/>
      <c r="N746" s="1"/>
    </row>
    <row r="747" spans="1:14">
      <c r="A747" s="1">
        <f t="shared" si="92"/>
        <v>724</v>
      </c>
      <c r="B747" s="2">
        <f t="shared" si="94"/>
        <v>60</v>
      </c>
      <c r="C747" s="2">
        <f t="shared" si="95"/>
        <v>4</v>
      </c>
      <c r="D747" s="2">
        <f t="shared" si="96"/>
        <v>89</v>
      </c>
      <c r="E747" s="1">
        <f t="shared" si="93"/>
        <v>1158607.6858867505</v>
      </c>
      <c r="G747" s="1">
        <f t="shared" si="89"/>
        <v>8350.4601887467797</v>
      </c>
      <c r="H747" s="1">
        <v>0</v>
      </c>
      <c r="I747" s="1">
        <f t="shared" si="90"/>
        <v>-1166.9581460754971</v>
      </c>
      <c r="J747" s="1">
        <f t="shared" si="91"/>
        <v>1165791.1879294217</v>
      </c>
      <c r="M747" s="7"/>
      <c r="N747" s="1"/>
    </row>
    <row r="748" spans="1:14">
      <c r="A748" s="1">
        <f t="shared" si="92"/>
        <v>725</v>
      </c>
      <c r="B748" s="2">
        <f t="shared" si="94"/>
        <v>60</v>
      </c>
      <c r="C748" s="2">
        <f t="shared" si="95"/>
        <v>5</v>
      </c>
      <c r="D748" s="2">
        <f t="shared" si="96"/>
        <v>89</v>
      </c>
      <c r="E748" s="1">
        <f t="shared" si="93"/>
        <v>1165791.1879294217</v>
      </c>
      <c r="G748" s="1">
        <f t="shared" si="89"/>
        <v>8402.2340105104395</v>
      </c>
      <c r="H748" s="1">
        <v>0</v>
      </c>
      <c r="I748" s="1">
        <f t="shared" si="90"/>
        <v>-1174.193421939932</v>
      </c>
      <c r="J748" s="1">
        <f t="shared" si="91"/>
        <v>1173019.2285179922</v>
      </c>
      <c r="M748" s="7"/>
      <c r="N748" s="1"/>
    </row>
    <row r="749" spans="1:14">
      <c r="A749" s="1">
        <f t="shared" si="92"/>
        <v>726</v>
      </c>
      <c r="B749" s="2">
        <f t="shared" si="94"/>
        <v>60</v>
      </c>
      <c r="C749" s="2">
        <f t="shared" si="95"/>
        <v>6</v>
      </c>
      <c r="D749" s="2">
        <f t="shared" si="96"/>
        <v>89</v>
      </c>
      <c r="E749" s="1">
        <f t="shared" si="93"/>
        <v>1173019.2285179922</v>
      </c>
      <c r="G749" s="1">
        <f t="shared" si="89"/>
        <v>8454.3288359744274</v>
      </c>
      <c r="H749" s="69">
        <f>-SUM(E749:G749)*$H$21</f>
        <v>-10633.262016185701</v>
      </c>
      <c r="I749" s="1">
        <f t="shared" si="90"/>
        <v>-1181.4735573539667</v>
      </c>
      <c r="J749" s="1">
        <f t="shared" si="91"/>
        <v>1169658.8217804269</v>
      </c>
      <c r="M749" s="7"/>
      <c r="N749" s="1"/>
    </row>
    <row r="750" spans="1:14">
      <c r="A750" s="1">
        <f t="shared" si="92"/>
        <v>727</v>
      </c>
      <c r="B750" s="2">
        <f t="shared" si="94"/>
        <v>60</v>
      </c>
      <c r="C750" s="2">
        <f t="shared" si="95"/>
        <v>7</v>
      </c>
      <c r="D750" s="2">
        <f t="shared" si="96"/>
        <v>89</v>
      </c>
      <c r="E750" s="1">
        <f t="shared" si="93"/>
        <v>1169658.8217804269</v>
      </c>
      <c r="G750" s="1">
        <f t="shared" si="89"/>
        <v>8430.1092981430702</v>
      </c>
      <c r="H750" s="1">
        <v>0</v>
      </c>
      <c r="I750" s="1">
        <f t="shared" si="90"/>
        <v>-1178.0889310785699</v>
      </c>
      <c r="J750" s="1">
        <f t="shared" si="91"/>
        <v>1176910.8421474914</v>
      </c>
      <c r="M750" s="7"/>
      <c r="N750" s="1"/>
    </row>
    <row r="751" spans="1:14">
      <c r="A751" s="1">
        <f t="shared" si="92"/>
        <v>728</v>
      </c>
      <c r="B751" s="2">
        <f t="shared" si="94"/>
        <v>60</v>
      </c>
      <c r="C751" s="2">
        <f t="shared" si="95"/>
        <v>8</v>
      </c>
      <c r="D751" s="2">
        <f t="shared" si="96"/>
        <v>89</v>
      </c>
      <c r="E751" s="1">
        <f t="shared" si="93"/>
        <v>1176910.8421474914</v>
      </c>
      <c r="G751" s="1">
        <f t="shared" si="89"/>
        <v>8482.3769536237123</v>
      </c>
      <c r="H751" s="1">
        <v>0</v>
      </c>
      <c r="I751" s="1">
        <f t="shared" si="90"/>
        <v>-1185.3932191011152</v>
      </c>
      <c r="J751" s="1">
        <f t="shared" si="91"/>
        <v>1184207.8258820141</v>
      </c>
      <c r="M751" s="7"/>
      <c r="N751" s="1"/>
    </row>
    <row r="752" spans="1:14">
      <c r="A752" s="1">
        <f t="shared" si="92"/>
        <v>729</v>
      </c>
      <c r="B752" s="2">
        <f t="shared" si="94"/>
        <v>60</v>
      </c>
      <c r="C752" s="2">
        <f t="shared" si="95"/>
        <v>9</v>
      </c>
      <c r="D752" s="2">
        <f t="shared" si="96"/>
        <v>89</v>
      </c>
      <c r="E752" s="1">
        <f t="shared" si="93"/>
        <v>1184207.8258820141</v>
      </c>
      <c r="G752" s="1">
        <f t="shared" si="89"/>
        <v>8534.968674631009</v>
      </c>
      <c r="H752" s="69">
        <f>-SUM(E752:G752)*$H$21</f>
        <v>-10734.685151009808</v>
      </c>
      <c r="I752" s="1">
        <f t="shared" si="90"/>
        <v>-1192.7427945566453</v>
      </c>
      <c r="J752" s="1">
        <f t="shared" si="91"/>
        <v>1180815.3666110788</v>
      </c>
      <c r="M752" s="7"/>
      <c r="N752" s="1"/>
    </row>
    <row r="753" spans="1:14">
      <c r="A753" s="1">
        <f t="shared" si="92"/>
        <v>730</v>
      </c>
      <c r="B753" s="2">
        <f t="shared" si="94"/>
        <v>60</v>
      </c>
      <c r="C753" s="2">
        <f t="shared" si="95"/>
        <v>10</v>
      </c>
      <c r="D753" s="2">
        <f t="shared" si="96"/>
        <v>89</v>
      </c>
      <c r="E753" s="1">
        <f t="shared" si="93"/>
        <v>1180815.3666110788</v>
      </c>
      <c r="G753" s="1">
        <f t="shared" si="89"/>
        <v>8510.5181238285531</v>
      </c>
      <c r="H753" s="1">
        <v>0</v>
      </c>
      <c r="I753" s="1">
        <f t="shared" si="90"/>
        <v>-1189.3258847349075</v>
      </c>
      <c r="J753" s="1">
        <f t="shared" si="91"/>
        <v>1188136.5588501724</v>
      </c>
      <c r="M753" s="7"/>
      <c r="N753" s="1"/>
    </row>
    <row r="754" spans="1:14">
      <c r="A754" s="1">
        <f t="shared" si="92"/>
        <v>731</v>
      </c>
      <c r="B754" s="2">
        <f t="shared" si="94"/>
        <v>60</v>
      </c>
      <c r="C754" s="2">
        <f t="shared" si="95"/>
        <v>11</v>
      </c>
      <c r="D754" s="2">
        <f t="shared" si="96"/>
        <v>89</v>
      </c>
      <c r="E754" s="1">
        <f t="shared" si="93"/>
        <v>1188136.5588501724</v>
      </c>
      <c r="G754" s="1">
        <f t="shared" si="89"/>
        <v>8563.2843233552903</v>
      </c>
      <c r="H754" s="1">
        <v>0</v>
      </c>
      <c r="I754" s="1">
        <f t="shared" si="90"/>
        <v>-1196.6998431735276</v>
      </c>
      <c r="J754" s="1">
        <f t="shared" si="91"/>
        <v>1195503.143330354</v>
      </c>
      <c r="M754" s="7"/>
      <c r="N754" s="1"/>
    </row>
    <row r="755" spans="1:14">
      <c r="A755" s="1">
        <f t="shared" si="92"/>
        <v>732</v>
      </c>
      <c r="B755" s="2">
        <f t="shared" si="94"/>
        <v>60</v>
      </c>
      <c r="C755" s="2">
        <f t="shared" si="95"/>
        <v>12</v>
      </c>
      <c r="D755" s="2">
        <f t="shared" si="96"/>
        <v>89</v>
      </c>
      <c r="E755" s="1">
        <f t="shared" si="93"/>
        <v>1195503.143330354</v>
      </c>
      <c r="G755" s="1">
        <f t="shared" si="89"/>
        <v>8616.3776794395944</v>
      </c>
      <c r="H755" s="69">
        <f>-SUM(E755:G755)*$H$21</f>
        <v>-10837.075689088142</v>
      </c>
      <c r="I755" s="1">
        <f t="shared" si="90"/>
        <v>-1204.1195210097935</v>
      </c>
      <c r="J755" s="1">
        <f t="shared" si="91"/>
        <v>1192078.3257996957</v>
      </c>
      <c r="M755" s="7"/>
      <c r="N755" s="1"/>
    </row>
  </sheetData>
  <sheetProtection password="FDA0" sheet="1" objects="1" scenarios="1" selectLockedCells="1"/>
  <mergeCells count="2">
    <mergeCell ref="N23:R23"/>
    <mergeCell ref="L26:L46"/>
  </mergeCells>
  <phoneticPr fontId="0" type="noConversion"/>
  <pageMargins left="0.75" right="0.75" top="1" bottom="1" header="0" footer="0"/>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BJ568"/>
  <sheetViews>
    <sheetView topLeftCell="AR1" workbookViewId="0">
      <pane ySplit="3" topLeftCell="A59" activePane="bottomLeft" state="frozen"/>
      <selection pane="bottomLeft" activeCell="AC61" sqref="AC61"/>
    </sheetView>
  </sheetViews>
  <sheetFormatPr baseColWidth="10" defaultRowHeight="12"/>
  <cols>
    <col min="1" max="1" width="11.42578125" style="17"/>
    <col min="2" max="2" width="12" style="20" bestFit="1" customWidth="1"/>
    <col min="3" max="3" width="11.28515625" style="11" customWidth="1"/>
    <col min="4" max="6" width="15.28515625" style="11" customWidth="1"/>
    <col min="7" max="7" width="11.42578125" style="11"/>
    <col min="8" max="8" width="11.28515625" style="11" customWidth="1"/>
    <col min="9" max="11" width="15.28515625" style="11" customWidth="1"/>
    <col min="12" max="12" width="11.42578125" style="11"/>
    <col min="13" max="14" width="11.28515625" style="11" customWidth="1"/>
    <col min="15" max="17" width="15.28515625" style="11" customWidth="1"/>
    <col min="18" max="18" width="12" style="11" bestFit="1" customWidth="1"/>
    <col min="19" max="24" width="11.42578125" style="11"/>
    <col min="25" max="25" width="11.5703125" style="11" bestFit="1" customWidth="1"/>
    <col min="26" max="27" width="11.42578125" style="11"/>
    <col min="28" max="28" width="20" style="11" customWidth="1"/>
    <col min="29" max="29" width="13.42578125" style="11" customWidth="1"/>
    <col min="30" max="30" width="12.85546875" style="11" bestFit="1" customWidth="1"/>
    <col min="31" max="31" width="12" style="11" bestFit="1" customWidth="1"/>
    <col min="32" max="32" width="17.140625" style="11" customWidth="1"/>
    <col min="33" max="33" width="13.42578125" style="11" bestFit="1" customWidth="1"/>
    <col min="34" max="34" width="13.140625" style="11" customWidth="1"/>
    <col min="35" max="35" width="15.28515625" style="12" customWidth="1"/>
    <col min="36" max="36" width="11.42578125" style="12"/>
    <col min="37" max="16384" width="11.42578125" style="11"/>
  </cols>
  <sheetData>
    <row r="1" spans="1:50">
      <c r="X1" s="60" t="s">
        <v>112</v>
      </c>
      <c r="Y1" s="61">
        <f>AE1</f>
        <v>137694</v>
      </c>
      <c r="Z1" s="57">
        <f>+'OptiMaxx plus'!AK12</f>
        <v>93</v>
      </c>
      <c r="AA1" s="58"/>
      <c r="AB1" s="539" t="str">
        <f>+"Beneficio Deducibilidad Acumulado Re-invertido a tasa "&amp;ROUND($AC$5,3)*100&amp;"%"</f>
        <v>Beneficio Deducibilidad Acumulado Re-invertido a tasa 10%</v>
      </c>
      <c r="AD1" s="87" t="s">
        <v>152</v>
      </c>
      <c r="AE1" s="88">
        <f>5*27538.8</f>
        <v>137694</v>
      </c>
    </row>
    <row r="2" spans="1:50" ht="12.75" customHeight="1">
      <c r="A2" s="538" t="s">
        <v>96</v>
      </c>
      <c r="B2" s="538"/>
      <c r="C2" s="538"/>
      <c r="D2" s="538"/>
      <c r="E2" s="538"/>
      <c r="F2" s="538"/>
      <c r="H2" s="538" t="s">
        <v>97</v>
      </c>
      <c r="I2" s="538"/>
      <c r="J2" s="538"/>
      <c r="K2" s="538"/>
      <c r="M2" s="538" t="s">
        <v>98</v>
      </c>
      <c r="N2" s="538"/>
      <c r="O2" s="538"/>
      <c r="P2" s="538"/>
      <c r="Q2" s="538"/>
      <c r="R2" s="538"/>
      <c r="T2" s="538" t="s">
        <v>99</v>
      </c>
      <c r="U2" s="538"/>
      <c r="V2" s="538"/>
      <c r="W2" s="538"/>
      <c r="X2" s="60" t="s">
        <v>113</v>
      </c>
      <c r="Y2" s="61">
        <v>152000</v>
      </c>
      <c r="Z2" s="58" t="s">
        <v>120</v>
      </c>
      <c r="AA2" s="58"/>
      <c r="AB2" s="540"/>
    </row>
    <row r="3" spans="1:50">
      <c r="A3" s="26" t="s">
        <v>0</v>
      </c>
      <c r="B3" s="26" t="s">
        <v>3</v>
      </c>
      <c r="C3" s="23" t="s">
        <v>2</v>
      </c>
      <c r="D3" s="23" t="s">
        <v>123</v>
      </c>
      <c r="E3" s="23" t="s">
        <v>110</v>
      </c>
      <c r="F3" s="23" t="s">
        <v>111</v>
      </c>
      <c r="H3" s="23" t="s">
        <v>2</v>
      </c>
      <c r="I3" s="23" t="s">
        <v>123</v>
      </c>
      <c r="J3" s="23" t="s">
        <v>110</v>
      </c>
      <c r="K3" s="23" t="s">
        <v>111</v>
      </c>
      <c r="M3" s="23" t="s">
        <v>0</v>
      </c>
      <c r="N3" s="23" t="s">
        <v>3</v>
      </c>
      <c r="O3" s="23" t="s">
        <v>81</v>
      </c>
      <c r="P3" s="23" t="s">
        <v>123</v>
      </c>
      <c r="Q3" s="23" t="s">
        <v>110</v>
      </c>
      <c r="R3" s="22" t="s">
        <v>111</v>
      </c>
      <c r="U3" s="11" t="s">
        <v>100</v>
      </c>
      <c r="V3" s="11" t="s">
        <v>101</v>
      </c>
      <c r="AB3" s="541"/>
      <c r="AI3" s="12">
        <v>1</v>
      </c>
      <c r="AJ3" s="12">
        <v>2</v>
      </c>
    </row>
    <row r="4" spans="1:50">
      <c r="A4" s="40"/>
      <c r="B4" s="41"/>
      <c r="C4" s="42"/>
      <c r="D4" s="42"/>
      <c r="E4" s="42"/>
      <c r="F4" s="42"/>
      <c r="W4" s="62" t="s">
        <v>5</v>
      </c>
      <c r="X4" s="63" t="s">
        <v>112</v>
      </c>
      <c r="Y4" s="63" t="s">
        <v>113</v>
      </c>
      <c r="Z4" s="62" t="s">
        <v>121</v>
      </c>
      <c r="AA4" s="62" t="s">
        <v>122</v>
      </c>
      <c r="AB4" s="59">
        <f>+Z1</f>
        <v>93</v>
      </c>
      <c r="AC4" s="11" t="s">
        <v>102</v>
      </c>
      <c r="AH4" s="39"/>
      <c r="AK4" s="12"/>
    </row>
    <row r="5" spans="1:50">
      <c r="A5" s="27">
        <f>+C5/12</f>
        <v>8.3333333333333329E-2</v>
      </c>
      <c r="B5" s="28">
        <f>+'OptiMaxx plus'!T7+A5</f>
        <v>29.083333333333332</v>
      </c>
      <c r="C5" s="24">
        <v>1</v>
      </c>
      <c r="D5" s="25">
        <f>+'No Deducible 93'!AD24</f>
        <v>19632.162822812956</v>
      </c>
      <c r="E5" s="25">
        <f>+'Deducible 151'!AD24</f>
        <v>19630.63006418827</v>
      </c>
      <c r="F5" s="25">
        <f>+'Deducible 185'!AD24</f>
        <v>19632.162822812956</v>
      </c>
      <c r="H5" s="24">
        <v>1</v>
      </c>
      <c r="I5" s="25">
        <f>+'No Deducible 93'!Y24</f>
        <v>0</v>
      </c>
      <c r="J5" s="25">
        <f>+'Deducible 151'!Y24</f>
        <v>0</v>
      </c>
      <c r="K5" s="25">
        <f>+'Deducible 185'!Y24</f>
        <v>0</v>
      </c>
      <c r="M5" s="29">
        <v>1</v>
      </c>
      <c r="N5" s="29">
        <f>+'OptiMaxx plus'!T7+1</f>
        <v>30</v>
      </c>
      <c r="O5" s="30">
        <f>VLOOKUP(M5,'OptiMaxx plus'!$C$31:$W$55,18,0)</f>
        <v>0</v>
      </c>
      <c r="P5" s="30">
        <f>+O5-AF77</f>
        <v>0</v>
      </c>
      <c r="Q5" s="30">
        <f>IF(N5&gt;=65,((122804.25*3)+(O5-(122804.25*3))*0.8),O5*0.8)</f>
        <v>0</v>
      </c>
      <c r="R5" s="30">
        <f>+O5*0.65</f>
        <v>0</v>
      </c>
      <c r="S5" s="12">
        <v>1</v>
      </c>
      <c r="T5" s="29">
        <v>1</v>
      </c>
      <c r="U5" s="25">
        <f>+'OptiMaxx plus'!G31</f>
        <v>120000</v>
      </c>
      <c r="V5" s="31"/>
      <c r="W5" s="25">
        <f>+'OptiMaxx plus'!G31</f>
        <v>120000</v>
      </c>
      <c r="X5" s="27">
        <f>+Y1</f>
        <v>137694</v>
      </c>
      <c r="Y5" s="32">
        <f>+Y2</f>
        <v>152000</v>
      </c>
      <c r="Z5" s="28">
        <f>IF(W5&gt;X5,X5,W5)</f>
        <v>120000</v>
      </c>
      <c r="AA5" s="28">
        <f>IF(W5&gt;Y5,Y5,W5)</f>
        <v>120000</v>
      </c>
      <c r="AB5" s="56">
        <f>IF($AB4=185,AA5*'OptiMaxx plus'!$T$15,Z5*'OptiMaxx plus'!$T$15)</f>
        <v>12000</v>
      </c>
      <c r="AC5" s="15">
        <f>+'Deducible 151'!L20</f>
        <v>0.1</v>
      </c>
      <c r="AH5" s="39"/>
    </row>
    <row r="6" spans="1:50">
      <c r="A6" s="27">
        <f>+C6/12</f>
        <v>0.16666666666666666</v>
      </c>
      <c r="B6" s="28">
        <f>'OptiMaxx plus'!$T$7+A6</f>
        <v>29.166666666666668</v>
      </c>
      <c r="C6" s="24">
        <f>+C5+1</f>
        <v>2</v>
      </c>
      <c r="D6" s="25">
        <f>+'No Deducible 93'!AD25</f>
        <v>39892.878557488599</v>
      </c>
      <c r="E6" s="25">
        <f>+'Deducible 151'!AD25</f>
        <v>39888.179173908589</v>
      </c>
      <c r="F6" s="25">
        <f>+'Deducible 185'!AD25</f>
        <v>39892.878557488599</v>
      </c>
      <c r="H6" s="24">
        <f>+H5+1</f>
        <v>2</v>
      </c>
      <c r="I6" s="25">
        <f>+'No Deducible 93'!Y25</f>
        <v>0</v>
      </c>
      <c r="J6" s="25">
        <f>+'Deducible 151'!Y25</f>
        <v>0</v>
      </c>
      <c r="K6" s="25">
        <f>+'Deducible 185'!Y25</f>
        <v>0</v>
      </c>
      <c r="M6" s="29">
        <f>+M5+1</f>
        <v>2</v>
      </c>
      <c r="N6" s="29">
        <f>+N5+1</f>
        <v>31</v>
      </c>
      <c r="O6" s="30">
        <f>VLOOKUP(M6,'OptiMaxx plus'!$C$31:$W$55,18,0)</f>
        <v>60996.15221112068</v>
      </c>
      <c r="P6" s="30">
        <f>O6-AG77</f>
        <v>60684.490742511196</v>
      </c>
      <c r="Q6" s="30">
        <f>IF(N6&gt;=65,O6,O6*0.8)</f>
        <v>48796.921768896544</v>
      </c>
      <c r="R6" s="30">
        <f t="shared" ref="R6:R29" si="0">+O6*0.65</f>
        <v>39647.49893722844</v>
      </c>
      <c r="S6" s="12">
        <f>+S5+1</f>
        <v>2</v>
      </c>
      <c r="T6" s="29">
        <f>+T5+1</f>
        <v>2</v>
      </c>
      <c r="U6" s="25">
        <f>+'OptiMaxx plus'!G32</f>
        <v>120000</v>
      </c>
      <c r="V6" s="31">
        <f>+U6*'OptiMaxx plus'!$T$15:$X$15+(V5*(1+'Deducible 151'!$L$20))</f>
        <v>0</v>
      </c>
      <c r="W6" s="25">
        <f>+'OptiMaxx plus'!G32</f>
        <v>120000</v>
      </c>
      <c r="X6" s="27">
        <f>+X5*(1+'No Deducible 93'!$G$18)</f>
        <v>143201.76</v>
      </c>
      <c r="Y6" s="32">
        <f>+Y5*(1+'No Deducible 93'!$G$18)</f>
        <v>158080</v>
      </c>
      <c r="Z6" s="28">
        <f t="shared" ref="Z6:Z29" si="1">IF(W6&gt;X6,X6,W6)</f>
        <v>120000</v>
      </c>
      <c r="AA6" s="28">
        <f t="shared" ref="AA6:AA29" si="2">IF(W6&gt;Y6,Y6,W6)</f>
        <v>120000</v>
      </c>
      <c r="AB6" s="56">
        <f>IF($AB$4=185,AA6*'OptiMaxx plus'!$T$15,Z6*'OptiMaxx plus'!$T$15)+(AB5*(1+$AC$5))</f>
        <v>25200</v>
      </c>
      <c r="AC6" s="16" t="str">
        <f>CONCATENATE(AC4," ",AC5)</f>
        <v>Beneficio Fiscal Re-invertido a una tasa del 0.1</v>
      </c>
      <c r="AH6" s="39"/>
    </row>
    <row r="7" spans="1:50">
      <c r="A7" s="27">
        <f t="shared" ref="A7:A69" si="3">+C7/12</f>
        <v>0.25</v>
      </c>
      <c r="B7" s="28">
        <f>'OptiMaxx plus'!$T$7+A7</f>
        <v>29.25</v>
      </c>
      <c r="C7" s="24">
        <f t="shared" ref="C7:C70" si="4">+C6+1</f>
        <v>3</v>
      </c>
      <c r="D7" s="25">
        <f>+'No Deducible 93'!AD26</f>
        <v>59744.121579927072</v>
      </c>
      <c r="E7" s="25">
        <f>+'Deducible 151'!AD26</f>
        <v>59691.623349825153</v>
      </c>
      <c r="F7" s="25">
        <f>+'Deducible 185'!AD26</f>
        <v>59744.121579927072</v>
      </c>
      <c r="H7" s="24">
        <f t="shared" ref="H7:H70" si="5">+H6+1</f>
        <v>3</v>
      </c>
      <c r="I7" s="25">
        <f>+'No Deducible 93'!Y26</f>
        <v>0</v>
      </c>
      <c r="J7" s="25">
        <f>+'Deducible 151'!Y26</f>
        <v>0</v>
      </c>
      <c r="K7" s="25">
        <f>+'Deducible 185'!Y26</f>
        <v>0</v>
      </c>
      <c r="M7" s="29">
        <f t="shared" ref="M7:M57" si="6">+M6+1</f>
        <v>3</v>
      </c>
      <c r="N7" s="29">
        <f t="shared" ref="N7:N57" si="7">+N6+1</f>
        <v>32</v>
      </c>
      <c r="O7" s="30">
        <f>VLOOKUP(M7,'OptiMaxx plus'!$C$31:$W$55,18,0)</f>
        <v>190842.07582332552</v>
      </c>
      <c r="P7" s="30">
        <f>O7-AH77</f>
        <v>189311.02369792984</v>
      </c>
      <c r="Q7" s="30">
        <f t="shared" ref="Q7:Q29" si="8">IF(N7&gt;=65,O7,O7*0.8)</f>
        <v>152673.66065866043</v>
      </c>
      <c r="R7" s="30">
        <f t="shared" si="0"/>
        <v>124047.34928516159</v>
      </c>
      <c r="S7" s="12">
        <f t="shared" ref="S7:T70" si="9">+S6+1</f>
        <v>3</v>
      </c>
      <c r="T7" s="29">
        <f t="shared" si="9"/>
        <v>3</v>
      </c>
      <c r="U7" s="25">
        <f>+'OptiMaxx plus'!G33</f>
        <v>120000</v>
      </c>
      <c r="V7" s="31">
        <f>+U7*'OptiMaxx plus'!$T$15:$X$15+(V6*(1+'Deducible 151'!$L$20))</f>
        <v>0</v>
      </c>
      <c r="W7" s="25">
        <f>+'OptiMaxx plus'!G33</f>
        <v>120000</v>
      </c>
      <c r="X7" s="27">
        <f>+X6*(1+'No Deducible 93'!$G$18)</f>
        <v>148929.83040000001</v>
      </c>
      <c r="Y7" s="32">
        <f>+Y6*(1+'No Deducible 93'!$G$18)</f>
        <v>164403.20000000001</v>
      </c>
      <c r="Z7" s="28">
        <f t="shared" si="1"/>
        <v>120000</v>
      </c>
      <c r="AA7" s="28">
        <f t="shared" si="2"/>
        <v>120000</v>
      </c>
      <c r="AB7" s="56">
        <f>IF($AB$4=185,AA7*'OptiMaxx plus'!$T$15,Z7*'OptiMaxx plus'!$T$15)+(AB6*(1+$AC$5))</f>
        <v>39720</v>
      </c>
    </row>
    <row r="8" spans="1:50">
      <c r="A8" s="27">
        <f t="shared" si="3"/>
        <v>0.33333333333333331</v>
      </c>
      <c r="B8" s="28">
        <f>'OptiMaxx plus'!$T$7+A8</f>
        <v>29.333333333333332</v>
      </c>
      <c r="C8" s="24">
        <f t="shared" si="4"/>
        <v>4</v>
      </c>
      <c r="D8" s="25">
        <f>+'No Deducible 93'!AD27</f>
        <v>80268.913842365379</v>
      </c>
      <c r="E8" s="25">
        <f>+'Deducible 151'!AD27</f>
        <v>80209.664713378181</v>
      </c>
      <c r="F8" s="25">
        <f>+'Deducible 185'!AD27</f>
        <v>80268.913842365379</v>
      </c>
      <c r="H8" s="24">
        <f t="shared" si="5"/>
        <v>4</v>
      </c>
      <c r="I8" s="25">
        <f>+'No Deducible 93'!Y27</f>
        <v>0</v>
      </c>
      <c r="J8" s="25">
        <f>+'Deducible 151'!Y27</f>
        <v>0</v>
      </c>
      <c r="K8" s="25">
        <f>+'Deducible 185'!Y27</f>
        <v>0</v>
      </c>
      <c r="M8" s="29">
        <f t="shared" si="6"/>
        <v>4</v>
      </c>
      <c r="N8" s="29">
        <f t="shared" si="7"/>
        <v>33</v>
      </c>
      <c r="O8" s="30">
        <f>VLOOKUP(M8,'OptiMaxx plus'!$C$31:$W$55,18,0)</f>
        <v>331926.90899013937</v>
      </c>
      <c r="P8" s="30">
        <f>O8-AI77</f>
        <v>328075.95633509697</v>
      </c>
      <c r="Q8" s="30">
        <f t="shared" si="8"/>
        <v>265541.52719211153</v>
      </c>
      <c r="R8" s="30">
        <f t="shared" si="0"/>
        <v>215752.49084359061</v>
      </c>
      <c r="S8" s="12">
        <f t="shared" si="9"/>
        <v>4</v>
      </c>
      <c r="T8" s="29">
        <f t="shared" si="9"/>
        <v>4</v>
      </c>
      <c r="U8" s="25">
        <f>+'OptiMaxx plus'!G34</f>
        <v>120000</v>
      </c>
      <c r="V8" s="31">
        <f>+U8*'OptiMaxx plus'!$T$15:$X$15+(V7*(1+'Deducible 151'!$L$20))</f>
        <v>0</v>
      </c>
      <c r="W8" s="25">
        <f>+'OptiMaxx plus'!G34</f>
        <v>120000</v>
      </c>
      <c r="X8" s="27">
        <f>+X7*(1+'No Deducible 93'!$G$18)</f>
        <v>154887.02361600002</v>
      </c>
      <c r="Y8" s="32">
        <f>+Y7*(1+'No Deducible 93'!$G$18)</f>
        <v>170979.32800000001</v>
      </c>
      <c r="Z8" s="28">
        <f t="shared" si="1"/>
        <v>120000</v>
      </c>
      <c r="AA8" s="28">
        <f t="shared" si="2"/>
        <v>120000</v>
      </c>
      <c r="AB8" s="56">
        <f>IF($AB$4=185,AA8*'OptiMaxx plus'!$T$15,Z8*'OptiMaxx plus'!$T$15)+(AB7*(1+$AC$5))</f>
        <v>55692</v>
      </c>
      <c r="AC8" s="11" t="str">
        <f>+"Beneficio Deducibilidad Acumulado Re-invertido a tasa "&amp;ROUND($AC$5,3)*100&amp;"%"</f>
        <v>Beneficio Deducibilidad Acumulado Re-invertido a tasa 10%</v>
      </c>
    </row>
    <row r="9" spans="1:50">
      <c r="A9" s="27">
        <f t="shared" si="3"/>
        <v>0.41666666666666669</v>
      </c>
      <c r="B9" s="28">
        <f>'OptiMaxx plus'!$T$7+A9</f>
        <v>29.416666666666668</v>
      </c>
      <c r="C9" s="24">
        <f t="shared" si="4"/>
        <v>5</v>
      </c>
      <c r="D9" s="25">
        <f>+'No Deducible 93'!AD28</f>
        <v>100928.83425921667</v>
      </c>
      <c r="E9" s="25">
        <f>+'Deducible 151'!AD28</f>
        <v>100861.13099433407</v>
      </c>
      <c r="F9" s="25">
        <f>+'Deducible 185'!AD28</f>
        <v>100928.83425921667</v>
      </c>
      <c r="H9" s="24">
        <f t="shared" si="5"/>
        <v>5</v>
      </c>
      <c r="I9" s="25">
        <f>+'No Deducible 93'!Y28</f>
        <v>0</v>
      </c>
      <c r="J9" s="25">
        <f>+'Deducible 151'!Y28</f>
        <v>0</v>
      </c>
      <c r="K9" s="25">
        <f>+'Deducible 185'!Y28</f>
        <v>0</v>
      </c>
      <c r="M9" s="29">
        <f t="shared" si="6"/>
        <v>5</v>
      </c>
      <c r="N9" s="29">
        <f t="shared" si="7"/>
        <v>34</v>
      </c>
      <c r="O9" s="30">
        <f>VLOOKUP(M9,'OptiMaxx plus'!$C$31:$W$55,18,0)</f>
        <v>485225.35780895554</v>
      </c>
      <c r="P9" s="30">
        <f>O9-AJ77</f>
        <v>477732.06997749023</v>
      </c>
      <c r="Q9" s="30">
        <f>IF(N9&gt;=65,O9,O9*0.8)</f>
        <v>388180.28624716448</v>
      </c>
      <c r="R9" s="30">
        <f t="shared" si="0"/>
        <v>315396.48257582111</v>
      </c>
      <c r="S9" s="12">
        <f t="shared" si="9"/>
        <v>5</v>
      </c>
      <c r="T9" s="29">
        <f t="shared" si="9"/>
        <v>5</v>
      </c>
      <c r="U9" s="25">
        <f>+'OptiMaxx plus'!G35</f>
        <v>120000</v>
      </c>
      <c r="V9" s="31">
        <f>+U9*'OptiMaxx plus'!$T$15:$X$15+(V8*(1+'Deducible 151'!$L$20))</f>
        <v>0</v>
      </c>
      <c r="W9" s="25">
        <f>+'OptiMaxx plus'!G35</f>
        <v>120000</v>
      </c>
      <c r="X9" s="27">
        <f>+X8*(1+'No Deducible 93'!$G$18)</f>
        <v>161082.50456064002</v>
      </c>
      <c r="Y9" s="32">
        <f>+Y8*(1+'No Deducible 93'!$G$18)</f>
        <v>177818.50112</v>
      </c>
      <c r="Z9" s="28">
        <f t="shared" si="1"/>
        <v>120000</v>
      </c>
      <c r="AA9" s="28">
        <f t="shared" si="2"/>
        <v>120000</v>
      </c>
      <c r="AB9" s="56">
        <f>IF($AB$4=185,AA9*'OptiMaxx plus'!$T$15,Z9*'OptiMaxx plus'!$T$15)+(AB8*(1+$AC$5))</f>
        <v>73261.200000000012</v>
      </c>
    </row>
    <row r="10" spans="1:50">
      <c r="A10" s="27">
        <f t="shared" si="3"/>
        <v>0.5</v>
      </c>
      <c r="B10" s="28">
        <f>'OptiMaxx plus'!$T$7+A10</f>
        <v>29.5</v>
      </c>
      <c r="C10" s="24">
        <f t="shared" si="4"/>
        <v>6</v>
      </c>
      <c r="D10" s="25">
        <f>+'No Deducible 93'!AD29</f>
        <v>120628.70261836113</v>
      </c>
      <c r="E10" s="25">
        <f>+'Deducible 151'!AD29</f>
        <v>120464.24127532227</v>
      </c>
      <c r="F10" s="25">
        <f>+'Deducible 185'!AD29</f>
        <v>120628.70261836113</v>
      </c>
      <c r="H10" s="24">
        <f t="shared" si="5"/>
        <v>6</v>
      </c>
      <c r="I10" s="25">
        <f>+'No Deducible 93'!Y29</f>
        <v>0</v>
      </c>
      <c r="J10" s="25">
        <f>+'Deducible 151'!Y29</f>
        <v>0</v>
      </c>
      <c r="K10" s="25">
        <f>+'Deducible 185'!Y29</f>
        <v>0</v>
      </c>
      <c r="M10" s="29">
        <f t="shared" si="6"/>
        <v>6</v>
      </c>
      <c r="N10" s="29">
        <f t="shared" si="7"/>
        <v>35</v>
      </c>
      <c r="O10" s="30">
        <f>VLOOKUP(M10,'OptiMaxx plus'!$C$31:$W$55,18,0)</f>
        <v>651796.73761541082</v>
      </c>
      <c r="P10" s="30">
        <f>O10-AK77</f>
        <v>639147.33652445755</v>
      </c>
      <c r="Q10" s="30">
        <f t="shared" si="8"/>
        <v>521437.39009232866</v>
      </c>
      <c r="R10" s="30">
        <f t="shared" si="0"/>
        <v>423667.87945001706</v>
      </c>
      <c r="S10" s="12">
        <f t="shared" si="9"/>
        <v>6</v>
      </c>
      <c r="T10" s="29">
        <f t="shared" si="9"/>
        <v>6</v>
      </c>
      <c r="U10" s="25">
        <f>+'OptiMaxx plus'!G36</f>
        <v>120000</v>
      </c>
      <c r="V10" s="31">
        <f>+U10*'OptiMaxx plus'!$T$15:$X$15+(V9*(1+'Deducible 151'!$L$20))</f>
        <v>0</v>
      </c>
      <c r="W10" s="25">
        <f>+'OptiMaxx plus'!G36</f>
        <v>120000</v>
      </c>
      <c r="X10" s="27">
        <f>+X9*(1+'No Deducible 93'!$G$18)</f>
        <v>167525.80474306564</v>
      </c>
      <c r="Y10" s="32">
        <f>+Y9*(1+'No Deducible 93'!$G$18)</f>
        <v>184931.24116480001</v>
      </c>
      <c r="Z10" s="28">
        <f t="shared" si="1"/>
        <v>120000</v>
      </c>
      <c r="AA10" s="28">
        <f t="shared" si="2"/>
        <v>120000</v>
      </c>
      <c r="AB10" s="56">
        <f>IF($AB$4=185,AA10*'OptiMaxx plus'!$T$15,Z10*'OptiMaxx plus'!$T$15)+(AB9*(1+$AC$5))</f>
        <v>92587.320000000022</v>
      </c>
    </row>
    <row r="11" spans="1:50">
      <c r="A11" s="27">
        <f t="shared" si="3"/>
        <v>0.58333333333333337</v>
      </c>
      <c r="B11" s="28">
        <f>'OptiMaxx plus'!$T$7+A11</f>
        <v>29.583333333333332</v>
      </c>
      <c r="C11" s="24">
        <f t="shared" si="4"/>
        <v>7</v>
      </c>
      <c r="D11" s="25">
        <f>+'No Deducible 93'!AD30</f>
        <v>141554.34901633207</v>
      </c>
      <c r="E11" s="25">
        <f>+'Deducible 151'!AD30</f>
        <v>141377.4563561235</v>
      </c>
      <c r="F11" s="25">
        <f>+'Deducible 185'!AD30</f>
        <v>141554.34901633207</v>
      </c>
      <c r="H11" s="24">
        <f t="shared" si="5"/>
        <v>7</v>
      </c>
      <c r="I11" s="25">
        <f>+'No Deducible 93'!Y30</f>
        <v>0</v>
      </c>
      <c r="J11" s="25">
        <f>+'Deducible 151'!Y30</f>
        <v>0</v>
      </c>
      <c r="K11" s="25">
        <f>+'Deducible 185'!Y30</f>
        <v>0</v>
      </c>
      <c r="M11" s="29">
        <f t="shared" si="6"/>
        <v>7</v>
      </c>
      <c r="N11" s="29">
        <f t="shared" si="7"/>
        <v>36</v>
      </c>
      <c r="O11" s="30">
        <f>VLOOKUP(M11,'OptiMaxx plus'!$C$31:$W$55,18,0)</f>
        <v>832792.32055629604</v>
      </c>
      <c r="P11" s="30">
        <f>O11-AL77</f>
        <v>813278.31300796289</v>
      </c>
      <c r="Q11" s="30">
        <f t="shared" si="8"/>
        <v>666233.85644503683</v>
      </c>
      <c r="R11" s="30">
        <f t="shared" si="0"/>
        <v>541315.00836159242</v>
      </c>
      <c r="S11" s="12">
        <f t="shared" si="9"/>
        <v>7</v>
      </c>
      <c r="T11" s="29">
        <f t="shared" si="9"/>
        <v>7</v>
      </c>
      <c r="U11" s="25">
        <f>+'OptiMaxx plus'!G37</f>
        <v>120000</v>
      </c>
      <c r="V11" s="31">
        <f>+U11*'OptiMaxx plus'!$T$15:$X$15+(V10*(1+'Deducible 151'!$L$20))</f>
        <v>0</v>
      </c>
      <c r="W11" s="25">
        <f>+'OptiMaxx plus'!G37</f>
        <v>120000</v>
      </c>
      <c r="X11" s="27">
        <f>+X10*(1+'No Deducible 93'!$G$18)</f>
        <v>174226.83693278828</v>
      </c>
      <c r="Y11" s="32">
        <f>+Y10*(1+'No Deducible 93'!$G$18)</f>
        <v>192328.49081139202</v>
      </c>
      <c r="Z11" s="28">
        <f t="shared" si="1"/>
        <v>120000</v>
      </c>
      <c r="AA11" s="28">
        <f t="shared" si="2"/>
        <v>120000</v>
      </c>
      <c r="AB11" s="56">
        <f>IF($AB$4=185,AA11*'OptiMaxx plus'!$T$15,Z11*'OptiMaxx plus'!$T$15)+(AB10*(1+$AC$5))</f>
        <v>113846.05200000003</v>
      </c>
      <c r="AC11" s="110"/>
      <c r="AE11" s="37"/>
      <c r="AF11" s="46"/>
      <c r="AG11" s="47"/>
      <c r="AH11" s="47"/>
    </row>
    <row r="12" spans="1:50">
      <c r="A12" s="27">
        <f t="shared" si="3"/>
        <v>0.66666666666666663</v>
      </c>
      <c r="B12" s="28">
        <f>'OptiMaxx plus'!$T$7+A12</f>
        <v>29.666666666666668</v>
      </c>
      <c r="C12" s="24">
        <f t="shared" si="4"/>
        <v>8</v>
      </c>
      <c r="D12" s="25">
        <f>+'No Deducible 93'!AD31</f>
        <v>162617.77165910305</v>
      </c>
      <c r="E12" s="25">
        <f>+'Deducible 151'!AD31</f>
        <v>162426.67152685154</v>
      </c>
      <c r="F12" s="25">
        <f>+'Deducible 185'!AD31</f>
        <v>162617.77165910305</v>
      </c>
      <c r="H12" s="24">
        <f t="shared" si="5"/>
        <v>8</v>
      </c>
      <c r="I12" s="25">
        <f>+'No Deducible 93'!Y31</f>
        <v>0</v>
      </c>
      <c r="J12" s="25">
        <f>+'Deducible 151'!Y31</f>
        <v>0</v>
      </c>
      <c r="K12" s="25">
        <f>+'Deducible 185'!Y31</f>
        <v>0</v>
      </c>
      <c r="M12" s="29">
        <f t="shared" si="6"/>
        <v>8</v>
      </c>
      <c r="N12" s="29">
        <f t="shared" si="7"/>
        <v>37</v>
      </c>
      <c r="O12" s="30">
        <f>VLOOKUP(M12,'OptiMaxx plus'!$C$31:$W$55,18,0)</f>
        <v>1029463.3213582018</v>
      </c>
      <c r="P12" s="30">
        <f>O12-AM77</f>
        <v>1001168.3365632633</v>
      </c>
      <c r="Q12" s="30">
        <f t="shared" si="8"/>
        <v>823570.65708656143</v>
      </c>
      <c r="R12" s="30">
        <f t="shared" si="0"/>
        <v>669151.15888283122</v>
      </c>
      <c r="S12" s="12">
        <f t="shared" si="9"/>
        <v>8</v>
      </c>
      <c r="T12" s="29">
        <f t="shared" si="9"/>
        <v>8</v>
      </c>
      <c r="U12" s="25">
        <f>+'OptiMaxx plus'!G38</f>
        <v>120000</v>
      </c>
      <c r="V12" s="31">
        <f>+U12*'OptiMaxx plus'!$T$15:$X$15+(V11*(1+'Deducible 151'!$L$20))</f>
        <v>0</v>
      </c>
      <c r="W12" s="25">
        <f>+'OptiMaxx plus'!G38</f>
        <v>120000</v>
      </c>
      <c r="X12" s="27">
        <f>+X11*(1+'No Deducible 93'!$G$18)</f>
        <v>181195.91041009981</v>
      </c>
      <c r="Y12" s="32">
        <f>+Y11*(1+'No Deducible 93'!$G$18)</f>
        <v>200021.63044384771</v>
      </c>
      <c r="Z12" s="28">
        <f t="shared" si="1"/>
        <v>120000</v>
      </c>
      <c r="AA12" s="28">
        <f t="shared" si="2"/>
        <v>120000</v>
      </c>
      <c r="AB12" s="56">
        <f>IF($AB$4=185,AA12*'OptiMaxx plus'!$T$15,Z12*'OptiMaxx plus'!$T$15)+(AB11*(1+$AC$5))</f>
        <v>137230.65720000002</v>
      </c>
      <c r="AE12" s="48"/>
      <c r="AF12" s="46"/>
    </row>
    <row r="13" spans="1:50">
      <c r="A13" s="27">
        <f t="shared" si="3"/>
        <v>0.75</v>
      </c>
      <c r="B13" s="28">
        <f>'OptiMaxx plus'!$T$7+A13</f>
        <v>29.75</v>
      </c>
      <c r="C13" s="24">
        <f t="shared" si="4"/>
        <v>9</v>
      </c>
      <c r="D13" s="25">
        <f>+'No Deducible 93'!AD32</f>
        <v>182164.67305885348</v>
      </c>
      <c r="E13" s="25">
        <f>+'Deducible 151'!AD32</f>
        <v>181827.49626161612</v>
      </c>
      <c r="F13" s="25">
        <f>+'Deducible 185'!AD32</f>
        <v>182164.67305885348</v>
      </c>
      <c r="H13" s="24">
        <f t="shared" si="5"/>
        <v>9</v>
      </c>
      <c r="I13" s="25">
        <f>+'No Deducible 93'!Y32</f>
        <v>0</v>
      </c>
      <c r="J13" s="25">
        <f>+'Deducible 151'!Y32</f>
        <v>0</v>
      </c>
      <c r="K13" s="25">
        <f>+'Deducible 185'!Y32</f>
        <v>0</v>
      </c>
      <c r="M13" s="29">
        <f t="shared" si="6"/>
        <v>9</v>
      </c>
      <c r="N13" s="29">
        <f t="shared" si="7"/>
        <v>38</v>
      </c>
      <c r="O13" s="30">
        <f>VLOOKUP(M13,'OptiMaxx plus'!$C$31:$W$55,18,0)</f>
        <v>1243169.5767292711</v>
      </c>
      <c r="P13" s="30">
        <f>O13-AN77</f>
        <v>1203951.759150113</v>
      </c>
      <c r="Q13" s="30">
        <f t="shared" si="8"/>
        <v>994535.66138341697</v>
      </c>
      <c r="R13" s="30">
        <f t="shared" si="0"/>
        <v>808060.22487402626</v>
      </c>
      <c r="S13" s="12">
        <f t="shared" si="9"/>
        <v>9</v>
      </c>
      <c r="T13" s="29">
        <f t="shared" si="9"/>
        <v>9</v>
      </c>
      <c r="U13" s="25">
        <f>+'OptiMaxx plus'!G39</f>
        <v>120000</v>
      </c>
      <c r="V13" s="31">
        <f>+U13*'OptiMaxx plus'!$T$15:$X$15+(V12*(1+'Deducible 151'!$L$20))</f>
        <v>0</v>
      </c>
      <c r="W13" s="25">
        <f>+'OptiMaxx plus'!G39</f>
        <v>120000</v>
      </c>
      <c r="X13" s="27">
        <f>+X12*(1+'No Deducible 93'!$G$18)</f>
        <v>188443.7468265038</v>
      </c>
      <c r="Y13" s="32">
        <f>+Y12*(1+'No Deducible 93'!$G$18)</f>
        <v>208022.49566160163</v>
      </c>
      <c r="Z13" s="28">
        <f t="shared" si="1"/>
        <v>120000</v>
      </c>
      <c r="AA13" s="28">
        <f t="shared" si="2"/>
        <v>120000</v>
      </c>
      <c r="AB13" s="56">
        <f>IF($AB$4=185,AA13*'OptiMaxx plus'!$T$15,Z13*'OptiMaxx plus'!$T$15)+(AB12*(1+$AC$5))</f>
        <v>162953.72292000003</v>
      </c>
      <c r="AE13" s="48"/>
      <c r="AF13" s="46"/>
      <c r="AH13" s="6">
        <v>151</v>
      </c>
      <c r="AI13" s="534" t="str">
        <f>+'Deducible 151'!AK37</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 Dicha retención actualmente es del 20%.</v>
      </c>
      <c r="AJ13" s="535"/>
      <c r="AK13" s="535"/>
      <c r="AL13" s="535"/>
      <c r="AM13" s="535"/>
      <c r="AN13" s="535"/>
      <c r="AO13" s="532" t="str">
        <f>+'Deducible 151'!AK42</f>
        <v>Todo retiro es acumulable al ingreso del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v>
      </c>
      <c r="AP13" s="533"/>
      <c r="AQ13" s="533"/>
      <c r="AR13" s="533"/>
      <c r="AS13" s="533"/>
      <c r="AT13" s="532" t="str">
        <f>+'Deducible 151'!AK32</f>
        <v>De acuerdo a la Ley del Impuesto Sobre la Renta, el monto total de las deducciones personales no podrá exceder de la cantidad que resulte menor entre 5 UMAS anuales o del 10% de los ingresos anuales percibidos. El fondo exento a edad 65 será el equivalente a 15 salarios mínimos anuales (dicha exención se podrá realizar cada año) o 90 salarios mínimos anuales en una sola exhibición. Sobre excedente se pagará 20%.</v>
      </c>
      <c r="AU13" s="533"/>
      <c r="AV13" s="533"/>
      <c r="AW13" s="533"/>
      <c r="AX13" s="533"/>
    </row>
    <row r="14" spans="1:50">
      <c r="A14" s="27">
        <f t="shared" si="3"/>
        <v>0.83333333333333337</v>
      </c>
      <c r="B14" s="28">
        <f>'OptiMaxx plus'!$T$7+A14</f>
        <v>29.833333333333332</v>
      </c>
      <c r="C14" s="24">
        <f t="shared" si="4"/>
        <v>10</v>
      </c>
      <c r="D14" s="25">
        <f>+'No Deducible 93'!AD33</f>
        <v>203495.48924712703</v>
      </c>
      <c r="E14" s="25">
        <f>+'Deducible 151'!AD33</f>
        <v>203139.72899224074</v>
      </c>
      <c r="F14" s="25">
        <f>+'Deducible 185'!AD33</f>
        <v>203495.48924712703</v>
      </c>
      <c r="H14" s="24">
        <f t="shared" si="5"/>
        <v>10</v>
      </c>
      <c r="I14" s="25">
        <f>+'No Deducible 93'!Y33</f>
        <v>0</v>
      </c>
      <c r="J14" s="25">
        <f>+'Deducible 151'!Y33</f>
        <v>0</v>
      </c>
      <c r="K14" s="25">
        <f>+'Deducible 185'!Y33</f>
        <v>0</v>
      </c>
      <c r="M14" s="29">
        <f t="shared" si="6"/>
        <v>10</v>
      </c>
      <c r="N14" s="29">
        <f t="shared" si="7"/>
        <v>39</v>
      </c>
      <c r="O14" s="30">
        <f>VLOOKUP(M14,'OptiMaxx plus'!$C$31:$W$55,18,0)</f>
        <v>1475388.9786472104</v>
      </c>
      <c r="P14" s="30">
        <f>O14-AO77</f>
        <v>1422860.4484239125</v>
      </c>
      <c r="Q14" s="30">
        <f t="shared" si="8"/>
        <v>1180311.1829177684</v>
      </c>
      <c r="R14" s="30">
        <f t="shared" si="0"/>
        <v>959002.83612068684</v>
      </c>
      <c r="S14" s="12">
        <f t="shared" si="9"/>
        <v>10</v>
      </c>
      <c r="T14" s="29">
        <f t="shared" si="9"/>
        <v>10</v>
      </c>
      <c r="U14" s="25">
        <f>+'OptiMaxx plus'!G40</f>
        <v>120000</v>
      </c>
      <c r="V14" s="31">
        <f>+U14*'OptiMaxx plus'!$T$15:$X$15+(V13*(1+'Deducible 151'!$L$20))</f>
        <v>0</v>
      </c>
      <c r="W14" s="25">
        <f>+'OptiMaxx plus'!G40</f>
        <v>120000</v>
      </c>
      <c r="X14" s="27">
        <f>+X13*(1+'No Deducible 93'!$G$18)</f>
        <v>195981.49669956396</v>
      </c>
      <c r="Y14" s="32">
        <f>+Y13*(1+'No Deducible 93'!$G$18)</f>
        <v>216343.3954880657</v>
      </c>
      <c r="Z14" s="28">
        <f t="shared" si="1"/>
        <v>120000</v>
      </c>
      <c r="AA14" s="28">
        <f t="shared" si="2"/>
        <v>120000</v>
      </c>
      <c r="AB14" s="56">
        <f>IF($AB$4=185,AA14*'OptiMaxx plus'!$T$15,Z14*'OptiMaxx plus'!$T$15)+(AB13*(1+$AC$5))</f>
        <v>191249.09521200004</v>
      </c>
      <c r="AE14" s="48"/>
      <c r="AF14" s="46"/>
      <c r="AI14" s="535"/>
      <c r="AJ14" s="535"/>
      <c r="AK14" s="535"/>
      <c r="AL14" s="535"/>
      <c r="AM14" s="535"/>
      <c r="AN14" s="535"/>
      <c r="AO14" s="533"/>
      <c r="AP14" s="533"/>
      <c r="AQ14" s="533"/>
      <c r="AR14" s="533"/>
      <c r="AS14" s="533"/>
      <c r="AT14" s="533"/>
      <c r="AU14" s="533"/>
      <c r="AV14" s="533"/>
      <c r="AW14" s="533"/>
      <c r="AX14" s="533"/>
    </row>
    <row r="15" spans="1:50">
      <c r="A15" s="27">
        <f t="shared" si="3"/>
        <v>0.91666666666666663</v>
      </c>
      <c r="B15" s="28">
        <f>'OptiMaxx plus'!$T$7+A15</f>
        <v>29.916666666666668</v>
      </c>
      <c r="C15" s="24">
        <f t="shared" si="4"/>
        <v>11</v>
      </c>
      <c r="D15" s="25">
        <f>+'No Deducible 93'!AD34</f>
        <v>224966.75845753154</v>
      </c>
      <c r="E15" s="25">
        <f>+'Deducible 151'!AD34</f>
        <v>224590.56205605075</v>
      </c>
      <c r="F15" s="25">
        <f>+'Deducible 185'!AD34</f>
        <v>224966.75845753154</v>
      </c>
      <c r="H15" s="24">
        <f t="shared" si="5"/>
        <v>11</v>
      </c>
      <c r="I15" s="25">
        <f>+'No Deducible 93'!Y34</f>
        <v>0</v>
      </c>
      <c r="J15" s="25">
        <f>+'Deducible 151'!Y34</f>
        <v>0</v>
      </c>
      <c r="K15" s="25">
        <f>+'Deducible 185'!Y34</f>
        <v>0</v>
      </c>
      <c r="M15" s="29">
        <f t="shared" si="6"/>
        <v>11</v>
      </c>
      <c r="N15" s="29">
        <f t="shared" si="7"/>
        <v>40</v>
      </c>
      <c r="O15" s="30">
        <f>VLOOKUP(M15,'OptiMaxx plus'!$C$31:$W$55,18,0)</f>
        <v>1727727.7270209037</v>
      </c>
      <c r="P15" s="30">
        <f>O15-AP77</f>
        <v>1659231.5547009208</v>
      </c>
      <c r="Q15" s="30">
        <f t="shared" si="8"/>
        <v>1382182.1816167231</v>
      </c>
      <c r="R15" s="30">
        <f t="shared" si="0"/>
        <v>1123023.0225635874</v>
      </c>
      <c r="S15" s="12">
        <f t="shared" si="9"/>
        <v>11</v>
      </c>
      <c r="T15" s="29">
        <f t="shared" si="9"/>
        <v>11</v>
      </c>
      <c r="U15" s="25">
        <f>+'OptiMaxx plus'!G41</f>
        <v>120000</v>
      </c>
      <c r="V15" s="31">
        <f>+U15*'OptiMaxx plus'!$T$15:$X$15+(V14*(1+'Deducible 151'!$L$20))</f>
        <v>0</v>
      </c>
      <c r="W15" s="25">
        <f>+'OptiMaxx plus'!G41</f>
        <v>120000</v>
      </c>
      <c r="X15" s="27">
        <f>+X14*(1+'No Deducible 93'!$G$18)</f>
        <v>203820.75656754652</v>
      </c>
      <c r="Y15" s="32">
        <f>+Y14*(1+'No Deducible 93'!$G$18)</f>
        <v>224997.13130758834</v>
      </c>
      <c r="Z15" s="28">
        <f t="shared" si="1"/>
        <v>120000</v>
      </c>
      <c r="AA15" s="28">
        <f t="shared" si="2"/>
        <v>120000</v>
      </c>
      <c r="AB15" s="56">
        <f>IF($AB$4=185,AA15*'OptiMaxx plus'!$T$15,Z15*'OptiMaxx plus'!$T$15)+(AB14*(1+$AC$5))</f>
        <v>222374.00473320007</v>
      </c>
      <c r="AI15" s="535"/>
      <c r="AJ15" s="535"/>
      <c r="AK15" s="535"/>
      <c r="AL15" s="535"/>
      <c r="AM15" s="535"/>
      <c r="AN15" s="535"/>
      <c r="AO15" s="533"/>
      <c r="AP15" s="533"/>
      <c r="AQ15" s="533"/>
      <c r="AR15" s="533"/>
      <c r="AS15" s="533"/>
      <c r="AT15" s="533"/>
      <c r="AU15" s="533"/>
      <c r="AV15" s="533"/>
      <c r="AW15" s="533"/>
      <c r="AX15" s="533"/>
    </row>
    <row r="16" spans="1:50">
      <c r="A16" s="27">
        <f t="shared" si="3"/>
        <v>1</v>
      </c>
      <c r="B16" s="28">
        <f>'OptiMaxx plus'!$T$7+A16</f>
        <v>30</v>
      </c>
      <c r="C16" s="24">
        <f t="shared" si="4"/>
        <v>12</v>
      </c>
      <c r="D16" s="25">
        <f>+'No Deducible 93'!AD35</f>
        <v>244359.08365423908</v>
      </c>
      <c r="E16" s="25">
        <f>+'Deducible 151'!AD35</f>
        <v>243787.13057390376</v>
      </c>
      <c r="F16" s="25">
        <f>+'Deducible 185'!AD35</f>
        <v>244359.08365423908</v>
      </c>
      <c r="H16" s="24">
        <f t="shared" si="5"/>
        <v>12</v>
      </c>
      <c r="I16" s="25">
        <f>+'No Deducible 93'!Y35</f>
        <v>0</v>
      </c>
      <c r="J16" s="25">
        <f>+'Deducible 151'!Y35</f>
        <v>0</v>
      </c>
      <c r="K16" s="25">
        <f>+'Deducible 185'!Y35</f>
        <v>0</v>
      </c>
      <c r="M16" s="29">
        <f t="shared" si="6"/>
        <v>12</v>
      </c>
      <c r="N16" s="29">
        <f t="shared" si="7"/>
        <v>41</v>
      </c>
      <c r="O16" s="30">
        <f>VLOOKUP(M16,'OptiMaxx plus'!$C$31:$W$55,18,0)</f>
        <v>2001931.4729017809</v>
      </c>
      <c r="P16" s="30">
        <f>O16-AQ77</f>
        <v>1914516.2478669914</v>
      </c>
      <c r="Q16" s="30">
        <f t="shared" si="8"/>
        <v>1601545.1783214249</v>
      </c>
      <c r="R16" s="30">
        <f t="shared" si="0"/>
        <v>1301255.4573861577</v>
      </c>
      <c r="S16" s="12">
        <f t="shared" si="9"/>
        <v>12</v>
      </c>
      <c r="T16" s="29">
        <f t="shared" si="9"/>
        <v>12</v>
      </c>
      <c r="U16" s="25">
        <f>+'OptiMaxx plus'!G42</f>
        <v>120000</v>
      </c>
      <c r="V16" s="31">
        <f>+U16*'OptiMaxx plus'!$T$15:$X$15+(V15*(1+'Deducible 151'!$L$20))</f>
        <v>0</v>
      </c>
      <c r="W16" s="25">
        <f>+'OptiMaxx plus'!G42</f>
        <v>120000</v>
      </c>
      <c r="X16" s="27">
        <f>+X15*(1+'No Deducible 93'!$G$18)</f>
        <v>211973.58683024839</v>
      </c>
      <c r="Y16" s="32">
        <f>+Y15*(1+'No Deducible 93'!$G$18)</f>
        <v>233997.01655989187</v>
      </c>
      <c r="Z16" s="28">
        <f t="shared" si="1"/>
        <v>120000</v>
      </c>
      <c r="AA16" s="28">
        <f t="shared" si="2"/>
        <v>120000</v>
      </c>
      <c r="AB16" s="56">
        <f>IF($AB$4=185,AA16*'OptiMaxx plus'!$T$15,Z16*'OptiMaxx plus'!$T$15)+(AB15*(1+$AC$5))</f>
        <v>256611.40520652008</v>
      </c>
      <c r="AI16" s="535"/>
      <c r="AJ16" s="535"/>
      <c r="AK16" s="535"/>
      <c r="AL16" s="535"/>
      <c r="AM16" s="535"/>
      <c r="AN16" s="535"/>
      <c r="AO16" s="533"/>
      <c r="AP16" s="533"/>
      <c r="AQ16" s="533"/>
      <c r="AR16" s="533"/>
      <c r="AS16" s="533"/>
      <c r="AT16" s="533"/>
      <c r="AU16" s="533"/>
      <c r="AV16" s="533"/>
      <c r="AW16" s="533"/>
      <c r="AX16" s="533"/>
    </row>
    <row r="17" spans="1:62">
      <c r="A17" s="27">
        <f t="shared" si="3"/>
        <v>1.0833333333333333</v>
      </c>
      <c r="B17" s="28">
        <f>'OptiMaxx plus'!$T$7+A17</f>
        <v>30.083333333333332</v>
      </c>
      <c r="C17" s="24">
        <f t="shared" si="4"/>
        <v>13</v>
      </c>
      <c r="D17" s="25">
        <f>+'No Deducible 93'!AD36</f>
        <v>256037.43112656695</v>
      </c>
      <c r="E17" s="25">
        <f>+'Deducible 151'!AD36</f>
        <v>255440.26113053737</v>
      </c>
      <c r="F17" s="25">
        <f>+'Deducible 185'!AD36</f>
        <v>256037.43112656695</v>
      </c>
      <c r="H17" s="24">
        <f t="shared" si="5"/>
        <v>13</v>
      </c>
      <c r="I17" s="25">
        <f>+'No Deducible 93'!Y36</f>
        <v>0</v>
      </c>
      <c r="J17" s="25">
        <f>+'Deducible 151'!Y36</f>
        <v>0</v>
      </c>
      <c r="K17" s="25">
        <f>+'Deducible 185'!Y36</f>
        <v>0</v>
      </c>
      <c r="M17" s="29">
        <f t="shared" si="6"/>
        <v>13</v>
      </c>
      <c r="N17" s="29">
        <f t="shared" si="7"/>
        <v>42</v>
      </c>
      <c r="O17" s="30">
        <f>VLOOKUP(M17,'OptiMaxx plus'!$C$31:$W$55,18,0)</f>
        <v>2299897.4296042011</v>
      </c>
      <c r="P17" s="30">
        <f>O17-AR77</f>
        <v>2190289.3497237735</v>
      </c>
      <c r="Q17" s="30">
        <f t="shared" si="8"/>
        <v>1839917.9436833609</v>
      </c>
      <c r="R17" s="30">
        <f t="shared" si="0"/>
        <v>1494933.3292427307</v>
      </c>
      <c r="S17" s="12">
        <f t="shared" si="9"/>
        <v>13</v>
      </c>
      <c r="T17" s="29">
        <f t="shared" si="9"/>
        <v>13</v>
      </c>
      <c r="U17" s="25">
        <f>+'OptiMaxx plus'!G43</f>
        <v>120000</v>
      </c>
      <c r="V17" s="31">
        <f>+U17*'OptiMaxx plus'!$T$15:$X$15+(V16*(1+'Deducible 151'!$L$20))</f>
        <v>0</v>
      </c>
      <c r="W17" s="25">
        <f>+'OptiMaxx plus'!G43</f>
        <v>120000</v>
      </c>
      <c r="X17" s="27">
        <f>+X16*(1+'No Deducible 93'!$G$18)</f>
        <v>220452.53030345833</v>
      </c>
      <c r="Y17" s="32">
        <f>+Y16*(1+'No Deducible 93'!$G$18)</f>
        <v>243356.89722228755</v>
      </c>
      <c r="Z17" s="28">
        <f t="shared" si="1"/>
        <v>120000</v>
      </c>
      <c r="AA17" s="28">
        <f t="shared" si="2"/>
        <v>120000</v>
      </c>
      <c r="AB17" s="56">
        <f>IF($AB$4=185,AA17*'OptiMaxx plus'!$T$15,Z17*'OptiMaxx plus'!$T$15)+(AB16*(1+$AC$5))</f>
        <v>294272.54572717211</v>
      </c>
      <c r="AE17" s="47" t="s">
        <v>116</v>
      </c>
      <c r="AF17" s="47"/>
      <c r="AI17" s="535"/>
      <c r="AJ17" s="535"/>
      <c r="AK17" s="535"/>
      <c r="AL17" s="535"/>
      <c r="AM17" s="535"/>
      <c r="AN17" s="535"/>
      <c r="AO17" s="533"/>
      <c r="AP17" s="533"/>
      <c r="AQ17" s="533"/>
      <c r="AR17" s="533"/>
      <c r="AS17" s="533"/>
      <c r="AT17" s="533"/>
      <c r="AU17" s="533"/>
      <c r="AV17" s="533"/>
      <c r="AW17" s="533"/>
      <c r="AX17" s="533"/>
    </row>
    <row r="18" spans="1:62">
      <c r="A18" s="27">
        <f t="shared" si="3"/>
        <v>1.1666666666666667</v>
      </c>
      <c r="B18" s="28">
        <f>'OptiMaxx plus'!$T$7+A18</f>
        <v>30.166666666666668</v>
      </c>
      <c r="C18" s="24">
        <f t="shared" si="4"/>
        <v>14</v>
      </c>
      <c r="D18" s="25">
        <f>+'No Deducible 93'!AD37</f>
        <v>267796.55182526074</v>
      </c>
      <c r="E18" s="25">
        <f>+'Deducible 151'!AD37</f>
        <v>267172.23200419883</v>
      </c>
      <c r="F18" s="25">
        <f>+'Deducible 185'!AD37</f>
        <v>267796.55182526074</v>
      </c>
      <c r="H18" s="24">
        <f t="shared" si="5"/>
        <v>14</v>
      </c>
      <c r="I18" s="25">
        <f>+'No Deducible 93'!Y37</f>
        <v>0</v>
      </c>
      <c r="J18" s="25">
        <f>+'Deducible 151'!Y37</f>
        <v>0</v>
      </c>
      <c r="K18" s="25">
        <f>+'Deducible 185'!Y37</f>
        <v>0</v>
      </c>
      <c r="M18" s="29">
        <f t="shared" si="6"/>
        <v>14</v>
      </c>
      <c r="N18" s="29">
        <f t="shared" si="7"/>
        <v>43</v>
      </c>
      <c r="O18" s="30">
        <f>VLOOKUP(M18,'OptiMaxx plus'!$C$31:$W$55,18,0)</f>
        <v>2623687.535814255</v>
      </c>
      <c r="P18" s="30">
        <f>O18-AS77</f>
        <v>2488259.8704405241</v>
      </c>
      <c r="Q18" s="30">
        <f t="shared" si="8"/>
        <v>2098950.0286514042</v>
      </c>
      <c r="R18" s="30">
        <f t="shared" si="0"/>
        <v>1705396.8982792657</v>
      </c>
      <c r="S18" s="12">
        <f t="shared" si="9"/>
        <v>14</v>
      </c>
      <c r="T18" s="29">
        <f t="shared" si="9"/>
        <v>14</v>
      </c>
      <c r="U18" s="25">
        <f>+'OptiMaxx plus'!G44</f>
        <v>120000</v>
      </c>
      <c r="V18" s="31">
        <f>+U18*'OptiMaxx plus'!$T$15:$X$15+(V17*(1+'Deducible 151'!$L$20))</f>
        <v>0</v>
      </c>
      <c r="W18" s="25">
        <f>+'OptiMaxx plus'!G44</f>
        <v>120000</v>
      </c>
      <c r="X18" s="27">
        <f>+X17*(1+'No Deducible 93'!$G$18)</f>
        <v>229270.63151559667</v>
      </c>
      <c r="Y18" s="32">
        <f>+Y17*(1+'No Deducible 93'!$G$18)</f>
        <v>253091.17311117906</v>
      </c>
      <c r="Z18" s="28">
        <f t="shared" si="1"/>
        <v>120000</v>
      </c>
      <c r="AA18" s="28">
        <f t="shared" si="2"/>
        <v>120000</v>
      </c>
      <c r="AB18" s="56">
        <f>IF($AB$4=185,AA18*'OptiMaxx plus'!$T$15,Z18*'OptiMaxx plus'!$T$15)+(AB17*(1+$AC$5))</f>
        <v>335699.80029988935</v>
      </c>
      <c r="AD18" s="86">
        <v>93</v>
      </c>
      <c r="AE18" s="19">
        <f>VLOOKUP(AD25,$B$5:$F$568,3,0)</f>
        <v>25259701.598923039</v>
      </c>
    </row>
    <row r="19" spans="1:62" ht="12" customHeight="1">
      <c r="A19" s="27">
        <f t="shared" si="3"/>
        <v>1.25</v>
      </c>
      <c r="B19" s="28">
        <f>'OptiMaxx plus'!$T$7+A19</f>
        <v>30.25</v>
      </c>
      <c r="C19" s="24">
        <f t="shared" si="4"/>
        <v>15</v>
      </c>
      <c r="D19" s="25">
        <f>+'No Deducible 93'!AD38</f>
        <v>277119.15089742991</v>
      </c>
      <c r="E19" s="25">
        <f>+'Deducible 151'!AD38</f>
        <v>276249.0308818632</v>
      </c>
      <c r="F19" s="25">
        <f>+'Deducible 185'!AD38</f>
        <v>277119.15089742991</v>
      </c>
      <c r="H19" s="24">
        <f t="shared" si="5"/>
        <v>15</v>
      </c>
      <c r="I19" s="25">
        <f>+'No Deducible 93'!Y38</f>
        <v>0</v>
      </c>
      <c r="J19" s="25">
        <f>+'Deducible 151'!Y38</f>
        <v>0</v>
      </c>
      <c r="K19" s="25">
        <f>+'Deducible 185'!Y38</f>
        <v>0</v>
      </c>
      <c r="M19" s="29">
        <f t="shared" si="6"/>
        <v>15</v>
      </c>
      <c r="N19" s="29">
        <f t="shared" si="7"/>
        <v>44</v>
      </c>
      <c r="O19" s="30">
        <f>VLOOKUP(M19,'OptiMaxx plus'!$C$31:$W$55,18,0)</f>
        <v>2975542.7620703848</v>
      </c>
      <c r="P19" s="30">
        <f>O19-AT77</f>
        <v>2810282.4948707875</v>
      </c>
      <c r="Q19" s="30">
        <f t="shared" si="8"/>
        <v>2380434.2096563079</v>
      </c>
      <c r="R19" s="30">
        <f t="shared" si="0"/>
        <v>1934102.7953457502</v>
      </c>
      <c r="S19" s="12">
        <f t="shared" si="9"/>
        <v>15</v>
      </c>
      <c r="T19" s="29">
        <f t="shared" si="9"/>
        <v>15</v>
      </c>
      <c r="U19" s="25">
        <f>+'OptiMaxx plus'!G45</f>
        <v>120000</v>
      </c>
      <c r="V19" s="31">
        <f>+U19*'OptiMaxx plus'!$T$15:$X$15+(V18*(1+'Deducible 151'!$L$20))</f>
        <v>0</v>
      </c>
      <c r="W19" s="25">
        <f>+'OptiMaxx plus'!G45</f>
        <v>120000</v>
      </c>
      <c r="X19" s="27">
        <f>+X18*(1+'No Deducible 93'!$G$18)</f>
        <v>238441.45677622056</v>
      </c>
      <c r="Y19" s="32">
        <f>+Y18*(1+'No Deducible 93'!$G$18)</f>
        <v>263214.82003562624</v>
      </c>
      <c r="Z19" s="28">
        <f t="shared" si="1"/>
        <v>120000</v>
      </c>
      <c r="AA19" s="28">
        <f t="shared" si="2"/>
        <v>120000</v>
      </c>
      <c r="AB19" s="56">
        <f>IF($AB$4=185,AA19*'OptiMaxx plus'!$T$15,Z19*'OptiMaxx plus'!$T$15)+(AB18*(1+$AC$5))</f>
        <v>381269.78032987833</v>
      </c>
      <c r="AD19" s="86">
        <v>151</v>
      </c>
      <c r="AE19" s="17">
        <f>VLOOKUP(AD25,$B$5:$F$568,4,0)</f>
        <v>23887644.023316383</v>
      </c>
      <c r="AH19" s="6">
        <v>185</v>
      </c>
      <c r="AI19" s="534" t="str">
        <f>+'Deducible 185'!AK31</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después de aplicar la retención de impuestos.</v>
      </c>
      <c r="AJ19" s="535"/>
      <c r="AK19" s="535"/>
      <c r="AL19" s="535"/>
      <c r="AM19" s="535"/>
      <c r="AN19" s="535"/>
      <c r="AO19" s="532" t="str">
        <f>+'Deducible 185'!AK36</f>
        <v>Todo retiro es acumulable al ingreso de (los) beneficiario(s), por lo que la retención representa un pago provisional de los impuestos. La presente ilustración se ofrece únicamente a modo de guía y no debe ser considerada como un contrato desde el punto de vista legal. Para mayores detalles vea el folleto del cliente y las Condiciones de la Póliza.</v>
      </c>
      <c r="AP19" s="533"/>
      <c r="AQ19" s="533"/>
      <c r="AR19" s="533"/>
      <c r="AS19" s="533"/>
      <c r="AT19" s="532" t="s">
        <v>150</v>
      </c>
      <c r="AU19" s="533"/>
      <c r="AV19" s="533"/>
      <c r="AW19" s="533"/>
      <c r="AX19" s="533"/>
      <c r="AY19" s="532"/>
      <c r="AZ19" s="533"/>
      <c r="BA19" s="533"/>
      <c r="BB19" s="533"/>
      <c r="BC19" s="533"/>
      <c r="BD19" s="532"/>
      <c r="BE19" s="533"/>
      <c r="BF19" s="533"/>
      <c r="BG19" s="533"/>
      <c r="BH19" s="533"/>
      <c r="BI19" s="532"/>
      <c r="BJ19" s="533"/>
    </row>
    <row r="20" spans="1:62" ht="12" customHeight="1">
      <c r="A20" s="27">
        <f t="shared" si="3"/>
        <v>1.3333333333333333</v>
      </c>
      <c r="B20" s="28">
        <f>'OptiMaxx plus'!$T$7+A20</f>
        <v>30.333333333333332</v>
      </c>
      <c r="C20" s="24">
        <f t="shared" si="4"/>
        <v>16</v>
      </c>
      <c r="D20" s="25">
        <f>+'No Deducible 93'!AD39</f>
        <v>289024.81804147916</v>
      </c>
      <c r="E20" s="25">
        <f>+'Deducible 151'!AD39</f>
        <v>288122.35658585408</v>
      </c>
      <c r="F20" s="25">
        <f>+'Deducible 185'!AD39</f>
        <v>289024.81804147916</v>
      </c>
      <c r="H20" s="24">
        <f t="shared" si="5"/>
        <v>16</v>
      </c>
      <c r="I20" s="25">
        <f>+'No Deducible 93'!Y39</f>
        <v>0</v>
      </c>
      <c r="J20" s="25">
        <f>+'Deducible 151'!Y39</f>
        <v>0</v>
      </c>
      <c r="K20" s="25">
        <f>+'Deducible 185'!Y39</f>
        <v>0</v>
      </c>
      <c r="M20" s="29">
        <f t="shared" si="6"/>
        <v>16</v>
      </c>
      <c r="N20" s="29">
        <f t="shared" si="7"/>
        <v>45</v>
      </c>
      <c r="O20" s="30">
        <f>VLOOKUP(M20,'OptiMaxx plus'!$C$31:$W$55,18,0)</f>
        <v>3357898.6599376677</v>
      </c>
      <c r="P20" s="30">
        <f>O20-AU77</f>
        <v>3158370.0845618439</v>
      </c>
      <c r="Q20" s="30">
        <f t="shared" si="8"/>
        <v>2686318.9279501345</v>
      </c>
      <c r="R20" s="30">
        <f t="shared" si="0"/>
        <v>2182634.1289594839</v>
      </c>
      <c r="S20" s="12">
        <f t="shared" si="9"/>
        <v>16</v>
      </c>
      <c r="T20" s="29">
        <f t="shared" si="9"/>
        <v>16</v>
      </c>
      <c r="U20" s="25">
        <f>+'OptiMaxx plus'!G46</f>
        <v>120000</v>
      </c>
      <c r="V20" s="31">
        <f>+U20*'OptiMaxx plus'!$T$15:$X$15+(V19*(1+'Deducible 151'!$L$20))</f>
        <v>0</v>
      </c>
      <c r="W20" s="25">
        <f>+'OptiMaxx plus'!G46</f>
        <v>120000</v>
      </c>
      <c r="X20" s="27">
        <f>+X19*(1+'No Deducible 93'!$G$18)</f>
        <v>247979.11504726938</v>
      </c>
      <c r="Y20" s="32">
        <f>+Y19*(1+'No Deducible 93'!$G$18)</f>
        <v>273743.41283705132</v>
      </c>
      <c r="Z20" s="28">
        <f t="shared" si="1"/>
        <v>120000</v>
      </c>
      <c r="AA20" s="28">
        <f t="shared" si="2"/>
        <v>120000</v>
      </c>
      <c r="AB20" s="56">
        <f>IF($AB$4=185,AA20*'OptiMaxx plus'!$T$15,Z20*'OptiMaxx plus'!$T$15)+(AB19*(1+$AC$5))</f>
        <v>431396.75836286618</v>
      </c>
      <c r="AD20" s="86">
        <v>185</v>
      </c>
      <c r="AE20" s="17">
        <f>VLOOKUP(AD25,$B$5:$F$568,5,0)</f>
        <v>25259701.598923039</v>
      </c>
      <c r="AI20" s="535"/>
      <c r="AJ20" s="535"/>
      <c r="AK20" s="535"/>
      <c r="AL20" s="535"/>
      <c r="AM20" s="535"/>
      <c r="AN20" s="535"/>
      <c r="AO20" s="533"/>
      <c r="AP20" s="533"/>
      <c r="AQ20" s="533"/>
      <c r="AR20" s="533"/>
      <c r="AS20" s="533"/>
      <c r="AT20" s="533"/>
      <c r="AU20" s="533"/>
      <c r="AV20" s="533"/>
      <c r="AW20" s="533"/>
      <c r="AX20" s="533"/>
      <c r="AY20" s="533"/>
      <c r="AZ20" s="533"/>
      <c r="BA20" s="533"/>
      <c r="BB20" s="533"/>
      <c r="BC20" s="533"/>
      <c r="BD20" s="533"/>
      <c r="BE20" s="533"/>
      <c r="BF20" s="533"/>
      <c r="BG20" s="533"/>
      <c r="BH20" s="533"/>
      <c r="BI20" s="533"/>
      <c r="BJ20" s="533"/>
    </row>
    <row r="21" spans="1:62" ht="12" customHeight="1">
      <c r="A21" s="27">
        <f t="shared" si="3"/>
        <v>1.4166666666666667</v>
      </c>
      <c r="B21" s="28">
        <f>'OptiMaxx plus'!$T$7+A21</f>
        <v>30.416666666666668</v>
      </c>
      <c r="C21" s="24">
        <f t="shared" si="4"/>
        <v>17</v>
      </c>
      <c r="D21" s="25">
        <f>+'No Deducible 93'!AD40</f>
        <v>301012.83642551792</v>
      </c>
      <c r="E21" s="25">
        <f>+'Deducible 151'!AD40</f>
        <v>300076.01664257213</v>
      </c>
      <c r="F21" s="25">
        <f>+'Deducible 185'!AD40</f>
        <v>301012.83642551792</v>
      </c>
      <c r="H21" s="24">
        <f t="shared" si="5"/>
        <v>17</v>
      </c>
      <c r="I21" s="25">
        <f>+'No Deducible 93'!Y40</f>
        <v>0</v>
      </c>
      <c r="J21" s="25">
        <f>+'Deducible 151'!Y40</f>
        <v>0</v>
      </c>
      <c r="K21" s="25">
        <f>+'Deducible 185'!Y40</f>
        <v>0</v>
      </c>
      <c r="M21" s="29">
        <f t="shared" si="6"/>
        <v>17</v>
      </c>
      <c r="N21" s="29">
        <f t="shared" si="7"/>
        <v>46</v>
      </c>
      <c r="O21" s="30">
        <f>VLOOKUP(M21,'OptiMaxx plus'!$C$31:$W$55,18,0)</f>
        <v>3773402.2618257343</v>
      </c>
      <c r="P21" s="30">
        <f>O21-AV77</f>
        <v>3534707.2746624518</v>
      </c>
      <c r="Q21" s="30">
        <f t="shared" si="8"/>
        <v>3018721.8094605878</v>
      </c>
      <c r="R21" s="30">
        <f t="shared" si="0"/>
        <v>2452711.4701867276</v>
      </c>
      <c r="S21" s="12">
        <f t="shared" si="9"/>
        <v>17</v>
      </c>
      <c r="T21" s="29">
        <f t="shared" si="9"/>
        <v>17</v>
      </c>
      <c r="U21" s="25">
        <f>+'OptiMaxx plus'!G47</f>
        <v>120000</v>
      </c>
      <c r="V21" s="31">
        <f>+U21*'OptiMaxx plus'!$T$15:$X$15+(V20*(1+'Deducible 151'!$L$20))</f>
        <v>0</v>
      </c>
      <c r="W21" s="25">
        <f>+'OptiMaxx plus'!G47</f>
        <v>120000</v>
      </c>
      <c r="X21" s="27">
        <f>+X20*(1+'No Deducible 93'!$G$18)</f>
        <v>257898.27964916016</v>
      </c>
      <c r="Y21" s="32">
        <f>+Y20*(1+'No Deducible 93'!$G$18)</f>
        <v>284693.14935053338</v>
      </c>
      <c r="Z21" s="28">
        <f t="shared" si="1"/>
        <v>120000</v>
      </c>
      <c r="AA21" s="28">
        <f t="shared" si="2"/>
        <v>120000</v>
      </c>
      <c r="AB21" s="56">
        <f>IF($AB$4=185,AA21*'OptiMaxx plus'!$T$15,Z21*'OptiMaxx plus'!$T$15)+(AB20*(1+$AC$5))</f>
        <v>486536.43419915286</v>
      </c>
      <c r="AI21" s="535"/>
      <c r="AJ21" s="535"/>
      <c r="AK21" s="535"/>
      <c r="AL21" s="535"/>
      <c r="AM21" s="535"/>
      <c r="AN21" s="535"/>
      <c r="AO21" s="533"/>
      <c r="AP21" s="533"/>
      <c r="AQ21" s="533"/>
      <c r="AR21" s="533"/>
      <c r="AS21" s="533"/>
      <c r="AT21" s="533"/>
      <c r="AU21" s="533"/>
      <c r="AV21" s="533"/>
      <c r="AW21" s="533"/>
      <c r="AX21" s="533"/>
      <c r="AY21" s="533"/>
      <c r="AZ21" s="533"/>
      <c r="BA21" s="533"/>
      <c r="BB21" s="533"/>
      <c r="BC21" s="533"/>
      <c r="BD21" s="533"/>
      <c r="BE21" s="533"/>
      <c r="BF21" s="533"/>
      <c r="BG21" s="533"/>
      <c r="BH21" s="533"/>
      <c r="BI21" s="533"/>
      <c r="BJ21" s="533"/>
    </row>
    <row r="22" spans="1:62" ht="12" customHeight="1">
      <c r="A22" s="27">
        <f t="shared" si="3"/>
        <v>1.5</v>
      </c>
      <c r="B22" s="28">
        <f>'OptiMaxx plus'!$T$7+A22</f>
        <v>30.5</v>
      </c>
      <c r="C22" s="24">
        <f t="shared" si="4"/>
        <v>18</v>
      </c>
      <c r="D22" s="25">
        <f>+'No Deducible 93'!AD41</f>
        <v>310264.89052233915</v>
      </c>
      <c r="E22" s="25">
        <f>+'Deducible 151'!AD41</f>
        <v>309031.86144999554</v>
      </c>
      <c r="F22" s="25">
        <f>+'Deducible 185'!AD41</f>
        <v>310264.89052233915</v>
      </c>
      <c r="H22" s="24">
        <f t="shared" si="5"/>
        <v>18</v>
      </c>
      <c r="I22" s="25">
        <f>+'No Deducible 93'!Y41</f>
        <v>0</v>
      </c>
      <c r="J22" s="25">
        <f>+'Deducible 151'!Y41</f>
        <v>0</v>
      </c>
      <c r="K22" s="25">
        <f>+'Deducible 185'!Y41</f>
        <v>0</v>
      </c>
      <c r="M22" s="29">
        <f t="shared" si="6"/>
        <v>18</v>
      </c>
      <c r="N22" s="29">
        <f t="shared" si="7"/>
        <v>47</v>
      </c>
      <c r="O22" s="30">
        <f>VLOOKUP(M22,'OptiMaxx plus'!$C$31:$W$55,18,0)</f>
        <v>4224930.4487779848</v>
      </c>
      <c r="P22" s="30">
        <f>O22-AW77</f>
        <v>3941665.2556836908</v>
      </c>
      <c r="Q22" s="30">
        <f t="shared" si="8"/>
        <v>3379944.3590223882</v>
      </c>
      <c r="R22" s="30">
        <f t="shared" si="0"/>
        <v>2746204.7917056903</v>
      </c>
      <c r="S22" s="12">
        <f t="shared" si="9"/>
        <v>18</v>
      </c>
      <c r="T22" s="29">
        <f t="shared" si="9"/>
        <v>18</v>
      </c>
      <c r="U22" s="25">
        <f>+'OptiMaxx plus'!G48</f>
        <v>120000</v>
      </c>
      <c r="V22" s="31">
        <f>+U22*'OptiMaxx plus'!$T$15:$X$15+(V21*(1+'Deducible 151'!$L$20))</f>
        <v>0</v>
      </c>
      <c r="W22" s="25">
        <f>+'OptiMaxx plus'!G48</f>
        <v>120000</v>
      </c>
      <c r="X22" s="27">
        <f>+X21*(1+'No Deducible 93'!$G$18)</f>
        <v>268214.21083512658</v>
      </c>
      <c r="Y22" s="32">
        <f>+Y21*(1+'No Deducible 93'!$G$18)</f>
        <v>296080.87532455474</v>
      </c>
      <c r="Z22" s="28">
        <f t="shared" si="1"/>
        <v>120000</v>
      </c>
      <c r="AA22" s="28">
        <f t="shared" si="2"/>
        <v>120000</v>
      </c>
      <c r="AB22" s="56">
        <f>IF($AB$4=185,AA22*'OptiMaxx plus'!$T$15,Z22*'OptiMaxx plus'!$T$15)+(AB21*(1+$AC$5))</f>
        <v>547190.07761906821</v>
      </c>
      <c r="AD22" s="53" t="s">
        <v>118</v>
      </c>
      <c r="AF22" s="53" t="s">
        <v>110</v>
      </c>
      <c r="AI22" s="535"/>
      <c r="AJ22" s="535"/>
      <c r="AK22" s="535"/>
      <c r="AL22" s="535"/>
      <c r="AM22" s="535"/>
      <c r="AN22" s="535"/>
      <c r="AO22" s="533"/>
      <c r="AP22" s="533"/>
      <c r="AQ22" s="533"/>
      <c r="AR22" s="533"/>
      <c r="AS22" s="533"/>
      <c r="AT22" s="533"/>
      <c r="AU22" s="533"/>
      <c r="AV22" s="533"/>
      <c r="AW22" s="533"/>
      <c r="AX22" s="533"/>
      <c r="AY22" s="533"/>
      <c r="AZ22" s="533"/>
      <c r="BA22" s="533"/>
      <c r="BB22" s="533"/>
      <c r="BC22" s="533"/>
      <c r="BD22" s="533"/>
      <c r="BE22" s="533"/>
      <c r="BF22" s="533"/>
      <c r="BG22" s="533"/>
      <c r="BH22" s="533"/>
      <c r="BI22" s="533"/>
      <c r="BJ22" s="533"/>
    </row>
    <row r="23" spans="1:62" ht="12" customHeight="1">
      <c r="A23" s="27">
        <f t="shared" si="3"/>
        <v>1.5833333333333333</v>
      </c>
      <c r="B23" s="28">
        <f>'OptiMaxx plus'!$T$7+A23</f>
        <v>30.583333333333332</v>
      </c>
      <c r="C23" s="24">
        <f t="shared" si="4"/>
        <v>19</v>
      </c>
      <c r="D23" s="25">
        <f>+'No Deducible 93'!AD42</f>
        <v>322321.30748404266</v>
      </c>
      <c r="E23" s="25">
        <f>+'Deducible 151'!AD42</f>
        <v>321035.73843272211</v>
      </c>
      <c r="F23" s="25">
        <f>+'Deducible 185'!AD42</f>
        <v>322321.30748404266</v>
      </c>
      <c r="H23" s="24">
        <f t="shared" si="5"/>
        <v>19</v>
      </c>
      <c r="I23" s="25">
        <f>+'No Deducible 93'!Y42</f>
        <v>9990.41366288475</v>
      </c>
      <c r="J23" s="25">
        <f>+'Deducible 151'!Y42</f>
        <v>9976.227860368861</v>
      </c>
      <c r="K23" s="25">
        <f>+'Deducible 185'!Y42</f>
        <v>9990.41366288475</v>
      </c>
      <c r="M23" s="29">
        <f t="shared" si="6"/>
        <v>19</v>
      </c>
      <c r="N23" s="29">
        <f t="shared" si="7"/>
        <v>48</v>
      </c>
      <c r="O23" s="30">
        <f>VLOOKUP(M23,'OptiMaxx plus'!$C$31:$W$55,18,0)</f>
        <v>4715609.9137518853</v>
      </c>
      <c r="P23" s="30">
        <f>O23-AX77</f>
        <v>4381817.8399359193</v>
      </c>
      <c r="Q23" s="30">
        <f t="shared" si="8"/>
        <v>3772487.9310015086</v>
      </c>
      <c r="R23" s="30">
        <f t="shared" si="0"/>
        <v>3065146.4439387256</v>
      </c>
      <c r="S23" s="12">
        <f t="shared" si="9"/>
        <v>19</v>
      </c>
      <c r="T23" s="29">
        <f t="shared" si="9"/>
        <v>19</v>
      </c>
      <c r="U23" s="25">
        <f>+'OptiMaxx plus'!G49</f>
        <v>120000</v>
      </c>
      <c r="V23" s="31">
        <f>+U23*'OptiMaxx plus'!$T$15:$X$15+(V22*(1+'Deducible 151'!$L$20))</f>
        <v>0</v>
      </c>
      <c r="W23" s="25">
        <f>+'OptiMaxx plus'!G49</f>
        <v>120000</v>
      </c>
      <c r="X23" s="27">
        <f>+X22*(1+'No Deducible 93'!$G$18)</f>
        <v>278942.77926853165</v>
      </c>
      <c r="Y23" s="32">
        <f>+Y22*(1+'No Deducible 93'!$G$18)</f>
        <v>307924.11033753696</v>
      </c>
      <c r="Z23" s="28">
        <f t="shared" si="1"/>
        <v>120000</v>
      </c>
      <c r="AA23" s="28">
        <f t="shared" si="2"/>
        <v>120000</v>
      </c>
      <c r="AB23" s="56">
        <f>IF($AB$4=185,AA23*'OptiMaxx plus'!$T$15,Z23*'OptiMaxx plus'!$T$15)+(AB22*(1+$AC$5))</f>
        <v>613909.08538097504</v>
      </c>
      <c r="AD23" s="54">
        <f>('OptiMaxx plus'!D15+'OptiMaxx plus'!T7)</f>
        <v>54</v>
      </c>
      <c r="AF23" s="53">
        <v>65</v>
      </c>
      <c r="AI23" s="535"/>
      <c r="AJ23" s="535"/>
      <c r="AK23" s="535"/>
      <c r="AL23" s="535"/>
      <c r="AM23" s="535"/>
      <c r="AN23" s="535"/>
      <c r="AT23" s="533"/>
      <c r="AU23" s="533"/>
      <c r="AV23" s="533"/>
      <c r="AW23" s="533"/>
      <c r="AX23" s="533"/>
      <c r="AY23" s="533"/>
      <c r="AZ23" s="533"/>
      <c r="BA23" s="533"/>
      <c r="BB23" s="533"/>
      <c r="BC23" s="533"/>
      <c r="BD23" s="533"/>
      <c r="BE23" s="533"/>
      <c r="BF23" s="533"/>
      <c r="BG23" s="533"/>
      <c r="BH23" s="533"/>
      <c r="BI23" s="533"/>
      <c r="BJ23" s="533"/>
    </row>
    <row r="24" spans="1:62">
      <c r="A24" s="27">
        <f t="shared" si="3"/>
        <v>1.6666666666666667</v>
      </c>
      <c r="B24" s="28">
        <f>'OptiMaxx plus'!$T$7+A24</f>
        <v>30.666666666666668</v>
      </c>
      <c r="C24" s="24">
        <f t="shared" si="4"/>
        <v>20</v>
      </c>
      <c r="D24" s="25">
        <f>+'No Deducible 93'!AD43</f>
        <v>334461.12024824764</v>
      </c>
      <c r="E24" s="25">
        <f>+'Deducible 151'!AD43</f>
        <v>333120.83374550723</v>
      </c>
      <c r="F24" s="25">
        <f>+'Deducible 185'!AD43</f>
        <v>334461.12024824764</v>
      </c>
      <c r="H24" s="24">
        <f t="shared" si="5"/>
        <v>20</v>
      </c>
      <c r="I24" s="25">
        <f>+'No Deducible 93'!Y43</f>
        <v>20050.422208635802</v>
      </c>
      <c r="J24" s="25">
        <f>+'Deducible 151'!Y43</f>
        <v>20020.342858192405</v>
      </c>
      <c r="K24" s="25">
        <f>+'Deducible 185'!Y43</f>
        <v>20050.422208635802</v>
      </c>
      <c r="M24" s="29">
        <f t="shared" si="6"/>
        <v>20</v>
      </c>
      <c r="N24" s="29">
        <f t="shared" si="7"/>
        <v>49</v>
      </c>
      <c r="O24" s="30">
        <f>VLOOKUP(M24,'OptiMaxx plus'!$C$31:$W$55,18,0)</f>
        <v>5248838.8589880653</v>
      </c>
      <c r="P24" s="30">
        <f>O24-AY77</f>
        <v>4857958.922274027</v>
      </c>
      <c r="Q24" s="30">
        <f t="shared" si="8"/>
        <v>4199071.087190452</v>
      </c>
      <c r="R24" s="30">
        <f t="shared" si="0"/>
        <v>3411745.2583422423</v>
      </c>
      <c r="S24" s="12">
        <f t="shared" si="9"/>
        <v>20</v>
      </c>
      <c r="T24" s="29">
        <f t="shared" si="9"/>
        <v>20</v>
      </c>
      <c r="U24" s="25">
        <f>+'OptiMaxx plus'!G50</f>
        <v>120000</v>
      </c>
      <c r="V24" s="31">
        <f>+U24*'OptiMaxx plus'!$T$15:$X$15+(V23*(1+'Deducible 151'!$L$20))</f>
        <v>0</v>
      </c>
      <c r="W24" s="25">
        <f>+'OptiMaxx plus'!G50</f>
        <v>120000</v>
      </c>
      <c r="X24" s="27">
        <f>+X23*(1+'No Deducible 93'!$G$18)</f>
        <v>290100.49043927295</v>
      </c>
      <c r="Y24" s="32">
        <f>+Y23*(1+'No Deducible 93'!$G$18)</f>
        <v>320241.07475103845</v>
      </c>
      <c r="Z24" s="28">
        <f t="shared" si="1"/>
        <v>120000</v>
      </c>
      <c r="AA24" s="28">
        <f t="shared" si="2"/>
        <v>120000</v>
      </c>
      <c r="AB24" s="56">
        <f>IF($AB$4=185,AA24*'OptiMaxx plus'!$T$15,Z24*'OptiMaxx plus'!$T$15)+(AB23*(1+$AC$5))</f>
        <v>687299.99391907256</v>
      </c>
      <c r="AI24" s="11"/>
      <c r="AJ24" s="11"/>
    </row>
    <row r="25" spans="1:62">
      <c r="A25" s="27">
        <f t="shared" si="3"/>
        <v>1.75</v>
      </c>
      <c r="B25" s="28">
        <f>'OptiMaxx plus'!$T$7+A25</f>
        <v>30.75</v>
      </c>
      <c r="C25" s="24">
        <f t="shared" si="4"/>
        <v>21</v>
      </c>
      <c r="D25" s="25">
        <f>+'No Deducible 93'!AD44</f>
        <v>343835.22416029003</v>
      </c>
      <c r="E25" s="25">
        <f>+'Deducible 151'!AD44</f>
        <v>342178.93533288519</v>
      </c>
      <c r="F25" s="25">
        <f>+'Deducible 185'!AD44</f>
        <v>343835.22416029003</v>
      </c>
      <c r="H25" s="24">
        <f t="shared" si="5"/>
        <v>21</v>
      </c>
      <c r="I25" s="25">
        <f>+'No Deducible 93'!Y44</f>
        <v>30180.510446780037</v>
      </c>
      <c r="J25" s="25">
        <f>+'Deducible 151'!Y44</f>
        <v>30132.806958002344</v>
      </c>
      <c r="K25" s="25">
        <f>+'Deducible 185'!Y44</f>
        <v>30180.510446780037</v>
      </c>
      <c r="M25" s="29">
        <f t="shared" si="6"/>
        <v>21</v>
      </c>
      <c r="N25" s="29">
        <f t="shared" si="7"/>
        <v>50</v>
      </c>
      <c r="O25" s="30">
        <f>VLOOKUP(M25,'OptiMaxx plus'!$C$31:$W$55,18,0)</f>
        <v>5828310.5781057589</v>
      </c>
      <c r="P25" s="30">
        <f>O25-AZ77</f>
        <v>5373121.4549590498</v>
      </c>
      <c r="Q25" s="30">
        <f t="shared" si="8"/>
        <v>4662648.4624846075</v>
      </c>
      <c r="R25" s="30">
        <f t="shared" si="0"/>
        <v>3788401.8757687435</v>
      </c>
      <c r="S25" s="12">
        <f t="shared" si="9"/>
        <v>21</v>
      </c>
      <c r="T25" s="29">
        <f t="shared" si="9"/>
        <v>21</v>
      </c>
      <c r="U25" s="25">
        <f>+'OptiMaxx plus'!G51</f>
        <v>120000</v>
      </c>
      <c r="V25" s="31">
        <f>+U25*'OptiMaxx plus'!$T$15:$X$15+(V24*(1+'Deducible 151'!$L$20))</f>
        <v>0</v>
      </c>
      <c r="W25" s="25">
        <f>+'OptiMaxx plus'!G51</f>
        <v>120000</v>
      </c>
      <c r="X25" s="27">
        <f>+X24*(1+'No Deducible 93'!$G$18)</f>
        <v>301704.51005684386</v>
      </c>
      <c r="Y25" s="32">
        <f>+Y24*(1+'No Deducible 93'!$G$18)</f>
        <v>333050.71774107998</v>
      </c>
      <c r="Z25" s="28">
        <f t="shared" si="1"/>
        <v>120000</v>
      </c>
      <c r="AA25" s="28">
        <f t="shared" si="2"/>
        <v>120000</v>
      </c>
      <c r="AB25" s="56">
        <f>IF($AB$4=185,AA25*'OptiMaxx plus'!$T$15,Z25*'OptiMaxx plus'!$T$15)+(AB24*(1+$AC$5))</f>
        <v>768029.99331097992</v>
      </c>
      <c r="AD25" s="54">
        <f>MAX(AD23:AF23)</f>
        <v>65</v>
      </c>
      <c r="AH25" s="6" t="s">
        <v>123</v>
      </c>
      <c r="AI25" s="536" t="str">
        <f>+'No Deducible 93'!AK32</f>
        <v>Las tasas de crecimiento elegidas tienen fines ilustrativos únicamente. La tasa anual proyectada está expresada antes de cargos. La ganancia real podría ser otra, ya que, debido a la naturaleza de este tipo de inversiones, su rendimiento puede indistintamente subir o bajar. El saldo proyectado se expresa después de los cargos administrativos del producto. Si se rescata de forma anticipada el Saldo Sujeto a Retiro, el valor estimado ilustrado le da una indicación de lo que podrá recibir, por lo tanto, para obtener los máximos beneficios de esta inversión, la aportación debería ser realizada por la duración del plazo contratado. En caso de fallecimiento se entregará a los beneficiarios el Saldo del Fondo menos el Bono de fidelidad exento de impuestos.</v>
      </c>
      <c r="AJ25" s="537"/>
      <c r="AK25" s="537"/>
      <c r="AL25" s="537"/>
      <c r="AM25" s="537"/>
      <c r="AN25" s="537"/>
      <c r="AO25" s="532" t="str">
        <f>+'No Deducible 93'!AK42</f>
        <v>La presente ilustración se ofrece únicamente a modo de guía y no debe ser considerada como un contrato desde el punto de vista legal. Para mayores detalles vea el folleto del cliente y las Condiciones de la Póliza. La presente ilustración se ofrece únicamente a modo de guía y no debe ser considerada como un contrato desde el punto de vista legal. Para mayores detalles vea el folleto del cliente y las Condiciones de la Póliza.</v>
      </c>
      <c r="AP25" s="533"/>
      <c r="AQ25" s="533"/>
      <c r="AR25" s="533"/>
      <c r="AS25" s="533"/>
    </row>
    <row r="26" spans="1:62">
      <c r="A26" s="27">
        <f t="shared" si="3"/>
        <v>1.8333333333333333</v>
      </c>
      <c r="B26" s="28">
        <f>'OptiMaxx plus'!$T$7+A26</f>
        <v>30.833333333333332</v>
      </c>
      <c r="C26" s="24">
        <f t="shared" si="4"/>
        <v>22</v>
      </c>
      <c r="D26" s="25">
        <f>+'No Deducible 93'!AD45</f>
        <v>356124.5881389468</v>
      </c>
      <c r="E26" s="25">
        <f>+'Deducible 151'!AD45</f>
        <v>354407.65649000159</v>
      </c>
      <c r="F26" s="25">
        <f>+'Deducible 185'!AD45</f>
        <v>356124.5881389468</v>
      </c>
      <c r="H26" s="24">
        <f t="shared" si="5"/>
        <v>22</v>
      </c>
      <c r="I26" s="25">
        <f>+'No Deducible 93'!Y45</f>
        <v>40381.166564108113</v>
      </c>
      <c r="J26" s="25">
        <f>+'Deducible 151'!Y45</f>
        <v>40314.085267948409</v>
      </c>
      <c r="K26" s="25">
        <f>+'Deducible 185'!Y45</f>
        <v>40381.166564108113</v>
      </c>
      <c r="M26" s="29">
        <f t="shared" si="6"/>
        <v>22</v>
      </c>
      <c r="N26" s="29">
        <f t="shared" si="7"/>
        <v>51</v>
      </c>
      <c r="O26" s="30">
        <f>VLOOKUP(M26,'OptiMaxx plus'!$C$31:$W$55,18,0)</f>
        <v>6458039.0866482621</v>
      </c>
      <c r="P26" s="30">
        <f>O26-BA77</f>
        <v>5930598.0672373241</v>
      </c>
      <c r="Q26" s="30">
        <f t="shared" si="8"/>
        <v>5166431.2693186104</v>
      </c>
      <c r="R26" s="30">
        <f t="shared" si="0"/>
        <v>4197725.406321371</v>
      </c>
      <c r="S26" s="12">
        <f t="shared" si="9"/>
        <v>22</v>
      </c>
      <c r="T26" s="29">
        <f t="shared" si="9"/>
        <v>22</v>
      </c>
      <c r="U26" s="25">
        <f>+'OptiMaxx plus'!G52</f>
        <v>120000</v>
      </c>
      <c r="V26" s="31">
        <f>+U26*'OptiMaxx plus'!$T$15:$X$15+(V25*(1+'Deducible 151'!$L$20))</f>
        <v>0</v>
      </c>
      <c r="W26" s="25">
        <f>+'OptiMaxx plus'!G52</f>
        <v>120000</v>
      </c>
      <c r="X26" s="27">
        <f>+X25*(1+'No Deducible 93'!$G$18)</f>
        <v>313772.69045911764</v>
      </c>
      <c r="Y26" s="32">
        <f>+Y25*(1+'No Deducible 93'!$G$18)</f>
        <v>346372.74645072321</v>
      </c>
      <c r="Z26" s="28">
        <f t="shared" si="1"/>
        <v>120000</v>
      </c>
      <c r="AA26" s="28">
        <f t="shared" si="2"/>
        <v>120000</v>
      </c>
      <c r="AB26" s="56">
        <f>IF($AB$4=185,AA26*'OptiMaxx plus'!$T$15,Z26*'OptiMaxx plus'!$T$15)+(AB25*(1+$AC$5))</f>
        <v>856832.99264207797</v>
      </c>
      <c r="AI26" s="537"/>
      <c r="AJ26" s="537"/>
      <c r="AK26" s="537"/>
      <c r="AL26" s="537"/>
      <c r="AM26" s="537"/>
      <c r="AN26" s="537"/>
      <c r="AO26" s="533"/>
      <c r="AP26" s="533"/>
      <c r="AQ26" s="533"/>
      <c r="AR26" s="533"/>
      <c r="AS26" s="533"/>
    </row>
    <row r="27" spans="1:62">
      <c r="A27" s="27">
        <f t="shared" si="3"/>
        <v>1.9166666666666667</v>
      </c>
      <c r="B27" s="28">
        <f>'OptiMaxx plus'!$T$7+A27</f>
        <v>30.916666666666668</v>
      </c>
      <c r="C27" s="24">
        <f t="shared" si="4"/>
        <v>23</v>
      </c>
      <c r="D27" s="25">
        <f>+'No Deducible 93'!AD46</f>
        <v>368498.96502869693</v>
      </c>
      <c r="E27" s="25">
        <f>+'Deducible 151'!AD46</f>
        <v>366719.12156526878</v>
      </c>
      <c r="F27" s="25">
        <f>+'Deducible 185'!AD46</f>
        <v>368498.96502869693</v>
      </c>
      <c r="H27" s="24">
        <f t="shared" si="5"/>
        <v>23</v>
      </c>
      <c r="I27" s="25">
        <f>+'No Deducible 93'!Y46</f>
        <v>50652.882148201046</v>
      </c>
      <c r="J27" s="25">
        <f>+'Deducible 151'!Y46</f>
        <v>50564.646061190331</v>
      </c>
      <c r="K27" s="25">
        <f>+'Deducible 185'!Y46</f>
        <v>50652.882148201046</v>
      </c>
      <c r="M27" s="29">
        <f t="shared" si="6"/>
        <v>23</v>
      </c>
      <c r="N27" s="29">
        <f t="shared" si="7"/>
        <v>52</v>
      </c>
      <c r="O27" s="30">
        <f>VLOOKUP(M27,'OptiMaxx plus'!$C$31:$W$55,18,0)</f>
        <v>7142386.9790247586</v>
      </c>
      <c r="P27" s="30">
        <f>O27-BB77</f>
        <v>6533963.4718163386</v>
      </c>
      <c r="Q27" s="30">
        <f t="shared" si="8"/>
        <v>5713909.5832198076</v>
      </c>
      <c r="R27" s="30">
        <f t="shared" si="0"/>
        <v>4642551.536366093</v>
      </c>
      <c r="S27" s="12">
        <f t="shared" si="9"/>
        <v>23</v>
      </c>
      <c r="T27" s="29">
        <f t="shared" si="9"/>
        <v>23</v>
      </c>
      <c r="U27" s="25">
        <f>+'OptiMaxx plus'!G53</f>
        <v>120000</v>
      </c>
      <c r="V27" s="31">
        <f>+U27*'OptiMaxx plus'!$T$15:$X$15+(V26*(1+'Deducible 151'!$L$20))</f>
        <v>0</v>
      </c>
      <c r="W27" s="25">
        <f>+'OptiMaxx plus'!G53</f>
        <v>120000</v>
      </c>
      <c r="X27" s="27">
        <f>+X26*(1+'No Deducible 93'!$G$18)</f>
        <v>326323.59807748237</v>
      </c>
      <c r="Y27" s="32">
        <f>+Y26*(1+'No Deducible 93'!$G$18)</f>
        <v>360227.65630875214</v>
      </c>
      <c r="Z27" s="28">
        <f t="shared" si="1"/>
        <v>120000</v>
      </c>
      <c r="AA27" s="28">
        <f t="shared" si="2"/>
        <v>120000</v>
      </c>
      <c r="AB27" s="56">
        <f>IF($AB$4=185,AA27*'OptiMaxx plus'!$T$15,Z27*'OptiMaxx plus'!$T$15)+(AB26*(1+$AC$5))</f>
        <v>954516.2919062858</v>
      </c>
      <c r="AD27" s="47" t="s">
        <v>119</v>
      </c>
      <c r="AI27" s="537"/>
      <c r="AJ27" s="537"/>
      <c r="AK27" s="537"/>
      <c r="AL27" s="537"/>
      <c r="AM27" s="537"/>
      <c r="AN27" s="537"/>
      <c r="AO27" s="533"/>
      <c r="AP27" s="533"/>
      <c r="AQ27" s="533"/>
      <c r="AR27" s="533"/>
      <c r="AS27" s="533"/>
    </row>
    <row r="28" spans="1:62">
      <c r="A28" s="27">
        <f t="shared" si="3"/>
        <v>2</v>
      </c>
      <c r="B28" s="28">
        <f>'OptiMaxx plus'!$T$7+A28</f>
        <v>31</v>
      </c>
      <c r="C28" s="24">
        <f t="shared" si="4"/>
        <v>24</v>
      </c>
      <c r="D28" s="25">
        <f>+'No Deducible 93'!AD47</f>
        <v>378078.12494931207</v>
      </c>
      <c r="E28" s="25">
        <f>+'Deducible 151'!AD47</f>
        <v>375974.76665515552</v>
      </c>
      <c r="F28" s="25">
        <f>+'Deducible 185'!AD47</f>
        <v>378078.12494931207</v>
      </c>
      <c r="H28" s="24">
        <f t="shared" si="5"/>
        <v>24</v>
      </c>
      <c r="I28" s="25">
        <f>+'No Deducible 93'!Y47</f>
        <v>60996.15221112068</v>
      </c>
      <c r="J28" s="25">
        <f>+'Deducible 151'!Y47</f>
        <v>60884.960797435378</v>
      </c>
      <c r="K28" s="25">
        <f>+'Deducible 185'!Y47</f>
        <v>60996.15221112068</v>
      </c>
      <c r="M28" s="29">
        <f t="shared" si="6"/>
        <v>24</v>
      </c>
      <c r="N28" s="29">
        <f t="shared" si="7"/>
        <v>53</v>
      </c>
      <c r="O28" s="30">
        <f>VLOOKUP(M28,'OptiMaxx plus'!$C$31:$W$55,18,0)</f>
        <v>7886095.7052532984</v>
      </c>
      <c r="P28" s="30">
        <f>O28-BC77</f>
        <v>7187098.8129106537</v>
      </c>
      <c r="Q28" s="30">
        <f t="shared" si="8"/>
        <v>6308876.5642026393</v>
      </c>
      <c r="R28" s="30">
        <f t="shared" si="0"/>
        <v>5125962.208414644</v>
      </c>
      <c r="S28" s="12">
        <f t="shared" si="9"/>
        <v>24</v>
      </c>
      <c r="T28" s="29">
        <f t="shared" si="9"/>
        <v>24</v>
      </c>
      <c r="U28" s="25">
        <f>+'OptiMaxx plus'!G54</f>
        <v>120000</v>
      </c>
      <c r="V28" s="31">
        <f>+U28*'OptiMaxx plus'!$T$15:$X$15+(V27*(1+'Deducible 151'!$L$20))</f>
        <v>0</v>
      </c>
      <c r="W28" s="25">
        <f>+'OptiMaxx plus'!G54</f>
        <v>120000</v>
      </c>
      <c r="X28" s="27">
        <f>+X27*(1+'No Deducible 93'!$G$18)</f>
        <v>339376.54200058168</v>
      </c>
      <c r="Y28" s="32">
        <f>+Y27*(1+'No Deducible 93'!$G$18)</f>
        <v>374636.76256110222</v>
      </c>
      <c r="Z28" s="28">
        <f t="shared" si="1"/>
        <v>120000</v>
      </c>
      <c r="AA28" s="28">
        <f t="shared" si="2"/>
        <v>120000</v>
      </c>
      <c r="AB28" s="56">
        <f>IF($AB$4=185,AA28*'OptiMaxx plus'!$T$15,Z28*'OptiMaxx plus'!$T$15)+(AB27*(1+$AC$5))</f>
        <v>1061967.9210969144</v>
      </c>
      <c r="AD28" s="55">
        <f>+'OptiMaxx plus'!AA24</f>
        <v>120000</v>
      </c>
      <c r="AI28" s="537"/>
      <c r="AJ28" s="537"/>
      <c r="AK28" s="537"/>
      <c r="AL28" s="537"/>
      <c r="AM28" s="537"/>
      <c r="AN28" s="537"/>
      <c r="AO28" s="533"/>
      <c r="AP28" s="533"/>
      <c r="AQ28" s="533"/>
      <c r="AR28" s="533"/>
      <c r="AS28" s="533"/>
    </row>
    <row r="29" spans="1:62">
      <c r="A29" s="27">
        <f t="shared" si="3"/>
        <v>2.0833333333333335</v>
      </c>
      <c r="B29" s="28">
        <f>'OptiMaxx plus'!$T$7+A29</f>
        <v>31.083333333333332</v>
      </c>
      <c r="C29" s="24">
        <f t="shared" si="4"/>
        <v>25</v>
      </c>
      <c r="D29" s="25">
        <f>+'No Deducible 93'!AD48</f>
        <v>390601.94256437104</v>
      </c>
      <c r="E29" s="25">
        <f>+'Deducible 151'!AD48</f>
        <v>388429.06701940333</v>
      </c>
      <c r="F29" s="25">
        <f>+'Deducible 185'!AD48</f>
        <v>390601.94256437104</v>
      </c>
      <c r="H29" s="24">
        <f t="shared" si="5"/>
        <v>25</v>
      </c>
      <c r="I29" s="25">
        <f>+'No Deducible 93'!Y48</f>
        <v>71408.305293265206</v>
      </c>
      <c r="J29" s="25">
        <f>+'Deducible 151'!Y48</f>
        <v>71271.83130286682</v>
      </c>
      <c r="K29" s="25">
        <f>+'Deducible 185'!Y48</f>
        <v>71408.305293265206</v>
      </c>
      <c r="M29" s="29">
        <f t="shared" si="6"/>
        <v>25</v>
      </c>
      <c r="N29" s="29">
        <f t="shared" si="7"/>
        <v>54</v>
      </c>
      <c r="O29" s="30">
        <f>VLOOKUP(M29,'OptiMaxx plus'!$C$31:$W$55,18,0)</f>
        <v>9560669.3351216335</v>
      </c>
      <c r="P29" s="30">
        <f>O29-BD77</f>
        <v>8760568.9814669937</v>
      </c>
      <c r="Q29" s="30">
        <f t="shared" si="8"/>
        <v>7648535.4680973068</v>
      </c>
      <c r="R29" s="30">
        <f t="shared" si="0"/>
        <v>6214435.0678290622</v>
      </c>
      <c r="S29" s="12">
        <f t="shared" si="9"/>
        <v>25</v>
      </c>
      <c r="T29" s="29">
        <f t="shared" si="9"/>
        <v>25</v>
      </c>
      <c r="U29" s="25">
        <f>+'OptiMaxx plus'!G55</f>
        <v>120000</v>
      </c>
      <c r="V29" s="31">
        <f>+U29*'OptiMaxx plus'!$T$15:$X$15+(V28*(1+'Deducible 151'!$L$20))</f>
        <v>0</v>
      </c>
      <c r="W29" s="25">
        <f>+'OptiMaxx plus'!G55</f>
        <v>120000</v>
      </c>
      <c r="X29" s="27">
        <f>+X28*(1+'No Deducible 93'!$G$18)</f>
        <v>352951.60368060495</v>
      </c>
      <c r="Y29" s="32">
        <f>+Y28*(1+'No Deducible 93'!$G$18)</f>
        <v>389622.2330635463</v>
      </c>
      <c r="Z29" s="28">
        <f t="shared" si="1"/>
        <v>120000</v>
      </c>
      <c r="AA29" s="28">
        <f t="shared" si="2"/>
        <v>120000</v>
      </c>
      <c r="AB29" s="56">
        <f>IF($AB$4=185,AA29*'OptiMaxx plus'!$T$15,Z29*'OptiMaxx plus'!$T$15)+(AB28*(1+$AC$5))</f>
        <v>1180164.713206606</v>
      </c>
      <c r="AI29" s="537"/>
      <c r="AJ29" s="537"/>
      <c r="AK29" s="537"/>
      <c r="AL29" s="537"/>
      <c r="AM29" s="537"/>
      <c r="AN29" s="537"/>
    </row>
    <row r="30" spans="1:62">
      <c r="A30" s="27">
        <f t="shared" si="3"/>
        <v>2.1666666666666665</v>
      </c>
      <c r="B30" s="28">
        <f>'OptiMaxx plus'!$T$7+A30</f>
        <v>31.166666666666668</v>
      </c>
      <c r="C30" s="24">
        <f t="shared" si="4"/>
        <v>26</v>
      </c>
      <c r="D30" s="25">
        <f>+'No Deducible 93'!AD49</f>
        <v>403212.40064068988</v>
      </c>
      <c r="E30" s="25">
        <f>+'Deducible 151'!AD49</f>
        <v>400967.64184924809</v>
      </c>
      <c r="F30" s="25">
        <f>+'Deducible 185'!AD49</f>
        <v>403212.40064068988</v>
      </c>
      <c r="H30" s="24">
        <f t="shared" si="5"/>
        <v>26</v>
      </c>
      <c r="I30" s="25">
        <f>+'No Deducible 93'!Y49</f>
        <v>81892.99116520102</v>
      </c>
      <c r="J30" s="25">
        <f>+'Deducible 151'!Y49</f>
        <v>81729.383323956848</v>
      </c>
      <c r="K30" s="25">
        <f>+'Deducible 185'!Y49</f>
        <v>81892.99116520102</v>
      </c>
      <c r="M30" s="12">
        <f t="shared" si="6"/>
        <v>26</v>
      </c>
      <c r="N30" s="12">
        <f t="shared" si="7"/>
        <v>55</v>
      </c>
      <c r="O30" s="14"/>
      <c r="Q30" s="14"/>
      <c r="T30" s="12">
        <f t="shared" si="9"/>
        <v>26</v>
      </c>
      <c r="U30" s="13"/>
      <c r="V30" s="13"/>
      <c r="W30" s="13"/>
      <c r="X30" s="17"/>
      <c r="Y30" s="19"/>
      <c r="Z30" s="18"/>
      <c r="AA30" s="17"/>
      <c r="AI30" s="533"/>
      <c r="AJ30" s="533"/>
      <c r="AK30" s="533"/>
      <c r="AL30" s="533"/>
      <c r="AM30" s="533"/>
      <c r="AN30" s="533"/>
    </row>
    <row r="31" spans="1:62">
      <c r="A31" s="27">
        <f t="shared" si="3"/>
        <v>2.25</v>
      </c>
      <c r="B31" s="28">
        <f>'OptiMaxx plus'!$T$7+A31</f>
        <v>31.25</v>
      </c>
      <c r="C31" s="24">
        <f t="shared" si="4"/>
        <v>27</v>
      </c>
      <c r="D31" s="25">
        <f>+'No Deducible 93'!AD50</f>
        <v>412997.80026543158</v>
      </c>
      <c r="E31" s="25">
        <f>+'Deducible 151'!AD50</f>
        <v>410421.27879526489</v>
      </c>
      <c r="F31" s="25">
        <f>+'Deducible 185'!AD50</f>
        <v>412997.80026543158</v>
      </c>
      <c r="H31" s="24">
        <f t="shared" si="5"/>
        <v>27</v>
      </c>
      <c r="I31" s="25">
        <f>+'No Deducible 93'!Y50</f>
        <v>92450.715102403148</v>
      </c>
      <c r="J31" s="25">
        <f>+'Deducible 151'!Y50</f>
        <v>92258.097840674644</v>
      </c>
      <c r="K31" s="25">
        <f>+'Deducible 185'!Y50</f>
        <v>92450.715102403148</v>
      </c>
      <c r="M31" s="12">
        <f t="shared" si="6"/>
        <v>27</v>
      </c>
      <c r="N31" s="12">
        <f t="shared" si="7"/>
        <v>56</v>
      </c>
      <c r="O31" s="14"/>
      <c r="P31" s="14"/>
      <c r="Q31" s="13"/>
      <c r="T31" s="12">
        <f t="shared" si="9"/>
        <v>27</v>
      </c>
      <c r="U31" s="13"/>
      <c r="V31" s="13"/>
      <c r="W31" s="13"/>
      <c r="X31" s="17"/>
      <c r="Y31" s="19"/>
      <c r="Z31" s="18"/>
      <c r="AA31" s="17"/>
      <c r="AI31" s="533"/>
      <c r="AJ31" s="533"/>
      <c r="AK31" s="533"/>
      <c r="AL31" s="533"/>
      <c r="AM31" s="533"/>
      <c r="AN31" s="533"/>
    </row>
    <row r="32" spans="1:62">
      <c r="A32" s="27">
        <f t="shared" si="3"/>
        <v>2.3333333333333335</v>
      </c>
      <c r="B32" s="28">
        <f>'OptiMaxx plus'!$T$7+A32</f>
        <v>31.333333333333332</v>
      </c>
      <c r="C32" s="24">
        <f t="shared" si="4"/>
        <v>28</v>
      </c>
      <c r="D32" s="25">
        <f>+'No Deducible 93'!AD51</f>
        <v>425763.94720287656</v>
      </c>
      <c r="E32" s="25">
        <f>+'Deducible 151'!AD51</f>
        <v>423109.25210595084</v>
      </c>
      <c r="F32" s="25">
        <f>+'Deducible 185'!AD51</f>
        <v>425763.94720287656</v>
      </c>
      <c r="H32" s="24">
        <f t="shared" si="5"/>
        <v>28</v>
      </c>
      <c r="I32" s="25">
        <f>+'No Deducible 93'!Y51</f>
        <v>103081.98590017964</v>
      </c>
      <c r="J32" s="25">
        <f>+'Deducible 151'!Y51</f>
        <v>102858.45910600541</v>
      </c>
      <c r="K32" s="25">
        <f>+'Deducible 185'!Y51</f>
        <v>103081.98590017964</v>
      </c>
      <c r="M32" s="12">
        <f t="shared" si="6"/>
        <v>28</v>
      </c>
      <c r="N32" s="12">
        <f t="shared" si="7"/>
        <v>57</v>
      </c>
      <c r="O32" s="14"/>
      <c r="P32" s="14"/>
      <c r="Q32" s="13"/>
      <c r="T32" s="12">
        <f t="shared" si="9"/>
        <v>28</v>
      </c>
      <c r="U32" s="13"/>
      <c r="V32" s="13"/>
      <c r="W32" s="13"/>
      <c r="X32" s="17"/>
      <c r="Y32" s="19"/>
      <c r="Z32" s="18"/>
      <c r="AA32" s="17"/>
      <c r="AH32" s="21"/>
      <c r="AI32" s="533"/>
      <c r="AJ32" s="533"/>
      <c r="AK32" s="533"/>
      <c r="AL32" s="533"/>
      <c r="AM32" s="533"/>
      <c r="AN32" s="533"/>
    </row>
    <row r="33" spans="1:56">
      <c r="A33" s="27">
        <f t="shared" si="3"/>
        <v>2.4166666666666665</v>
      </c>
      <c r="B33" s="28">
        <f>'OptiMaxx plus'!$T$7+A33</f>
        <v>31.416666666666668</v>
      </c>
      <c r="C33" s="24">
        <f t="shared" si="4"/>
        <v>29</v>
      </c>
      <c r="D33" s="25">
        <f>+'No Deducible 93'!AD52</f>
        <v>438618.41696078621</v>
      </c>
      <c r="E33" s="25">
        <f>+'Deducible 151'!AD52</f>
        <v>435883.08546382049</v>
      </c>
      <c r="F33" s="25">
        <f>+'Deducible 185'!AD52</f>
        <v>438618.41696078621</v>
      </c>
      <c r="H33" s="24">
        <f t="shared" si="5"/>
        <v>29</v>
      </c>
      <c r="I33" s="25">
        <f>+'No Deducible 93'!Y52</f>
        <v>113787.31589819126</v>
      </c>
      <c r="J33" s="25">
        <f>+'Deducible 151'!Y52</f>
        <v>113530.95466822282</v>
      </c>
      <c r="K33" s="25">
        <f>+'Deducible 185'!Y52</f>
        <v>113787.31589819126</v>
      </c>
      <c r="M33" s="12">
        <f t="shared" si="6"/>
        <v>29</v>
      </c>
      <c r="N33" s="12">
        <f t="shared" si="7"/>
        <v>58</v>
      </c>
      <c r="O33" s="14"/>
      <c r="P33" s="14"/>
      <c r="Q33" s="13"/>
      <c r="T33" s="12">
        <f t="shared" si="9"/>
        <v>29</v>
      </c>
      <c r="U33" s="13"/>
      <c r="V33" s="13"/>
      <c r="W33" s="13"/>
      <c r="X33" s="17"/>
      <c r="Y33" s="19"/>
      <c r="Z33" s="18"/>
      <c r="AA33" s="17"/>
    </row>
    <row r="34" spans="1:56">
      <c r="A34" s="27">
        <f t="shared" si="3"/>
        <v>2.5</v>
      </c>
      <c r="B34" s="28">
        <f>'OptiMaxx plus'!$T$7+A34</f>
        <v>31.5</v>
      </c>
      <c r="C34" s="24">
        <f t="shared" si="4"/>
        <v>30</v>
      </c>
      <c r="D34" s="25">
        <f>+'No Deducible 93'!AD53</f>
        <v>448617.69425982342</v>
      </c>
      <c r="E34" s="25">
        <f>+'Deducible 151'!AD53</f>
        <v>445542.61891755217</v>
      </c>
      <c r="F34" s="25">
        <f>+'Deducible 185'!AD53</f>
        <v>448617.69425982342</v>
      </c>
      <c r="H34" s="24">
        <f t="shared" si="5"/>
        <v>30</v>
      </c>
      <c r="I34" s="25">
        <f>+'No Deducible 93'!Y53</f>
        <v>124567.22100514201</v>
      </c>
      <c r="J34" s="25">
        <f>+'Deducible 151'!Y53</f>
        <v>124276.07539331316</v>
      </c>
      <c r="K34" s="25">
        <f>+'Deducible 185'!Y53</f>
        <v>124567.22100514201</v>
      </c>
      <c r="M34" s="12">
        <f t="shared" si="6"/>
        <v>30</v>
      </c>
      <c r="N34" s="12">
        <f t="shared" si="7"/>
        <v>59</v>
      </c>
      <c r="O34" s="14"/>
      <c r="P34" s="14"/>
      <c r="Q34" s="13"/>
      <c r="T34" s="12">
        <f t="shared" si="9"/>
        <v>30</v>
      </c>
      <c r="U34" s="13"/>
      <c r="V34" s="13"/>
      <c r="W34" s="13"/>
      <c r="X34" s="17"/>
      <c r="Y34" s="19"/>
      <c r="Z34" s="18"/>
      <c r="AA34" s="17"/>
    </row>
    <row r="35" spans="1:56">
      <c r="A35" s="27">
        <f t="shared" si="3"/>
        <v>2.5833333333333335</v>
      </c>
      <c r="B35" s="28">
        <f>'OptiMaxx plus'!$T$7+A35</f>
        <v>31.583333333333332</v>
      </c>
      <c r="C35" s="24">
        <f t="shared" si="4"/>
        <v>31</v>
      </c>
      <c r="D35" s="25">
        <f>+'No Deducible 93'!AD54</f>
        <v>461631.03951795853</v>
      </c>
      <c r="E35" s="25">
        <f>+'Deducible 151'!AD54</f>
        <v>458468.85032508592</v>
      </c>
      <c r="F35" s="25">
        <f>+'Deducible 185'!AD54</f>
        <v>461631.03951795853</v>
      </c>
      <c r="H35" s="24">
        <f t="shared" si="5"/>
        <v>31</v>
      </c>
      <c r="I35" s="25">
        <f>+'No Deducible 93'!Y54</f>
        <v>135422.22072364177</v>
      </c>
      <c r="J35" s="25">
        <f>+'Deducible 151'!Y54</f>
        <v>135094.31548755197</v>
      </c>
      <c r="K35" s="25">
        <f>+'Deducible 185'!Y54</f>
        <v>135422.22072364177</v>
      </c>
      <c r="M35" s="12">
        <f t="shared" si="6"/>
        <v>31</v>
      </c>
      <c r="N35" s="12">
        <f t="shared" si="7"/>
        <v>60</v>
      </c>
      <c r="O35" s="14"/>
      <c r="P35" s="14"/>
      <c r="Q35" s="13"/>
      <c r="T35" s="12">
        <f t="shared" si="9"/>
        <v>31</v>
      </c>
      <c r="U35" s="13"/>
      <c r="V35" s="13"/>
      <c r="W35" s="13"/>
      <c r="X35" s="17"/>
      <c r="Y35" s="19"/>
      <c r="Z35" s="18"/>
      <c r="AA35" s="17"/>
      <c r="AF35" s="11" t="s">
        <v>124</v>
      </c>
      <c r="AG35" s="16">
        <f>+'No Deducible 93'!G18</f>
        <v>0.04</v>
      </c>
    </row>
    <row r="36" spans="1:56">
      <c r="A36" s="27">
        <f t="shared" si="3"/>
        <v>2.6666666666666665</v>
      </c>
      <c r="B36" s="28">
        <f>'OptiMaxx plus'!$T$7+A36</f>
        <v>31.666666666666668</v>
      </c>
      <c r="C36" s="24">
        <f t="shared" si="4"/>
        <v>32</v>
      </c>
      <c r="D36" s="25">
        <f>+'No Deducible 93'!AD55</f>
        <v>474734.42381919653</v>
      </c>
      <c r="E36" s="25">
        <f>+'Deducible 151'!AD55</f>
        <v>471482.55851955916</v>
      </c>
      <c r="F36" s="25">
        <f>+'Deducible 185'!AD55</f>
        <v>474734.42381919653</v>
      </c>
      <c r="H36" s="24">
        <f t="shared" si="5"/>
        <v>32</v>
      </c>
      <c r="I36" s="25">
        <f>+'No Deducible 93'!Y55</f>
        <v>146352.83817524195</v>
      </c>
      <c r="J36" s="25">
        <f>+'Deducible 151'!Y55</f>
        <v>145986.17252023431</v>
      </c>
      <c r="K36" s="25">
        <f>+'Deducible 185'!Y55</f>
        <v>146352.83817524195</v>
      </c>
      <c r="M36" s="12">
        <f t="shared" si="6"/>
        <v>32</v>
      </c>
      <c r="N36" s="12">
        <f t="shared" si="7"/>
        <v>61</v>
      </c>
      <c r="O36" s="14"/>
      <c r="P36" s="14"/>
      <c r="Q36" s="13"/>
      <c r="T36" s="12">
        <f t="shared" si="9"/>
        <v>32</v>
      </c>
      <c r="U36" s="13"/>
      <c r="V36" s="13"/>
      <c r="W36" s="13"/>
      <c r="X36" s="17"/>
      <c r="Y36" s="19"/>
      <c r="Z36" s="18"/>
      <c r="AA36" s="17"/>
      <c r="AB36" s="84" t="s">
        <v>41</v>
      </c>
      <c r="AC36" s="84">
        <v>12</v>
      </c>
      <c r="AF36" s="11" t="s">
        <v>5</v>
      </c>
      <c r="AG36" s="13">
        <f>+'No Deducible 93'!G3</f>
        <v>10000</v>
      </c>
    </row>
    <row r="37" spans="1:56">
      <c r="A37" s="27">
        <f t="shared" si="3"/>
        <v>2.75</v>
      </c>
      <c r="B37" s="28">
        <f>'OptiMaxx plus'!$T$7+A37</f>
        <v>31.75</v>
      </c>
      <c r="C37" s="24">
        <f t="shared" si="4"/>
        <v>33</v>
      </c>
      <c r="D37" s="25">
        <f>+'No Deducible 93'!AD56</f>
        <v>484952.16415880353</v>
      </c>
      <c r="E37" s="25">
        <f>+'Deducible 151'!AD56</f>
        <v>481352.33370200807</v>
      </c>
      <c r="F37" s="25">
        <f>+'Deducible 185'!AD56</f>
        <v>484952.16415880353</v>
      </c>
      <c r="H37" s="24">
        <f t="shared" si="5"/>
        <v>33</v>
      </c>
      <c r="I37" s="25">
        <f>+'No Deducible 93'!Y56</f>
        <v>157359.60012564569</v>
      </c>
      <c r="J37" s="25">
        <f>+'Deducible 151'!Y56</f>
        <v>156952.14744655977</v>
      </c>
      <c r="K37" s="25">
        <f>+'Deducible 185'!Y56</f>
        <v>157359.60012564569</v>
      </c>
      <c r="M37" s="12">
        <f t="shared" si="6"/>
        <v>33</v>
      </c>
      <c r="N37" s="12">
        <f t="shared" si="7"/>
        <v>62</v>
      </c>
      <c r="O37" s="14"/>
      <c r="P37" s="14"/>
      <c r="Q37" s="13"/>
      <c r="T37" s="12">
        <f t="shared" si="9"/>
        <v>33</v>
      </c>
      <c r="U37" s="13"/>
      <c r="V37" s="13"/>
      <c r="W37" s="13"/>
      <c r="X37" s="94"/>
      <c r="Y37" s="19"/>
      <c r="Z37" s="18"/>
      <c r="AA37" s="17"/>
      <c r="AB37" s="84" t="s">
        <v>44</v>
      </c>
      <c r="AC37" s="84">
        <v>4</v>
      </c>
      <c r="AF37" s="11" t="s">
        <v>127</v>
      </c>
      <c r="AG37" s="90" t="str">
        <f>'No Deducible 93'!G4</f>
        <v>Mensual</v>
      </c>
    </row>
    <row r="38" spans="1:56">
      <c r="A38" s="27">
        <f t="shared" si="3"/>
        <v>2.8333333333333335</v>
      </c>
      <c r="B38" s="28">
        <f>'OptiMaxx plus'!$T$7+A38</f>
        <v>31.833333333333332</v>
      </c>
      <c r="C38" s="24">
        <f t="shared" si="4"/>
        <v>34</v>
      </c>
      <c r="D38" s="25">
        <f>+'No Deducible 93'!AD57</f>
        <v>498217.67666642624</v>
      </c>
      <c r="E38" s="25">
        <f>+'Deducible 151'!AD57</f>
        <v>494521.50047389424</v>
      </c>
      <c r="F38" s="25">
        <f>+'Deducible 185'!AD57</f>
        <v>498217.67666642624</v>
      </c>
      <c r="H38" s="24">
        <f t="shared" si="5"/>
        <v>34</v>
      </c>
      <c r="I38" s="25">
        <f>+'No Deducible 93'!Y57</f>
        <v>168443.0370100936</v>
      </c>
      <c r="J38" s="25">
        <f>+'Deducible 151'!Y57</f>
        <v>167992.7446306732</v>
      </c>
      <c r="K38" s="25">
        <f>+'Deducible 185'!Y57</f>
        <v>168443.0370100936</v>
      </c>
      <c r="M38" s="12">
        <f t="shared" si="6"/>
        <v>34</v>
      </c>
      <c r="N38" s="12">
        <f t="shared" si="7"/>
        <v>63</v>
      </c>
      <c r="O38" s="14"/>
      <c r="P38" s="14"/>
      <c r="Q38" s="13"/>
      <c r="T38" s="12">
        <f t="shared" si="9"/>
        <v>34</v>
      </c>
      <c r="U38" s="13"/>
      <c r="V38" s="13"/>
      <c r="W38" s="13"/>
      <c r="X38" s="17"/>
      <c r="Y38" s="19"/>
      <c r="Z38" s="18"/>
      <c r="AA38" s="17"/>
      <c r="AB38" s="84" t="s">
        <v>47</v>
      </c>
      <c r="AC38" s="84">
        <v>2</v>
      </c>
      <c r="AF38" s="11" t="s">
        <v>20</v>
      </c>
      <c r="AG38" s="90" t="str">
        <f>'No Deducible 93'!G17</f>
        <v>No</v>
      </c>
    </row>
    <row r="39" spans="1:56">
      <c r="A39" s="27">
        <f t="shared" si="3"/>
        <v>2.9166666666666665</v>
      </c>
      <c r="B39" s="28">
        <f>'OptiMaxx plus'!$T$7+A39</f>
        <v>31.916666666666668</v>
      </c>
      <c r="C39" s="24">
        <f t="shared" si="4"/>
        <v>35</v>
      </c>
      <c r="D39" s="25">
        <f>+'No Deducible 93'!AD58</f>
        <v>511574.97899883369</v>
      </c>
      <c r="E39" s="25">
        <f>+'Deducible 151'!AD58</f>
        <v>507779.79255707865</v>
      </c>
      <c r="F39" s="25">
        <f>+'Deducible 185'!AD58</f>
        <v>511574.97899883369</v>
      </c>
      <c r="H39" s="24">
        <f t="shared" si="5"/>
        <v>35</v>
      </c>
      <c r="I39" s="25">
        <f>+'No Deducible 93'!Y58</f>
        <v>179603.68295892637</v>
      </c>
      <c r="J39" s="25">
        <f>+'Deducible 151'!Y58</f>
        <v>179108.47186886222</v>
      </c>
      <c r="K39" s="25">
        <f>+'Deducible 185'!Y58</f>
        <v>179603.68295892637</v>
      </c>
      <c r="M39" s="12">
        <f t="shared" si="6"/>
        <v>35</v>
      </c>
      <c r="N39" s="12">
        <f t="shared" si="7"/>
        <v>64</v>
      </c>
      <c r="O39" s="14"/>
      <c r="P39" s="14"/>
      <c r="Q39" s="13"/>
      <c r="T39" s="12">
        <f t="shared" si="9"/>
        <v>35</v>
      </c>
      <c r="U39" s="13"/>
      <c r="V39" s="13"/>
      <c r="W39" s="13"/>
      <c r="X39" s="17"/>
      <c r="Y39" s="19"/>
      <c r="Z39" s="18"/>
      <c r="AA39" s="17"/>
      <c r="AB39" s="84" t="s">
        <v>49</v>
      </c>
      <c r="AC39" s="84">
        <v>1</v>
      </c>
      <c r="AE39" s="95"/>
      <c r="AG39" s="17"/>
    </row>
    <row r="40" spans="1:56">
      <c r="A40" s="27">
        <f t="shared" si="3"/>
        <v>3</v>
      </c>
      <c r="B40" s="28">
        <f>'OptiMaxx plus'!$T$7+A40</f>
        <v>32</v>
      </c>
      <c r="C40" s="24">
        <f t="shared" si="4"/>
        <v>36</v>
      </c>
      <c r="D40" s="25">
        <f>+'No Deducible 93'!AD59</f>
        <v>522015.86514907889</v>
      </c>
      <c r="E40" s="25">
        <f>+'Deducible 151'!AD59</f>
        <v>517864.24510758801</v>
      </c>
      <c r="F40" s="25">
        <f>+'Deducible 185'!AD59</f>
        <v>522015.86514907889</v>
      </c>
      <c r="H40" s="24">
        <f t="shared" si="5"/>
        <v>36</v>
      </c>
      <c r="I40" s="25">
        <f>+'No Deducible 93'!Y59</f>
        <v>190842.07582332552</v>
      </c>
      <c r="J40" s="25">
        <f>+'Deducible 151'!Y59</f>
        <v>190299.84041291248</v>
      </c>
      <c r="K40" s="25">
        <f>+'Deducible 185'!Y59</f>
        <v>190842.07582332552</v>
      </c>
      <c r="M40" s="12">
        <f t="shared" si="6"/>
        <v>36</v>
      </c>
      <c r="N40" s="12">
        <f t="shared" si="7"/>
        <v>65</v>
      </c>
      <c r="O40" s="14"/>
      <c r="P40" s="14"/>
      <c r="Q40" s="13"/>
      <c r="T40" s="12">
        <f t="shared" si="9"/>
        <v>36</v>
      </c>
      <c r="U40" s="13"/>
      <c r="V40" s="13"/>
      <c r="W40" s="13"/>
      <c r="X40" s="17"/>
      <c r="Y40" s="19"/>
      <c r="Z40" s="18"/>
      <c r="AA40" s="17"/>
      <c r="AC40" s="92" t="s">
        <v>130</v>
      </c>
      <c r="AD40" s="47" t="s">
        <v>0</v>
      </c>
      <c r="AE40" s="96" t="s">
        <v>125</v>
      </c>
      <c r="AF40" s="47" t="s">
        <v>126</v>
      </c>
      <c r="AG40" s="47" t="s">
        <v>126</v>
      </c>
      <c r="AH40" s="47" t="s">
        <v>126</v>
      </c>
      <c r="AI40" s="47" t="s">
        <v>126</v>
      </c>
      <c r="AJ40" s="47" t="s">
        <v>126</v>
      </c>
      <c r="AK40" s="47" t="s">
        <v>126</v>
      </c>
      <c r="AL40" s="47" t="s">
        <v>126</v>
      </c>
      <c r="AM40" s="47" t="s">
        <v>126</v>
      </c>
      <c r="AN40" s="47" t="s">
        <v>126</v>
      </c>
      <c r="AO40" s="47" t="s">
        <v>126</v>
      </c>
      <c r="AP40" s="47" t="s">
        <v>126</v>
      </c>
      <c r="AQ40" s="47" t="s">
        <v>126</v>
      </c>
      <c r="AR40" s="47" t="s">
        <v>126</v>
      </c>
      <c r="AS40" s="47" t="s">
        <v>126</v>
      </c>
      <c r="AT40" s="47" t="s">
        <v>126</v>
      </c>
      <c r="AU40" s="47" t="s">
        <v>126</v>
      </c>
      <c r="AV40" s="47" t="s">
        <v>126</v>
      </c>
      <c r="AW40" s="47" t="s">
        <v>126</v>
      </c>
      <c r="AX40" s="47" t="s">
        <v>126</v>
      </c>
      <c r="AY40" s="47" t="s">
        <v>126</v>
      </c>
      <c r="AZ40" s="47" t="s">
        <v>126</v>
      </c>
      <c r="BA40" s="47" t="s">
        <v>126</v>
      </c>
      <c r="BB40" s="47" t="s">
        <v>126</v>
      </c>
      <c r="BC40" s="47" t="s">
        <v>126</v>
      </c>
      <c r="BD40" s="47" t="s">
        <v>126</v>
      </c>
    </row>
    <row r="41" spans="1:56">
      <c r="A41" s="27">
        <f t="shared" si="3"/>
        <v>3.0833333333333335</v>
      </c>
      <c r="B41" s="28">
        <f>'OptiMaxx plus'!$T$7+A41</f>
        <v>32.083333333333336</v>
      </c>
      <c r="C41" s="24">
        <f t="shared" si="4"/>
        <v>37</v>
      </c>
      <c r="D41" s="25">
        <f>+'No Deducible 93'!AD60</f>
        <v>535535.31912351761</v>
      </c>
      <c r="E41" s="25">
        <f>+'Deducible 151'!AD60</f>
        <v>531277.29874560877</v>
      </c>
      <c r="F41" s="25">
        <f>+'Deducible 185'!AD60</f>
        <v>535535.31912351761</v>
      </c>
      <c r="H41" s="24">
        <f t="shared" si="5"/>
        <v>37</v>
      </c>
      <c r="I41" s="25">
        <f>+'No Deducible 93'!Y60</f>
        <v>202155.46048443328</v>
      </c>
      <c r="J41" s="25">
        <f>+'Deducible 151'!Y60</f>
        <v>201563.54523819618</v>
      </c>
      <c r="K41" s="25">
        <f>+'Deducible 185'!Y60</f>
        <v>202155.46048443328</v>
      </c>
      <c r="M41" s="12">
        <f t="shared" si="6"/>
        <v>37</v>
      </c>
      <c r="N41" s="12">
        <f t="shared" si="7"/>
        <v>66</v>
      </c>
      <c r="O41" s="14"/>
      <c r="P41" s="14"/>
      <c r="Q41" s="13"/>
      <c r="T41" s="12">
        <f t="shared" si="9"/>
        <v>37</v>
      </c>
      <c r="U41" s="13"/>
      <c r="V41" s="13"/>
      <c r="W41" s="13"/>
      <c r="X41" s="17"/>
      <c r="Y41" s="19"/>
      <c r="Z41" s="18"/>
      <c r="AA41" s="17"/>
      <c r="AC41" s="93"/>
      <c r="AD41" s="47"/>
      <c r="AE41" s="96"/>
      <c r="AF41" s="53">
        <v>1</v>
      </c>
      <c r="AG41" s="53">
        <v>2</v>
      </c>
      <c r="AH41" s="53">
        <v>3</v>
      </c>
      <c r="AI41" s="53">
        <v>4</v>
      </c>
      <c r="AJ41" s="53">
        <v>5</v>
      </c>
      <c r="AK41" s="53">
        <v>6</v>
      </c>
      <c r="AL41" s="53">
        <v>7</v>
      </c>
      <c r="AM41" s="53">
        <v>8</v>
      </c>
      <c r="AN41" s="53">
        <v>9</v>
      </c>
      <c r="AO41" s="53">
        <v>10</v>
      </c>
      <c r="AP41" s="53">
        <v>11</v>
      </c>
      <c r="AQ41" s="53">
        <v>12</v>
      </c>
      <c r="AR41" s="53">
        <v>13</v>
      </c>
      <c r="AS41" s="53">
        <v>14</v>
      </c>
      <c r="AT41" s="53">
        <v>15</v>
      </c>
      <c r="AU41" s="53">
        <v>16</v>
      </c>
      <c r="AV41" s="53">
        <v>17</v>
      </c>
      <c r="AW41" s="53">
        <v>18</v>
      </c>
      <c r="AX41" s="53">
        <v>19</v>
      </c>
      <c r="AY41" s="53">
        <v>20</v>
      </c>
      <c r="AZ41" s="53">
        <v>21</v>
      </c>
      <c r="BA41" s="53">
        <v>22</v>
      </c>
      <c r="BB41" s="53">
        <v>23</v>
      </c>
      <c r="BC41" s="53">
        <v>24</v>
      </c>
      <c r="BD41" s="53">
        <v>25</v>
      </c>
    </row>
    <row r="42" spans="1:56">
      <c r="A42" s="27">
        <f t="shared" si="3"/>
        <v>3.1666666666666665</v>
      </c>
      <c r="B42" s="28">
        <f>'OptiMaxx plus'!$T$7+A42</f>
        <v>32.166666666666664</v>
      </c>
      <c r="C42" s="24">
        <f t="shared" si="4"/>
        <v>38</v>
      </c>
      <c r="D42" s="25">
        <f>+'No Deducible 93'!AD61</f>
        <v>549148.32600804744</v>
      </c>
      <c r="E42" s="25">
        <f>+'Deducible 151'!AD61</f>
        <v>544781.1326500451</v>
      </c>
      <c r="F42" s="25">
        <f>+'Deducible 185'!AD61</f>
        <v>549148.32600804744</v>
      </c>
      <c r="H42" s="24">
        <f t="shared" si="5"/>
        <v>38</v>
      </c>
      <c r="I42" s="25">
        <f>+'No Deducible 93'!Y61</f>
        <v>213547.6560643758</v>
      </c>
      <c r="J42" s="25">
        <f>+'Deducible 151'!Y61</f>
        <v>212903.8983406068</v>
      </c>
      <c r="K42" s="25">
        <f>+'Deducible 185'!Y61</f>
        <v>213547.6560643758</v>
      </c>
      <c r="M42" s="12">
        <f t="shared" si="6"/>
        <v>38</v>
      </c>
      <c r="N42" s="12">
        <f t="shared" si="7"/>
        <v>67</v>
      </c>
      <c r="O42" s="14"/>
      <c r="P42" s="14"/>
      <c r="Q42" s="13"/>
      <c r="T42" s="12">
        <f t="shared" si="9"/>
        <v>38</v>
      </c>
      <c r="U42" s="13"/>
      <c r="V42" s="13"/>
      <c r="W42" s="13"/>
      <c r="X42" s="17"/>
      <c r="Y42" s="19"/>
      <c r="Z42" s="18"/>
      <c r="AA42" s="17"/>
      <c r="AC42" s="99">
        <f>+D16-Bono!J35</f>
        <v>122225.84785710416</v>
      </c>
      <c r="AD42" s="47">
        <v>1</v>
      </c>
      <c r="AE42" s="97">
        <f>VLOOKUP(AG37,AB36:AC39,2,0)*AG36</f>
        <v>120000</v>
      </c>
      <c r="AF42" s="100">
        <f>+AE42</f>
        <v>120000</v>
      </c>
      <c r="AG42" s="89">
        <f>+$AE$42*((1+$AG$35))^AF41</f>
        <v>124800</v>
      </c>
      <c r="AH42" s="89">
        <f>+$AE$42*((1+$AG$35))^AG41</f>
        <v>129792.00000000001</v>
      </c>
      <c r="AI42" s="89">
        <f t="shared" ref="AI42:BD42" si="10">+$AE$42*((1+$AG$35))^AH41</f>
        <v>134983.68000000002</v>
      </c>
      <c r="AJ42" s="89">
        <f t="shared" si="10"/>
        <v>140383.02720000001</v>
      </c>
      <c r="AK42" s="89">
        <f t="shared" si="10"/>
        <v>145998.34828800004</v>
      </c>
      <c r="AL42" s="89">
        <f t="shared" si="10"/>
        <v>151838.28221952004</v>
      </c>
      <c r="AM42" s="89">
        <f t="shared" si="10"/>
        <v>157911.81350830084</v>
      </c>
      <c r="AN42" s="89">
        <f t="shared" si="10"/>
        <v>164228.2860486329</v>
      </c>
      <c r="AO42" s="89">
        <f t="shared" si="10"/>
        <v>170797.41749057823</v>
      </c>
      <c r="AP42" s="89">
        <f t="shared" si="10"/>
        <v>177629.31419020134</v>
      </c>
      <c r="AQ42" s="89">
        <f t="shared" si="10"/>
        <v>184734.48675780938</v>
      </c>
      <c r="AR42" s="89">
        <f t="shared" si="10"/>
        <v>192123.8662281218</v>
      </c>
      <c r="AS42" s="89">
        <f t="shared" si="10"/>
        <v>199808.82087724668</v>
      </c>
      <c r="AT42" s="89">
        <f t="shared" si="10"/>
        <v>207801.17371233655</v>
      </c>
      <c r="AU42" s="89">
        <f t="shared" si="10"/>
        <v>216113.22066083</v>
      </c>
      <c r="AV42" s="89">
        <f t="shared" si="10"/>
        <v>224757.74948726324</v>
      </c>
      <c r="AW42" s="89">
        <f t="shared" si="10"/>
        <v>233748.0594667538</v>
      </c>
      <c r="AX42" s="89">
        <f t="shared" si="10"/>
        <v>243097.98184542396</v>
      </c>
      <c r="AY42" s="89">
        <f t="shared" si="10"/>
        <v>252821.90111924091</v>
      </c>
      <c r="AZ42" s="89">
        <f t="shared" si="10"/>
        <v>262934.77716401056</v>
      </c>
      <c r="BA42" s="89">
        <f t="shared" si="10"/>
        <v>273452.16825057106</v>
      </c>
      <c r="BB42" s="89">
        <f t="shared" si="10"/>
        <v>284390.25498059386</v>
      </c>
      <c r="BC42" s="89">
        <f t="shared" si="10"/>
        <v>295765.8651798176</v>
      </c>
      <c r="BD42" s="89">
        <f t="shared" si="10"/>
        <v>307596.49978701031</v>
      </c>
    </row>
    <row r="43" spans="1:56">
      <c r="A43" s="27">
        <f t="shared" si="3"/>
        <v>3.25</v>
      </c>
      <c r="B43" s="28">
        <f>'OptiMaxx plus'!$T$7+A43</f>
        <v>32.25</v>
      </c>
      <c r="C43" s="24">
        <f t="shared" si="4"/>
        <v>39</v>
      </c>
      <c r="D43" s="25">
        <f>+'No Deducible 93'!AD62</f>
        <v>559813.7973947291</v>
      </c>
      <c r="E43" s="25">
        <f>+'Deducible 151'!AD62</f>
        <v>555080.91857723566</v>
      </c>
      <c r="F43" s="25">
        <f>+'Deducible 185'!AD62</f>
        <v>559813.7973947291</v>
      </c>
      <c r="H43" s="24">
        <f t="shared" si="5"/>
        <v>39</v>
      </c>
      <c r="I43" s="25">
        <f>+'No Deducible 93'!Y62</f>
        <v>225019.21157311904</v>
      </c>
      <c r="J43" s="25">
        <f>+'Deducible 151'!Y62</f>
        <v>224321.42130327155</v>
      </c>
      <c r="K43" s="25">
        <f>+'Deducible 185'!Y62</f>
        <v>225019.21157311904</v>
      </c>
      <c r="M43" s="12">
        <f t="shared" si="6"/>
        <v>39</v>
      </c>
      <c r="N43" s="12">
        <f t="shared" si="7"/>
        <v>68</v>
      </c>
      <c r="O43" s="14"/>
      <c r="P43" s="14"/>
      <c r="Q43" s="13"/>
      <c r="T43" s="12">
        <f t="shared" si="9"/>
        <v>39</v>
      </c>
      <c r="U43" s="13"/>
      <c r="V43" s="13"/>
      <c r="W43" s="13"/>
      <c r="X43" s="17"/>
      <c r="Y43" s="19"/>
      <c r="Z43" s="18"/>
      <c r="AA43" s="17"/>
      <c r="AC43" s="99">
        <f>+D28-Bono!J47</f>
        <v>251218.02606444966</v>
      </c>
      <c r="AD43" s="47">
        <v>2</v>
      </c>
      <c r="AE43" s="97">
        <f>IF($AG$38="Si",AE42*(1+$AG$35),AE42)</f>
        <v>120000</v>
      </c>
      <c r="AF43" s="89"/>
      <c r="AG43" s="100">
        <f>+AE43</f>
        <v>120000</v>
      </c>
      <c r="AH43" s="89">
        <f>+$AE$43*((1+$AG$35))^AF41</f>
        <v>124800</v>
      </c>
      <c r="AI43" s="89">
        <f>+$AE$43*((1+$AG$35))^AG41</f>
        <v>129792.00000000001</v>
      </c>
      <c r="AJ43" s="89">
        <f t="shared" ref="AJ43:BD43" si="11">+$AE$43*((1+$AG$35))^AH41</f>
        <v>134983.68000000002</v>
      </c>
      <c r="AK43" s="89">
        <f t="shared" si="11"/>
        <v>140383.02720000001</v>
      </c>
      <c r="AL43" s="89">
        <f t="shared" si="11"/>
        <v>145998.34828800004</v>
      </c>
      <c r="AM43" s="89">
        <f t="shared" si="11"/>
        <v>151838.28221952004</v>
      </c>
      <c r="AN43" s="89">
        <f t="shared" si="11"/>
        <v>157911.81350830084</v>
      </c>
      <c r="AO43" s="89">
        <f t="shared" si="11"/>
        <v>164228.2860486329</v>
      </c>
      <c r="AP43" s="89">
        <f t="shared" si="11"/>
        <v>170797.41749057823</v>
      </c>
      <c r="AQ43" s="89">
        <f t="shared" si="11"/>
        <v>177629.31419020134</v>
      </c>
      <c r="AR43" s="89">
        <f t="shared" si="11"/>
        <v>184734.48675780938</v>
      </c>
      <c r="AS43" s="89">
        <f t="shared" si="11"/>
        <v>192123.8662281218</v>
      </c>
      <c r="AT43" s="89">
        <f t="shared" si="11"/>
        <v>199808.82087724668</v>
      </c>
      <c r="AU43" s="89">
        <f t="shared" si="11"/>
        <v>207801.17371233655</v>
      </c>
      <c r="AV43" s="89">
        <f t="shared" si="11"/>
        <v>216113.22066083</v>
      </c>
      <c r="AW43" s="89">
        <f t="shared" si="11"/>
        <v>224757.74948726324</v>
      </c>
      <c r="AX43" s="89">
        <f t="shared" si="11"/>
        <v>233748.0594667538</v>
      </c>
      <c r="AY43" s="89">
        <f t="shared" si="11"/>
        <v>243097.98184542396</v>
      </c>
      <c r="AZ43" s="89">
        <f t="shared" si="11"/>
        <v>252821.90111924091</v>
      </c>
      <c r="BA43" s="89">
        <f t="shared" si="11"/>
        <v>262934.77716401056</v>
      </c>
      <c r="BB43" s="89">
        <f t="shared" si="11"/>
        <v>273452.16825057106</v>
      </c>
      <c r="BC43" s="89">
        <f t="shared" si="11"/>
        <v>284390.25498059386</v>
      </c>
      <c r="BD43" s="89">
        <f t="shared" si="11"/>
        <v>295765.8651798176</v>
      </c>
    </row>
    <row r="44" spans="1:56">
      <c r="A44" s="27">
        <f t="shared" si="3"/>
        <v>3.3333333333333335</v>
      </c>
      <c r="B44" s="28">
        <f>'OptiMaxx plus'!$T$7+A44</f>
        <v>32.333333333333336</v>
      </c>
      <c r="C44" s="24">
        <f t="shared" si="4"/>
        <v>40</v>
      </c>
      <c r="D44" s="25">
        <f>+'No Deducible 93'!AD63</f>
        <v>573595.59523293818</v>
      </c>
      <c r="E44" s="25">
        <f>+'Deducible 151'!AD63</f>
        <v>568746.46748372889</v>
      </c>
      <c r="F44" s="25">
        <f>+'Deducible 185'!AD63</f>
        <v>573595.59523293818</v>
      </c>
      <c r="H44" s="24">
        <f t="shared" si="5"/>
        <v>40</v>
      </c>
      <c r="I44" s="25">
        <f>+'No Deducible 93'!Y63</f>
        <v>236570.67984512364</v>
      </c>
      <c r="J44" s="25">
        <f>+'Deducible 151'!Y63</f>
        <v>235816.63925863363</v>
      </c>
      <c r="K44" s="25">
        <f>+'Deducible 185'!Y63</f>
        <v>236570.67984512364</v>
      </c>
      <c r="M44" s="12">
        <f t="shared" si="6"/>
        <v>40</v>
      </c>
      <c r="N44" s="12">
        <f t="shared" si="7"/>
        <v>69</v>
      </c>
      <c r="O44" s="14"/>
      <c r="P44" s="14"/>
      <c r="Q44" s="13"/>
      <c r="T44" s="12">
        <f t="shared" si="9"/>
        <v>40</v>
      </c>
      <c r="U44" s="13"/>
      <c r="V44" s="13"/>
      <c r="W44" s="13"/>
      <c r="X44" s="17"/>
      <c r="Y44" s="19"/>
      <c r="Z44" s="18"/>
      <c r="AA44" s="17"/>
      <c r="AC44" s="99">
        <f>+D40-Bono!J59</f>
        <v>390245.96169864887</v>
      </c>
      <c r="AD44" s="47">
        <v>3</v>
      </c>
      <c r="AE44" s="97">
        <f t="shared" ref="AE44:AE66" si="12">IF($AG$38="Si",AE43*(1+$AG$35),AE43)</f>
        <v>120000</v>
      </c>
      <c r="AF44" s="89"/>
      <c r="AG44" s="89"/>
      <c r="AH44" s="100">
        <f>+AE44</f>
        <v>120000</v>
      </c>
      <c r="AI44" s="89">
        <f>+$AE$44*((1+$AG$35))^AF41</f>
        <v>124800</v>
      </c>
      <c r="AJ44" s="89">
        <f>+$AE$44*((1+$AG$35))^AG41</f>
        <v>129792.00000000001</v>
      </c>
      <c r="AK44" s="89">
        <f t="shared" ref="AK44:BD44" si="13">+$AE$44*((1+$AG$35))^AH41</f>
        <v>134983.68000000002</v>
      </c>
      <c r="AL44" s="89">
        <f t="shared" si="13"/>
        <v>140383.02720000001</v>
      </c>
      <c r="AM44" s="89">
        <f t="shared" si="13"/>
        <v>145998.34828800004</v>
      </c>
      <c r="AN44" s="89">
        <f t="shared" si="13"/>
        <v>151838.28221952004</v>
      </c>
      <c r="AO44" s="89">
        <f t="shared" si="13"/>
        <v>157911.81350830084</v>
      </c>
      <c r="AP44" s="89">
        <f t="shared" si="13"/>
        <v>164228.2860486329</v>
      </c>
      <c r="AQ44" s="89">
        <f t="shared" si="13"/>
        <v>170797.41749057823</v>
      </c>
      <c r="AR44" s="89">
        <f t="shared" si="13"/>
        <v>177629.31419020134</v>
      </c>
      <c r="AS44" s="89">
        <f t="shared" si="13"/>
        <v>184734.48675780938</v>
      </c>
      <c r="AT44" s="89">
        <f t="shared" si="13"/>
        <v>192123.8662281218</v>
      </c>
      <c r="AU44" s="89">
        <f t="shared" si="13"/>
        <v>199808.82087724668</v>
      </c>
      <c r="AV44" s="89">
        <f t="shared" si="13"/>
        <v>207801.17371233655</v>
      </c>
      <c r="AW44" s="89">
        <f t="shared" si="13"/>
        <v>216113.22066083</v>
      </c>
      <c r="AX44" s="89">
        <f t="shared" si="13"/>
        <v>224757.74948726324</v>
      </c>
      <c r="AY44" s="89">
        <f t="shared" si="13"/>
        <v>233748.0594667538</v>
      </c>
      <c r="AZ44" s="89">
        <f t="shared" si="13"/>
        <v>243097.98184542396</v>
      </c>
      <c r="BA44" s="89">
        <f t="shared" si="13"/>
        <v>252821.90111924091</v>
      </c>
      <c r="BB44" s="89">
        <f t="shared" si="13"/>
        <v>262934.77716401056</v>
      </c>
      <c r="BC44" s="89">
        <f t="shared" si="13"/>
        <v>273452.16825057106</v>
      </c>
      <c r="BD44" s="89">
        <f t="shared" si="13"/>
        <v>284390.25498059386</v>
      </c>
    </row>
    <row r="45" spans="1:56">
      <c r="A45" s="27">
        <f t="shared" si="3"/>
        <v>3.4166666666666665</v>
      </c>
      <c r="B45" s="28">
        <f>'OptiMaxx plus'!$T$7+A45</f>
        <v>32.416666666666664</v>
      </c>
      <c r="C45" s="24">
        <f t="shared" si="4"/>
        <v>41</v>
      </c>
      <c r="D45" s="25">
        <f>+'No Deducible 93'!AD64</f>
        <v>587472.7675426373</v>
      </c>
      <c r="E45" s="25">
        <f>+'Deducible 151'!AD64</f>
        <v>582504.51014646213</v>
      </c>
      <c r="F45" s="25">
        <f>+'Deducible 185'!AD64</f>
        <v>587472.7675426373</v>
      </c>
      <c r="H45" s="24">
        <f t="shared" si="5"/>
        <v>41</v>
      </c>
      <c r="I45" s="25">
        <f>+'No Deducible 93'!Y64</f>
        <v>248202.61756598708</v>
      </c>
      <c r="J45" s="25">
        <f>+'Deducible 151'!Y64</f>
        <v>247390.08091260502</v>
      </c>
      <c r="K45" s="25">
        <f>+'Deducible 185'!Y64</f>
        <v>248202.61756598708</v>
      </c>
      <c r="M45" s="12">
        <f t="shared" si="6"/>
        <v>41</v>
      </c>
      <c r="N45" s="12">
        <f t="shared" si="7"/>
        <v>70</v>
      </c>
      <c r="O45" s="14"/>
      <c r="P45" s="14"/>
      <c r="Q45" s="13"/>
      <c r="T45" s="12">
        <f t="shared" si="9"/>
        <v>41</v>
      </c>
      <c r="U45" s="13"/>
      <c r="V45" s="13"/>
      <c r="W45" s="13"/>
      <c r="X45" s="17"/>
      <c r="Y45" s="19"/>
      <c r="Z45" s="18"/>
      <c r="AA45" s="17"/>
      <c r="AC45" s="99">
        <f>+D52-Bono!J71</f>
        <v>540956.02271255758</v>
      </c>
      <c r="AD45" s="47">
        <v>4</v>
      </c>
      <c r="AE45" s="97">
        <f t="shared" si="12"/>
        <v>120000</v>
      </c>
      <c r="AF45" s="89"/>
      <c r="AG45" s="89"/>
      <c r="AH45" s="89"/>
      <c r="AI45" s="101">
        <f>+AE45</f>
        <v>120000</v>
      </c>
      <c r="AJ45" s="89">
        <f>+$AE$45*((1+$AG$35))^AF41</f>
        <v>124800</v>
      </c>
      <c r="AK45" s="89">
        <f>+$AE$45*((1+$AG$35))^AG41</f>
        <v>129792.00000000001</v>
      </c>
      <c r="AL45" s="89">
        <f t="shared" ref="AL45:BD45" si="14">+$AE$45*((1+$AG$35))^AH41</f>
        <v>134983.68000000002</v>
      </c>
      <c r="AM45" s="89">
        <f t="shared" si="14"/>
        <v>140383.02720000001</v>
      </c>
      <c r="AN45" s="89">
        <f t="shared" si="14"/>
        <v>145998.34828800004</v>
      </c>
      <c r="AO45" s="89">
        <f t="shared" si="14"/>
        <v>151838.28221952004</v>
      </c>
      <c r="AP45" s="89">
        <f t="shared" si="14"/>
        <v>157911.81350830084</v>
      </c>
      <c r="AQ45" s="89">
        <f t="shared" si="14"/>
        <v>164228.2860486329</v>
      </c>
      <c r="AR45" s="89">
        <f t="shared" si="14"/>
        <v>170797.41749057823</v>
      </c>
      <c r="AS45" s="89">
        <f t="shared" si="14"/>
        <v>177629.31419020134</v>
      </c>
      <c r="AT45" s="89">
        <f t="shared" si="14"/>
        <v>184734.48675780938</v>
      </c>
      <c r="AU45" s="89">
        <f t="shared" si="14"/>
        <v>192123.8662281218</v>
      </c>
      <c r="AV45" s="89">
        <f t="shared" si="14"/>
        <v>199808.82087724668</v>
      </c>
      <c r="AW45" s="89">
        <f t="shared" si="14"/>
        <v>207801.17371233655</v>
      </c>
      <c r="AX45" s="89">
        <f t="shared" si="14"/>
        <v>216113.22066083</v>
      </c>
      <c r="AY45" s="89">
        <f t="shared" si="14"/>
        <v>224757.74948726324</v>
      </c>
      <c r="AZ45" s="89">
        <f t="shared" si="14"/>
        <v>233748.0594667538</v>
      </c>
      <c r="BA45" s="89">
        <f t="shared" si="14"/>
        <v>243097.98184542396</v>
      </c>
      <c r="BB45" s="89">
        <f t="shared" si="14"/>
        <v>252821.90111924091</v>
      </c>
      <c r="BC45" s="89">
        <f t="shared" si="14"/>
        <v>262934.77716401056</v>
      </c>
      <c r="BD45" s="89">
        <f t="shared" si="14"/>
        <v>273452.16825057106</v>
      </c>
    </row>
    <row r="46" spans="1:56">
      <c r="A46" s="27">
        <f t="shared" si="3"/>
        <v>3.5</v>
      </c>
      <c r="B46" s="28">
        <f>'OptiMaxx plus'!$T$7+A46</f>
        <v>32.5</v>
      </c>
      <c r="C46" s="24">
        <f t="shared" si="4"/>
        <v>42</v>
      </c>
      <c r="D46" s="25">
        <f>+'No Deducible 93'!AD65</f>
        <v>598370.98042616877</v>
      </c>
      <c r="E46" s="25">
        <f>+'Deducible 151'!AD65</f>
        <v>593028.04390800884</v>
      </c>
      <c r="F46" s="25">
        <f>+'Deducible 185'!AD65</f>
        <v>598370.98042616877</v>
      </c>
      <c r="H46" s="24">
        <f t="shared" si="5"/>
        <v>42</v>
      </c>
      <c r="I46" s="25">
        <f>+'No Deducible 93'!Y65</f>
        <v>259915.58529927122</v>
      </c>
      <c r="J46" s="25">
        <f>+'Deducible 151'!Y65</f>
        <v>259042.27856888346</v>
      </c>
      <c r="K46" s="25">
        <f>+'Deducible 185'!Y65</f>
        <v>259915.58529927122</v>
      </c>
      <c r="M46" s="12">
        <f t="shared" si="6"/>
        <v>42</v>
      </c>
      <c r="N46" s="12">
        <f t="shared" si="7"/>
        <v>71</v>
      </c>
      <c r="O46" s="14"/>
      <c r="P46" s="14"/>
      <c r="Q46" s="13"/>
      <c r="T46" s="12">
        <f t="shared" si="9"/>
        <v>42</v>
      </c>
      <c r="U46" s="13"/>
      <c r="V46" s="13"/>
      <c r="W46" s="13"/>
      <c r="X46" s="17"/>
      <c r="Y46" s="19"/>
      <c r="Z46" s="18"/>
      <c r="AA46" s="17"/>
      <c r="AC46" s="99">
        <f>+D64-Bono!J83</f>
        <v>704344.3092365053</v>
      </c>
      <c r="AD46" s="47">
        <v>5</v>
      </c>
      <c r="AE46" s="97">
        <f t="shared" si="12"/>
        <v>120000</v>
      </c>
      <c r="AF46" s="89"/>
      <c r="AG46" s="89"/>
      <c r="AH46" s="89"/>
      <c r="AI46" s="89"/>
      <c r="AJ46" s="97">
        <f>+AE46</f>
        <v>120000</v>
      </c>
      <c r="AK46" s="97">
        <f>+$AE$46*((1+$AG$35))^AF41</f>
        <v>124800</v>
      </c>
      <c r="AL46" s="97">
        <f>+$AE$46*((1+$AG$35))^AG41</f>
        <v>129792.00000000001</v>
      </c>
      <c r="AM46" s="97">
        <f t="shared" ref="AM46:BD46" si="15">+$AE$46*((1+$AG$35))^AH41</f>
        <v>134983.68000000002</v>
      </c>
      <c r="AN46" s="97">
        <f t="shared" si="15"/>
        <v>140383.02720000001</v>
      </c>
      <c r="AO46" s="97">
        <f t="shared" si="15"/>
        <v>145998.34828800004</v>
      </c>
      <c r="AP46" s="97">
        <f t="shared" si="15"/>
        <v>151838.28221952004</v>
      </c>
      <c r="AQ46" s="97">
        <f t="shared" si="15"/>
        <v>157911.81350830084</v>
      </c>
      <c r="AR46" s="97">
        <f t="shared" si="15"/>
        <v>164228.2860486329</v>
      </c>
      <c r="AS46" s="97">
        <f t="shared" si="15"/>
        <v>170797.41749057823</v>
      </c>
      <c r="AT46" s="97">
        <f t="shared" si="15"/>
        <v>177629.31419020134</v>
      </c>
      <c r="AU46" s="97">
        <f t="shared" si="15"/>
        <v>184734.48675780938</v>
      </c>
      <c r="AV46" s="97">
        <f t="shared" si="15"/>
        <v>192123.8662281218</v>
      </c>
      <c r="AW46" s="97">
        <f t="shared" si="15"/>
        <v>199808.82087724668</v>
      </c>
      <c r="AX46" s="97">
        <f t="shared" si="15"/>
        <v>207801.17371233655</v>
      </c>
      <c r="AY46" s="97">
        <f t="shared" si="15"/>
        <v>216113.22066083</v>
      </c>
      <c r="AZ46" s="97">
        <f t="shared" si="15"/>
        <v>224757.74948726324</v>
      </c>
      <c r="BA46" s="97">
        <f t="shared" si="15"/>
        <v>233748.0594667538</v>
      </c>
      <c r="BB46" s="97">
        <f t="shared" si="15"/>
        <v>243097.98184542396</v>
      </c>
      <c r="BC46" s="97">
        <f t="shared" si="15"/>
        <v>252821.90111924091</v>
      </c>
      <c r="BD46" s="97">
        <f t="shared" si="15"/>
        <v>262934.77716401056</v>
      </c>
    </row>
    <row r="47" spans="1:56">
      <c r="A47" s="27">
        <f t="shared" si="3"/>
        <v>3.5833333333333335</v>
      </c>
      <c r="B47" s="28">
        <f>'OptiMaxx plus'!$T$7+A47</f>
        <v>32.583333333333336</v>
      </c>
      <c r="C47" s="24">
        <f t="shared" si="4"/>
        <v>43</v>
      </c>
      <c r="D47" s="25">
        <f>+'No Deducible 93'!AD66</f>
        <v>612420.40201174328</v>
      </c>
      <c r="E47" s="25">
        <f>+'Deducible 151'!AD66</f>
        <v>606951.05147763935</v>
      </c>
      <c r="F47" s="25">
        <f>+'Deducible 185'!AD66</f>
        <v>612420.40201174328</v>
      </c>
      <c r="H47" s="24">
        <f t="shared" si="5"/>
        <v>43</v>
      </c>
      <c r="I47" s="25">
        <f>+'No Deducible 93'!Y66</f>
        <v>271710.14751351695</v>
      </c>
      <c r="J47" s="25">
        <f>+'Deducible 151'!Y66</f>
        <v>270773.76815343497</v>
      </c>
      <c r="K47" s="25">
        <f>+'Deducible 185'!Y66</f>
        <v>271710.14751351695</v>
      </c>
      <c r="M47" s="12">
        <f t="shared" si="6"/>
        <v>43</v>
      </c>
      <c r="N47" s="12">
        <f t="shared" si="7"/>
        <v>72</v>
      </c>
      <c r="O47" s="14"/>
      <c r="P47" s="14"/>
      <c r="Q47" s="13"/>
      <c r="T47" s="12">
        <f t="shared" si="9"/>
        <v>43</v>
      </c>
      <c r="U47" s="13"/>
      <c r="V47" s="13"/>
      <c r="W47" s="13"/>
      <c r="X47" s="17"/>
      <c r="Y47" s="19"/>
      <c r="Z47" s="18"/>
      <c r="AA47" s="17"/>
      <c r="AC47" s="99">
        <f>+D76-Bono!J95</f>
        <v>881492.56332927896</v>
      </c>
      <c r="AD47" s="47">
        <v>6</v>
      </c>
      <c r="AE47" s="97">
        <f t="shared" si="12"/>
        <v>120000</v>
      </c>
      <c r="AF47" s="89"/>
      <c r="AG47" s="89"/>
      <c r="AH47" s="89"/>
      <c r="AI47" s="89"/>
      <c r="AJ47" s="89"/>
      <c r="AK47" s="97">
        <f>+AE47</f>
        <v>120000</v>
      </c>
      <c r="AL47" s="97">
        <f>+$AE$47*((1+$AG$35))^AF41</f>
        <v>124800</v>
      </c>
      <c r="AM47" s="97">
        <f>+$AE$47*((1+$AG$35))^AG41</f>
        <v>129792.00000000001</v>
      </c>
      <c r="AN47" s="97">
        <f t="shared" ref="AN47:BD47" si="16">+$AE$47*((1+$AG$35))^AH41</f>
        <v>134983.68000000002</v>
      </c>
      <c r="AO47" s="97">
        <f t="shared" si="16"/>
        <v>140383.02720000001</v>
      </c>
      <c r="AP47" s="97">
        <f t="shared" si="16"/>
        <v>145998.34828800004</v>
      </c>
      <c r="AQ47" s="97">
        <f t="shared" si="16"/>
        <v>151838.28221952004</v>
      </c>
      <c r="AR47" s="97">
        <f t="shared" si="16"/>
        <v>157911.81350830084</v>
      </c>
      <c r="AS47" s="97">
        <f t="shared" si="16"/>
        <v>164228.2860486329</v>
      </c>
      <c r="AT47" s="97">
        <f t="shared" si="16"/>
        <v>170797.41749057823</v>
      </c>
      <c r="AU47" s="97">
        <f t="shared" si="16"/>
        <v>177629.31419020134</v>
      </c>
      <c r="AV47" s="97">
        <f t="shared" si="16"/>
        <v>184734.48675780938</v>
      </c>
      <c r="AW47" s="97">
        <f t="shared" si="16"/>
        <v>192123.8662281218</v>
      </c>
      <c r="AX47" s="97">
        <f t="shared" si="16"/>
        <v>199808.82087724668</v>
      </c>
      <c r="AY47" s="97">
        <f t="shared" si="16"/>
        <v>207801.17371233655</v>
      </c>
      <c r="AZ47" s="97">
        <f t="shared" si="16"/>
        <v>216113.22066083</v>
      </c>
      <c r="BA47" s="97">
        <f t="shared" si="16"/>
        <v>224757.74948726324</v>
      </c>
      <c r="BB47" s="97">
        <f t="shared" si="16"/>
        <v>233748.0594667538</v>
      </c>
      <c r="BC47" s="97">
        <f t="shared" si="16"/>
        <v>243097.98184542396</v>
      </c>
      <c r="BD47" s="97">
        <f t="shared" si="16"/>
        <v>252821.90111924091</v>
      </c>
    </row>
    <row r="48" spans="1:56">
      <c r="A48" s="27">
        <f t="shared" si="3"/>
        <v>3.6666666666666665</v>
      </c>
      <c r="B48" s="28">
        <f>'OptiMaxx plus'!$T$7+A48</f>
        <v>32.666666666666664</v>
      </c>
      <c r="C48" s="24">
        <f t="shared" si="4"/>
        <v>44</v>
      </c>
      <c r="D48" s="25">
        <f>+'No Deducible 93'!AD67</f>
        <v>626567.05635381409</v>
      </c>
      <c r="E48" s="25">
        <f>+'Deducible 151'!AD67</f>
        <v>620968.30002373911</v>
      </c>
      <c r="F48" s="25">
        <f>+'Deducible 185'!AD67</f>
        <v>626567.05635381409</v>
      </c>
      <c r="H48" s="24">
        <f t="shared" si="5"/>
        <v>44</v>
      </c>
      <c r="I48" s="25">
        <f>+'No Deducible 93'!Y67</f>
        <v>283586.87260944687</v>
      </c>
      <c r="J48" s="25">
        <f>+'Deducible 151'!Y67</f>
        <v>282585.08923914324</v>
      </c>
      <c r="K48" s="25">
        <f>+'Deducible 185'!Y67</f>
        <v>283586.87260944687</v>
      </c>
      <c r="M48" s="12">
        <f t="shared" si="6"/>
        <v>44</v>
      </c>
      <c r="N48" s="12">
        <f t="shared" si="7"/>
        <v>73</v>
      </c>
      <c r="O48" s="14"/>
      <c r="P48" s="14"/>
      <c r="Q48" s="13"/>
      <c r="T48" s="12">
        <f t="shared" si="9"/>
        <v>44</v>
      </c>
      <c r="U48" s="13"/>
      <c r="V48" s="13"/>
      <c r="W48" s="13"/>
      <c r="X48" s="17"/>
      <c r="Y48" s="19"/>
      <c r="Z48" s="18"/>
      <c r="AA48" s="17"/>
      <c r="AC48" s="99">
        <f>+D88-Bono!J107</f>
        <v>1073575.5663990022</v>
      </c>
      <c r="AD48" s="47">
        <v>7</v>
      </c>
      <c r="AE48" s="97">
        <f t="shared" si="12"/>
        <v>120000</v>
      </c>
      <c r="AF48" s="89"/>
      <c r="AG48" s="89"/>
      <c r="AH48" s="89"/>
      <c r="AI48" s="89"/>
      <c r="AJ48" s="89"/>
      <c r="AK48" s="97"/>
      <c r="AL48" s="97">
        <f>+AE48</f>
        <v>120000</v>
      </c>
      <c r="AM48" s="97">
        <f>+$AE$48*((1+$AG$35))^AF41</f>
        <v>124800</v>
      </c>
      <c r="AN48" s="97">
        <f>+$AE$48*((1+$AG$35))^AG41</f>
        <v>129792.00000000001</v>
      </c>
      <c r="AO48" s="97">
        <f t="shared" ref="AO48:BD48" si="17">+$AE$48*((1+$AG$35))^AH41</f>
        <v>134983.68000000002</v>
      </c>
      <c r="AP48" s="97">
        <f t="shared" si="17"/>
        <v>140383.02720000001</v>
      </c>
      <c r="AQ48" s="97">
        <f t="shared" si="17"/>
        <v>145998.34828800004</v>
      </c>
      <c r="AR48" s="97">
        <f t="shared" si="17"/>
        <v>151838.28221952004</v>
      </c>
      <c r="AS48" s="97">
        <f t="shared" si="17"/>
        <v>157911.81350830084</v>
      </c>
      <c r="AT48" s="97">
        <f t="shared" si="17"/>
        <v>164228.2860486329</v>
      </c>
      <c r="AU48" s="97">
        <f t="shared" si="17"/>
        <v>170797.41749057823</v>
      </c>
      <c r="AV48" s="97">
        <f t="shared" si="17"/>
        <v>177629.31419020134</v>
      </c>
      <c r="AW48" s="97">
        <f t="shared" si="17"/>
        <v>184734.48675780938</v>
      </c>
      <c r="AX48" s="97">
        <f t="shared" si="17"/>
        <v>192123.8662281218</v>
      </c>
      <c r="AY48" s="97">
        <f t="shared" si="17"/>
        <v>199808.82087724668</v>
      </c>
      <c r="AZ48" s="97">
        <f t="shared" si="17"/>
        <v>207801.17371233655</v>
      </c>
      <c r="BA48" s="97">
        <f t="shared" si="17"/>
        <v>216113.22066083</v>
      </c>
      <c r="BB48" s="97">
        <f t="shared" si="17"/>
        <v>224757.74948726324</v>
      </c>
      <c r="BC48" s="97">
        <f t="shared" si="17"/>
        <v>233748.0594667538</v>
      </c>
      <c r="BD48" s="97">
        <f t="shared" si="17"/>
        <v>243097.98184542396</v>
      </c>
    </row>
    <row r="49" spans="1:56">
      <c r="A49" s="27">
        <f t="shared" si="3"/>
        <v>3.75</v>
      </c>
      <c r="B49" s="28">
        <f>'OptiMaxx plus'!$T$7+A49</f>
        <v>32.75</v>
      </c>
      <c r="C49" s="24">
        <f t="shared" si="4"/>
        <v>45</v>
      </c>
      <c r="D49" s="25">
        <f>+'No Deducible 93'!AD68</f>
        <v>637702.99676798284</v>
      </c>
      <c r="E49" s="25">
        <f>+'Deducible 151'!AD68</f>
        <v>631720.29824882303</v>
      </c>
      <c r="F49" s="25">
        <f>+'Deducible 185'!AD68</f>
        <v>637702.99676798284</v>
      </c>
      <c r="H49" s="24">
        <f t="shared" si="5"/>
        <v>45</v>
      </c>
      <c r="I49" s="25">
        <f>+'No Deducible 93'!Y68</f>
        <v>295546.33294735756</v>
      </c>
      <c r="J49" s="25">
        <f>+'Deducible 151'!Y68</f>
        <v>294476.78507062612</v>
      </c>
      <c r="K49" s="25">
        <f>+'Deducible 185'!Y68</f>
        <v>295546.33294735756</v>
      </c>
      <c r="M49" s="12">
        <f t="shared" si="6"/>
        <v>45</v>
      </c>
      <c r="N49" s="12">
        <f t="shared" si="7"/>
        <v>74</v>
      </c>
      <c r="O49" s="14"/>
      <c r="P49" s="14"/>
      <c r="Q49" s="13"/>
      <c r="T49" s="12">
        <f t="shared" si="9"/>
        <v>45</v>
      </c>
      <c r="U49" s="13"/>
      <c r="V49" s="13"/>
      <c r="W49" s="13"/>
      <c r="X49" s="17"/>
      <c r="Y49" s="19"/>
      <c r="Z49" s="18"/>
      <c r="AA49" s="17"/>
      <c r="AB49" s="19"/>
      <c r="AC49" s="99">
        <f>+D100-Bono!J119</f>
        <v>1281869.1772259111</v>
      </c>
      <c r="AD49" s="47">
        <v>8</v>
      </c>
      <c r="AE49" s="97">
        <f t="shared" si="12"/>
        <v>120000</v>
      </c>
      <c r="AF49" s="89"/>
      <c r="AG49" s="89"/>
      <c r="AH49" s="89"/>
      <c r="AI49" s="89"/>
      <c r="AJ49" s="89"/>
      <c r="AK49" s="97"/>
      <c r="AL49" s="97"/>
      <c r="AM49" s="97">
        <f>+AE49</f>
        <v>120000</v>
      </c>
      <c r="AN49" s="97">
        <f>+$AE$49*((1+$AG$35))^AF41</f>
        <v>124800</v>
      </c>
      <c r="AO49" s="97">
        <f>+$AE$49*((1+$AG$35))^AG41</f>
        <v>129792.00000000001</v>
      </c>
      <c r="AP49" s="97">
        <f t="shared" ref="AP49:BD49" si="18">+$AE$49*((1+$AG$35))^AH41</f>
        <v>134983.68000000002</v>
      </c>
      <c r="AQ49" s="97">
        <f t="shared" si="18"/>
        <v>140383.02720000001</v>
      </c>
      <c r="AR49" s="97">
        <f t="shared" si="18"/>
        <v>145998.34828800004</v>
      </c>
      <c r="AS49" s="97">
        <f t="shared" si="18"/>
        <v>151838.28221952004</v>
      </c>
      <c r="AT49" s="97">
        <f t="shared" si="18"/>
        <v>157911.81350830084</v>
      </c>
      <c r="AU49" s="97">
        <f t="shared" si="18"/>
        <v>164228.2860486329</v>
      </c>
      <c r="AV49" s="97">
        <f t="shared" si="18"/>
        <v>170797.41749057823</v>
      </c>
      <c r="AW49" s="97">
        <f t="shared" si="18"/>
        <v>177629.31419020134</v>
      </c>
      <c r="AX49" s="97">
        <f t="shared" si="18"/>
        <v>184734.48675780938</v>
      </c>
      <c r="AY49" s="97">
        <f t="shared" si="18"/>
        <v>192123.8662281218</v>
      </c>
      <c r="AZ49" s="97">
        <f t="shared" si="18"/>
        <v>199808.82087724668</v>
      </c>
      <c r="BA49" s="97">
        <f t="shared" si="18"/>
        <v>207801.17371233655</v>
      </c>
      <c r="BB49" s="97">
        <f t="shared" si="18"/>
        <v>216113.22066083</v>
      </c>
      <c r="BC49" s="97">
        <f t="shared" si="18"/>
        <v>224757.74948726324</v>
      </c>
      <c r="BD49" s="97">
        <f t="shared" si="18"/>
        <v>233748.0594667538</v>
      </c>
    </row>
    <row r="50" spans="1:56">
      <c r="A50" s="27">
        <f t="shared" si="3"/>
        <v>3.8333333333333335</v>
      </c>
      <c r="B50" s="28">
        <f>'OptiMaxx plus'!$T$7+A50</f>
        <v>32.833333333333336</v>
      </c>
      <c r="C50" s="24">
        <f t="shared" si="4"/>
        <v>46</v>
      </c>
      <c r="D50" s="25">
        <f>+'No Deducible 93'!AD69</f>
        <v>652025.43044737901</v>
      </c>
      <c r="E50" s="25">
        <f>+'Deducible 151'!AD69</f>
        <v>645905.8276834914</v>
      </c>
      <c r="F50" s="25">
        <f>+'Deducible 185'!AD69</f>
        <v>652025.43044737901</v>
      </c>
      <c r="H50" s="24">
        <f t="shared" si="5"/>
        <v>46</v>
      </c>
      <c r="I50" s="25">
        <f>+'No Deducible 93'!Y69</f>
        <v>307589.10487470258</v>
      </c>
      <c r="J50" s="25">
        <f>+'Deducible 151'!Y69</f>
        <v>306449.4025892216</v>
      </c>
      <c r="K50" s="25">
        <f>+'Deducible 185'!Y69</f>
        <v>307589.10487470258</v>
      </c>
      <c r="M50" s="12">
        <f t="shared" si="6"/>
        <v>46</v>
      </c>
      <c r="N50" s="12">
        <f t="shared" si="7"/>
        <v>75</v>
      </c>
      <c r="O50" s="14"/>
      <c r="P50" s="14"/>
      <c r="Q50" s="13"/>
      <c r="T50" s="12">
        <f t="shared" si="9"/>
        <v>46</v>
      </c>
      <c r="U50" s="13"/>
      <c r="V50" s="13"/>
      <c r="W50" s="13"/>
      <c r="X50" s="17"/>
      <c r="Y50" s="19"/>
      <c r="Z50" s="18"/>
      <c r="AA50" s="17"/>
      <c r="AC50" s="99">
        <f>+D112-Bono!J131</f>
        <v>1507759.0661405446</v>
      </c>
      <c r="AD50" s="47">
        <v>9</v>
      </c>
      <c r="AE50" s="97">
        <f t="shared" si="12"/>
        <v>120000</v>
      </c>
      <c r="AF50" s="89"/>
      <c r="AG50" s="89"/>
      <c r="AH50" s="89"/>
      <c r="AI50" s="89"/>
      <c r="AJ50" s="89"/>
      <c r="AK50" s="97"/>
      <c r="AL50" s="97"/>
      <c r="AM50" s="97"/>
      <c r="AN50" s="97">
        <f>+AE50</f>
        <v>120000</v>
      </c>
      <c r="AO50" s="97">
        <f>+$AE$50*((1+$AG$35))^AF41</f>
        <v>124800</v>
      </c>
      <c r="AP50" s="97">
        <f>+$AE$50*((1+$AG$35))^AG41</f>
        <v>129792.00000000001</v>
      </c>
      <c r="AQ50" s="97">
        <f t="shared" ref="AQ50:BD50" si="19">+$AE$50*((1+$AG$35))^AH41</f>
        <v>134983.68000000002</v>
      </c>
      <c r="AR50" s="97">
        <f t="shared" si="19"/>
        <v>140383.02720000001</v>
      </c>
      <c r="AS50" s="97">
        <f t="shared" si="19"/>
        <v>145998.34828800004</v>
      </c>
      <c r="AT50" s="97">
        <f t="shared" si="19"/>
        <v>151838.28221952004</v>
      </c>
      <c r="AU50" s="97">
        <f t="shared" si="19"/>
        <v>157911.81350830084</v>
      </c>
      <c r="AV50" s="97">
        <f t="shared" si="19"/>
        <v>164228.2860486329</v>
      </c>
      <c r="AW50" s="97">
        <f t="shared" si="19"/>
        <v>170797.41749057823</v>
      </c>
      <c r="AX50" s="97">
        <f t="shared" si="19"/>
        <v>177629.31419020134</v>
      </c>
      <c r="AY50" s="97">
        <f t="shared" si="19"/>
        <v>184734.48675780938</v>
      </c>
      <c r="AZ50" s="97">
        <f t="shared" si="19"/>
        <v>192123.8662281218</v>
      </c>
      <c r="BA50" s="97">
        <f t="shared" si="19"/>
        <v>199808.82087724668</v>
      </c>
      <c r="BB50" s="97">
        <f t="shared" si="19"/>
        <v>207801.17371233655</v>
      </c>
      <c r="BC50" s="97">
        <f t="shared" si="19"/>
        <v>216113.22066083</v>
      </c>
      <c r="BD50" s="97">
        <f t="shared" si="19"/>
        <v>224757.74948726324</v>
      </c>
    </row>
    <row r="51" spans="1:56">
      <c r="A51" s="27">
        <f t="shared" si="3"/>
        <v>3.9166666666666665</v>
      </c>
      <c r="B51" s="28">
        <f>'OptiMaxx plus'!$T$7+A51</f>
        <v>32.916666666666664</v>
      </c>
      <c r="C51" s="24">
        <f t="shared" si="4"/>
        <v>47</v>
      </c>
      <c r="D51" s="25">
        <f>+'No Deducible 93'!AD70</f>
        <v>666446.99264691269</v>
      </c>
      <c r="E51" s="25">
        <f>+'Deducible 151'!AD70</f>
        <v>660187.37972401152</v>
      </c>
      <c r="F51" s="25">
        <f>+'Deducible 185'!AD70</f>
        <v>666446.99264691269</v>
      </c>
      <c r="H51" s="24">
        <f t="shared" si="5"/>
        <v>47</v>
      </c>
      <c r="I51" s="25">
        <f>+'No Deducible 93'!Y70</f>
        <v>319715.7687538676</v>
      </c>
      <c r="J51" s="25">
        <f>+'Deducible 151'!Y70</f>
        <v>318503.49245814368</v>
      </c>
      <c r="K51" s="25">
        <f>+'Deducible 185'!Y70</f>
        <v>319715.7687538676</v>
      </c>
      <c r="M51" s="12">
        <f t="shared" si="6"/>
        <v>47</v>
      </c>
      <c r="N51" s="12">
        <f t="shared" si="7"/>
        <v>76</v>
      </c>
      <c r="O51" s="14"/>
      <c r="P51" s="14"/>
      <c r="Q51" s="13"/>
      <c r="T51" s="12">
        <f t="shared" si="9"/>
        <v>47</v>
      </c>
      <c r="U51" s="13"/>
      <c r="V51" s="13"/>
      <c r="W51" s="13"/>
      <c r="X51" s="17"/>
      <c r="Y51" s="19"/>
      <c r="Z51" s="18"/>
      <c r="AA51" s="17"/>
      <c r="AC51" s="99">
        <f>+D124-Bono!J143</f>
        <v>1752750.2057322541</v>
      </c>
      <c r="AD51" s="47">
        <v>10</v>
      </c>
      <c r="AE51" s="97">
        <f t="shared" si="12"/>
        <v>120000</v>
      </c>
      <c r="AF51" s="89"/>
      <c r="AG51" s="89"/>
      <c r="AH51" s="89"/>
      <c r="AI51" s="89"/>
      <c r="AJ51" s="89"/>
      <c r="AK51" s="97"/>
      <c r="AL51" s="97"/>
      <c r="AM51" s="97"/>
      <c r="AN51" s="97"/>
      <c r="AO51" s="97">
        <f>+AE51</f>
        <v>120000</v>
      </c>
      <c r="AP51" s="97">
        <f>+$AE$51*((1+$AG$35))^AF41</f>
        <v>124800</v>
      </c>
      <c r="AQ51" s="97">
        <f>+$AE$51*((1+$AG$35))^AG41</f>
        <v>129792.00000000001</v>
      </c>
      <c r="AR51" s="97">
        <f t="shared" ref="AR51:BD51" si="20">+$AE$51*((1+$AG$35))^AH41</f>
        <v>134983.68000000002</v>
      </c>
      <c r="AS51" s="97">
        <f t="shared" si="20"/>
        <v>140383.02720000001</v>
      </c>
      <c r="AT51" s="97">
        <f t="shared" si="20"/>
        <v>145998.34828800004</v>
      </c>
      <c r="AU51" s="97">
        <f t="shared" si="20"/>
        <v>151838.28221952004</v>
      </c>
      <c r="AV51" s="97">
        <f t="shared" si="20"/>
        <v>157911.81350830084</v>
      </c>
      <c r="AW51" s="97">
        <f t="shared" si="20"/>
        <v>164228.2860486329</v>
      </c>
      <c r="AX51" s="97">
        <f t="shared" si="20"/>
        <v>170797.41749057823</v>
      </c>
      <c r="AY51" s="97">
        <f t="shared" si="20"/>
        <v>177629.31419020134</v>
      </c>
      <c r="AZ51" s="97">
        <f t="shared" si="20"/>
        <v>184734.48675780938</v>
      </c>
      <c r="BA51" s="97">
        <f t="shared" si="20"/>
        <v>192123.8662281218</v>
      </c>
      <c r="BB51" s="97">
        <f t="shared" si="20"/>
        <v>199808.82087724668</v>
      </c>
      <c r="BC51" s="97">
        <f t="shared" si="20"/>
        <v>207801.17371233655</v>
      </c>
      <c r="BD51" s="97">
        <f t="shared" si="20"/>
        <v>216113.22066083</v>
      </c>
    </row>
    <row r="52" spans="1:56">
      <c r="A52" s="27">
        <f t="shared" si="3"/>
        <v>4</v>
      </c>
      <c r="B52" s="28">
        <f>'OptiMaxx plus'!$T$7+A52</f>
        <v>33</v>
      </c>
      <c r="C52" s="24">
        <f t="shared" si="4"/>
        <v>48</v>
      </c>
      <c r="D52" s="25">
        <f>+'No Deducible 93'!AD71</f>
        <v>677825.75250123197</v>
      </c>
      <c r="E52" s="25">
        <f>+'Deducible 151'!AD71</f>
        <v>671172.65713798802</v>
      </c>
      <c r="F52" s="25">
        <f>+'Deducible 185'!AD71</f>
        <v>677825.75250123197</v>
      </c>
      <c r="H52" s="24">
        <f t="shared" si="5"/>
        <v>48</v>
      </c>
      <c r="I52" s="25">
        <f>+'No Deducible 93'!Y71</f>
        <v>331926.90899013937</v>
      </c>
      <c r="J52" s="25">
        <f>+'Deducible 151'!Y71</f>
        <v>330639.60908780899</v>
      </c>
      <c r="K52" s="25">
        <f>+'Deducible 185'!Y71</f>
        <v>331926.90899013937</v>
      </c>
      <c r="M52" s="12">
        <f t="shared" si="6"/>
        <v>48</v>
      </c>
      <c r="N52" s="12">
        <f t="shared" si="7"/>
        <v>77</v>
      </c>
      <c r="O52" s="14"/>
      <c r="P52" s="14"/>
      <c r="Q52" s="13"/>
      <c r="T52" s="12">
        <f t="shared" si="9"/>
        <v>48</v>
      </c>
      <c r="U52" s="13"/>
      <c r="V52" s="13"/>
      <c r="W52" s="13"/>
      <c r="X52" s="17"/>
      <c r="Y52" s="19"/>
      <c r="Z52" s="18"/>
      <c r="AA52" s="17"/>
      <c r="AC52" s="99">
        <f>+D136-Bono!J155</f>
        <v>2018477.1837030002</v>
      </c>
      <c r="AD52" s="47">
        <v>11</v>
      </c>
      <c r="AE52" s="97">
        <f t="shared" si="12"/>
        <v>120000</v>
      </c>
      <c r="AF52" s="89"/>
      <c r="AG52" s="89"/>
      <c r="AH52" s="89"/>
      <c r="AI52" s="89"/>
      <c r="AJ52" s="89"/>
      <c r="AK52" s="97"/>
      <c r="AL52" s="97"/>
      <c r="AM52" s="97"/>
      <c r="AN52" s="97"/>
      <c r="AO52" s="97"/>
      <c r="AP52" s="97">
        <f>+AE52</f>
        <v>120000</v>
      </c>
      <c r="AQ52" s="97">
        <f>+$AE$52*((1+$AG$35))^AF41</f>
        <v>124800</v>
      </c>
      <c r="AR52" s="97">
        <f>+$AE$52*((1+$AG$35))^AG41</f>
        <v>129792.00000000001</v>
      </c>
      <c r="AS52" s="97">
        <f t="shared" ref="AS52:BD52" si="21">+$AE$52*((1+$AG$35))^AH41</f>
        <v>134983.68000000002</v>
      </c>
      <c r="AT52" s="97">
        <f t="shared" si="21"/>
        <v>140383.02720000001</v>
      </c>
      <c r="AU52" s="97">
        <f t="shared" si="21"/>
        <v>145998.34828800004</v>
      </c>
      <c r="AV52" s="97">
        <f t="shared" si="21"/>
        <v>151838.28221952004</v>
      </c>
      <c r="AW52" s="97">
        <f t="shared" si="21"/>
        <v>157911.81350830084</v>
      </c>
      <c r="AX52" s="97">
        <f t="shared" si="21"/>
        <v>164228.2860486329</v>
      </c>
      <c r="AY52" s="97">
        <f t="shared" si="21"/>
        <v>170797.41749057823</v>
      </c>
      <c r="AZ52" s="97">
        <f t="shared" si="21"/>
        <v>177629.31419020134</v>
      </c>
      <c r="BA52" s="97">
        <f t="shared" si="21"/>
        <v>184734.48675780938</v>
      </c>
      <c r="BB52" s="97">
        <f t="shared" si="21"/>
        <v>192123.8662281218</v>
      </c>
      <c r="BC52" s="97">
        <f t="shared" si="21"/>
        <v>199808.82087724668</v>
      </c>
      <c r="BD52" s="97">
        <f t="shared" si="21"/>
        <v>207801.17371233655</v>
      </c>
    </row>
    <row r="53" spans="1:56">
      <c r="A53" s="27">
        <f t="shared" si="3"/>
        <v>4.083333333333333</v>
      </c>
      <c r="B53" s="28">
        <f>'OptiMaxx plus'!$T$7+A53</f>
        <v>33.083333333333336</v>
      </c>
      <c r="C53" s="24">
        <f t="shared" si="4"/>
        <v>49</v>
      </c>
      <c r="D53" s="25">
        <f>+'No Deducible 93'!AD72</f>
        <v>692423.26875140821</v>
      </c>
      <c r="E53" s="25">
        <f>+'Deducible 151'!AD72</f>
        <v>685621.9009310347</v>
      </c>
      <c r="F53" s="25">
        <f>+'Deducible 185'!AD72</f>
        <v>692423.26875140821</v>
      </c>
      <c r="H53" s="24">
        <f t="shared" si="5"/>
        <v>49</v>
      </c>
      <c r="I53" s="25">
        <f>+'No Deducible 93'!Y72</f>
        <v>344219.68547439692</v>
      </c>
      <c r="J53" s="25">
        <f>+'Deducible 151'!Y72</f>
        <v>342854.33811569348</v>
      </c>
      <c r="K53" s="25">
        <f>+'Deducible 185'!Y72</f>
        <v>344219.68547439692</v>
      </c>
      <c r="M53" s="12">
        <f t="shared" si="6"/>
        <v>49</v>
      </c>
      <c r="N53" s="12">
        <f t="shared" si="7"/>
        <v>78</v>
      </c>
      <c r="O53" s="14"/>
      <c r="P53" s="14"/>
      <c r="Q53" s="13"/>
      <c r="T53" s="12">
        <f t="shared" si="9"/>
        <v>49</v>
      </c>
      <c r="U53" s="13"/>
      <c r="V53" s="13"/>
      <c r="W53" s="13"/>
      <c r="X53" s="17"/>
      <c r="Y53" s="19"/>
      <c r="Z53" s="18"/>
      <c r="AA53" s="17"/>
      <c r="AC53" s="99">
        <f>+D148-Bono!J167</f>
        <v>2306715.4091763864</v>
      </c>
      <c r="AD53" s="47">
        <v>12</v>
      </c>
      <c r="AE53" s="97">
        <f t="shared" si="12"/>
        <v>120000</v>
      </c>
      <c r="AF53" s="89"/>
      <c r="AG53" s="89"/>
      <c r="AH53" s="89"/>
      <c r="AI53" s="89"/>
      <c r="AJ53" s="89"/>
      <c r="AK53" s="97"/>
      <c r="AL53" s="97"/>
      <c r="AM53" s="97"/>
      <c r="AN53" s="97"/>
      <c r="AO53" s="97"/>
      <c r="AP53" s="97"/>
      <c r="AQ53" s="97">
        <f>+AE53</f>
        <v>120000</v>
      </c>
      <c r="AR53" s="97">
        <f>+$AE$53*((1+$AG$35))^AF41</f>
        <v>124800</v>
      </c>
      <c r="AS53" s="97">
        <f>+$AE$53*((1+$AG$35))^AG41</f>
        <v>129792.00000000001</v>
      </c>
      <c r="AT53" s="97">
        <f t="shared" ref="AT53:BD53" si="22">+$AE$53*((1+$AG$35))^AH41</f>
        <v>134983.68000000002</v>
      </c>
      <c r="AU53" s="97">
        <f t="shared" si="22"/>
        <v>140383.02720000001</v>
      </c>
      <c r="AV53" s="97">
        <f t="shared" si="22"/>
        <v>145998.34828800004</v>
      </c>
      <c r="AW53" s="97">
        <f t="shared" si="22"/>
        <v>151838.28221952004</v>
      </c>
      <c r="AX53" s="97">
        <f t="shared" si="22"/>
        <v>157911.81350830084</v>
      </c>
      <c r="AY53" s="97">
        <f t="shared" si="22"/>
        <v>164228.2860486329</v>
      </c>
      <c r="AZ53" s="97">
        <f t="shared" si="22"/>
        <v>170797.41749057823</v>
      </c>
      <c r="BA53" s="97">
        <f t="shared" si="22"/>
        <v>177629.31419020134</v>
      </c>
      <c r="BB53" s="97">
        <f t="shared" si="22"/>
        <v>184734.48675780938</v>
      </c>
      <c r="BC53" s="97">
        <f t="shared" si="22"/>
        <v>192123.8662281218</v>
      </c>
      <c r="BD53" s="97">
        <f t="shared" si="22"/>
        <v>199808.82087724668</v>
      </c>
    </row>
    <row r="54" spans="1:56">
      <c r="A54" s="27">
        <f t="shared" si="3"/>
        <v>4.166666666666667</v>
      </c>
      <c r="B54" s="28">
        <f>'OptiMaxx plus'!$T$7+A54</f>
        <v>33.166666666666664</v>
      </c>
      <c r="C54" s="24">
        <f t="shared" si="4"/>
        <v>50</v>
      </c>
      <c r="D54" s="25">
        <f>+'No Deducible 93'!AD73</f>
        <v>707121.8236506189</v>
      </c>
      <c r="E54" s="25">
        <f>+'Deducible 151'!AD73</f>
        <v>700168.95702828816</v>
      </c>
      <c r="F54" s="25">
        <f>+'Deducible 185'!AD73</f>
        <v>707121.8236506189</v>
      </c>
      <c r="H54" s="24">
        <f t="shared" si="5"/>
        <v>50</v>
      </c>
      <c r="I54" s="25">
        <f>+'No Deducible 93'!Y73</f>
        <v>356598.09548379085</v>
      </c>
      <c r="J54" s="25">
        <f>+'Deducible 151'!Y73</f>
        <v>355152.18703619606</v>
      </c>
      <c r="K54" s="25">
        <f>+'Deducible 185'!Y73</f>
        <v>356598.09548379085</v>
      </c>
      <c r="M54" s="12">
        <f t="shared" si="6"/>
        <v>50</v>
      </c>
      <c r="N54" s="12">
        <f t="shared" si="7"/>
        <v>79</v>
      </c>
      <c r="O54" s="14"/>
      <c r="P54" s="14"/>
      <c r="Q54" s="13"/>
      <c r="T54" s="12">
        <f t="shared" si="9"/>
        <v>50</v>
      </c>
      <c r="U54" s="13"/>
      <c r="V54" s="13"/>
      <c r="W54" s="13"/>
      <c r="X54" s="17"/>
      <c r="Y54" s="19"/>
      <c r="Z54" s="18"/>
      <c r="AA54" s="17"/>
      <c r="AC54" s="99">
        <f>+D160-Bono!J179</f>
        <v>2619393.2899614284</v>
      </c>
      <c r="AD54" s="47">
        <v>13</v>
      </c>
      <c r="AE54" s="97">
        <f t="shared" si="12"/>
        <v>120000</v>
      </c>
      <c r="AF54" s="89"/>
      <c r="AG54" s="89"/>
      <c r="AH54" s="89"/>
      <c r="AI54" s="89"/>
      <c r="AJ54" s="89"/>
      <c r="AK54" s="97"/>
      <c r="AL54" s="97"/>
      <c r="AM54" s="97"/>
      <c r="AN54" s="97"/>
      <c r="AO54" s="97"/>
      <c r="AP54" s="97"/>
      <c r="AQ54" s="97"/>
      <c r="AR54" s="97">
        <f>+AE54</f>
        <v>120000</v>
      </c>
      <c r="AS54" s="97">
        <f>+$AE$54*((1+$AG$35))^AF41</f>
        <v>124800</v>
      </c>
      <c r="AT54" s="97">
        <f>+$AE$54*((1+$AG$35))^AG41</f>
        <v>129792.00000000001</v>
      </c>
      <c r="AU54" s="97">
        <f t="shared" ref="AU54:BD54" si="23">+$AE$54*((1+$AG$35))^AH41</f>
        <v>134983.68000000002</v>
      </c>
      <c r="AV54" s="97">
        <f t="shared" si="23"/>
        <v>140383.02720000001</v>
      </c>
      <c r="AW54" s="97">
        <f t="shared" si="23"/>
        <v>145998.34828800004</v>
      </c>
      <c r="AX54" s="97">
        <f t="shared" si="23"/>
        <v>151838.28221952004</v>
      </c>
      <c r="AY54" s="97">
        <f t="shared" si="23"/>
        <v>157911.81350830084</v>
      </c>
      <c r="AZ54" s="97">
        <f t="shared" si="23"/>
        <v>164228.2860486329</v>
      </c>
      <c r="BA54" s="97">
        <f t="shared" si="23"/>
        <v>170797.41749057823</v>
      </c>
      <c r="BB54" s="97">
        <f t="shared" si="23"/>
        <v>177629.31419020134</v>
      </c>
      <c r="BC54" s="97">
        <f t="shared" si="23"/>
        <v>184734.48675780938</v>
      </c>
      <c r="BD54" s="97">
        <f t="shared" si="23"/>
        <v>192123.8662281218</v>
      </c>
    </row>
    <row r="55" spans="1:56">
      <c r="A55" s="27">
        <f t="shared" si="3"/>
        <v>4.25</v>
      </c>
      <c r="B55" s="28">
        <f>'OptiMaxx plus'!$T$7+A55</f>
        <v>33.25</v>
      </c>
      <c r="C55" s="24">
        <f t="shared" si="4"/>
        <v>51</v>
      </c>
      <c r="D55" s="25">
        <f>+'No Deducible 93'!AD74</f>
        <v>718745.12644868158</v>
      </c>
      <c r="E55" s="25">
        <f>+'Deducible 151'!AD74</f>
        <v>711388.40168512892</v>
      </c>
      <c r="F55" s="25">
        <f>+'Deducible 185'!AD74</f>
        <v>718745.12644868158</v>
      </c>
      <c r="H55" s="24">
        <f t="shared" si="5"/>
        <v>51</v>
      </c>
      <c r="I55" s="25">
        <f>+'No Deducible 93'!Y74</f>
        <v>369062.73555569712</v>
      </c>
      <c r="J55" s="25">
        <f>+'Deducible 151'!Y74</f>
        <v>367533.72147107823</v>
      </c>
      <c r="K55" s="25">
        <f>+'Deducible 185'!Y74</f>
        <v>369062.73555569712</v>
      </c>
      <c r="M55" s="12">
        <f t="shared" si="6"/>
        <v>51</v>
      </c>
      <c r="N55" s="12">
        <f t="shared" si="7"/>
        <v>80</v>
      </c>
      <c r="O55" s="14"/>
      <c r="P55" s="14"/>
      <c r="Q55" s="13"/>
      <c r="T55" s="12">
        <f t="shared" si="9"/>
        <v>51</v>
      </c>
      <c r="U55" s="13"/>
      <c r="V55" s="13"/>
      <c r="W55" s="13"/>
      <c r="X55" s="17"/>
      <c r="Y55" s="19"/>
      <c r="Z55" s="18"/>
      <c r="AA55" s="17"/>
      <c r="AC55" s="99">
        <f>+D172-Bono!J191</f>
        <v>2958605.4649974862</v>
      </c>
      <c r="AD55" s="47">
        <v>14</v>
      </c>
      <c r="AE55" s="97">
        <f t="shared" si="12"/>
        <v>120000</v>
      </c>
      <c r="AF55" s="89"/>
      <c r="AG55" s="89"/>
      <c r="AH55" s="89"/>
      <c r="AI55" s="89"/>
      <c r="AJ55" s="89"/>
      <c r="AK55" s="97"/>
      <c r="AL55" s="97"/>
      <c r="AM55" s="97"/>
      <c r="AN55" s="97"/>
      <c r="AO55" s="97"/>
      <c r="AP55" s="97"/>
      <c r="AQ55" s="97"/>
      <c r="AR55" s="97"/>
      <c r="AS55" s="97">
        <f>+AE55</f>
        <v>120000</v>
      </c>
      <c r="AT55" s="97">
        <f>+$AE$55*((1+$AG$35))^AF41</f>
        <v>124800</v>
      </c>
      <c r="AU55" s="97">
        <f>+$AE$55*((1+$AG$35))^AG41</f>
        <v>129792.00000000001</v>
      </c>
      <c r="AV55" s="97">
        <f t="shared" ref="AV55:BD55" si="24">+$AE$55*((1+$AG$35))^AH41</f>
        <v>134983.68000000002</v>
      </c>
      <c r="AW55" s="97">
        <f t="shared" si="24"/>
        <v>140383.02720000001</v>
      </c>
      <c r="AX55" s="97">
        <f t="shared" si="24"/>
        <v>145998.34828800004</v>
      </c>
      <c r="AY55" s="97">
        <f t="shared" si="24"/>
        <v>151838.28221952004</v>
      </c>
      <c r="AZ55" s="97">
        <f t="shared" si="24"/>
        <v>157911.81350830084</v>
      </c>
      <c r="BA55" s="97">
        <f t="shared" si="24"/>
        <v>164228.2860486329</v>
      </c>
      <c r="BB55" s="97">
        <f t="shared" si="24"/>
        <v>170797.41749057823</v>
      </c>
      <c r="BC55" s="97">
        <f t="shared" si="24"/>
        <v>177629.31419020134</v>
      </c>
      <c r="BD55" s="97">
        <f t="shared" si="24"/>
        <v>184734.48675780938</v>
      </c>
    </row>
    <row r="56" spans="1:56">
      <c r="A56" s="27">
        <f t="shared" si="3"/>
        <v>4.333333333333333</v>
      </c>
      <c r="B56" s="28">
        <f>'OptiMaxx plus'!$T$7+A56</f>
        <v>33.333333333333336</v>
      </c>
      <c r="C56" s="24">
        <f t="shared" si="4"/>
        <v>52</v>
      </c>
      <c r="D56" s="25">
        <f>+'No Deducible 93'!AD75</f>
        <v>733626.69378112198</v>
      </c>
      <c r="E56" s="25">
        <f>+'Deducible 151'!AD75</f>
        <v>726110.51967829152</v>
      </c>
      <c r="F56" s="25">
        <f>+'Deducible 185'!AD75</f>
        <v>733626.69378112198</v>
      </c>
      <c r="H56" s="24">
        <f t="shared" si="5"/>
        <v>52</v>
      </c>
      <c r="I56" s="25">
        <f>+'No Deducible 93'!Y75</f>
        <v>381614.20638307027</v>
      </c>
      <c r="J56" s="25">
        <f>+'Deducible 151'!Y75</f>
        <v>379999.51089109562</v>
      </c>
      <c r="K56" s="25">
        <f>+'Deducible 185'!Y75</f>
        <v>381614.20638307027</v>
      </c>
      <c r="M56" s="12">
        <f t="shared" si="6"/>
        <v>52</v>
      </c>
      <c r="N56" s="12">
        <f t="shared" si="7"/>
        <v>81</v>
      </c>
      <c r="O56" s="14"/>
      <c r="P56" s="14"/>
      <c r="Q56" s="13"/>
      <c r="T56" s="12">
        <f t="shared" si="9"/>
        <v>52</v>
      </c>
      <c r="U56" s="13"/>
      <c r="V56" s="13"/>
      <c r="W56" s="13"/>
      <c r="X56" s="17"/>
      <c r="Y56" s="19"/>
      <c r="Z56" s="18"/>
      <c r="AA56" s="17"/>
      <c r="AC56" s="99">
        <f>+D184-Bono!J203</f>
        <v>3326627.183517871</v>
      </c>
      <c r="AD56" s="47">
        <v>15</v>
      </c>
      <c r="AE56" s="97">
        <f t="shared" si="12"/>
        <v>120000</v>
      </c>
      <c r="AF56" s="89"/>
      <c r="AG56" s="89"/>
      <c r="AH56" s="89"/>
      <c r="AI56" s="89"/>
      <c r="AJ56" s="89"/>
      <c r="AK56" s="97"/>
      <c r="AL56" s="97"/>
      <c r="AM56" s="97"/>
      <c r="AN56" s="97"/>
      <c r="AO56" s="97"/>
      <c r="AP56" s="97"/>
      <c r="AQ56" s="97"/>
      <c r="AR56" s="97"/>
      <c r="AS56" s="97"/>
      <c r="AT56" s="97">
        <f>+AE56</f>
        <v>120000</v>
      </c>
      <c r="AU56" s="97">
        <f>+$AE$56*((1+$AG$35))^AF41</f>
        <v>124800</v>
      </c>
      <c r="AV56" s="97">
        <f>+$AE$56*((1+$AG$35))^AG41</f>
        <v>129792.00000000001</v>
      </c>
      <c r="AW56" s="97">
        <f t="shared" ref="AW56:BD56" si="25">+$AE$56*((1+$AG$35))^AH41</f>
        <v>134983.68000000002</v>
      </c>
      <c r="AX56" s="97">
        <f t="shared" si="25"/>
        <v>140383.02720000001</v>
      </c>
      <c r="AY56" s="97">
        <f t="shared" si="25"/>
        <v>145998.34828800004</v>
      </c>
      <c r="AZ56" s="97">
        <f t="shared" si="25"/>
        <v>151838.28221952004</v>
      </c>
      <c r="BA56" s="97">
        <f t="shared" si="25"/>
        <v>157911.81350830084</v>
      </c>
      <c r="BB56" s="97">
        <f t="shared" si="25"/>
        <v>164228.2860486329</v>
      </c>
      <c r="BC56" s="97">
        <f t="shared" si="25"/>
        <v>170797.41749057823</v>
      </c>
      <c r="BD56" s="97">
        <f t="shared" si="25"/>
        <v>177629.31419020134</v>
      </c>
    </row>
    <row r="57" spans="1:56">
      <c r="A57" s="27">
        <f t="shared" si="3"/>
        <v>4.416666666666667</v>
      </c>
      <c r="B57" s="28">
        <f>'OptiMaxx plus'!$T$7+A57</f>
        <v>33.416666666666664</v>
      </c>
      <c r="C57" s="24">
        <f t="shared" si="4"/>
        <v>53</v>
      </c>
      <c r="D57" s="25">
        <f>+'No Deducible 93'!AD76</f>
        <v>748611.27230905159</v>
      </c>
      <c r="E57" s="25">
        <f>+'Deducible 151'!AD76</f>
        <v>740932.3019594847</v>
      </c>
      <c r="F57" s="25">
        <f>+'Deducible 185'!AD76</f>
        <v>748611.27230905159</v>
      </c>
      <c r="H57" s="24">
        <f t="shared" si="5"/>
        <v>53</v>
      </c>
      <c r="I57" s="25">
        <f>+'No Deducible 93'!Y76</f>
        <v>394253.11284339189</v>
      </c>
      <c r="J57" s="25">
        <f>+'Deducible 151'!Y76</f>
        <v>392550.1286421899</v>
      </c>
      <c r="K57" s="25">
        <f>+'Deducible 185'!Y76</f>
        <v>394253.11284339189</v>
      </c>
      <c r="M57" s="12">
        <f t="shared" si="6"/>
        <v>53</v>
      </c>
      <c r="N57" s="12">
        <f t="shared" si="7"/>
        <v>82</v>
      </c>
      <c r="O57" s="14"/>
      <c r="P57" s="14"/>
      <c r="Q57" s="13"/>
      <c r="T57" s="12">
        <f t="shared" si="9"/>
        <v>53</v>
      </c>
      <c r="U57" s="13"/>
      <c r="V57" s="13"/>
      <c r="W57" s="13"/>
      <c r="X57" s="17"/>
      <c r="Y57" s="19"/>
      <c r="Z57" s="18"/>
      <c r="AA57" s="17"/>
      <c r="AC57" s="99">
        <f>+D196-Bono!J215</f>
        <v>3725929.93041552</v>
      </c>
      <c r="AD57" s="47">
        <v>16</v>
      </c>
      <c r="AE57" s="97">
        <f t="shared" si="12"/>
        <v>120000</v>
      </c>
      <c r="AF57" s="89"/>
      <c r="AG57" s="89"/>
      <c r="AH57" s="89"/>
      <c r="AI57" s="89"/>
      <c r="AJ57" s="89"/>
      <c r="AK57" s="97"/>
      <c r="AL57" s="97"/>
      <c r="AM57" s="97"/>
      <c r="AN57" s="97"/>
      <c r="AO57" s="97"/>
      <c r="AP57" s="97"/>
      <c r="AQ57" s="97"/>
      <c r="AR57" s="97"/>
      <c r="AS57" s="97"/>
      <c r="AT57" s="97"/>
      <c r="AU57" s="97">
        <f>+AE57</f>
        <v>120000</v>
      </c>
      <c r="AV57" s="97">
        <f>+$AE$57*((1+$AG$35))^AF41</f>
        <v>124800</v>
      </c>
      <c r="AW57" s="97">
        <f>+$AE$57*((1+$AG$35))^AG41</f>
        <v>129792.00000000001</v>
      </c>
      <c r="AX57" s="97">
        <f t="shared" ref="AX57:BD57" si="26">+$AE$57*((1+$AG$35))^AH41</f>
        <v>134983.68000000002</v>
      </c>
      <c r="AY57" s="97">
        <f t="shared" si="26"/>
        <v>140383.02720000001</v>
      </c>
      <c r="AZ57" s="97">
        <f t="shared" si="26"/>
        <v>145998.34828800004</v>
      </c>
      <c r="BA57" s="97">
        <f t="shared" si="26"/>
        <v>151838.28221952004</v>
      </c>
      <c r="BB57" s="97">
        <f t="shared" si="26"/>
        <v>157911.81350830084</v>
      </c>
      <c r="BC57" s="97">
        <f t="shared" si="26"/>
        <v>164228.2860486329</v>
      </c>
      <c r="BD57" s="97">
        <f t="shared" si="26"/>
        <v>170797.41749057823</v>
      </c>
    </row>
    <row r="58" spans="1:56">
      <c r="A58" s="27">
        <f t="shared" si="3"/>
        <v>4.5</v>
      </c>
      <c r="B58" s="28">
        <f>'OptiMaxx plus'!$T$7+A58</f>
        <v>33.5</v>
      </c>
      <c r="C58" s="24">
        <f t="shared" si="4"/>
        <v>54</v>
      </c>
      <c r="D58" s="25">
        <f>+'No Deducible 93'!AD77</f>
        <v>760487.83183294011</v>
      </c>
      <c r="E58" s="25">
        <f>+'Deducible 151'!AD77</f>
        <v>752394.87492992904</v>
      </c>
      <c r="F58" s="25">
        <f>+'Deducible 185'!AD77</f>
        <v>760487.83183294011</v>
      </c>
      <c r="H58" s="24">
        <f t="shared" si="5"/>
        <v>54</v>
      </c>
      <c r="I58" s="25">
        <f>+'No Deducible 93'!Y77</f>
        <v>406980.06402782054</v>
      </c>
      <c r="J58" s="25">
        <f>+'Deducible 151'!Y77</f>
        <v>405186.15197185904</v>
      </c>
      <c r="K58" s="25">
        <f>+'Deducible 185'!Y77</f>
        <v>406980.06402782054</v>
      </c>
      <c r="O58" s="13"/>
      <c r="P58" s="13"/>
      <c r="Q58" s="13"/>
      <c r="T58" s="12">
        <f t="shared" si="9"/>
        <v>54</v>
      </c>
      <c r="U58" s="13"/>
      <c r="V58" s="13"/>
      <c r="W58" s="13"/>
      <c r="X58" s="17"/>
      <c r="Y58" s="19"/>
      <c r="Z58" s="18"/>
      <c r="AA58" s="17"/>
      <c r="AC58" s="99">
        <f>+D208-Bono!J227</f>
        <v>4159198.4059300716</v>
      </c>
      <c r="AD58" s="47">
        <v>17</v>
      </c>
      <c r="AE58" s="97">
        <f t="shared" si="12"/>
        <v>120000</v>
      </c>
      <c r="AF58" s="89"/>
      <c r="AG58" s="89"/>
      <c r="AH58" s="89"/>
      <c r="AI58" s="89"/>
      <c r="AJ58" s="89"/>
      <c r="AK58" s="97"/>
      <c r="AL58" s="97"/>
      <c r="AM58" s="97"/>
      <c r="AN58" s="97"/>
      <c r="AO58" s="97"/>
      <c r="AP58" s="97"/>
      <c r="AQ58" s="97"/>
      <c r="AR58" s="97"/>
      <c r="AS58" s="97"/>
      <c r="AT58" s="97"/>
      <c r="AU58" s="97"/>
      <c r="AV58" s="97">
        <f>+AE58</f>
        <v>120000</v>
      </c>
      <c r="AW58" s="97">
        <f>+$AE$58*((1+$AG$35))^AF41</f>
        <v>124800</v>
      </c>
      <c r="AX58" s="97">
        <f>+$AE$58*((1+$AG$35))^AG41</f>
        <v>129792.00000000001</v>
      </c>
      <c r="AY58" s="97">
        <f t="shared" ref="AY58:BD58" si="27">+$AE$58*((1+$AG$35))^AH41</f>
        <v>134983.68000000002</v>
      </c>
      <c r="AZ58" s="97">
        <f t="shared" si="27"/>
        <v>140383.02720000001</v>
      </c>
      <c r="BA58" s="97">
        <f t="shared" si="27"/>
        <v>145998.34828800004</v>
      </c>
      <c r="BB58" s="97">
        <f t="shared" si="27"/>
        <v>151838.28221952004</v>
      </c>
      <c r="BC58" s="97">
        <f t="shared" si="27"/>
        <v>157911.81350830084</v>
      </c>
      <c r="BD58" s="97">
        <f t="shared" si="27"/>
        <v>164228.2860486329</v>
      </c>
    </row>
    <row r="59" spans="1:56">
      <c r="A59" s="27">
        <f t="shared" si="3"/>
        <v>4.583333333333333</v>
      </c>
      <c r="B59" s="28">
        <f>'OptiMaxx plus'!$T$7+A59</f>
        <v>33.583333333333336</v>
      </c>
      <c r="C59" s="24">
        <f t="shared" si="4"/>
        <v>55</v>
      </c>
      <c r="D59" s="25">
        <f>+'No Deducible 93'!AD78</f>
        <v>775659.17617228068</v>
      </c>
      <c r="E59" s="25">
        <f>+'Deducible 151'!AD78</f>
        <v>767395.24041453889</v>
      </c>
      <c r="F59" s="25">
        <f>+'Deducible 185'!AD78</f>
        <v>775659.17617228068</v>
      </c>
      <c r="H59" s="24">
        <f t="shared" si="5"/>
        <v>55</v>
      </c>
      <c r="I59" s="25">
        <f>+'No Deducible 93'!Y78</f>
        <v>419795.67327054526</v>
      </c>
      <c r="J59" s="25">
        <f>+'Deducible 151'!Y78</f>
        <v>417908.16205570707</v>
      </c>
      <c r="K59" s="25">
        <f>+'Deducible 185'!Y78</f>
        <v>419795.67327054526</v>
      </c>
      <c r="O59" s="13"/>
      <c r="P59" s="13"/>
      <c r="Q59" s="13"/>
      <c r="T59" s="12">
        <f t="shared" si="9"/>
        <v>55</v>
      </c>
      <c r="U59" s="13"/>
      <c r="V59" s="13"/>
      <c r="W59" s="13"/>
      <c r="X59" s="17"/>
      <c r="Y59" s="19"/>
      <c r="Z59" s="18"/>
      <c r="AA59" s="17"/>
      <c r="AC59" s="99">
        <f>+D220-Bono!J239</f>
        <v>4629348.9771615164</v>
      </c>
      <c r="AD59" s="47">
        <v>18</v>
      </c>
      <c r="AE59" s="97">
        <f t="shared" si="12"/>
        <v>120000</v>
      </c>
      <c r="AF59" s="89"/>
      <c r="AG59" s="89"/>
      <c r="AH59" s="89"/>
      <c r="AI59" s="89"/>
      <c r="AJ59" s="89"/>
      <c r="AK59" s="97"/>
      <c r="AL59" s="97"/>
      <c r="AM59" s="97"/>
      <c r="AN59" s="97"/>
      <c r="AO59" s="97"/>
      <c r="AP59" s="97"/>
      <c r="AQ59" s="97"/>
      <c r="AR59" s="97"/>
      <c r="AS59" s="97"/>
      <c r="AT59" s="97"/>
      <c r="AU59" s="97"/>
      <c r="AV59" s="97"/>
      <c r="AW59" s="97">
        <f>+AE59</f>
        <v>120000</v>
      </c>
      <c r="AX59" s="97">
        <f t="shared" ref="AX59:BD59" si="28">+$AE$59*((1+$AG$35))^AF41</f>
        <v>124800</v>
      </c>
      <c r="AY59" s="97">
        <f t="shared" si="28"/>
        <v>129792.00000000001</v>
      </c>
      <c r="AZ59" s="97">
        <f t="shared" si="28"/>
        <v>134983.68000000002</v>
      </c>
      <c r="BA59" s="97">
        <f t="shared" si="28"/>
        <v>140383.02720000001</v>
      </c>
      <c r="BB59" s="97">
        <f t="shared" si="28"/>
        <v>145998.34828800004</v>
      </c>
      <c r="BC59" s="97">
        <f t="shared" si="28"/>
        <v>151838.28221952004</v>
      </c>
      <c r="BD59" s="97">
        <f t="shared" si="28"/>
        <v>157911.81350830084</v>
      </c>
    </row>
    <row r="60" spans="1:56">
      <c r="A60" s="27">
        <f t="shared" si="3"/>
        <v>4.666666666666667</v>
      </c>
      <c r="B60" s="28">
        <f>'OptiMaxx plus'!$T$7+A60</f>
        <v>33.666666666666664</v>
      </c>
      <c r="C60" s="24">
        <f t="shared" si="4"/>
        <v>56</v>
      </c>
      <c r="D60" s="25">
        <f>+'No Deducible 93'!AD79</f>
        <v>790935.54408216546</v>
      </c>
      <c r="E60" s="25">
        <f>+'Deducible 151'!AD79</f>
        <v>782497.15868896991</v>
      </c>
      <c r="F60" s="25">
        <f>+'Deducible 185'!AD79</f>
        <v>790935.54408216546</v>
      </c>
      <c r="H60" s="24">
        <f t="shared" si="5"/>
        <v>56</v>
      </c>
      <c r="I60" s="25">
        <f>+'No Deducible 93'!Y79</f>
        <v>432700.55817834294</v>
      </c>
      <c r="J60" s="25">
        <f>+'Deducible 151'!Y79</f>
        <v>430716.74402417423</v>
      </c>
      <c r="K60" s="25">
        <f>+'Deducible 185'!Y79</f>
        <v>432700.55817834294</v>
      </c>
      <c r="O60" s="13"/>
      <c r="P60" s="13"/>
      <c r="Q60" s="13"/>
      <c r="T60" s="12">
        <f t="shared" si="9"/>
        <v>56</v>
      </c>
      <c r="U60" s="13"/>
      <c r="V60" s="13"/>
      <c r="W60" s="13"/>
      <c r="X60" s="17"/>
      <c r="Y60" s="19"/>
      <c r="Z60" s="18"/>
      <c r="AA60" s="17"/>
      <c r="AC60" s="99">
        <f>+D232-Bono!J251</f>
        <v>5139549.7291163141</v>
      </c>
      <c r="AD60" s="47">
        <v>19</v>
      </c>
      <c r="AE60" s="97">
        <f t="shared" si="12"/>
        <v>120000</v>
      </c>
      <c r="AF60" s="89"/>
      <c r="AG60" s="89"/>
      <c r="AH60" s="89"/>
      <c r="AI60" s="89"/>
      <c r="AJ60" s="89"/>
      <c r="AK60" s="97"/>
      <c r="AL60" s="97"/>
      <c r="AM60" s="97"/>
      <c r="AN60" s="97"/>
      <c r="AO60" s="97"/>
      <c r="AP60" s="97"/>
      <c r="AQ60" s="97"/>
      <c r="AR60" s="97"/>
      <c r="AS60" s="97"/>
      <c r="AT60" s="97"/>
      <c r="AU60" s="97"/>
      <c r="AV60" s="97"/>
      <c r="AW60" s="97"/>
      <c r="AX60" s="97">
        <f>+AE60</f>
        <v>120000</v>
      </c>
      <c r="AY60" s="97">
        <f t="shared" ref="AY60:BD60" si="29">+$AE$60*((1+$AG$35))^AF41</f>
        <v>124800</v>
      </c>
      <c r="AZ60" s="97">
        <f t="shared" si="29"/>
        <v>129792.00000000001</v>
      </c>
      <c r="BA60" s="97">
        <f t="shared" si="29"/>
        <v>134983.68000000002</v>
      </c>
      <c r="BB60" s="97">
        <f t="shared" si="29"/>
        <v>140383.02720000001</v>
      </c>
      <c r="BC60" s="97">
        <f t="shared" si="29"/>
        <v>145998.34828800004</v>
      </c>
      <c r="BD60" s="97">
        <f t="shared" si="29"/>
        <v>151838.28221952004</v>
      </c>
    </row>
    <row r="61" spans="1:56">
      <c r="A61" s="27">
        <f t="shared" si="3"/>
        <v>4.75</v>
      </c>
      <c r="B61" s="28">
        <f>'OptiMaxx plus'!$T$7+A61</f>
        <v>33.75</v>
      </c>
      <c r="C61" s="24">
        <f t="shared" si="4"/>
        <v>57</v>
      </c>
      <c r="D61" s="25">
        <f>+'No Deducible 93'!AD80</f>
        <v>803070.78194920067</v>
      </c>
      <c r="E61" s="25">
        <f>+'Deducible 151'!AD80</f>
        <v>794207.97961881035</v>
      </c>
      <c r="F61" s="25">
        <f>+'Deducible 185'!AD80</f>
        <v>803070.78194920067</v>
      </c>
      <c r="H61" s="24">
        <f t="shared" si="5"/>
        <v>57</v>
      </c>
      <c r="I61" s="25">
        <f>+'No Deducible 93'!Y80</f>
        <v>445695.3406603419</v>
      </c>
      <c r="J61" s="25">
        <f>+'Deducible 151'!Y80</f>
        <v>443612.4869894493</v>
      </c>
      <c r="K61" s="25">
        <f>+'Deducible 185'!Y80</f>
        <v>445695.3406603419</v>
      </c>
      <c r="O61" s="13"/>
      <c r="P61" s="13"/>
      <c r="Q61" s="13"/>
      <c r="T61" s="12">
        <f t="shared" si="9"/>
        <v>57</v>
      </c>
      <c r="U61" s="13"/>
      <c r="V61" s="13"/>
      <c r="W61" s="13"/>
      <c r="X61" s="17"/>
      <c r="Y61" s="19"/>
      <c r="Z61" s="18"/>
      <c r="AA61" s="17"/>
      <c r="AC61" s="99">
        <f>+D244-Bono!J263</f>
        <v>5693242.2540787654</v>
      </c>
      <c r="AD61" s="47">
        <v>20</v>
      </c>
      <c r="AE61" s="97">
        <f t="shared" si="12"/>
        <v>120000</v>
      </c>
      <c r="AF61" s="89"/>
      <c r="AG61" s="89"/>
      <c r="AH61" s="89"/>
      <c r="AI61" s="89"/>
      <c r="AJ61" s="89"/>
      <c r="AK61" s="97"/>
      <c r="AL61" s="97"/>
      <c r="AM61" s="97"/>
      <c r="AN61" s="97"/>
      <c r="AO61" s="97"/>
      <c r="AP61" s="97"/>
      <c r="AQ61" s="97"/>
      <c r="AR61" s="97"/>
      <c r="AS61" s="97"/>
      <c r="AT61" s="97"/>
      <c r="AU61" s="97"/>
      <c r="AV61" s="97"/>
      <c r="AW61" s="97"/>
      <c r="AX61" s="97"/>
      <c r="AY61" s="97">
        <f>+AE61</f>
        <v>120000</v>
      </c>
      <c r="AZ61" s="97">
        <f>+$AE$61*((1+$AG$35))^AF41</f>
        <v>124800</v>
      </c>
      <c r="BA61" s="97">
        <f>+$AE$61*((1+$AG$35))^AG41</f>
        <v>129792.00000000001</v>
      </c>
      <c r="BB61" s="97">
        <f>+$AE$61*((1+$AG$35))^AH41</f>
        <v>134983.68000000002</v>
      </c>
      <c r="BC61" s="97">
        <f>+$AE$61*((1+$AG$35))^AI41</f>
        <v>140383.02720000001</v>
      </c>
      <c r="BD61" s="97">
        <f>+$AE$61*((1+$AG$35))^AJ41</f>
        <v>145998.34828800004</v>
      </c>
    </row>
    <row r="62" spans="1:56">
      <c r="A62" s="27">
        <f t="shared" si="3"/>
        <v>4.833333333333333</v>
      </c>
      <c r="B62" s="28">
        <f>'OptiMaxx plus'!$T$7+A62</f>
        <v>33.833333333333336</v>
      </c>
      <c r="C62" s="24">
        <f t="shared" si="4"/>
        <v>58</v>
      </c>
      <c r="D62" s="25">
        <f>+'No Deducible 93'!AD81</f>
        <v>818537.74694991834</v>
      </c>
      <c r="E62" s="25">
        <f>+'Deducible 151'!AD81</f>
        <v>809492.07403081458</v>
      </c>
      <c r="F62" s="25">
        <f>+'Deducible 185'!AD81</f>
        <v>818537.74694991834</v>
      </c>
      <c r="H62" s="24">
        <f t="shared" si="5"/>
        <v>58</v>
      </c>
      <c r="I62" s="25">
        <f>+'No Deducible 93'!Y81</f>
        <v>458780.6469579931</v>
      </c>
      <c r="J62" s="25">
        <f>+'Deducible 151'!Y81</f>
        <v>456595.98407256504</v>
      </c>
      <c r="K62" s="25">
        <f>+'Deducible 185'!Y81</f>
        <v>458780.6469579931</v>
      </c>
      <c r="O62" s="13"/>
      <c r="P62" s="13"/>
      <c r="Q62" s="13"/>
      <c r="T62" s="12">
        <f t="shared" si="9"/>
        <v>58</v>
      </c>
      <c r="U62" s="13"/>
      <c r="V62" s="13"/>
      <c r="W62" s="13"/>
      <c r="X62" s="17"/>
      <c r="Y62" s="19"/>
      <c r="Z62" s="18"/>
      <c r="AA62" s="17"/>
      <c r="AC62" s="99">
        <f>+D256-Bono!J275</f>
        <v>6294165.3301496776</v>
      </c>
      <c r="AD62" s="47">
        <v>21</v>
      </c>
      <c r="AE62" s="97">
        <f t="shared" si="12"/>
        <v>120000</v>
      </c>
      <c r="AF62" s="89"/>
      <c r="AG62" s="89"/>
      <c r="AH62" s="89"/>
      <c r="AI62" s="89"/>
      <c r="AJ62" s="89"/>
      <c r="AK62" s="97"/>
      <c r="AL62" s="97"/>
      <c r="AM62" s="97"/>
      <c r="AN62" s="97"/>
      <c r="AO62" s="97"/>
      <c r="AP62" s="97"/>
      <c r="AQ62" s="97"/>
      <c r="AR62" s="97"/>
      <c r="AS62" s="97"/>
      <c r="AT62" s="97"/>
      <c r="AU62" s="97"/>
      <c r="AV62" s="97"/>
      <c r="AW62" s="97"/>
      <c r="AX62" s="97"/>
      <c r="AY62" s="97"/>
      <c r="AZ62" s="97">
        <f>AE62</f>
        <v>120000</v>
      </c>
      <c r="BA62" s="97">
        <f>+$AE$62*((1+$AG$35))^AF41</f>
        <v>124800</v>
      </c>
      <c r="BB62" s="97">
        <f>+$AE$62*((1+$AG$35))^AG41</f>
        <v>129792.00000000001</v>
      </c>
      <c r="BC62" s="97">
        <f>+$AE$62*((1+$AG$35))^AH41</f>
        <v>134983.68000000002</v>
      </c>
      <c r="BD62" s="97">
        <f>+$AE$62*((1+$AG$35))^AI41</f>
        <v>140383.02720000001</v>
      </c>
    </row>
    <row r="63" spans="1:56">
      <c r="A63" s="27">
        <f t="shared" si="3"/>
        <v>4.916666666666667</v>
      </c>
      <c r="B63" s="28">
        <f>'OptiMaxx plus'!$T$7+A63</f>
        <v>33.916666666666664</v>
      </c>
      <c r="C63" s="24">
        <f t="shared" si="4"/>
        <v>59</v>
      </c>
      <c r="D63" s="25">
        <f>+'No Deducible 93'!AD82</f>
        <v>834111.78854439605</v>
      </c>
      <c r="E63" s="25">
        <f>+'Deducible 151'!AD82</f>
        <v>824879.64698786428</v>
      </c>
      <c r="F63" s="25">
        <f>+'Deducible 185'!AD82</f>
        <v>834111.78854439605</v>
      </c>
      <c r="H63" s="24">
        <f t="shared" si="5"/>
        <v>59</v>
      </c>
      <c r="I63" s="25">
        <f>+'No Deducible 93'!Y82</f>
        <v>471957.10767524934</v>
      </c>
      <c r="J63" s="25">
        <f>+'Deducible 151'!Y82</f>
        <v>469667.83243067772</v>
      </c>
      <c r="K63" s="25">
        <f>+'Deducible 185'!Y82</f>
        <v>471957.10767524934</v>
      </c>
      <c r="O63" s="13"/>
      <c r="P63" s="13"/>
      <c r="Q63" s="13"/>
      <c r="T63" s="12">
        <f t="shared" si="9"/>
        <v>59</v>
      </c>
      <c r="U63" s="13"/>
      <c r="V63" s="13"/>
      <c r="W63" s="13"/>
      <c r="X63" s="17"/>
      <c r="Y63" s="19"/>
      <c r="Z63" s="18"/>
      <c r="AA63" s="17"/>
      <c r="AC63" s="99">
        <f>+D268-Bono!J287</f>
        <v>6946380.6528903665</v>
      </c>
      <c r="AD63" s="47">
        <v>22</v>
      </c>
      <c r="AE63" s="97">
        <f t="shared" si="12"/>
        <v>120000</v>
      </c>
      <c r="AF63" s="89"/>
      <c r="AG63" s="89"/>
      <c r="AH63" s="89"/>
      <c r="AI63" s="89"/>
      <c r="AJ63" s="89"/>
      <c r="AK63" s="97"/>
      <c r="AL63" s="97"/>
      <c r="AM63" s="97"/>
      <c r="AN63" s="97"/>
      <c r="AO63" s="97"/>
      <c r="AP63" s="97"/>
      <c r="AQ63" s="97"/>
      <c r="AR63" s="97"/>
      <c r="AS63" s="97"/>
      <c r="AT63" s="97"/>
      <c r="AU63" s="97"/>
      <c r="AV63" s="97"/>
      <c r="AW63" s="97"/>
      <c r="AX63" s="97"/>
      <c r="AY63" s="97"/>
      <c r="AZ63" s="97"/>
      <c r="BA63" s="97">
        <f>+AE63</f>
        <v>120000</v>
      </c>
      <c r="BB63" s="97">
        <f>+$AE$63*((1+$AG$35))^AF41</f>
        <v>124800</v>
      </c>
      <c r="BC63" s="97">
        <f>+$AE$63*((1+$AG$35))^AG41</f>
        <v>129792.00000000001</v>
      </c>
      <c r="BD63" s="97">
        <f>+$AE$63*((1+$AG$35))^AH41</f>
        <v>134983.68000000002</v>
      </c>
    </row>
    <row r="64" spans="1:56">
      <c r="A64" s="27">
        <f t="shared" si="3"/>
        <v>5</v>
      </c>
      <c r="B64" s="28">
        <f>'OptiMaxx plus'!$T$7+A64</f>
        <v>34</v>
      </c>
      <c r="C64" s="24">
        <f t="shared" si="4"/>
        <v>60</v>
      </c>
      <c r="D64" s="25">
        <f>+'No Deducible 93'!AD83</f>
        <v>846511.24145613739</v>
      </c>
      <c r="E64" s="25">
        <f>+'Deducible 151'!AD83</f>
        <v>836843.941948322</v>
      </c>
      <c r="F64" s="25">
        <f>+'Deducible 185'!AD83</f>
        <v>846511.24145613739</v>
      </c>
      <c r="H64" s="24">
        <f t="shared" si="5"/>
        <v>60</v>
      </c>
      <c r="I64" s="25">
        <f>+'No Deducible 93'!Y83</f>
        <v>485225.35780895554</v>
      </c>
      <c r="J64" s="25">
        <f>+'Deducible 151'!Y83</f>
        <v>482828.63328453276</v>
      </c>
      <c r="K64" s="25">
        <f>+'Deducible 185'!Y83</f>
        <v>485225.35780895554</v>
      </c>
      <c r="O64" s="13"/>
      <c r="P64" s="13"/>
      <c r="Q64" s="13"/>
      <c r="T64" s="12">
        <f t="shared" si="9"/>
        <v>60</v>
      </c>
      <c r="U64" s="13"/>
      <c r="V64" s="13"/>
      <c r="W64" s="13"/>
      <c r="X64" s="17"/>
      <c r="Y64" s="19"/>
      <c r="Z64" s="18"/>
      <c r="AA64" s="17"/>
      <c r="AC64" s="99">
        <f>+D280-Bono!J299</f>
        <v>7654300.7982430477</v>
      </c>
      <c r="AD64" s="47">
        <v>23</v>
      </c>
      <c r="AE64" s="97">
        <f t="shared" si="12"/>
        <v>120000</v>
      </c>
      <c r="AF64" s="89"/>
      <c r="AG64" s="89"/>
      <c r="AH64" s="89"/>
      <c r="AI64" s="89"/>
      <c r="AJ64" s="89"/>
      <c r="AK64" s="97"/>
      <c r="AL64" s="97"/>
      <c r="AM64" s="97"/>
      <c r="AN64" s="97"/>
      <c r="AO64" s="97"/>
      <c r="AP64" s="97"/>
      <c r="AQ64" s="97"/>
      <c r="AR64" s="97"/>
      <c r="AS64" s="97"/>
      <c r="AT64" s="97"/>
      <c r="AU64" s="97"/>
      <c r="AV64" s="97"/>
      <c r="AW64" s="97"/>
      <c r="AX64" s="97"/>
      <c r="AY64" s="97"/>
      <c r="AZ64" s="97"/>
      <c r="BA64" s="97"/>
      <c r="BB64" s="97">
        <f>+AE64</f>
        <v>120000</v>
      </c>
      <c r="BC64" s="97">
        <f>+$AE$64*((1+$AG$35))^AF41</f>
        <v>124800</v>
      </c>
      <c r="BD64" s="97">
        <f>+$AE$64*((1+$AG$35))^AG41</f>
        <v>129792.00000000001</v>
      </c>
    </row>
    <row r="65" spans="1:57">
      <c r="A65" s="27">
        <f t="shared" si="3"/>
        <v>5.083333333333333</v>
      </c>
      <c r="B65" s="28">
        <f>'OptiMaxx plus'!$T$7+A65</f>
        <v>34.083333333333336</v>
      </c>
      <c r="C65" s="24">
        <f t="shared" si="4"/>
        <v>61</v>
      </c>
      <c r="D65" s="25">
        <f>+'No Deducible 93'!AD84</f>
        <v>862276.22522044694</v>
      </c>
      <c r="E65" s="25">
        <f>+'Deducible 151'!AD84</f>
        <v>852413.22562117234</v>
      </c>
      <c r="F65" s="25">
        <f>+'Deducible 185'!AD84</f>
        <v>862276.22522044694</v>
      </c>
      <c r="H65" s="24">
        <f t="shared" si="5"/>
        <v>61</v>
      </c>
      <c r="I65" s="25">
        <f>+'No Deducible 93'!Y84</f>
        <v>498582.47105055931</v>
      </c>
      <c r="J65" s="25">
        <f>+'Deducible 151'!Y84</f>
        <v>496074.86049864814</v>
      </c>
      <c r="K65" s="25">
        <f>+'Deducible 185'!Y84</f>
        <v>498582.47105055931</v>
      </c>
      <c r="O65" s="13"/>
      <c r="P65" s="13"/>
      <c r="Q65" s="13"/>
      <c r="T65" s="12">
        <f t="shared" si="9"/>
        <v>61</v>
      </c>
      <c r="U65" s="13"/>
      <c r="V65" s="13"/>
      <c r="W65" s="13"/>
      <c r="X65" s="17"/>
      <c r="Y65" s="19"/>
      <c r="Z65" s="18"/>
      <c r="AA65" s="17"/>
      <c r="AC65" s="99">
        <f>+D292-Bono!J311</f>
        <v>8422719.6103679743</v>
      </c>
      <c r="AD65" s="47">
        <v>24</v>
      </c>
      <c r="AE65" s="97">
        <f t="shared" si="12"/>
        <v>120000</v>
      </c>
      <c r="AF65" s="89"/>
      <c r="AG65" s="89"/>
      <c r="AH65" s="89"/>
      <c r="AI65" s="89"/>
      <c r="AJ65" s="89"/>
      <c r="AK65" s="97"/>
      <c r="AL65" s="97"/>
      <c r="AM65" s="97"/>
      <c r="AN65" s="97"/>
      <c r="AO65" s="97"/>
      <c r="AP65" s="97"/>
      <c r="AQ65" s="97"/>
      <c r="AR65" s="97"/>
      <c r="AS65" s="97"/>
      <c r="AT65" s="97"/>
      <c r="AU65" s="97"/>
      <c r="AV65" s="97"/>
      <c r="AW65" s="97"/>
      <c r="AX65" s="97"/>
      <c r="AY65" s="97"/>
      <c r="AZ65" s="97"/>
      <c r="BA65" s="97"/>
      <c r="BB65" s="97"/>
      <c r="BC65" s="97">
        <f>+AE65</f>
        <v>120000</v>
      </c>
      <c r="BD65" s="97">
        <f>+$AE$65*((1+$AG$35))^AF41</f>
        <v>124800</v>
      </c>
    </row>
    <row r="66" spans="1:57">
      <c r="A66" s="27">
        <f t="shared" si="3"/>
        <v>5.166666666666667</v>
      </c>
      <c r="B66" s="28">
        <f>'OptiMaxx plus'!$T$7+A66</f>
        <v>34.166666666666664</v>
      </c>
      <c r="C66" s="24">
        <f t="shared" si="4"/>
        <v>62</v>
      </c>
      <c r="D66" s="25">
        <f>+'No Deducible 93'!AD85</f>
        <v>878150.35524703446</v>
      </c>
      <c r="E66" s="25">
        <f>+'Deducible 151'!AD85</f>
        <v>868087.9234841147</v>
      </c>
      <c r="F66" s="25">
        <f>+'Deducible 185'!AD85</f>
        <v>878150.35524703446</v>
      </c>
      <c r="H66" s="24">
        <f t="shared" si="5"/>
        <v>62</v>
      </c>
      <c r="I66" s="25">
        <f>+'No Deducible 93'!Y85</f>
        <v>512032.63216413808</v>
      </c>
      <c r="J66" s="25">
        <f>+'Deducible 151'!Y85</f>
        <v>509411.22683751362</v>
      </c>
      <c r="K66" s="25">
        <f>+'Deducible 185'!Y85</f>
        <v>512032.63216413808</v>
      </c>
      <c r="O66" s="13"/>
      <c r="P66" s="13"/>
      <c r="Q66" s="13"/>
      <c r="T66" s="12">
        <f t="shared" si="9"/>
        <v>62</v>
      </c>
      <c r="U66" s="13"/>
      <c r="V66" s="13"/>
      <c r="W66" s="13"/>
      <c r="X66" s="17"/>
      <c r="Y66" s="19"/>
      <c r="Z66" s="18"/>
      <c r="AA66" s="17"/>
      <c r="AC66" s="99">
        <f>+D304-Bono!J323</f>
        <v>9256845.2248501126</v>
      </c>
      <c r="AD66" s="47">
        <v>25</v>
      </c>
      <c r="AE66" s="97">
        <f t="shared" si="12"/>
        <v>120000</v>
      </c>
      <c r="AF66" s="89"/>
      <c r="AG66" s="89"/>
      <c r="AH66" s="89"/>
      <c r="AI66" s="89"/>
      <c r="AJ66" s="89"/>
      <c r="AK66" s="97"/>
      <c r="AL66" s="97"/>
      <c r="AM66" s="97"/>
      <c r="AN66" s="97"/>
      <c r="AO66" s="97"/>
      <c r="AP66" s="97"/>
      <c r="AQ66" s="97"/>
      <c r="AR66" s="97"/>
      <c r="AS66" s="97"/>
      <c r="AT66" s="97"/>
      <c r="AU66" s="97"/>
      <c r="AV66" s="97"/>
      <c r="AW66" s="97"/>
      <c r="AX66" s="97"/>
      <c r="AY66" s="97"/>
      <c r="AZ66" s="97"/>
      <c r="BA66" s="97"/>
      <c r="BB66" s="97"/>
      <c r="BC66" s="97"/>
      <c r="BD66" s="97">
        <f>AE66</f>
        <v>120000</v>
      </c>
    </row>
    <row r="67" spans="1:57">
      <c r="A67" s="27">
        <f t="shared" si="3"/>
        <v>5.25</v>
      </c>
      <c r="B67" s="28">
        <f>'OptiMaxx plus'!$T$7+A67</f>
        <v>34.25</v>
      </c>
      <c r="C67" s="24">
        <f t="shared" si="4"/>
        <v>63</v>
      </c>
      <c r="D67" s="25">
        <f>+'No Deducible 93'!AD86</f>
        <v>890816.06184108008</v>
      </c>
      <c r="E67" s="25">
        <f>+'Deducible 151'!AD86</f>
        <v>880306.83930412447</v>
      </c>
      <c r="F67" s="25">
        <f>+'Deducible 185'!AD86</f>
        <v>890816.06184108008</v>
      </c>
      <c r="H67" s="24">
        <f t="shared" si="5"/>
        <v>63</v>
      </c>
      <c r="I67" s="25">
        <f>+'No Deducible 93'!Y86</f>
        <v>525576.48933664081</v>
      </c>
      <c r="J67" s="25">
        <f>+'Deducible 151'!Y86</f>
        <v>522838.34568799613</v>
      </c>
      <c r="K67" s="25">
        <f>+'Deducible 185'!Y86</f>
        <v>525576.48933664081</v>
      </c>
      <c r="O67" s="13"/>
      <c r="P67" s="13"/>
      <c r="Q67" s="13"/>
      <c r="T67" s="12">
        <f t="shared" si="9"/>
        <v>63</v>
      </c>
      <c r="U67" s="13"/>
      <c r="V67" s="13"/>
      <c r="W67" s="13"/>
      <c r="X67" s="17"/>
      <c r="Y67" s="19"/>
      <c r="Z67" s="18"/>
      <c r="AA67" s="17"/>
      <c r="AE67" s="95"/>
      <c r="AX67" s="95"/>
    </row>
    <row r="68" spans="1:57">
      <c r="A68" s="27">
        <f t="shared" si="3"/>
        <v>5.333333333333333</v>
      </c>
      <c r="B68" s="28">
        <f>'OptiMaxx plus'!$T$7+A68</f>
        <v>34.333333333333336</v>
      </c>
      <c r="C68" s="24">
        <f t="shared" si="4"/>
        <v>64</v>
      </c>
      <c r="D68" s="25">
        <f>+'No Deducible 93'!AD87</f>
        <v>906888.64156484767</v>
      </c>
      <c r="E68" s="25">
        <f>+'Deducible 151'!AD87</f>
        <v>896171.06313916494</v>
      </c>
      <c r="F68" s="25">
        <f>+'Deducible 185'!AD87</f>
        <v>906888.64156484767</v>
      </c>
      <c r="H68" s="24">
        <f t="shared" si="5"/>
        <v>64</v>
      </c>
      <c r="I68" s="25">
        <f>+'No Deducible 93'!Y87</f>
        <v>539214.69527039456</v>
      </c>
      <c r="J68" s="25">
        <f>+'Deducible 151'!Y87</f>
        <v>536356.83461099316</v>
      </c>
      <c r="K68" s="25">
        <f>+'Deducible 185'!Y87</f>
        <v>539214.69527039456</v>
      </c>
      <c r="O68" s="13"/>
      <c r="P68" s="13"/>
      <c r="Q68" s="13"/>
      <c r="T68" s="12">
        <f t="shared" si="9"/>
        <v>64</v>
      </c>
      <c r="U68" s="13"/>
      <c r="V68" s="13"/>
      <c r="W68" s="13"/>
      <c r="X68" s="17"/>
      <c r="Y68" s="19"/>
      <c r="Z68" s="18"/>
      <c r="AA68" s="17"/>
      <c r="AD68" s="47" t="s">
        <v>128</v>
      </c>
      <c r="AE68" s="98">
        <f>SUM(AE42:AE67)</f>
        <v>3000000</v>
      </c>
      <c r="AF68" s="91">
        <f t="shared" ref="AF68:BC68" si="30">SUM(AF42:AF67)</f>
        <v>120000</v>
      </c>
      <c r="AG68" s="91">
        <f t="shared" si="30"/>
        <v>244800</v>
      </c>
      <c r="AH68" s="91">
        <f t="shared" si="30"/>
        <v>374592</v>
      </c>
      <c r="AI68" s="91">
        <f t="shared" si="30"/>
        <v>509575.68000000005</v>
      </c>
      <c r="AJ68" s="91">
        <f t="shared" si="30"/>
        <v>649958.70720000006</v>
      </c>
      <c r="AK68" s="91">
        <f t="shared" si="30"/>
        <v>795957.05548800004</v>
      </c>
      <c r="AL68" s="91">
        <f t="shared" si="30"/>
        <v>947795.33770752011</v>
      </c>
      <c r="AM68" s="91">
        <f t="shared" si="30"/>
        <v>1105707.151215821</v>
      </c>
      <c r="AN68" s="91">
        <f t="shared" si="30"/>
        <v>1269935.4372644539</v>
      </c>
      <c r="AO68" s="91">
        <f t="shared" si="30"/>
        <v>1440732.8547550321</v>
      </c>
      <c r="AP68" s="91">
        <f t="shared" si="30"/>
        <v>1618362.1689452336</v>
      </c>
      <c r="AQ68" s="91">
        <f t="shared" si="30"/>
        <v>1803096.6557030429</v>
      </c>
      <c r="AR68" s="91">
        <f t="shared" si="30"/>
        <v>1995220.5219311647</v>
      </c>
      <c r="AS68" s="91">
        <f t="shared" si="30"/>
        <v>2195029.3428084115</v>
      </c>
      <c r="AT68" s="91">
        <f t="shared" si="30"/>
        <v>2402830.5165207479</v>
      </c>
      <c r="AU68" s="91">
        <f t="shared" si="30"/>
        <v>2618943.7371815778</v>
      </c>
      <c r="AV68" s="91">
        <f t="shared" si="30"/>
        <v>2843701.486668841</v>
      </c>
      <c r="AW68" s="91">
        <f t="shared" si="30"/>
        <v>3077449.5461355946</v>
      </c>
      <c r="AX68" s="91">
        <f t="shared" si="30"/>
        <v>3320547.5279810191</v>
      </c>
      <c r="AY68" s="91">
        <f t="shared" si="30"/>
        <v>3573369.4291002601</v>
      </c>
      <c r="AZ68" s="91">
        <f t="shared" si="30"/>
        <v>3836304.2062642705</v>
      </c>
      <c r="BA68" s="91">
        <f t="shared" si="30"/>
        <v>4109756.3745148415</v>
      </c>
      <c r="BB68" s="91">
        <f t="shared" si="30"/>
        <v>4394146.6294954354</v>
      </c>
      <c r="BC68" s="91">
        <f t="shared" si="30"/>
        <v>4689912.4946752526</v>
      </c>
      <c r="BD68" s="91">
        <f>SUM(BD42:BD67)</f>
        <v>4997508.9944622628</v>
      </c>
    </row>
    <row r="69" spans="1:57">
      <c r="A69" s="27">
        <f t="shared" si="3"/>
        <v>5.416666666666667</v>
      </c>
      <c r="B69" s="28">
        <f>'OptiMaxx plus'!$T$7+A69</f>
        <v>34.416666666666664</v>
      </c>
      <c r="C69" s="24">
        <f t="shared" si="4"/>
        <v>65</v>
      </c>
      <c r="D69" s="25">
        <f>+'No Deducible 93'!AD88</f>
        <v>923072.50387489831</v>
      </c>
      <c r="E69" s="25">
        <f>+'Deducible 151'!AD88</f>
        <v>912142.7031151182</v>
      </c>
      <c r="F69" s="25">
        <f>+'Deducible 185'!AD88</f>
        <v>923072.50387489831</v>
      </c>
      <c r="H69" s="24">
        <f t="shared" si="5"/>
        <v>65</v>
      </c>
      <c r="I69" s="25">
        <f>+'No Deducible 93'!Y88</f>
        <v>552947.90721455927</v>
      </c>
      <c r="J69" s="25">
        <f>+'Deducible 151'!Y88</f>
        <v>549967.3153698364</v>
      </c>
      <c r="K69" s="25">
        <f>+'Deducible 185'!Y88</f>
        <v>552947.90721455927</v>
      </c>
      <c r="O69" s="13"/>
      <c r="P69" s="13"/>
      <c r="Q69" s="13"/>
      <c r="T69" s="12">
        <f t="shared" si="9"/>
        <v>65</v>
      </c>
      <c r="U69" s="13"/>
      <c r="V69" s="13"/>
      <c r="W69" s="13"/>
      <c r="X69" s="17"/>
      <c r="Y69" s="19"/>
      <c r="Z69" s="18"/>
      <c r="AA69" s="17"/>
    </row>
    <row r="70" spans="1:57">
      <c r="A70" s="27">
        <f t="shared" ref="A70:A133" si="31">+C70/12</f>
        <v>5.5</v>
      </c>
      <c r="B70" s="28">
        <f>'OptiMaxx plus'!$T$7+A70</f>
        <v>34.5</v>
      </c>
      <c r="C70" s="24">
        <f t="shared" si="4"/>
        <v>66</v>
      </c>
      <c r="D70" s="25">
        <f>+'No Deducible 93'!AD89</f>
        <v>936013.77786358935</v>
      </c>
      <c r="E70" s="25">
        <f>+'Deducible 151'!AD89</f>
        <v>924625.78714941232</v>
      </c>
      <c r="F70" s="25">
        <f>+'Deducible 185'!AD89</f>
        <v>936013.77786358935</v>
      </c>
      <c r="H70" s="24">
        <f t="shared" si="5"/>
        <v>66</v>
      </c>
      <c r="I70" s="25">
        <f>+'No Deducible 93'!Y89</f>
        <v>566776.78699680185</v>
      </c>
      <c r="J70" s="25">
        <f>+'Deducible 151'!Y89</f>
        <v>563670.41395888873</v>
      </c>
      <c r="K70" s="25">
        <f>+'Deducible 185'!Y89</f>
        <v>566776.78699680185</v>
      </c>
      <c r="O70" s="13"/>
      <c r="P70" s="13"/>
      <c r="Q70" s="13"/>
      <c r="T70" s="12">
        <f t="shared" si="9"/>
        <v>66</v>
      </c>
      <c r="U70" s="13"/>
      <c r="V70" s="13"/>
      <c r="W70" s="13"/>
      <c r="X70" s="17"/>
      <c r="Y70" s="19"/>
      <c r="Z70" s="18"/>
      <c r="AA70" s="17"/>
      <c r="AD70" s="47" t="s">
        <v>129</v>
      </c>
      <c r="AF70" s="91">
        <f>IF(AF68&gt;AC42,"0",AC42-AF68)</f>
        <v>2225.8478571041633</v>
      </c>
      <c r="AG70" s="91">
        <f>IF(AG68&gt;AC43,0,AC43-AG68)</f>
        <v>6418.0260644496593</v>
      </c>
      <c r="AH70" s="91">
        <f>IF(AH68&gt;AC44,"0",AC44-AH68)</f>
        <v>15653.961698648869</v>
      </c>
      <c r="AI70" s="91">
        <f>IF(AI68&gt;AC45,"0",AC45-AI68)</f>
        <v>31380.342712557525</v>
      </c>
      <c r="AJ70" s="91">
        <f>IF(AJ68&gt;AC46,"0",AC46-AJ68)</f>
        <v>54385.602036505239</v>
      </c>
      <c r="AK70" s="91">
        <f>IF(AK68&gt;AC47,"0",AC47-AK68)</f>
        <v>85535.507841278915</v>
      </c>
      <c r="AL70" s="91">
        <f>IF(AL68&gt;AC48,"0",AC48-AL68)</f>
        <v>125780.2286914821</v>
      </c>
      <c r="AM70" s="91">
        <f>IF(AM68&gt;AC49,"0",AC49-AM68)</f>
        <v>176162.02601009002</v>
      </c>
      <c r="AN70" s="91">
        <f>IF(AN68&gt;AC50,"0",AC50-AN68)</f>
        <v>237823.62887609075</v>
      </c>
      <c r="AO70" s="91">
        <f>IF(AO68&gt;AC51,"0",AC51-AO68)</f>
        <v>312017.35097722197</v>
      </c>
      <c r="AP70" s="91">
        <f>IF(AP68&gt;AC52,"0",AC52-AP68)</f>
        <v>400115.01475776662</v>
      </c>
      <c r="AQ70" s="91">
        <f>IF(AQ68&gt;AC53,"0",AC53-AQ68)</f>
        <v>503618.75347334356</v>
      </c>
      <c r="AR70" s="91">
        <f>IF(AR68&gt;AC54,"0",AC54-AR68)</f>
        <v>624172.76803026372</v>
      </c>
      <c r="AS70" s="91">
        <f>IF(AS68&gt;AC55,"0",AC55-AS68)</f>
        <v>763576.12218907475</v>
      </c>
      <c r="AT70" s="91">
        <f>IF(AT68&gt;AC56,"0",AC56-AT68)</f>
        <v>923796.66699712304</v>
      </c>
      <c r="AU70" s="91">
        <f>IF(AU68&gt;AC57,"0",AC57-AU68)</f>
        <v>1106986.1932339421</v>
      </c>
      <c r="AV70" s="91">
        <f>IF(AV68&gt;AC58,"0",AC58-AV68)</f>
        <v>1315496.9192612306</v>
      </c>
      <c r="AW70" s="91">
        <f>IF(AW68&gt;AC59,"0",AC59-AW68)</f>
        <v>1551899.4310259218</v>
      </c>
      <c r="AX70" s="91">
        <f>IF(AX68&gt;AC60,"0",AC60-AX68)</f>
        <v>1819002.201135295</v>
      </c>
      <c r="AY70" s="91">
        <f>IF(AY68&gt;AC61,"0",AC61-AY68)</f>
        <v>2119872.8249785053</v>
      </c>
      <c r="AZ70" s="91">
        <f>IF(AZ68&gt;AC62,"0",AC62-AZ68)</f>
        <v>2457861.1238854071</v>
      </c>
      <c r="BA70" s="91">
        <f>IF(BA68&gt;AC63,"0",AC63-BA68)</f>
        <v>2836624.278375525</v>
      </c>
      <c r="BB70" s="91">
        <f>IF(BB68&gt;AC64,"0",AC64-BB68)</f>
        <v>3260154.1687476123</v>
      </c>
      <c r="BC70" s="91">
        <f>IF(BC68&gt;AC65,"0",AC65-BC68)</f>
        <v>3732807.1156927217</v>
      </c>
      <c r="BD70" s="91">
        <f>IF(BD68&gt;AC66,"0",AC66-BD68)</f>
        <v>4259336.2303878497</v>
      </c>
    </row>
    <row r="71" spans="1:57">
      <c r="A71" s="27">
        <f t="shared" si="31"/>
        <v>5.583333333333333</v>
      </c>
      <c r="B71" s="28">
        <f>'OptiMaxx plus'!$T$7+A71</f>
        <v>34.583333333333336</v>
      </c>
      <c r="C71" s="24">
        <f t="shared" ref="C71:C134" si="32">+C70+1</f>
        <v>67</v>
      </c>
      <c r="D71" s="25">
        <f>+'No Deducible 93'!AD90</f>
        <v>952400.16369805578</v>
      </c>
      <c r="E71" s="25">
        <f>+'Deducible 151'!AD90</f>
        <v>940790.76865414833</v>
      </c>
      <c r="F71" s="25">
        <f>+'Deducible 185'!AD90</f>
        <v>952400.16369805578</v>
      </c>
      <c r="H71" s="24">
        <f t="shared" ref="H71:H134" si="33">+H70+1</f>
        <v>67</v>
      </c>
      <c r="I71" s="25">
        <f>+'No Deducible 93'!Y90</f>
        <v>580702.00105519092</v>
      </c>
      <c r="J71" s="25">
        <f>+'Deducible 151'!Y90</f>
        <v>577466.76063233637</v>
      </c>
      <c r="K71" s="25">
        <f>+'Deducible 185'!Y90</f>
        <v>580702.00105519092</v>
      </c>
      <c r="O71" s="13"/>
      <c r="P71" s="13"/>
      <c r="Q71" s="13"/>
      <c r="Z71" s="18"/>
      <c r="AA71" s="17"/>
    </row>
    <row r="72" spans="1:57">
      <c r="A72" s="27">
        <f t="shared" si="31"/>
        <v>5.666666666666667</v>
      </c>
      <c r="B72" s="28">
        <f>'OptiMaxx plus'!$T$7+A72</f>
        <v>34.666666666666664</v>
      </c>
      <c r="C72" s="24">
        <f t="shared" si="32"/>
        <v>68</v>
      </c>
      <c r="D72" s="25">
        <f>+'No Deducible 93'!AD91</f>
        <v>968900.01164232427</v>
      </c>
      <c r="E72" s="25">
        <f>+'Deducible 151'!AD91</f>
        <v>957065.20778962038</v>
      </c>
      <c r="F72" s="25">
        <f>+'Deducible 185'!AD91</f>
        <v>968900.01164232427</v>
      </c>
      <c r="H72" s="24">
        <f t="shared" si="33"/>
        <v>68</v>
      </c>
      <c r="I72" s="25">
        <f>+'No Deducible 93'!Y91</f>
        <v>594724.22047031333</v>
      </c>
      <c r="J72" s="25">
        <f>+'Deducible 151'!Y91</f>
        <v>591356.98993317608</v>
      </c>
      <c r="K72" s="25">
        <f>+'Deducible 185'!Y91</f>
        <v>594724.22047031333</v>
      </c>
      <c r="O72" s="13"/>
      <c r="P72" s="13"/>
      <c r="Q72" s="13"/>
      <c r="Z72" s="18"/>
      <c r="AA72" s="17"/>
      <c r="AD72" s="47" t="s">
        <v>133</v>
      </c>
      <c r="AF72" s="108">
        <f>+AF70/AC42</f>
        <v>1.8210942252627538E-2</v>
      </c>
      <c r="AG72" s="108">
        <f>+AG70/AC43</f>
        <v>2.5547633523730989E-2</v>
      </c>
      <c r="AH72" s="108">
        <f>+AH70/AC44</f>
        <v>4.0113065182047894E-2</v>
      </c>
      <c r="AI72" s="109">
        <f>+AI70/AC45</f>
        <v>5.8009045828170375E-2</v>
      </c>
      <c r="AJ72" s="109">
        <f>+AJ70/AC46</f>
        <v>7.7214511884760043E-2</v>
      </c>
      <c r="AK72" s="108">
        <f>+AK70/AC47</f>
        <v>9.7034860416998631E-2</v>
      </c>
      <c r="AL72" s="108">
        <f>+AL70/AC48</f>
        <v>0.11716010742809227</v>
      </c>
      <c r="AM72" s="108">
        <f>+AM70/AC49</f>
        <v>0.13742590050516831</v>
      </c>
      <c r="AN72" s="108">
        <f>+AN70/AC50</f>
        <v>0.15773317781126325</v>
      </c>
      <c r="AO72" s="108">
        <f>+AO70/AC51</f>
        <v>0.17801586897938437</v>
      </c>
      <c r="AP72" s="108">
        <f>+AP70/AC52</f>
        <v>0.19822617663863559</v>
      </c>
      <c r="AQ72" s="109">
        <f>+AQ70/AC53</f>
        <v>0.21832721603622565</v>
      </c>
      <c r="AR72" s="109">
        <f>+AR70/AC54</f>
        <v>0.23828906121976623</v>
      </c>
      <c r="AS72" s="108">
        <f>+AS70/AC55</f>
        <v>0.25808649758230723</v>
      </c>
      <c r="AT72" s="108">
        <f>+AT70/AC56</f>
        <v>0.27769768478240425</v>
      </c>
      <c r="AU72" s="108">
        <f>+AU70/AC57</f>
        <v>0.29710333095568703</v>
      </c>
      <c r="AV72" s="108">
        <f>+AV70/AC58</f>
        <v>0.31628616643669388</v>
      </c>
      <c r="AW72" s="108">
        <f>+AW70/AC59</f>
        <v>0.33523059909332398</v>
      </c>
      <c r="AX72" s="108">
        <f>+AX70/AC60</f>
        <v>0.35392248290358524</v>
      </c>
      <c r="AY72" s="109">
        <f>+AY70/AC61</f>
        <v>0.37234895870798074</v>
      </c>
      <c r="AZ72" s="109">
        <f>+AZ70/AC62</f>
        <v>0.39049834171212633</v>
      </c>
      <c r="BA72" s="108">
        <f>+BA70/AC63</f>
        <v>0.40836003958337858</v>
      </c>
      <c r="BB72" s="108">
        <f>+BB70/AC64</f>
        <v>0.42592449064661025</v>
      </c>
      <c r="BC72" s="108">
        <f>+BC70/AC65</f>
        <v>0.44318311523724602</v>
      </c>
      <c r="BD72" s="108">
        <f>+BD70/AC66</f>
        <v>0.4601282755547873</v>
      </c>
    </row>
    <row r="73" spans="1:57">
      <c r="A73" s="27">
        <f t="shared" si="31"/>
        <v>5.75</v>
      </c>
      <c r="B73" s="28">
        <f>'OptiMaxx plus'!$T$7+A73</f>
        <v>34.75</v>
      </c>
      <c r="C73" s="24">
        <f t="shared" si="32"/>
        <v>69</v>
      </c>
      <c r="D73" s="25">
        <f>+'No Deducible 93'!AD92</f>
        <v>982122.74818093074</v>
      </c>
      <c r="E73" s="25">
        <f>+'Deducible 151'!AD92</f>
        <v>969818.01699365024</v>
      </c>
      <c r="F73" s="25">
        <f>+'Deducible 185'!AD92</f>
        <v>982122.74818093074</v>
      </c>
      <c r="H73" s="24">
        <f t="shared" si="33"/>
        <v>69</v>
      </c>
      <c r="I73" s="25">
        <f>+'No Deducible 93'!Y92</f>
        <v>608844.12099761504</v>
      </c>
      <c r="J73" s="25">
        <f>+'Deducible 151'!Y92</f>
        <v>605341.74072240002</v>
      </c>
      <c r="K73" s="25">
        <f>+'Deducible 185'!Y92</f>
        <v>608844.12099761504</v>
      </c>
      <c r="O73" s="13"/>
      <c r="P73" s="13"/>
      <c r="Q73" s="13"/>
      <c r="Z73" s="18"/>
      <c r="AA73" s="17"/>
    </row>
    <row r="74" spans="1:57">
      <c r="A74" s="27">
        <f t="shared" si="31"/>
        <v>5.833333333333333</v>
      </c>
      <c r="B74" s="28">
        <f>'OptiMaxx plus'!$T$7+A74</f>
        <v>34.833333333333336</v>
      </c>
      <c r="C74" s="24">
        <f>+C73+1</f>
        <v>70</v>
      </c>
      <c r="D74" s="25">
        <f>+'No Deducible 93'!AD93</f>
        <v>998829.27807228826</v>
      </c>
      <c r="E74" s="25">
        <f>+'Deducible 151'!AD93</f>
        <v>986289.69085951045</v>
      </c>
      <c r="F74" s="25">
        <f>+'Deducible 185'!AD93</f>
        <v>998829.27807228826</v>
      </c>
      <c r="H74" s="24">
        <f>+H73+1</f>
        <v>70</v>
      </c>
      <c r="I74" s="25">
        <f>+'No Deducible 93'!Y93</f>
        <v>623062.38309996657</v>
      </c>
      <c r="J74" s="25">
        <f>+'Deducible 151'!Y93</f>
        <v>619421.65620837966</v>
      </c>
      <c r="K74" s="25">
        <f>+'Deducible 185'!Y93</f>
        <v>623062.38309996657</v>
      </c>
      <c r="O74" s="13"/>
      <c r="P74" s="13"/>
      <c r="Q74" s="13"/>
      <c r="Z74" s="18"/>
      <c r="AA74" s="17"/>
      <c r="AD74" s="47" t="s">
        <v>134</v>
      </c>
      <c r="AF74" s="106">
        <f>+'No Deducible 93'!Y35</f>
        <v>0</v>
      </c>
      <c r="AG74" s="106">
        <f>+'No Deducible 93'!$Y47</f>
        <v>60996.15221112068</v>
      </c>
      <c r="AH74" s="106">
        <f>+'No Deducible 93'!$Y59</f>
        <v>190842.07582332552</v>
      </c>
      <c r="AI74" s="106">
        <f>+'No Deducible 93'!$Y71</f>
        <v>331926.90899013937</v>
      </c>
      <c r="AJ74" s="106">
        <f>+'No Deducible 93'!$Y83</f>
        <v>485225.35780895554</v>
      </c>
      <c r="AK74" s="106">
        <f>+'No Deducible 93'!$Y95</f>
        <v>651796.73761541082</v>
      </c>
      <c r="AL74" s="106">
        <f>+'No Deducible 93'!$Y107</f>
        <v>832792.32055629604</v>
      </c>
      <c r="AM74" s="106">
        <f>+'No Deducible 93'!$Y119</f>
        <v>1029463.3213582018</v>
      </c>
      <c r="AN74" s="106">
        <f>+'No Deducible 93'!$Y131</f>
        <v>1243169.5767292711</v>
      </c>
      <c r="AO74" s="106">
        <f>+'No Deducible 93'!$Y143</f>
        <v>1475388.9786472104</v>
      </c>
      <c r="AP74" s="106">
        <f>+'No Deducible 93'!$Y155</f>
        <v>1727727.7270209037</v>
      </c>
      <c r="AQ74" s="106">
        <f>+'No Deducible 93'!$Y167</f>
        <v>2001931.4729017809</v>
      </c>
      <c r="AR74" s="106">
        <f>+'No Deducible 93'!$Y179</f>
        <v>2299897.4296042011</v>
      </c>
      <c r="AS74" s="106">
        <f>+'No Deducible 93'!$Y191</f>
        <v>2623687.535814255</v>
      </c>
      <c r="AT74" s="106">
        <f>+'No Deducible 93'!$Y203</f>
        <v>2975542.7620703848</v>
      </c>
      <c r="AU74" s="106">
        <f>+'No Deducible 93'!$Y215</f>
        <v>3357898.6599376677</v>
      </c>
      <c r="AV74" s="106">
        <f>+'No Deducible 93'!$Y227</f>
        <v>3773402.2618257343</v>
      </c>
      <c r="AW74" s="106">
        <f>+'No Deducible 93'!$Y239</f>
        <v>4224930.4487779848</v>
      </c>
      <c r="AX74" s="106">
        <f>+'No Deducible 93'!$Y251</f>
        <v>4715609.9137518853</v>
      </c>
      <c r="AY74" s="106">
        <f>+'No Deducible 93'!$Y263</f>
        <v>5248838.8589880653</v>
      </c>
      <c r="AZ74" s="106">
        <f>+'No Deducible 93'!$Y275</f>
        <v>5828310.5781057589</v>
      </c>
      <c r="BA74" s="106">
        <f>+'No Deducible 93'!$Y287</f>
        <v>6458039.0866482621</v>
      </c>
      <c r="BB74" s="106">
        <f>+'No Deducible 93'!$Y299</f>
        <v>7142386.9790247586</v>
      </c>
      <c r="BC74" s="106">
        <f>+'No Deducible 93'!$Y311</f>
        <v>7886095.7052532984</v>
      </c>
      <c r="BD74" s="106">
        <f>+'No Deducible 93'!$Y323</f>
        <v>8694318.4777108021</v>
      </c>
      <c r="BE74" s="103"/>
    </row>
    <row r="75" spans="1:57">
      <c r="A75" s="27">
        <f t="shared" si="31"/>
        <v>5.916666666666667</v>
      </c>
      <c r="B75" s="28">
        <f>'OptiMaxx plus'!$T$7+A75</f>
        <v>34.916666666666664</v>
      </c>
      <c r="C75" s="24">
        <f>+C74+1</f>
        <v>71</v>
      </c>
      <c r="D75" s="25">
        <f>+'No Deducible 93'!AD94</f>
        <v>1015651.4936861359</v>
      </c>
      <c r="E75" s="25">
        <f>+'Deducible 151'!AD94</f>
        <v>1002872.9041818929</v>
      </c>
      <c r="F75" s="25">
        <f>+'Deducible 185'!AD94</f>
        <v>1015651.4936861359</v>
      </c>
      <c r="H75" s="24">
        <f>+H74+1</f>
        <v>71</v>
      </c>
      <c r="I75" s="25">
        <f>+'No Deducible 93'!Y94</f>
        <v>637379.69198045623</v>
      </c>
      <c r="J75" s="25">
        <f>+'Deducible 151'!Y94</f>
        <v>633597.38397644879</v>
      </c>
      <c r="K75" s="25">
        <f>+'Deducible 185'!Y94</f>
        <v>637379.69198045623</v>
      </c>
      <c r="O75" s="13"/>
      <c r="P75" s="13"/>
      <c r="Q75" s="13"/>
      <c r="Z75" s="18"/>
      <c r="AA75" s="17"/>
      <c r="AC75" s="47"/>
      <c r="AF75" s="104"/>
      <c r="AG75" s="104"/>
      <c r="AH75" s="105"/>
      <c r="AI75" s="104"/>
      <c r="AJ75" s="104"/>
      <c r="AK75" s="104"/>
      <c r="AL75" s="104"/>
      <c r="AM75" s="104"/>
      <c r="AN75" s="104"/>
      <c r="AO75" s="104"/>
      <c r="AP75" s="104"/>
      <c r="AQ75" s="104"/>
      <c r="AR75" s="104"/>
      <c r="AS75" s="104"/>
      <c r="AT75" s="104"/>
      <c r="AU75" s="104"/>
      <c r="AV75" s="104"/>
      <c r="AW75" s="104"/>
      <c r="AX75" s="104"/>
      <c r="AY75" s="104"/>
      <c r="AZ75" s="104"/>
      <c r="BA75" s="104"/>
      <c r="BB75" s="104"/>
      <c r="BC75" s="104"/>
      <c r="BD75" s="104"/>
    </row>
    <row r="76" spans="1:57">
      <c r="A76" s="27">
        <f t="shared" si="31"/>
        <v>6</v>
      </c>
      <c r="B76" s="28">
        <f>'OptiMaxx plus'!$T$7+A76</f>
        <v>35</v>
      </c>
      <c r="C76" s="24">
        <f t="shared" si="32"/>
        <v>72</v>
      </c>
      <c r="D76" s="25">
        <f>+'No Deducible 93'!AD95</f>
        <v>1029161.7130232818</v>
      </c>
      <c r="E76" s="25">
        <f>+'Deducible 151'!AD95</f>
        <v>1015901.1109724635</v>
      </c>
      <c r="F76" s="25">
        <f>+'Deducible 185'!AD95</f>
        <v>1029161.7130232818</v>
      </c>
      <c r="H76" s="24">
        <f t="shared" si="33"/>
        <v>72</v>
      </c>
      <c r="I76" s="25">
        <f>+'No Deducible 93'!Y95</f>
        <v>651796.73761541082</v>
      </c>
      <c r="J76" s="25">
        <f>+'Deducible 151'!Y95</f>
        <v>647869.5760186885</v>
      </c>
      <c r="K76" s="25">
        <f>+'Deducible 185'!Y95</f>
        <v>651796.73761541082</v>
      </c>
      <c r="O76" s="13"/>
      <c r="P76" s="13"/>
      <c r="Q76" s="13"/>
      <c r="Z76" s="18"/>
      <c r="AA76" s="17"/>
      <c r="AC76" s="47"/>
      <c r="AD76" s="47"/>
    </row>
    <row r="77" spans="1:57">
      <c r="A77" s="27">
        <f t="shared" si="31"/>
        <v>6.083333333333333</v>
      </c>
      <c r="B77" s="28">
        <f>'OptiMaxx plus'!$T$7+A77</f>
        <v>35.083333333333336</v>
      </c>
      <c r="C77" s="24">
        <f t="shared" si="32"/>
        <v>73</v>
      </c>
      <c r="D77" s="25">
        <f>+'No Deducible 93'!AD96</f>
        <v>1046191.1470118267</v>
      </c>
      <c r="E77" s="25">
        <f>+'Deducible 151'!AD96</f>
        <v>1032681.2347546924</v>
      </c>
      <c r="F77" s="25">
        <f>+'Deducible 185'!AD96</f>
        <v>1046191.1470118267</v>
      </c>
      <c r="H77" s="24">
        <f t="shared" si="33"/>
        <v>73</v>
      </c>
      <c r="I77" s="25">
        <f>+'No Deducible 93'!Y96</f>
        <v>666310.50642960053</v>
      </c>
      <c r="J77" s="25">
        <f>+'Deducible 151'!Y96</f>
        <v>662234.59205854719</v>
      </c>
      <c r="K77" s="25">
        <f>+'Deducible 185'!Y96</f>
        <v>666310.50642960053</v>
      </c>
      <c r="O77" s="13"/>
      <c r="P77" s="13"/>
      <c r="Q77" s="13"/>
      <c r="Z77" s="18"/>
      <c r="AA77" s="17"/>
      <c r="AC77" s="102">
        <v>0.2</v>
      </c>
      <c r="AD77" s="47" t="s">
        <v>146</v>
      </c>
      <c r="AF77" s="17">
        <f>+$AC$77*AF72*AF74</f>
        <v>0</v>
      </c>
      <c r="AG77" s="17">
        <f>IF(AND(AG78&gt;=60,AG79&gt;=5),0,$AC$77*AG72*AG74)</f>
        <v>311.66146860948498</v>
      </c>
      <c r="AH77" s="17">
        <f t="shared" ref="AH77:BD77" si="34">IF(AND(AH78&gt;=60,AH79&gt;=5),0,$AC$77*AH72*AH74)</f>
        <v>1531.0521253956767</v>
      </c>
      <c r="AI77" s="17">
        <f t="shared" si="34"/>
        <v>3850.9526550423866</v>
      </c>
      <c r="AJ77" s="17">
        <f t="shared" si="34"/>
        <v>7493.287831465309</v>
      </c>
      <c r="AK77" s="17">
        <f t="shared" si="34"/>
        <v>12649.401090953294</v>
      </c>
      <c r="AL77" s="17">
        <f t="shared" si="34"/>
        <v>19514.007548333182</v>
      </c>
      <c r="AM77" s="17">
        <f t="shared" si="34"/>
        <v>28294.984794938475</v>
      </c>
      <c r="AN77" s="17">
        <f t="shared" si="34"/>
        <v>39217.817579158196</v>
      </c>
      <c r="AO77" s="17">
        <f t="shared" si="34"/>
        <v>52528.530223297908</v>
      </c>
      <c r="AP77" s="17">
        <f t="shared" si="34"/>
        <v>68496.172319982812</v>
      </c>
      <c r="AQ77" s="17">
        <f t="shared" si="34"/>
        <v>87415.225034789313</v>
      </c>
      <c r="AR77" s="17">
        <f t="shared" si="34"/>
        <v>109608.0798804277</v>
      </c>
      <c r="AS77" s="17">
        <f t="shared" si="34"/>
        <v>135427.66537373108</v>
      </c>
      <c r="AT77" s="17">
        <f t="shared" si="34"/>
        <v>165260.26719959726</v>
      </c>
      <c r="AU77" s="17">
        <f t="shared" si="34"/>
        <v>199528.57537582377</v>
      </c>
      <c r="AV77" s="17">
        <f t="shared" si="34"/>
        <v>238694.98716328226</v>
      </c>
      <c r="AW77" s="17">
        <f t="shared" si="34"/>
        <v>283265.19309429405</v>
      </c>
      <c r="AX77" s="17">
        <f t="shared" si="34"/>
        <v>333792.07381596573</v>
      </c>
      <c r="AY77" s="17">
        <f>IF(AND(AY78&gt;=60,AY79&gt;=5),0,$AC$77*AY72*AY74)</f>
        <v>390879.93671403837</v>
      </c>
      <c r="AZ77" s="17">
        <f t="shared" si="34"/>
        <v>455189.12314670865</v>
      </c>
      <c r="BA77" s="17">
        <f t="shared" si="34"/>
        <v>527441.01941093814</v>
      </c>
      <c r="BB77" s="17">
        <f t="shared" si="34"/>
        <v>608423.50720842043</v>
      </c>
      <c r="BC77" s="17">
        <f t="shared" si="34"/>
        <v>698996.89234264474</v>
      </c>
      <c r="BD77" s="17">
        <f t="shared" si="34"/>
        <v>800100.35365463898</v>
      </c>
    </row>
    <row r="78" spans="1:57">
      <c r="A78" s="27">
        <f t="shared" si="31"/>
        <v>6.166666666666667</v>
      </c>
      <c r="B78" s="28">
        <f>'OptiMaxx plus'!$T$7+A78</f>
        <v>35.166666666666664</v>
      </c>
      <c r="C78" s="24">
        <f t="shared" si="32"/>
        <v>74</v>
      </c>
      <c r="D78" s="25">
        <f>+'No Deducible 93'!AD97</f>
        <v>1063338.5094998395</v>
      </c>
      <c r="E78" s="25">
        <f>+'Deducible 151'!AD97</f>
        <v>1049574.991729772</v>
      </c>
      <c r="F78" s="25">
        <f>+'Deducible 185'!AD97</f>
        <v>1063338.5094998395</v>
      </c>
      <c r="H78" s="24">
        <f t="shared" si="33"/>
        <v>74</v>
      </c>
      <c r="I78" s="25">
        <f>+'No Deducible 93'!Y97</f>
        <v>680925.3805708224</v>
      </c>
      <c r="J78" s="25">
        <f>+'Deducible 151'!Y97</f>
        <v>676697.3604585249</v>
      </c>
      <c r="K78" s="25">
        <f>+'Deducible 185'!Y97</f>
        <v>680925.3805708224</v>
      </c>
      <c r="O78" s="13"/>
      <c r="P78" s="13"/>
      <c r="Q78" s="13"/>
      <c r="Z78" s="18"/>
      <c r="AA78" s="17"/>
      <c r="AD78" s="11" t="s">
        <v>3</v>
      </c>
      <c r="AF78" s="13">
        <f>+'OptiMaxx plus'!E31</f>
        <v>30</v>
      </c>
      <c r="AG78" s="13">
        <f>+AF78+1</f>
        <v>31</v>
      </c>
      <c r="AH78" s="13">
        <f t="shared" ref="AH78:BD78" si="35">+AG78+1</f>
        <v>32</v>
      </c>
      <c r="AI78" s="13">
        <f t="shared" si="35"/>
        <v>33</v>
      </c>
      <c r="AJ78" s="13">
        <f t="shared" si="35"/>
        <v>34</v>
      </c>
      <c r="AK78" s="13">
        <f t="shared" si="35"/>
        <v>35</v>
      </c>
      <c r="AL78" s="13">
        <f t="shared" si="35"/>
        <v>36</v>
      </c>
      <c r="AM78" s="13">
        <f t="shared" si="35"/>
        <v>37</v>
      </c>
      <c r="AN78" s="13">
        <f t="shared" si="35"/>
        <v>38</v>
      </c>
      <c r="AO78" s="13">
        <f t="shared" si="35"/>
        <v>39</v>
      </c>
      <c r="AP78" s="13">
        <f t="shared" si="35"/>
        <v>40</v>
      </c>
      <c r="AQ78" s="13">
        <f t="shared" si="35"/>
        <v>41</v>
      </c>
      <c r="AR78" s="13">
        <f t="shared" si="35"/>
        <v>42</v>
      </c>
      <c r="AS78" s="13">
        <f t="shared" si="35"/>
        <v>43</v>
      </c>
      <c r="AT78" s="13">
        <f t="shared" si="35"/>
        <v>44</v>
      </c>
      <c r="AU78" s="13">
        <f t="shared" si="35"/>
        <v>45</v>
      </c>
      <c r="AV78" s="13">
        <f t="shared" si="35"/>
        <v>46</v>
      </c>
      <c r="AW78" s="13">
        <f t="shared" si="35"/>
        <v>47</v>
      </c>
      <c r="AX78" s="13">
        <f t="shared" si="35"/>
        <v>48</v>
      </c>
      <c r="AY78" s="13">
        <f t="shared" si="35"/>
        <v>49</v>
      </c>
      <c r="AZ78" s="13">
        <f t="shared" si="35"/>
        <v>50</v>
      </c>
      <c r="BA78" s="13">
        <f t="shared" si="35"/>
        <v>51</v>
      </c>
      <c r="BB78" s="13">
        <f t="shared" si="35"/>
        <v>52</v>
      </c>
      <c r="BC78" s="13">
        <f t="shared" si="35"/>
        <v>53</v>
      </c>
      <c r="BD78" s="13">
        <f t="shared" si="35"/>
        <v>54</v>
      </c>
    </row>
    <row r="79" spans="1:57">
      <c r="A79" s="27">
        <f t="shared" si="31"/>
        <v>6.25</v>
      </c>
      <c r="B79" s="28">
        <f>'OptiMaxx plus'!$T$7+A79</f>
        <v>35.25</v>
      </c>
      <c r="C79" s="24">
        <f t="shared" si="32"/>
        <v>75</v>
      </c>
      <c r="D79" s="25">
        <f>+'No Deducible 93'!AD98</f>
        <v>1077138.5994171887</v>
      </c>
      <c r="E79" s="25">
        <f>+'Deducible 151'!AD98</f>
        <v>1062880.0309888406</v>
      </c>
      <c r="F79" s="25">
        <f>+'Deducible 185'!AD98</f>
        <v>1077138.5994171887</v>
      </c>
      <c r="H79" s="24">
        <f t="shared" si="33"/>
        <v>75</v>
      </c>
      <c r="I79" s="25">
        <f>+'No Deducible 93'!Y98</f>
        <v>695642.06435559713</v>
      </c>
      <c r="J79" s="25">
        <f>+'Deducible 151'!Y98</f>
        <v>691258.54641272116</v>
      </c>
      <c r="K79" s="25">
        <f>+'Deducible 185'!Y98</f>
        <v>695642.06435559713</v>
      </c>
      <c r="O79" s="13"/>
      <c r="P79" s="13"/>
      <c r="Q79" s="13"/>
      <c r="Z79" s="18"/>
      <c r="AA79" s="17"/>
      <c r="AD79" s="11" t="s">
        <v>0</v>
      </c>
      <c r="AF79" s="13">
        <f>+'OptiMaxx plus'!C31</f>
        <v>1</v>
      </c>
      <c r="AG79" s="13">
        <f>+AF79+1</f>
        <v>2</v>
      </c>
      <c r="AH79" s="13">
        <f t="shared" ref="AH79:BD79" si="36">+AG79+1</f>
        <v>3</v>
      </c>
      <c r="AI79" s="13">
        <f t="shared" si="36"/>
        <v>4</v>
      </c>
      <c r="AJ79" s="13">
        <f t="shared" si="36"/>
        <v>5</v>
      </c>
      <c r="AK79" s="13">
        <f t="shared" si="36"/>
        <v>6</v>
      </c>
      <c r="AL79" s="13">
        <f t="shared" si="36"/>
        <v>7</v>
      </c>
      <c r="AM79" s="13">
        <f t="shared" si="36"/>
        <v>8</v>
      </c>
      <c r="AN79" s="13">
        <f t="shared" si="36"/>
        <v>9</v>
      </c>
      <c r="AO79" s="13">
        <f t="shared" si="36"/>
        <v>10</v>
      </c>
      <c r="AP79" s="13">
        <f t="shared" si="36"/>
        <v>11</v>
      </c>
      <c r="AQ79" s="13">
        <f t="shared" si="36"/>
        <v>12</v>
      </c>
      <c r="AR79" s="13">
        <f t="shared" si="36"/>
        <v>13</v>
      </c>
      <c r="AS79" s="13">
        <f t="shared" si="36"/>
        <v>14</v>
      </c>
      <c r="AT79" s="13">
        <f t="shared" si="36"/>
        <v>15</v>
      </c>
      <c r="AU79" s="13">
        <f t="shared" si="36"/>
        <v>16</v>
      </c>
      <c r="AV79" s="13">
        <f t="shared" si="36"/>
        <v>17</v>
      </c>
      <c r="AW79" s="13">
        <f t="shared" si="36"/>
        <v>18</v>
      </c>
      <c r="AX79" s="13">
        <f t="shared" si="36"/>
        <v>19</v>
      </c>
      <c r="AY79" s="13">
        <f t="shared" si="36"/>
        <v>20</v>
      </c>
      <c r="AZ79" s="13">
        <f t="shared" si="36"/>
        <v>21</v>
      </c>
      <c r="BA79" s="13">
        <f t="shared" si="36"/>
        <v>22</v>
      </c>
      <c r="BB79" s="13">
        <f t="shared" si="36"/>
        <v>23</v>
      </c>
      <c r="BC79" s="13">
        <f t="shared" si="36"/>
        <v>24</v>
      </c>
      <c r="BD79" s="13">
        <f t="shared" si="36"/>
        <v>25</v>
      </c>
    </row>
    <row r="80" spans="1:57">
      <c r="A80" s="27">
        <f t="shared" si="31"/>
        <v>6.333333333333333</v>
      </c>
      <c r="B80" s="28">
        <f>'OptiMaxx plus'!$T$7+A80</f>
        <v>35.333333333333336</v>
      </c>
      <c r="C80" s="24">
        <f t="shared" si="32"/>
        <v>76</v>
      </c>
      <c r="D80" s="25">
        <f>+'No Deducible 93'!AD99</f>
        <v>1094501.1693839764</v>
      </c>
      <c r="E80" s="25">
        <f>+'Deducible 151'!AD99</f>
        <v>1079978.9893425824</v>
      </c>
      <c r="F80" s="25">
        <f>+'Deducible 185'!AD99</f>
        <v>1094501.1693839764</v>
      </c>
      <c r="H80" s="24">
        <f t="shared" si="33"/>
        <v>76</v>
      </c>
      <c r="I80" s="25">
        <f>+'No Deducible 93'!Y99</f>
        <v>710461.26700683148</v>
      </c>
      <c r="J80" s="25">
        <f>+'Deducible 151'!Y99</f>
        <v>705918.8196418084</v>
      </c>
      <c r="K80" s="25">
        <f>+'Deducible 185'!Y99</f>
        <v>710461.26700683148</v>
      </c>
      <c r="O80" s="13"/>
      <c r="P80" s="13"/>
      <c r="Q80" s="13"/>
      <c r="Z80" s="18"/>
      <c r="AA80" s="17"/>
    </row>
    <row r="81" spans="1:27">
      <c r="A81" s="27">
        <f t="shared" si="31"/>
        <v>6.416666666666667</v>
      </c>
      <c r="B81" s="28">
        <f>'OptiMaxx plus'!$T$7+A81</f>
        <v>35.416666666666664</v>
      </c>
      <c r="C81" s="24">
        <f t="shared" si="32"/>
        <v>77</v>
      </c>
      <c r="D81" s="25">
        <f>+'No Deducible 93'!AD100</f>
        <v>1111983.9818409875</v>
      </c>
      <c r="E81" s="25">
        <f>+'Deducible 151'!AD100</f>
        <v>1097193.7452420439</v>
      </c>
      <c r="F81" s="25">
        <f>+'Deducible 185'!AD100</f>
        <v>1111983.9818409875</v>
      </c>
      <c r="H81" s="24">
        <f t="shared" si="33"/>
        <v>77</v>
      </c>
      <c r="I81" s="25">
        <f>+'No Deducible 93'!Y100</f>
        <v>725383.70268799702</v>
      </c>
      <c r="J81" s="25">
        <f>+'Deducible 151'!Y100</f>
        <v>720678.85442383494</v>
      </c>
      <c r="K81" s="25">
        <f>+'Deducible 185'!Y100</f>
        <v>725383.70268799702</v>
      </c>
      <c r="O81" s="13"/>
      <c r="P81" s="13"/>
      <c r="Q81" s="13"/>
      <c r="Z81" s="18"/>
      <c r="AA81" s="17"/>
    </row>
    <row r="82" spans="1:27">
      <c r="A82" s="27">
        <f t="shared" si="31"/>
        <v>6.5</v>
      </c>
      <c r="B82" s="28">
        <f>'OptiMaxx plus'!$T$7+A82</f>
        <v>35.5</v>
      </c>
      <c r="C82" s="24">
        <f t="shared" si="32"/>
        <v>78</v>
      </c>
      <c r="D82" s="25">
        <f>+'No Deducible 93'!AD101</f>
        <v>1126083.9018337016</v>
      </c>
      <c r="E82" s="25">
        <f>+'Deducible 151'!AD101</f>
        <v>1110785.7933757668</v>
      </c>
      <c r="F82" s="25">
        <f>+'Deducible 185'!AD101</f>
        <v>1126083.9018337016</v>
      </c>
      <c r="H82" s="24">
        <f t="shared" si="33"/>
        <v>78</v>
      </c>
      <c r="I82" s="25">
        <f>+'No Deducible 93'!Y101</f>
        <v>740410.09053754667</v>
      </c>
      <c r="J82" s="25">
        <f>+'Deducible 151'!Y101</f>
        <v>735539.32962523727</v>
      </c>
      <c r="K82" s="25">
        <f>+'Deducible 185'!Y101</f>
        <v>740410.09053754667</v>
      </c>
      <c r="O82" s="13"/>
      <c r="P82" s="13"/>
      <c r="Q82" s="13"/>
      <c r="Z82" s="18"/>
      <c r="AA82" s="17"/>
    </row>
    <row r="83" spans="1:27">
      <c r="A83" s="27">
        <f t="shared" si="31"/>
        <v>6.583333333333333</v>
      </c>
      <c r="B83" s="28">
        <f>'OptiMaxx plus'!$T$7+A83</f>
        <v>35.583333333333336</v>
      </c>
      <c r="C83" s="24">
        <f t="shared" si="32"/>
        <v>79</v>
      </c>
      <c r="D83" s="25">
        <f>+'No Deducible 93'!AD102</f>
        <v>1143786.343634059</v>
      </c>
      <c r="E83" s="25">
        <f>+'Deducible 151'!AD102</f>
        <v>1128209.8852367795</v>
      </c>
      <c r="F83" s="25">
        <f>+'Deducible 185'!AD102</f>
        <v>1143786.343634059</v>
      </c>
      <c r="H83" s="24">
        <f t="shared" si="33"/>
        <v>79</v>
      </c>
      <c r="I83" s="25">
        <f>+'No Deducible 93'!Y102</f>
        <v>755541.15470357134</v>
      </c>
      <c r="J83" s="25">
        <f>+'Deducible 151'!Y102</f>
        <v>750500.9287320635</v>
      </c>
      <c r="K83" s="25">
        <f>+'Deducible 185'!Y102</f>
        <v>755541.15470357134</v>
      </c>
      <c r="O83" s="13"/>
      <c r="P83" s="13"/>
      <c r="Q83" s="13"/>
      <c r="Z83" s="18"/>
      <c r="AA83" s="17"/>
    </row>
    <row r="84" spans="1:27">
      <c r="A84" s="27">
        <f t="shared" si="31"/>
        <v>6.666666666666667</v>
      </c>
      <c r="B84" s="28">
        <f>'OptiMaxx plus'!$T$7+A84</f>
        <v>35.666666666666664</v>
      </c>
      <c r="C84" s="24">
        <f t="shared" si="32"/>
        <v>80</v>
      </c>
      <c r="D84" s="25">
        <f>+'No Deducible 93'!AD103</f>
        <v>1161611.3887746735</v>
      </c>
      <c r="E84" s="25">
        <f>+'Deducible 151'!AD103</f>
        <v>1145751.9818095721</v>
      </c>
      <c r="F84" s="25">
        <f>+'Deducible 185'!AD103</f>
        <v>1161611.3887746735</v>
      </c>
      <c r="H84" s="24">
        <f t="shared" si="33"/>
        <v>80</v>
      </c>
      <c r="I84" s="25">
        <f>+'No Deducible 93'!Y103</f>
        <v>770777.62437869806</v>
      </c>
      <c r="J84" s="25">
        <f>+'Deducible 151'!Y103</f>
        <v>765564.33988140954</v>
      </c>
      <c r="K84" s="25">
        <f>+'Deducible 185'!Y103</f>
        <v>770777.62437869806</v>
      </c>
      <c r="O84" s="13"/>
      <c r="P84" s="13"/>
      <c r="Q84" s="13"/>
      <c r="Z84" s="18"/>
      <c r="AA84" s="17"/>
    </row>
    <row r="85" spans="1:27">
      <c r="A85" s="27">
        <f t="shared" si="31"/>
        <v>6.75</v>
      </c>
      <c r="B85" s="28">
        <f>'OptiMaxx plus'!$T$7+A85</f>
        <v>35.75</v>
      </c>
      <c r="C85" s="24">
        <f t="shared" si="32"/>
        <v>81</v>
      </c>
      <c r="D85" s="25">
        <f>+'No Deducible 93'!AD104</f>
        <v>1176017.5487929804</v>
      </c>
      <c r="E85" s="25">
        <f>+'Deducible 151'!AD104</f>
        <v>1159637.070288525</v>
      </c>
      <c r="F85" s="25">
        <f>+'Deducible 185'!AD104</f>
        <v>1176017.5487929804</v>
      </c>
      <c r="H85" s="24">
        <f t="shared" si="33"/>
        <v>81</v>
      </c>
      <c r="I85" s="25">
        <f>+'No Deducible 93'!Y104</f>
        <v>786120.23383523116</v>
      </c>
      <c r="J85" s="25">
        <f>+'Deducible 151'!Y104</f>
        <v>780730.25589306874</v>
      </c>
      <c r="K85" s="25">
        <f>+'Deducible 185'!Y104</f>
        <v>786120.23383523116</v>
      </c>
      <c r="O85" s="13"/>
      <c r="P85" s="13"/>
      <c r="Q85" s="13"/>
      <c r="Z85" s="18"/>
      <c r="AA85" s="17"/>
    </row>
    <row r="86" spans="1:27">
      <c r="A86" s="27">
        <f t="shared" si="31"/>
        <v>6.833333333333333</v>
      </c>
      <c r="B86" s="28">
        <f>'OptiMaxx plus'!$T$7+A86</f>
        <v>35.833333333333336</v>
      </c>
      <c r="C86" s="24">
        <f t="shared" si="32"/>
        <v>82</v>
      </c>
      <c r="D86" s="25">
        <f>+'No Deducible 93'!AD105</f>
        <v>1194066.7370094541</v>
      </c>
      <c r="E86" s="25">
        <f>+'Deducible 151'!AD105</f>
        <v>1177392.7215770381</v>
      </c>
      <c r="F86" s="25">
        <f>+'Deducible 185'!AD105</f>
        <v>1194066.7370094541</v>
      </c>
      <c r="H86" s="24">
        <f t="shared" si="33"/>
        <v>82</v>
      </c>
      <c r="I86" s="25">
        <f>+'No Deducible 93'!Y105</f>
        <v>801569.72246053757</v>
      </c>
      <c r="J86" s="25">
        <f>+'Deducible 151'!Y105</f>
        <v>795999.37430139724</v>
      </c>
      <c r="K86" s="25">
        <f>+'Deducible 185'!Y105</f>
        <v>801569.72246053757</v>
      </c>
      <c r="O86" s="13"/>
      <c r="P86" s="13"/>
      <c r="Q86" s="13"/>
      <c r="Z86" s="18"/>
      <c r="AA86" s="17"/>
    </row>
    <row r="87" spans="1:27">
      <c r="A87" s="27">
        <f t="shared" si="31"/>
        <v>6.916666666666667</v>
      </c>
      <c r="B87" s="28">
        <f>'OptiMaxx plus'!$T$7+A87</f>
        <v>35.916666666666664</v>
      </c>
      <c r="C87" s="24">
        <f t="shared" si="32"/>
        <v>83</v>
      </c>
      <c r="D87" s="25">
        <f>+'No Deducible 93'!AD106</f>
        <v>1212240.9372412858</v>
      </c>
      <c r="E87" s="25">
        <f>+'Deducible 151'!AD106</f>
        <v>1195268.6284202181</v>
      </c>
      <c r="F87" s="25">
        <f>+'Deducible 185'!AD106</f>
        <v>1212240.9372412858</v>
      </c>
      <c r="H87" s="24">
        <f t="shared" si="33"/>
        <v>83</v>
      </c>
      <c r="I87" s="25">
        <f>+'No Deducible 93'!Y106</f>
        <v>817126.83479267964</v>
      </c>
      <c r="J87" s="25">
        <f>+'Deducible 151'!Y106</f>
        <v>811372.39738739608</v>
      </c>
      <c r="K87" s="25">
        <f>+'Deducible 185'!Y106</f>
        <v>817126.83479267964</v>
      </c>
      <c r="O87" s="13"/>
      <c r="P87" s="13"/>
      <c r="Q87" s="13"/>
      <c r="Z87" s="18"/>
      <c r="AA87" s="17"/>
    </row>
    <row r="88" spans="1:27" ht="14.25" customHeight="1">
      <c r="A88" s="27">
        <f t="shared" si="31"/>
        <v>7</v>
      </c>
      <c r="B88" s="28">
        <f>'OptiMaxx plus'!$T$7+A88</f>
        <v>36</v>
      </c>
      <c r="C88" s="24">
        <f t="shared" si="32"/>
        <v>84</v>
      </c>
      <c r="D88" s="25">
        <f>+'No Deducible 93'!AD107</f>
        <v>1226959.8832080734</v>
      </c>
      <c r="E88" s="25">
        <f>+'Deducible 151'!AD107</f>
        <v>1209452.9139788593</v>
      </c>
      <c r="F88" s="25">
        <f>+'Deducible 185'!AD107</f>
        <v>1226959.8832080734</v>
      </c>
      <c r="H88" s="24">
        <f t="shared" si="33"/>
        <v>84</v>
      </c>
      <c r="I88" s="25">
        <f>+'No Deducible 93'!Y107</f>
        <v>832792.32055629604</v>
      </c>
      <c r="J88" s="25">
        <f>+'Deducible 151'!Y107</f>
        <v>826850.03221101174</v>
      </c>
      <c r="K88" s="25">
        <f>+'Deducible 185'!Y107</f>
        <v>832792.32055629604</v>
      </c>
      <c r="O88" s="13"/>
      <c r="P88" s="13"/>
      <c r="Q88" s="13"/>
      <c r="Z88" s="18"/>
      <c r="AA88" s="17"/>
    </row>
    <row r="89" spans="1:27" ht="15" customHeight="1">
      <c r="A89" s="27">
        <f t="shared" si="31"/>
        <v>7.083333333333333</v>
      </c>
      <c r="B89" s="28">
        <f>'OptiMaxx plus'!$T$7+A89</f>
        <v>36.083333333333336</v>
      </c>
      <c r="C89" s="24">
        <f t="shared" si="32"/>
        <v>85</v>
      </c>
      <c r="D89" s="25">
        <f>+'No Deducible 93'!AD108</f>
        <v>1245358.9773438552</v>
      </c>
      <c r="E89" s="25">
        <f>+'Deducible 151'!AD108</f>
        <v>1227542.211611768</v>
      </c>
      <c r="F89" s="25">
        <f>+'Deducible 185'!AD108</f>
        <v>1245358.9773438552</v>
      </c>
      <c r="H89" s="24">
        <f t="shared" si="33"/>
        <v>85</v>
      </c>
      <c r="I89" s="25">
        <f>+'No Deducible 93'!Y108</f>
        <v>848563.07800636301</v>
      </c>
      <c r="J89" s="25">
        <f>+'Deducible 151'!Y108</f>
        <v>842428.52207007376</v>
      </c>
      <c r="K89" s="25">
        <f>+'Deducible 185'!Y108</f>
        <v>848563.07800636301</v>
      </c>
      <c r="O89" s="13"/>
      <c r="P89" s="13"/>
      <c r="Q89" s="13"/>
      <c r="Z89" s="18"/>
      <c r="AA89" s="17"/>
    </row>
    <row r="90" spans="1:27">
      <c r="A90" s="27">
        <f t="shared" si="31"/>
        <v>7.166666666666667</v>
      </c>
      <c r="B90" s="28">
        <f>'OptiMaxx plus'!$T$7+A90</f>
        <v>36.166666666666664</v>
      </c>
      <c r="C90" s="24">
        <f t="shared" si="32"/>
        <v>86</v>
      </c>
      <c r="D90" s="25">
        <f>+'No Deducible 93'!AD109</f>
        <v>1263885.5141146872</v>
      </c>
      <c r="E90" s="25">
        <f>+'Deducible 151'!AD109</f>
        <v>1245754.02979213</v>
      </c>
      <c r="F90" s="25">
        <f>+'Deducible 185'!AD109</f>
        <v>1263885.5141146872</v>
      </c>
      <c r="H90" s="24">
        <f t="shared" si="33"/>
        <v>86</v>
      </c>
      <c r="I90" s="25">
        <f>+'No Deducible 93'!Y109</f>
        <v>864443.69717532233</v>
      </c>
      <c r="J90" s="25">
        <f>+'Deducible 151'!Y109</f>
        <v>858113.02184562932</v>
      </c>
      <c r="K90" s="25">
        <f>+'Deducible 185'!Y109</f>
        <v>864443.69717532233</v>
      </c>
      <c r="O90" s="13"/>
      <c r="P90" s="13"/>
      <c r="Q90" s="13"/>
      <c r="Z90" s="18"/>
      <c r="AA90" s="17"/>
    </row>
    <row r="91" spans="1:27">
      <c r="A91" s="27">
        <f t="shared" si="31"/>
        <v>7.25</v>
      </c>
      <c r="B91" s="28">
        <f>'OptiMaxx plus'!$T$7+A91</f>
        <v>36.25</v>
      </c>
      <c r="C91" s="24">
        <f t="shared" si="32"/>
        <v>87</v>
      </c>
      <c r="D91" s="25">
        <f>+'No Deducible 93'!AD110</f>
        <v>1278920.0201864769</v>
      </c>
      <c r="E91" s="25">
        <f>+'Deducible 151'!AD110</f>
        <v>1260239.2674192991</v>
      </c>
      <c r="F91" s="25">
        <f>+'Deducible 185'!AD110</f>
        <v>1278920.0201864769</v>
      </c>
      <c r="H91" s="24">
        <f t="shared" si="33"/>
        <v>87</v>
      </c>
      <c r="I91" s="25">
        <f>+'No Deducible 93'!Y110</f>
        <v>880434.94337817666</v>
      </c>
      <c r="J91" s="25">
        <f>+'Deducible 151'!Y110</f>
        <v>873904.25292354426</v>
      </c>
      <c r="K91" s="25">
        <f>+'Deducible 185'!Y110</f>
        <v>880434.94337817666</v>
      </c>
      <c r="O91" s="13"/>
      <c r="P91" s="13"/>
      <c r="Q91" s="13"/>
      <c r="Z91" s="18"/>
      <c r="AA91" s="17"/>
    </row>
    <row r="92" spans="1:27">
      <c r="A92" s="27">
        <f t="shared" si="31"/>
        <v>7.333333333333333</v>
      </c>
      <c r="B92" s="28">
        <f>'OptiMaxx plus'!$T$7+A92</f>
        <v>36.333333333333336</v>
      </c>
      <c r="C92" s="24">
        <f t="shared" si="32"/>
        <v>88</v>
      </c>
      <c r="D92" s="25">
        <f>+'No Deducible 93'!AD111</f>
        <v>1297679.9565268029</v>
      </c>
      <c r="E92" s="25">
        <f>+'Deducible 151'!AD111</f>
        <v>1278673.2758229554</v>
      </c>
      <c r="F92" s="25">
        <f>+'Deducible 185'!AD111</f>
        <v>1297679.9565268029</v>
      </c>
      <c r="H92" s="24">
        <f t="shared" si="33"/>
        <v>88</v>
      </c>
      <c r="I92" s="25">
        <f>+'No Deducible 93'!Y111</f>
        <v>896537.58726124</v>
      </c>
      <c r="J92" s="25">
        <f>+'Deducible 151'!Y111</f>
        <v>889802.94159863621</v>
      </c>
      <c r="K92" s="25">
        <f>+'Deducible 185'!Y111</f>
        <v>896537.58726124</v>
      </c>
      <c r="O92" s="13"/>
      <c r="P92" s="13"/>
      <c r="Q92" s="13"/>
      <c r="Z92" s="18"/>
      <c r="AA92" s="17"/>
    </row>
    <row r="93" spans="1:27">
      <c r="A93" s="27">
        <f t="shared" si="31"/>
        <v>7.416666666666667</v>
      </c>
      <c r="B93" s="28">
        <f>'OptiMaxx plus'!$T$7+A93</f>
        <v>36.416666666666664</v>
      </c>
      <c r="C93" s="24">
        <f t="shared" si="32"/>
        <v>89</v>
      </c>
      <c r="D93" s="25">
        <f>+'No Deducible 93'!AD112</f>
        <v>1316569.8422401999</v>
      </c>
      <c r="E93" s="25">
        <f>+'Deducible 151'!AD112</f>
        <v>1297232.1450072287</v>
      </c>
      <c r="F93" s="25">
        <f>+'Deducible 185'!AD112</f>
        <v>1316569.8422401999</v>
      </c>
      <c r="H93" s="24">
        <f t="shared" si="33"/>
        <v>89</v>
      </c>
      <c r="I93" s="25">
        <f>+'No Deducible 93'!Y112</f>
        <v>912752.40483927692</v>
      </c>
      <c r="J93" s="25">
        <f>+'Deducible 151'!Y112</f>
        <v>905809.8191080793</v>
      </c>
      <c r="K93" s="25">
        <f>+'Deducible 185'!Y112</f>
        <v>912752.40483927692</v>
      </c>
      <c r="O93" s="13"/>
      <c r="P93" s="13"/>
      <c r="Q93" s="13"/>
      <c r="Z93" s="18"/>
      <c r="AA93" s="17"/>
    </row>
    <row r="94" spans="1:27">
      <c r="A94" s="27">
        <f t="shared" si="31"/>
        <v>7.5</v>
      </c>
      <c r="B94" s="28">
        <f>'OptiMaxx plus'!$T$7+A94</f>
        <v>36.5</v>
      </c>
      <c r="C94" s="24">
        <f t="shared" si="32"/>
        <v>90</v>
      </c>
      <c r="D94" s="25">
        <f>+'No Deducible 93'!AD113</f>
        <v>1331930.5632811296</v>
      </c>
      <c r="E94" s="25">
        <f>+'Deducible 151'!AD113</f>
        <v>1312029.1862762973</v>
      </c>
      <c r="F94" s="25">
        <f>+'Deducible 185'!AD113</f>
        <v>1331930.5632811296</v>
      </c>
      <c r="H94" s="24">
        <f t="shared" si="33"/>
        <v>90</v>
      </c>
      <c r="I94" s="25">
        <f>+'No Deducible 93'!Y113</f>
        <v>929080.17753289966</v>
      </c>
      <c r="J94" s="25">
        <f>+'Deducible 151'!Y113</f>
        <v>921925.62166503666</v>
      </c>
      <c r="K94" s="25">
        <f>+'Deducible 185'!Y113</f>
        <v>929080.17753289966</v>
      </c>
      <c r="O94" s="13"/>
      <c r="P94" s="13"/>
      <c r="Q94" s="13"/>
      <c r="Z94" s="18"/>
      <c r="AA94" s="17"/>
    </row>
    <row r="95" spans="1:27">
      <c r="A95" s="27">
        <f t="shared" si="31"/>
        <v>7.583333333333333</v>
      </c>
      <c r="B95" s="28">
        <f>'OptiMaxx plus'!$T$7+A95</f>
        <v>36.583333333333336</v>
      </c>
      <c r="C95" s="24">
        <f t="shared" si="32"/>
        <v>91</v>
      </c>
      <c r="D95" s="25">
        <f>+'No Deducible 93'!AD114</f>
        <v>1351058.6484396376</v>
      </c>
      <c r="E95" s="25">
        <f>+'Deducible 151'!AD114</f>
        <v>1330814.7261639216</v>
      </c>
      <c r="F95" s="25">
        <f>+'Deducible 185'!AD114</f>
        <v>1351058.6484396376</v>
      </c>
      <c r="H95" s="24">
        <f t="shared" si="33"/>
        <v>91</v>
      </c>
      <c r="I95" s="25">
        <f>+'No Deducible 93'!Y114</f>
        <v>945521.69220622652</v>
      </c>
      <c r="J95" s="25">
        <f>+'Deducible 151'!Y114</f>
        <v>938151.0904925213</v>
      </c>
      <c r="K95" s="25">
        <f>+'Deducible 185'!Y114</f>
        <v>945521.69220622652</v>
      </c>
      <c r="O95" s="13"/>
      <c r="P95" s="13"/>
      <c r="Q95" s="13"/>
      <c r="Z95" s="18"/>
      <c r="AA95" s="17"/>
    </row>
    <row r="96" spans="1:27">
      <c r="A96" s="27">
        <f t="shared" si="31"/>
        <v>7.666666666666667</v>
      </c>
      <c r="B96" s="28">
        <f>'OptiMaxx plus'!$T$7+A96</f>
        <v>36.666666666666664</v>
      </c>
      <c r="C96" s="24">
        <f t="shared" si="32"/>
        <v>92</v>
      </c>
      <c r="D96" s="25">
        <f>+'No Deducible 93'!AD115</f>
        <v>1370319.2405420432</v>
      </c>
      <c r="E96" s="25">
        <f>+'Deducible 151'!AD115</f>
        <v>1349727.513427207</v>
      </c>
      <c r="F96" s="25">
        <f>+'Deducible 185'!AD115</f>
        <v>1370319.2405420432</v>
      </c>
      <c r="H96" s="24">
        <f t="shared" si="33"/>
        <v>92</v>
      </c>
      <c r="I96" s="25">
        <f>+'No Deducible 93'!Y115</f>
        <v>962077.7412048023</v>
      </c>
      <c r="J96" s="25">
        <f>+'Deducible 151'!Y115</f>
        <v>954486.97185748746</v>
      </c>
      <c r="K96" s="25">
        <f>+'Deducible 185'!Y115</f>
        <v>962077.7412048023</v>
      </c>
      <c r="O96" s="13"/>
      <c r="P96" s="13"/>
      <c r="Q96" s="13"/>
      <c r="Z96" s="18"/>
      <c r="AA96" s="17"/>
    </row>
    <row r="97" spans="1:27">
      <c r="A97" s="27">
        <f t="shared" si="31"/>
        <v>7.75</v>
      </c>
      <c r="B97" s="28">
        <f>'OptiMaxx plus'!$T$7+A97</f>
        <v>36.75</v>
      </c>
      <c r="C97" s="24">
        <f t="shared" si="32"/>
        <v>93</v>
      </c>
      <c r="D97" s="25">
        <f>+'No Deducible 93'!AD116</f>
        <v>1386013.1461440625</v>
      </c>
      <c r="E97" s="25">
        <f>+'Deducible 151'!AD116</f>
        <v>1364842.9046888798</v>
      </c>
      <c r="F97" s="25">
        <f>+'Deducible 185'!AD116</f>
        <v>1386013.1461440625</v>
      </c>
      <c r="H97" s="24">
        <f t="shared" si="33"/>
        <v>93</v>
      </c>
      <c r="I97" s="25">
        <f>+'No Deducible 93'!Y116</f>
        <v>978749.12239378225</v>
      </c>
      <c r="J97" s="25">
        <f>+'Deducible 151'!Y116</f>
        <v>970934.01710515458</v>
      </c>
      <c r="K97" s="25">
        <f>+'Deducible 185'!Y116</f>
        <v>978749.12239378225</v>
      </c>
      <c r="O97" s="13"/>
      <c r="P97" s="13"/>
      <c r="Q97" s="13"/>
      <c r="Z97" s="18"/>
      <c r="AA97" s="17"/>
    </row>
    <row r="98" spans="1:27">
      <c r="A98" s="27">
        <f t="shared" si="31"/>
        <v>7.833333333333333</v>
      </c>
      <c r="B98" s="28">
        <f>'OptiMaxx plus'!$T$7+A98</f>
        <v>36.833333333333336</v>
      </c>
      <c r="C98" s="24">
        <f t="shared" si="32"/>
        <v>94</v>
      </c>
      <c r="D98" s="25">
        <f>+'No Deducible 93'!AD117</f>
        <v>1405516.8373360429</v>
      </c>
      <c r="E98" s="25">
        <f>+'Deducible 151'!AD117</f>
        <v>1383986.9343842932</v>
      </c>
      <c r="F98" s="25">
        <f>+'Deducible 185'!AD117</f>
        <v>1405516.8373360429</v>
      </c>
      <c r="H98" s="24">
        <f t="shared" si="33"/>
        <v>94</v>
      </c>
      <c r="I98" s="25">
        <f>+'No Deducible 93'!Y117</f>
        <v>995536.63919638318</v>
      </c>
      <c r="J98" s="25">
        <f>+'Deducible 151'!Y117</f>
        <v>987492.98269356356</v>
      </c>
      <c r="K98" s="25">
        <f>+'Deducible 185'!Y117</f>
        <v>995536.63919638318</v>
      </c>
      <c r="O98" s="13"/>
      <c r="P98" s="13"/>
      <c r="Q98" s="13"/>
      <c r="Z98" s="18"/>
      <c r="AA98" s="17"/>
    </row>
    <row r="99" spans="1:27">
      <c r="A99" s="27">
        <f t="shared" si="31"/>
        <v>7.916666666666667</v>
      </c>
      <c r="B99" s="28">
        <f>'OptiMaxx plus'!$T$7+A99</f>
        <v>36.916666666666664</v>
      </c>
      <c r="C99" s="24">
        <f t="shared" si="32"/>
        <v>95</v>
      </c>
      <c r="D99" s="25">
        <f>+'No Deducible 93'!AD118</f>
        <v>1425155.6449240379</v>
      </c>
      <c r="E99" s="25">
        <f>+'Deducible 151'!AD118</f>
        <v>1403260.6453482185</v>
      </c>
      <c r="F99" s="25">
        <f>+'Deducible 185'!AD118</f>
        <v>1425155.6449240379</v>
      </c>
      <c r="H99" s="24">
        <f t="shared" si="33"/>
        <v>95</v>
      </c>
      <c r="I99" s="25">
        <f>+'No Deducible 93'!Y118</f>
        <v>1012441.1006326015</v>
      </c>
      <c r="J99" s="25">
        <f>+'Deducible 151'!Y118</f>
        <v>1004164.6302283697</v>
      </c>
      <c r="K99" s="25">
        <f>+'Deducible 185'!Y118</f>
        <v>1012441.1006326015</v>
      </c>
      <c r="O99" s="13"/>
      <c r="P99" s="13"/>
      <c r="Q99" s="13"/>
      <c r="Z99" s="18"/>
      <c r="AA99" s="17"/>
    </row>
    <row r="100" spans="1:27">
      <c r="A100" s="27">
        <f t="shared" si="31"/>
        <v>8</v>
      </c>
      <c r="B100" s="28">
        <f>'OptiMaxx plus'!$T$7+A100</f>
        <v>37</v>
      </c>
      <c r="C100" s="24">
        <f t="shared" si="32"/>
        <v>96</v>
      </c>
      <c r="D100" s="25">
        <f>+'No Deducible 93'!AD119</f>
        <v>1441189.8524768839</v>
      </c>
      <c r="E100" s="25">
        <f>+'Deducible 151'!AD119</f>
        <v>1418701.0688512314</v>
      </c>
      <c r="F100" s="25">
        <f>+'Deducible 185'!AD119</f>
        <v>1441189.8524768839</v>
      </c>
      <c r="H100" s="24">
        <f t="shared" si="33"/>
        <v>96</v>
      </c>
      <c r="I100" s="25">
        <f>+'No Deducible 93'!Y119</f>
        <v>1029463.3213582018</v>
      </c>
      <c r="J100" s="25">
        <f>+'Deducible 151'!Y119</f>
        <v>1020949.7264978713</v>
      </c>
      <c r="K100" s="25">
        <f>+'Deducible 185'!Y119</f>
        <v>1029463.3213582018</v>
      </c>
      <c r="O100" s="13"/>
      <c r="P100" s="13"/>
      <c r="Q100" s="13"/>
      <c r="Z100" s="18"/>
      <c r="AA100" s="17"/>
    </row>
    <row r="101" spans="1:27">
      <c r="A101" s="27">
        <f t="shared" si="31"/>
        <v>8.0833333333333339</v>
      </c>
      <c r="B101" s="28">
        <f>'OptiMaxx plus'!$T$7+A101</f>
        <v>37.083333333333336</v>
      </c>
      <c r="C101" s="24">
        <f t="shared" si="32"/>
        <v>97</v>
      </c>
      <c r="D101" s="25">
        <f>+'No Deducible 93'!AD120</f>
        <v>1461072.7496933646</v>
      </c>
      <c r="E101" s="25">
        <f>+'Deducible 151'!AD120</f>
        <v>1438206.0397755534</v>
      </c>
      <c r="F101" s="25">
        <f>+'Deducible 185'!AD120</f>
        <v>1461072.7496933646</v>
      </c>
      <c r="H101" s="24">
        <f t="shared" si="33"/>
        <v>97</v>
      </c>
      <c r="I101" s="25">
        <f>+'No Deducible 93'!Y120</f>
        <v>1046600.1107439126</v>
      </c>
      <c r="J101" s="25">
        <f>+'Deducible 151'!Y120</f>
        <v>1037844.3961917515</v>
      </c>
      <c r="K101" s="25">
        <f>+'Deducible 185'!Y120</f>
        <v>1046600.1107439126</v>
      </c>
      <c r="O101" s="13"/>
      <c r="P101" s="13"/>
      <c r="Q101" s="13"/>
      <c r="Z101" s="18"/>
      <c r="AA101" s="17"/>
    </row>
    <row r="102" spans="1:27">
      <c r="A102" s="27">
        <f t="shared" si="31"/>
        <v>8.1666666666666661</v>
      </c>
      <c r="B102" s="28">
        <f>'OptiMaxx plus'!$T$7+A102</f>
        <v>37.166666666666664</v>
      </c>
      <c r="C102" s="24">
        <f t="shared" si="32"/>
        <v>98</v>
      </c>
      <c r="D102" s="25">
        <f>+'No Deducible 93'!AD121</f>
        <v>1481093.3977685629</v>
      </c>
      <c r="E102" s="25">
        <f>+'Deducible 151'!AD121</f>
        <v>1457843.1424895611</v>
      </c>
      <c r="F102" s="25">
        <f>+'Deducible 185'!AD121</f>
        <v>1481093.3977685629</v>
      </c>
      <c r="H102" s="24">
        <f t="shared" si="33"/>
        <v>98</v>
      </c>
      <c r="I102" s="25">
        <f>+'No Deducible 93'!Y121</f>
        <v>1063856.2778541348</v>
      </c>
      <c r="J102" s="25">
        <f>+'Deducible 151'!Y121</f>
        <v>1054854.0322616822</v>
      </c>
      <c r="K102" s="25">
        <f>+'Deducible 185'!Y121</f>
        <v>1063856.2778541348</v>
      </c>
      <c r="O102" s="13"/>
      <c r="P102" s="13"/>
      <c r="Q102" s="13"/>
      <c r="Z102" s="18"/>
      <c r="AA102" s="17"/>
    </row>
    <row r="103" spans="1:27">
      <c r="A103" s="27">
        <f t="shared" si="31"/>
        <v>8.25</v>
      </c>
      <c r="B103" s="28">
        <f>'OptiMaxx plus'!$T$7+A103</f>
        <v>37.25</v>
      </c>
      <c r="C103" s="24">
        <f t="shared" si="32"/>
        <v>99</v>
      </c>
      <c r="D103" s="25">
        <f>+'No Deducible 93'!AD122</f>
        <v>1497471.108545624</v>
      </c>
      <c r="E103" s="25">
        <f>+'Deducible 151'!AD122</f>
        <v>1473610.7084063832</v>
      </c>
      <c r="F103" s="25">
        <f>+'Deducible 185'!AD122</f>
        <v>1497471.108545624</v>
      </c>
      <c r="H103" s="24">
        <f t="shared" si="33"/>
        <v>99</v>
      </c>
      <c r="I103" s="25">
        <f>+'No Deducible 93'!Y122</f>
        <v>1081232.6542939486</v>
      </c>
      <c r="J103" s="25">
        <f>+'Deducible 151'!Y122</f>
        <v>1071979.4170412547</v>
      </c>
      <c r="K103" s="25">
        <f>+'Deducible 185'!Y122</f>
        <v>1081232.6542939486</v>
      </c>
      <c r="O103" s="13"/>
      <c r="P103" s="13"/>
      <c r="Q103" s="13"/>
      <c r="Z103" s="18"/>
      <c r="AA103" s="17"/>
    </row>
    <row r="104" spans="1:27">
      <c r="A104" s="27">
        <f t="shared" si="31"/>
        <v>8.3333333333333339</v>
      </c>
      <c r="B104" s="28">
        <f>'OptiMaxx plus'!$T$7+A104</f>
        <v>37.333333333333336</v>
      </c>
      <c r="C104" s="24">
        <f t="shared" si="32"/>
        <v>100</v>
      </c>
      <c r="D104" s="25">
        <f>+'No Deducible 93'!AD123</f>
        <v>1517744.9062249423</v>
      </c>
      <c r="E104" s="25">
        <f>+'Deducible 151'!AD123</f>
        <v>1493488.4143676925</v>
      </c>
      <c r="F104" s="25">
        <f>+'Deducible 185'!AD123</f>
        <v>1517744.9062249423</v>
      </c>
      <c r="H104" s="24">
        <f t="shared" si="33"/>
        <v>100</v>
      </c>
      <c r="I104" s="25">
        <f>+'No Deducible 93'!Y123</f>
        <v>1098730.077461533</v>
      </c>
      <c r="J104" s="25">
        <f>+'Deducible 151'!Y123</f>
        <v>1089221.3381877556</v>
      </c>
      <c r="K104" s="25">
        <f>+'Deducible 185'!Y123</f>
        <v>1098730.077461533</v>
      </c>
      <c r="O104" s="13"/>
      <c r="P104" s="13"/>
      <c r="Q104" s="13"/>
      <c r="Z104" s="18"/>
      <c r="AA104" s="17"/>
    </row>
    <row r="105" spans="1:27">
      <c r="A105" s="27">
        <f t="shared" si="31"/>
        <v>8.4166666666666661</v>
      </c>
      <c r="B105" s="28">
        <f>'OptiMaxx plus'!$T$7+A105</f>
        <v>37.416666666666664</v>
      </c>
      <c r="C105" s="24">
        <f t="shared" si="32"/>
        <v>101</v>
      </c>
      <c r="D105" s="25">
        <f>+'No Deducible 93'!AD124</f>
        <v>1538159.1706228899</v>
      </c>
      <c r="E105" s="25">
        <f>+'Deducible 151'!AD124</f>
        <v>1513500.7828415958</v>
      </c>
      <c r="F105" s="25">
        <f>+'Deducible 185'!AD124</f>
        <v>1538159.1706228899</v>
      </c>
      <c r="H105" s="24">
        <f t="shared" si="33"/>
        <v>101</v>
      </c>
      <c r="I105" s="25">
        <f>+'No Deducible 93'!Y124</f>
        <v>1116349.3905885229</v>
      </c>
      <c r="J105" s="25">
        <f>+'Deducible 151'!Y124</f>
        <v>1106580.5887183922</v>
      </c>
      <c r="K105" s="25">
        <f>+'Deducible 185'!Y124</f>
        <v>1116349.3905885229</v>
      </c>
      <c r="O105" s="13"/>
      <c r="P105" s="13"/>
      <c r="Q105" s="13"/>
      <c r="Z105" s="18"/>
      <c r="AA105" s="17"/>
    </row>
    <row r="106" spans="1:27">
      <c r="A106" s="27">
        <f t="shared" si="31"/>
        <v>8.5</v>
      </c>
      <c r="B106" s="28">
        <f>'OptiMaxx plus'!$T$7+A106</f>
        <v>37.5</v>
      </c>
      <c r="C106" s="24">
        <f t="shared" si="32"/>
        <v>102</v>
      </c>
      <c r="D106" s="25">
        <f>+'No Deducible 93'!AD125</f>
        <v>1554891.7884914281</v>
      </c>
      <c r="E106" s="25">
        <f>+'Deducible 151'!AD125</f>
        <v>1529607.0676497442</v>
      </c>
      <c r="F106" s="25">
        <f>+'Deducible 185'!AD125</f>
        <v>1554891.7884914281</v>
      </c>
      <c r="H106" s="24">
        <f t="shared" si="33"/>
        <v>102</v>
      </c>
      <c r="I106" s="25">
        <f>+'No Deducible 93'!Y125</f>
        <v>1134091.4427806439</v>
      </c>
      <c r="J106" s="25">
        <f>+'Deducible 151'!Y125</f>
        <v>1124057.9670467675</v>
      </c>
      <c r="K106" s="25">
        <f>+'Deducible 185'!Y125</f>
        <v>1134091.4427806439</v>
      </c>
      <c r="O106" s="13"/>
      <c r="P106" s="13"/>
      <c r="Q106" s="13"/>
      <c r="Z106" s="18"/>
      <c r="AA106" s="17"/>
    </row>
    <row r="107" spans="1:27">
      <c r="A107" s="27">
        <f t="shared" si="31"/>
        <v>8.5833333333333339</v>
      </c>
      <c r="B107" s="28">
        <f>'OptiMaxx plus'!$T$7+A107</f>
        <v>37.583333333333336</v>
      </c>
      <c r="C107" s="24">
        <f t="shared" si="32"/>
        <v>103</v>
      </c>
      <c r="D107" s="25">
        <f>+'No Deducible 93'!AD126</f>
        <v>1575564.4129460158</v>
      </c>
      <c r="E107" s="25">
        <f>+'Deducible 151'!AD126</f>
        <v>1549864.89489034</v>
      </c>
      <c r="F107" s="25">
        <f>+'Deducible 185'!AD126</f>
        <v>1575564.4129460158</v>
      </c>
      <c r="H107" s="24">
        <f t="shared" si="33"/>
        <v>103</v>
      </c>
      <c r="I107" s="25">
        <f>+'No Deducible 93'!Y126</f>
        <v>1151957.0890586344</v>
      </c>
      <c r="J107" s="25">
        <f>+'Deducible 151'!Y126</f>
        <v>1141654.2770196013</v>
      </c>
      <c r="K107" s="25">
        <f>+'Deducible 185'!Y126</f>
        <v>1151957.0890586344</v>
      </c>
      <c r="O107" s="13"/>
      <c r="P107" s="13"/>
      <c r="Q107" s="13"/>
      <c r="Z107" s="18"/>
      <c r="AA107" s="17"/>
    </row>
    <row r="108" spans="1:27">
      <c r="A108" s="27">
        <f t="shared" si="31"/>
        <v>8.6666666666666661</v>
      </c>
      <c r="B108" s="28">
        <f>'OptiMaxx plus'!$T$7+A108</f>
        <v>37.666666666666664</v>
      </c>
      <c r="C108" s="24">
        <f t="shared" si="32"/>
        <v>104</v>
      </c>
      <c r="D108" s="25">
        <f>+'No Deducible 93'!AD127</f>
        <v>1596380.2751263091</v>
      </c>
      <c r="E108" s="25">
        <f>+'Deducible 151'!AD127</f>
        <v>1570259.9655746566</v>
      </c>
      <c r="F108" s="25">
        <f>+'Deducible 185'!AD127</f>
        <v>1596380.2751263091</v>
      </c>
      <c r="H108" s="24">
        <f t="shared" si="33"/>
        <v>104</v>
      </c>
      <c r="I108" s="25">
        <f>+'No Deducible 93'!Y127</f>
        <v>1169947.1903994482</v>
      </c>
      <c r="J108" s="25">
        <f>+'Deducible 151'!Y127</f>
        <v>1159370.3279537021</v>
      </c>
      <c r="K108" s="25">
        <f>+'Deducible 185'!Y127</f>
        <v>1169947.1903994482</v>
      </c>
      <c r="O108" s="13"/>
      <c r="P108" s="13"/>
      <c r="Q108" s="13"/>
      <c r="Z108" s="18"/>
      <c r="AA108" s="17"/>
    </row>
    <row r="109" spans="1:27">
      <c r="A109" s="27">
        <f t="shared" si="31"/>
        <v>8.75</v>
      </c>
      <c r="B109" s="28">
        <f>'OptiMaxx plus'!$T$7+A109</f>
        <v>37.75</v>
      </c>
      <c r="C109" s="24">
        <f t="shared" si="32"/>
        <v>105</v>
      </c>
      <c r="D109" s="25">
        <f>+'No Deducible 93'!AD128</f>
        <v>1613475.3780686336</v>
      </c>
      <c r="E109" s="25">
        <f>+'Deducible 151'!AD128</f>
        <v>1586712.0742975932</v>
      </c>
      <c r="F109" s="25">
        <f>+'Deducible 185'!AD128</f>
        <v>1613475.3780686336</v>
      </c>
      <c r="H109" s="24">
        <f t="shared" si="33"/>
        <v>105</v>
      </c>
      <c r="I109" s="25">
        <f>+'No Deducible 93'!Y128</f>
        <v>1188062.6137777485</v>
      </c>
      <c r="J109" s="25">
        <f>+'Deducible 151'!Y128</f>
        <v>1177206.934673191</v>
      </c>
      <c r="K109" s="25">
        <f>+'Deducible 185'!Y128</f>
        <v>1188062.6137777485</v>
      </c>
      <c r="O109" s="13"/>
      <c r="P109" s="13"/>
      <c r="Q109" s="13"/>
      <c r="Z109" s="18"/>
      <c r="AA109" s="17"/>
    </row>
    <row r="110" spans="1:27">
      <c r="A110" s="27">
        <f t="shared" si="31"/>
        <v>8.8333333333333339</v>
      </c>
      <c r="B110" s="28">
        <f>'OptiMaxx plus'!$T$7+A110</f>
        <v>37.833333333333336</v>
      </c>
      <c r="C110" s="24">
        <f t="shared" si="32"/>
        <v>106</v>
      </c>
      <c r="D110" s="25">
        <f>+'No Deducible 93'!AD129</f>
        <v>1634554.9191106805</v>
      </c>
      <c r="E110" s="25">
        <f>+'Deducible 151'!AD129</f>
        <v>1607357.5581918666</v>
      </c>
      <c r="F110" s="25">
        <f>+'Deducible 185'!AD129</f>
        <v>1634554.9191106805</v>
      </c>
      <c r="H110" s="24">
        <f t="shared" si="33"/>
        <v>106</v>
      </c>
      <c r="I110" s="25">
        <f>+'No Deducible 93'!Y129</f>
        <v>1206304.2322076883</v>
      </c>
      <c r="J110" s="25">
        <f>+'Deducible 151'!Y129</f>
        <v>1195164.917546978</v>
      </c>
      <c r="K110" s="25">
        <f>+'Deducible 185'!Y129</f>
        <v>1206304.2322076883</v>
      </c>
      <c r="O110" s="13"/>
      <c r="P110" s="13"/>
      <c r="Q110" s="13"/>
      <c r="Z110" s="18"/>
      <c r="AA110" s="17"/>
    </row>
    <row r="111" spans="1:27">
      <c r="A111" s="27">
        <f t="shared" si="31"/>
        <v>8.9166666666666661</v>
      </c>
      <c r="B111" s="28">
        <f>'OptiMaxx plus'!$T$7+A111</f>
        <v>37.916666666666664</v>
      </c>
      <c r="C111" s="24">
        <f t="shared" si="32"/>
        <v>107</v>
      </c>
      <c r="D111" s="25">
        <f>+'No Deducible 93'!AD130</f>
        <v>1655780.5251709851</v>
      </c>
      <c r="E111" s="25">
        <f>+'Deducible 151'!AD130</f>
        <v>1628142.9176835155</v>
      </c>
      <c r="F111" s="25">
        <f>+'Deducible 185'!AD130</f>
        <v>1655780.5251709851</v>
      </c>
      <c r="H111" s="24">
        <f t="shared" si="33"/>
        <v>107</v>
      </c>
      <c r="I111" s="25">
        <f>+'No Deducible 93'!Y130</f>
        <v>1224672.9247849821</v>
      </c>
      <c r="J111" s="25">
        <f>+'Deducible 151'!Y130</f>
        <v>1213245.1025264929</v>
      </c>
      <c r="K111" s="25">
        <f>+'Deducible 185'!Y130</f>
        <v>1224672.9247849821</v>
      </c>
      <c r="O111" s="13"/>
      <c r="P111" s="13"/>
      <c r="Q111" s="13"/>
      <c r="Z111" s="18"/>
      <c r="AA111" s="17"/>
    </row>
    <row r="112" spans="1:27">
      <c r="A112" s="27">
        <f t="shared" si="31"/>
        <v>9</v>
      </c>
      <c r="B112" s="28">
        <f>'OptiMaxx plus'!$T$7+A112</f>
        <v>38</v>
      </c>
      <c r="C112" s="24">
        <f t="shared" si="32"/>
        <v>108</v>
      </c>
      <c r="D112" s="25">
        <f>+'No Deducible 93'!AD131</f>
        <v>1673245.851820349</v>
      </c>
      <c r="E112" s="25">
        <f>+'Deducible 151'!AD131</f>
        <v>1644948.1027790303</v>
      </c>
      <c r="F112" s="25">
        <f>+'Deducible 185'!AD131</f>
        <v>1673245.851820349</v>
      </c>
      <c r="H112" s="24">
        <f t="shared" si="33"/>
        <v>108</v>
      </c>
      <c r="I112" s="25">
        <f>+'No Deducible 93'!Y131</f>
        <v>1243169.5767292711</v>
      </c>
      <c r="J112" s="25">
        <f>+'Deducible 151'!Y131</f>
        <v>1231448.3211836754</v>
      </c>
      <c r="K112" s="25">
        <f>+'Deducible 185'!Y131</f>
        <v>1243169.5767292711</v>
      </c>
      <c r="O112" s="13"/>
      <c r="P112" s="13"/>
      <c r="Q112" s="13"/>
      <c r="Z112" s="18"/>
      <c r="AA112" s="17"/>
    </row>
    <row r="113" spans="1:27">
      <c r="A113" s="27">
        <f t="shared" si="31"/>
        <v>9.0833333333333339</v>
      </c>
      <c r="B113" s="28">
        <f>'OptiMaxx plus'!$T$7+A113</f>
        <v>38.083333333333336</v>
      </c>
      <c r="C113" s="24">
        <f t="shared" si="32"/>
        <v>109</v>
      </c>
      <c r="D113" s="25">
        <f>+'No Deducible 93'!AD132</f>
        <v>1694736.3947673116</v>
      </c>
      <c r="E113" s="25">
        <f>+'Deducible 151'!AD132</f>
        <v>1665984.0976633141</v>
      </c>
      <c r="F113" s="25">
        <f>+'Deducible 185'!AD132</f>
        <v>1694736.3947673116</v>
      </c>
      <c r="H113" s="24">
        <f t="shared" si="33"/>
        <v>109</v>
      </c>
      <c r="I113" s="25">
        <f>+'No Deducible 93'!Y132</f>
        <v>1261790.9080283183</v>
      </c>
      <c r="J113" s="25">
        <f>+'Deducible 151'!Y132</f>
        <v>1249770.5775400344</v>
      </c>
      <c r="K113" s="25">
        <f>+'Deducible 185'!Y132</f>
        <v>1261790.9080283183</v>
      </c>
      <c r="O113" s="13"/>
      <c r="P113" s="13"/>
      <c r="Q113" s="13"/>
      <c r="Z113" s="18"/>
      <c r="AA113" s="17"/>
    </row>
    <row r="114" spans="1:27">
      <c r="A114" s="27">
        <f t="shared" si="31"/>
        <v>9.1666666666666661</v>
      </c>
      <c r="B114" s="28">
        <f>'OptiMaxx plus'!$T$7+A114</f>
        <v>38.166666666666664</v>
      </c>
      <c r="C114" s="24">
        <f t="shared" si="32"/>
        <v>110</v>
      </c>
      <c r="D114" s="25">
        <f>+'No Deducible 93'!AD133</f>
        <v>1716375.858413921</v>
      </c>
      <c r="E114" s="25">
        <f>+'Deducible 151'!AD133</f>
        <v>1687162.6196666807</v>
      </c>
      <c r="F114" s="25">
        <f>+'Deducible 185'!AD133</f>
        <v>1716375.858413921</v>
      </c>
      <c r="H114" s="24">
        <f t="shared" si="33"/>
        <v>110</v>
      </c>
      <c r="I114" s="25">
        <f>+'No Deducible 93'!Y133</f>
        <v>1280541.9586177075</v>
      </c>
      <c r="J114" s="25">
        <f>+'Deducible 151'!Y133</f>
        <v>1268217.5148432555</v>
      </c>
      <c r="K114" s="25">
        <f>+'Deducible 185'!Y133</f>
        <v>1280541.9586177075</v>
      </c>
      <c r="O114" s="13"/>
      <c r="P114" s="13"/>
      <c r="Q114" s="13"/>
      <c r="Z114" s="18"/>
      <c r="AA114" s="17"/>
    </row>
    <row r="115" spans="1:27">
      <c r="A115" s="27">
        <f t="shared" si="31"/>
        <v>9.25</v>
      </c>
      <c r="B115" s="28">
        <f>'OptiMaxx plus'!$T$7+A115</f>
        <v>38.25</v>
      </c>
      <c r="C115" s="24">
        <f t="shared" si="32"/>
        <v>111</v>
      </c>
      <c r="D115" s="25">
        <f>+'No Deducible 93'!AD134</f>
        <v>1734215.0817299513</v>
      </c>
      <c r="E115" s="25">
        <f>+'Deducible 151'!AD134</f>
        <v>1704323.3848590055</v>
      </c>
      <c r="F115" s="25">
        <f>+'Deducible 185'!AD134</f>
        <v>1734215.0817299513</v>
      </c>
      <c r="H115" s="24">
        <f t="shared" si="33"/>
        <v>111</v>
      </c>
      <c r="I115" s="25">
        <f>+'No Deducible 93'!Y134</f>
        <v>1299423.6321435859</v>
      </c>
      <c r="J115" s="25">
        <f>+'Deducible 151'!Y134</f>
        <v>1286789.9815335204</v>
      </c>
      <c r="K115" s="25">
        <f>+'Deducible 185'!Y134</f>
        <v>1299423.6321435859</v>
      </c>
      <c r="O115" s="13"/>
      <c r="P115" s="13"/>
      <c r="Q115" s="13"/>
      <c r="Z115" s="18"/>
      <c r="AA115" s="17"/>
    </row>
    <row r="116" spans="1:27">
      <c r="A116" s="27">
        <f t="shared" si="31"/>
        <v>9.3333333333333339</v>
      </c>
      <c r="B116" s="28">
        <f>'OptiMaxx plus'!$T$7+A116</f>
        <v>38.333333333333336</v>
      </c>
      <c r="C116" s="24">
        <f t="shared" si="32"/>
        <v>112</v>
      </c>
      <c r="D116" s="25">
        <f>+'No Deducible 93'!AD135</f>
        <v>1756129.1372904878</v>
      </c>
      <c r="E116" s="25">
        <f>+'Deducible 151'!AD135</f>
        <v>1725762.4674190464</v>
      </c>
      <c r="F116" s="25">
        <f>+'Deducible 185'!AD135</f>
        <v>1756129.1372904878</v>
      </c>
      <c r="H116" s="24">
        <f t="shared" si="33"/>
        <v>112</v>
      </c>
      <c r="I116" s="25">
        <f>+'No Deducible 93'!Y135</f>
        <v>1318436.8385470503</v>
      </c>
      <c r="J116" s="25">
        <f>+'Deducible 151'!Y135</f>
        <v>1305488.8318245532</v>
      </c>
      <c r="K116" s="25">
        <f>+'Deducible 185'!Y135</f>
        <v>1318436.8385470503</v>
      </c>
      <c r="O116" s="13"/>
      <c r="P116" s="13"/>
      <c r="Q116" s="13"/>
      <c r="Z116" s="18"/>
      <c r="AA116" s="17"/>
    </row>
    <row r="117" spans="1:27">
      <c r="A117" s="27">
        <f t="shared" si="31"/>
        <v>9.4166666666666661</v>
      </c>
      <c r="B117" s="28">
        <f>'OptiMaxx plus'!$T$7+A117</f>
        <v>38.416666666666664</v>
      </c>
      <c r="C117" s="24">
        <f t="shared" si="32"/>
        <v>113</v>
      </c>
      <c r="D117" s="25">
        <f>+'No Deducible 93'!AD136</f>
        <v>1778195.0563129033</v>
      </c>
      <c r="E117" s="25">
        <f>+'Deducible 151'!AD136</f>
        <v>1747346.8141469264</v>
      </c>
      <c r="F117" s="25">
        <f>+'Deducible 185'!AD136</f>
        <v>1778195.0563129033</v>
      </c>
      <c r="H117" s="24">
        <f t="shared" si="33"/>
        <v>113</v>
      </c>
      <c r="I117" s="25">
        <f>+'No Deducible 93'!Y136</f>
        <v>1337582.4941079982</v>
      </c>
      <c r="J117" s="25">
        <f>+'Deducible 151'!Y136</f>
        <v>1324314.9257429088</v>
      </c>
      <c r="K117" s="25">
        <f>+'Deducible 185'!Y136</f>
        <v>1337582.4941079982</v>
      </c>
      <c r="O117" s="13"/>
      <c r="P117" s="13"/>
      <c r="Q117" s="13"/>
      <c r="Z117" s="18"/>
      <c r="AA117" s="17"/>
    </row>
    <row r="118" spans="1:27">
      <c r="A118" s="27">
        <f t="shared" si="31"/>
        <v>9.5</v>
      </c>
      <c r="B118" s="28">
        <f>'OptiMaxx plus'!$T$7+A118</f>
        <v>38.5</v>
      </c>
      <c r="C118" s="24">
        <f t="shared" si="32"/>
        <v>114</v>
      </c>
      <c r="D118" s="25">
        <f>+'No Deducible 93'!AD137</f>
        <v>1796420.3871894432</v>
      </c>
      <c r="E118" s="25">
        <f>+'Deducible 151'!AD137</f>
        <v>1764875.5144712604</v>
      </c>
      <c r="F118" s="25">
        <f>+'Deducible 185'!AD137</f>
        <v>1796420.3871894432</v>
      </c>
      <c r="H118" s="24">
        <f t="shared" si="33"/>
        <v>114</v>
      </c>
      <c r="I118" s="25">
        <f>+'No Deducible 93'!Y137</f>
        <v>1356861.5214892856</v>
      </c>
      <c r="J118" s="25">
        <f>+'Deducible 151'!Y137</f>
        <v>1343269.1291675284</v>
      </c>
      <c r="K118" s="25">
        <f>+'Deducible 185'!Y137</f>
        <v>1356861.5214892856</v>
      </c>
      <c r="O118" s="13"/>
      <c r="P118" s="13"/>
      <c r="Q118" s="13"/>
      <c r="Z118" s="18"/>
      <c r="AA118" s="17"/>
    </row>
    <row r="119" spans="1:27">
      <c r="A119" s="27">
        <f t="shared" si="31"/>
        <v>9.5833333333333339</v>
      </c>
      <c r="B119" s="28">
        <f>'OptiMaxx plus'!$T$7+A119</f>
        <v>38.583333333333336</v>
      </c>
      <c r="C119" s="24">
        <f t="shared" si="32"/>
        <v>115</v>
      </c>
      <c r="D119" s="25">
        <f>+'No Deducible 93'!AD138</f>
        <v>1818766.5545378653</v>
      </c>
      <c r="E119" s="25">
        <f>+'Deducible 151'!AD138</f>
        <v>1786725.6839201907</v>
      </c>
      <c r="F119" s="25">
        <f>+'Deducible 185'!AD138</f>
        <v>1818766.5545378653</v>
      </c>
      <c r="H119" s="24">
        <f t="shared" si="33"/>
        <v>115</v>
      </c>
      <c r="I119" s="25">
        <f>+'No Deducible 93'!Y138</f>
        <v>1376274.849781191</v>
      </c>
      <c r="J119" s="25">
        <f>+'Deducible 151'!Y138</f>
        <v>1362352.3138695648</v>
      </c>
      <c r="K119" s="25">
        <f>+'Deducible 185'!Y138</f>
        <v>1376274.849781191</v>
      </c>
      <c r="O119" s="13"/>
      <c r="P119" s="13"/>
      <c r="Q119" s="13"/>
      <c r="Z119" s="18"/>
      <c r="AA119" s="17"/>
    </row>
    <row r="120" spans="1:27">
      <c r="A120" s="27">
        <f t="shared" si="31"/>
        <v>9.6666666666666661</v>
      </c>
      <c r="B120" s="28">
        <f>'OptiMaxx plus'!$T$7+A120</f>
        <v>38.666666666666664</v>
      </c>
      <c r="C120" s="24">
        <f t="shared" si="32"/>
        <v>116</v>
      </c>
      <c r="D120" s="25">
        <f>+'No Deducible 93'!AD139</f>
        <v>1841267.5879421681</v>
      </c>
      <c r="E120" s="25">
        <f>+'Deducible 151'!AD139</f>
        <v>1808723.9089630295</v>
      </c>
      <c r="F120" s="25">
        <f>+'Deducible 185'!AD139</f>
        <v>1841267.5879421681</v>
      </c>
      <c r="H120" s="24">
        <f t="shared" si="33"/>
        <v>116</v>
      </c>
      <c r="I120" s="25">
        <f>+'No Deducible 93'!Y139</f>
        <v>1395823.4145461905</v>
      </c>
      <c r="J120" s="25">
        <f>+'Deducible 151'!Y139</f>
        <v>1381565.3575524779</v>
      </c>
      <c r="K120" s="25">
        <f>+'Deducible 185'!Y139</f>
        <v>1395823.4145461905</v>
      </c>
      <c r="O120" s="13"/>
      <c r="P120" s="13"/>
      <c r="Q120" s="13"/>
      <c r="Z120" s="18"/>
      <c r="AA120" s="17"/>
    </row>
    <row r="121" spans="1:27">
      <c r="A121" s="27">
        <f t="shared" si="31"/>
        <v>9.75</v>
      </c>
      <c r="B121" s="28">
        <f>'OptiMaxx plus'!$T$7+A121</f>
        <v>38.75</v>
      </c>
      <c r="C121" s="24">
        <f t="shared" si="32"/>
        <v>117</v>
      </c>
      <c r="D121" s="25">
        <f>+'No Deducible 93'!AD140</f>
        <v>1859887.2657416468</v>
      </c>
      <c r="E121" s="25">
        <f>+'Deducible 151'!AD140</f>
        <v>1826628.2556266636</v>
      </c>
      <c r="F121" s="25">
        <f>+'Deducible 185'!AD140</f>
        <v>1859887.2657416468</v>
      </c>
      <c r="H121" s="24">
        <f t="shared" si="33"/>
        <v>117</v>
      </c>
      <c r="I121" s="25">
        <f>+'No Deducible 93'!Y140</f>
        <v>1415508.1578640442</v>
      </c>
      <c r="J121" s="25">
        <f>+'Deducible 151'!Y140</f>
        <v>1400909.1438924032</v>
      </c>
      <c r="K121" s="25">
        <f>+'Deducible 185'!Y140</f>
        <v>1415508.1578640442</v>
      </c>
      <c r="O121" s="13"/>
      <c r="P121" s="13"/>
      <c r="Q121" s="13"/>
      <c r="Z121" s="18"/>
      <c r="AA121" s="17"/>
    </row>
    <row r="122" spans="1:27">
      <c r="A122" s="27">
        <f t="shared" si="31"/>
        <v>9.8333333333333339</v>
      </c>
      <c r="B122" s="28">
        <f>'OptiMaxx plus'!$T$7+A122</f>
        <v>38.833333333333336</v>
      </c>
      <c r="C122" s="24">
        <f t="shared" si="32"/>
        <v>118</v>
      </c>
      <c r="D122" s="25">
        <f>+'No Deducible 93'!AD141</f>
        <v>1882674.3215623801</v>
      </c>
      <c r="E122" s="25">
        <f>+'Deducible 151'!AD141</f>
        <v>1848897.672802255</v>
      </c>
      <c r="F122" s="25">
        <f>+'Deducible 185'!AD141</f>
        <v>1882674.3215623801</v>
      </c>
      <c r="H122" s="24">
        <f t="shared" si="33"/>
        <v>118</v>
      </c>
      <c r="I122" s="25">
        <f>+'No Deducible 93'!Y141</f>
        <v>1435330.0283771958</v>
      </c>
      <c r="J122" s="25">
        <f>+'Deducible 151'!Y141</f>
        <v>1420384.5625787959</v>
      </c>
      <c r="K122" s="25">
        <f>+'Deducible 185'!Y141</f>
        <v>1435330.0283771958</v>
      </c>
      <c r="O122" s="13"/>
      <c r="P122" s="13"/>
      <c r="Q122" s="13"/>
      <c r="Z122" s="18"/>
      <c r="AA122" s="17"/>
    </row>
    <row r="123" spans="1:27">
      <c r="A123" s="27">
        <f t="shared" si="31"/>
        <v>9.9166666666666661</v>
      </c>
      <c r="B123" s="28">
        <f>'OptiMaxx plus'!$T$7+A123</f>
        <v>38.916666666666664</v>
      </c>
      <c r="C123" s="24">
        <f t="shared" si="32"/>
        <v>119</v>
      </c>
      <c r="D123" s="25">
        <f>+'No Deducible 93'!AD142</f>
        <v>1905619.3071006474</v>
      </c>
      <c r="E123" s="25">
        <f>+'Deducible 151'!AD142</f>
        <v>1871317.9924744384</v>
      </c>
      <c r="F123" s="25">
        <f>+'Deducible 185'!AD142</f>
        <v>1905619.3071006474</v>
      </c>
      <c r="H123" s="24">
        <f t="shared" si="33"/>
        <v>119</v>
      </c>
      <c r="I123" s="25">
        <f>+'No Deducible 93'!Y142</f>
        <v>1455289.9813364907</v>
      </c>
      <c r="J123" s="25">
        <f>+'Deducible 151'!Y142</f>
        <v>1439992.5093553499</v>
      </c>
      <c r="K123" s="25">
        <f>+'Deducible 185'!Y142</f>
        <v>1455289.9813364907</v>
      </c>
      <c r="O123" s="13"/>
      <c r="P123" s="13"/>
      <c r="Q123" s="13"/>
      <c r="Z123" s="18"/>
      <c r="AA123" s="17"/>
    </row>
    <row r="124" spans="1:27">
      <c r="A124" s="27">
        <f t="shared" si="31"/>
        <v>10</v>
      </c>
      <c r="B124" s="28">
        <f>'OptiMaxx plus'!$T$7+A124</f>
        <v>39</v>
      </c>
      <c r="C124" s="24">
        <f t="shared" si="32"/>
        <v>120</v>
      </c>
      <c r="D124" s="25">
        <f>+'No Deducible 93'!AD143</f>
        <v>1924641.7458069704</v>
      </c>
      <c r="E124" s="25">
        <f>+'Deducible 151'!AD143</f>
        <v>1889605.8566339463</v>
      </c>
      <c r="F124" s="25">
        <f>+'Deducible 185'!AD143</f>
        <v>1924641.7458069704</v>
      </c>
      <c r="H124" s="24">
        <f t="shared" si="33"/>
        <v>120</v>
      </c>
      <c r="I124" s="25">
        <f>+'No Deducible 93'!Y143</f>
        <v>1475388.9786472104</v>
      </c>
      <c r="J124" s="25">
        <f>+'Deducible 151'!Y143</f>
        <v>1459733.8860611976</v>
      </c>
      <c r="K124" s="25">
        <f>+'Deducible 185'!Y143</f>
        <v>1475388.9786472104</v>
      </c>
      <c r="O124" s="13"/>
      <c r="P124" s="13"/>
      <c r="Q124" s="13"/>
      <c r="Z124" s="18"/>
      <c r="AA124" s="17"/>
    </row>
    <row r="125" spans="1:27">
      <c r="A125" s="27">
        <f t="shared" si="31"/>
        <v>10.083333333333334</v>
      </c>
      <c r="B125" s="28">
        <f>'OptiMaxx plus'!$T$7+A125</f>
        <v>39.083333333333336</v>
      </c>
      <c r="C125" s="24">
        <f t="shared" si="32"/>
        <v>121</v>
      </c>
      <c r="D125" s="25">
        <f>+'No Deducible 93'!AD144</f>
        <v>1947874.3097372819</v>
      </c>
      <c r="E125" s="25">
        <f>+'Deducible 151'!AD144</f>
        <v>1912297.8207558228</v>
      </c>
      <c r="F125" s="25">
        <f>+'Deducible 185'!AD144</f>
        <v>1947874.3097372819</v>
      </c>
      <c r="H125" s="24">
        <f t="shared" si="33"/>
        <v>121</v>
      </c>
      <c r="I125" s="25">
        <f>+'No Deducible 93'!Y144</f>
        <v>1495623.650661024</v>
      </c>
      <c r="J125" s="25">
        <f>+'Deducible 151'!Y144</f>
        <v>1479604.5741348332</v>
      </c>
      <c r="K125" s="25">
        <f>+'Deducible 185'!Y144</f>
        <v>1495623.650661024</v>
      </c>
      <c r="O125" s="13"/>
      <c r="P125" s="13"/>
      <c r="Q125" s="13"/>
      <c r="Z125" s="18"/>
      <c r="AA125" s="17"/>
    </row>
    <row r="126" spans="1:27">
      <c r="A126" s="27">
        <f t="shared" si="31"/>
        <v>10.166666666666666</v>
      </c>
      <c r="B126" s="28">
        <f>'OptiMaxx plus'!$T$7+A126</f>
        <v>39.166666666666664</v>
      </c>
      <c r="C126" s="24">
        <f t="shared" si="32"/>
        <v>122</v>
      </c>
      <c r="D126" s="25">
        <f>+'No Deducible 93'!AD145</f>
        <v>1971267.8991550617</v>
      </c>
      <c r="E126" s="25">
        <f>+'Deducible 151'!AD145</f>
        <v>1935143.5566702674</v>
      </c>
      <c r="F126" s="25">
        <f>+'Deducible 185'!AD145</f>
        <v>1971267.8991550617</v>
      </c>
      <c r="H126" s="24">
        <f t="shared" si="33"/>
        <v>122</v>
      </c>
      <c r="I126" s="25">
        <f>+'No Deducible 93'!Y145</f>
        <v>1515999.2807648785</v>
      </c>
      <c r="J126" s="25">
        <f>+'Deducible 151'!Y145</f>
        <v>1499610.4800634992</v>
      </c>
      <c r="K126" s="25">
        <f>+'Deducible 185'!Y145</f>
        <v>1515999.2807648785</v>
      </c>
      <c r="O126" s="13"/>
      <c r="P126" s="13"/>
      <c r="Q126" s="13"/>
      <c r="Z126" s="18"/>
      <c r="AA126" s="17"/>
    </row>
    <row r="127" spans="1:27">
      <c r="A127" s="27">
        <f t="shared" si="31"/>
        <v>10.25</v>
      </c>
      <c r="B127" s="28">
        <f>'OptiMaxx plus'!$T$7+A127</f>
        <v>39.25</v>
      </c>
      <c r="C127" s="24">
        <f t="shared" si="32"/>
        <v>123</v>
      </c>
      <c r="D127" s="25">
        <f>+'No Deducible 93'!AD146</f>
        <v>1990697.2921548896</v>
      </c>
      <c r="E127" s="25">
        <f>+'Deducible 151'!AD146</f>
        <v>1953817.8775529172</v>
      </c>
      <c r="F127" s="25">
        <f>+'Deducible 185'!AD146</f>
        <v>1990697.2921548896</v>
      </c>
      <c r="H127" s="24">
        <f t="shared" si="33"/>
        <v>123</v>
      </c>
      <c r="I127" s="25">
        <f>+'No Deducible 93'!Y146</f>
        <v>1536516.8508962689</v>
      </c>
      <c r="J127" s="25">
        <f>+'Deducible 151'!Y146</f>
        <v>1519752.5239898828</v>
      </c>
      <c r="K127" s="25">
        <f>+'Deducible 185'!Y146</f>
        <v>1536516.8508962689</v>
      </c>
      <c r="O127" s="13"/>
      <c r="P127" s="13"/>
      <c r="Q127" s="13"/>
      <c r="Z127" s="18"/>
      <c r="AA127" s="17"/>
    </row>
    <row r="128" spans="1:27">
      <c r="A128" s="27">
        <f t="shared" si="31"/>
        <v>10.333333333333334</v>
      </c>
      <c r="B128" s="28">
        <f>'OptiMaxx plus'!$T$7+A128</f>
        <v>39.333333333333336</v>
      </c>
      <c r="C128" s="24">
        <f t="shared" si="32"/>
        <v>124</v>
      </c>
      <c r="D128" s="25">
        <f>+'No Deducible 93'!AD147</f>
        <v>2014388.7540265576</v>
      </c>
      <c r="E128" s="25">
        <f>+'Deducible 151'!AD147</f>
        <v>1976945.8058824553</v>
      </c>
      <c r="F128" s="25">
        <f>+'Deducible 185'!AD147</f>
        <v>2014388.7540265576</v>
      </c>
      <c r="H128" s="24">
        <f t="shared" si="33"/>
        <v>124</v>
      </c>
      <c r="I128" s="25">
        <f>+'No Deducible 93'!Y147</f>
        <v>1557177.3498330298</v>
      </c>
      <c r="J128" s="25">
        <f>+'Deducible 151'!Y147</f>
        <v>1540031.6323181412</v>
      </c>
      <c r="K128" s="25">
        <f>+'Deducible 185'!Y147</f>
        <v>1557177.3498330298</v>
      </c>
      <c r="O128" s="13"/>
      <c r="P128" s="13"/>
      <c r="Q128" s="13"/>
      <c r="Z128" s="18"/>
      <c r="AA128" s="17"/>
    </row>
    <row r="129" spans="1:27">
      <c r="A129" s="27">
        <f t="shared" si="31"/>
        <v>10.416666666666666</v>
      </c>
      <c r="B129" s="28">
        <f>'OptiMaxx plus'!$T$7+A129</f>
        <v>39.416666666666664</v>
      </c>
      <c r="C129" s="24">
        <f t="shared" si="32"/>
        <v>125</v>
      </c>
      <c r="D129" s="25">
        <f>+'No Deducible 93'!AD148</f>
        <v>2038244.4303578497</v>
      </c>
      <c r="E129" s="25">
        <f>+'Deducible 151'!AD148</f>
        <v>2000230.4665454451</v>
      </c>
      <c r="F129" s="25">
        <f>+'Deducible 185'!AD148</f>
        <v>2038244.4303578497</v>
      </c>
      <c r="H129" s="24">
        <f t="shared" si="33"/>
        <v>125</v>
      </c>
      <c r="I129" s="25">
        <f>+'No Deducible 93'!Y148</f>
        <v>1577981.7732409872</v>
      </c>
      <c r="J129" s="25">
        <f>+'Deducible 151'!Y148</f>
        <v>1560448.7377565105</v>
      </c>
      <c r="K129" s="25">
        <f>+'Deducible 185'!Y148</f>
        <v>1577981.7732409872</v>
      </c>
      <c r="O129" s="13"/>
      <c r="P129" s="13"/>
      <c r="Q129" s="13"/>
      <c r="Z129" s="18"/>
      <c r="AA129" s="17"/>
    </row>
    <row r="130" spans="1:27">
      <c r="A130" s="27">
        <f t="shared" si="31"/>
        <v>10.5</v>
      </c>
      <c r="B130" s="28">
        <f>'OptiMaxx plus'!$T$7+A130</f>
        <v>39.5</v>
      </c>
      <c r="C130" s="24">
        <f t="shared" si="32"/>
        <v>126</v>
      </c>
      <c r="D130" s="25">
        <f>+'No Deducible 93'!AD149</f>
        <v>2058093.8583549277</v>
      </c>
      <c r="E130" s="25">
        <f>+'Deducible 151'!AD149</f>
        <v>2019304.4356343157</v>
      </c>
      <c r="F130" s="25">
        <f>+'Deducible 185'!AD149</f>
        <v>2058093.8583549277</v>
      </c>
      <c r="H130" s="24">
        <f t="shared" si="33"/>
        <v>126</v>
      </c>
      <c r="I130" s="25">
        <f>+'No Deducible 93'!Y149</f>
        <v>1598931.1237219402</v>
      </c>
      <c r="J130" s="25">
        <f>+'Deducible 151'!Y149</f>
        <v>1581004.7793602042</v>
      </c>
      <c r="K130" s="25">
        <f>+'Deducible 185'!Y149</f>
        <v>1598931.1237219402</v>
      </c>
      <c r="O130" s="13"/>
      <c r="P130" s="13"/>
      <c r="Q130" s="13"/>
      <c r="Z130" s="18"/>
      <c r="AA130" s="17"/>
    </row>
    <row r="131" spans="1:27">
      <c r="A131" s="27">
        <f t="shared" si="31"/>
        <v>10.583333333333334</v>
      </c>
      <c r="B131" s="28">
        <f>'OptiMaxx plus'!$T$7+A131</f>
        <v>39.583333333333336</v>
      </c>
      <c r="C131" s="24">
        <f t="shared" si="32"/>
        <v>127</v>
      </c>
      <c r="D131" s="25">
        <f>+'No Deducible 93'!AD150</f>
        <v>2082253.5479553496</v>
      </c>
      <c r="E131" s="25">
        <f>+'Deducible 151'!AD150</f>
        <v>2042876.9917994756</v>
      </c>
      <c r="F131" s="25">
        <f>+'Deducible 185'!AD150</f>
        <v>2082253.5479553496</v>
      </c>
      <c r="H131" s="24">
        <f t="shared" si="33"/>
        <v>127</v>
      </c>
      <c r="I131" s="25">
        <f>+'No Deducible 93'!Y150</f>
        <v>1620026.410861979</v>
      </c>
      <c r="J131" s="25">
        <f>+'Deducible 151'!Y150</f>
        <v>1601700.7025746035</v>
      </c>
      <c r="K131" s="25">
        <f>+'Deducible 185'!Y150</f>
        <v>1620026.410861979</v>
      </c>
      <c r="O131" s="13"/>
      <c r="P131" s="13"/>
      <c r="Q131" s="13"/>
      <c r="Z131" s="18"/>
      <c r="AA131" s="17"/>
    </row>
    <row r="132" spans="1:27">
      <c r="A132" s="27">
        <f t="shared" si="31"/>
        <v>10.666666666666666</v>
      </c>
      <c r="B132" s="28">
        <f>'OptiMaxx plus'!$T$7+A132</f>
        <v>39.666666666666664</v>
      </c>
      <c r="C132" s="24">
        <f t="shared" si="32"/>
        <v>128</v>
      </c>
      <c r="D132" s="25">
        <f>+'No Deducible 93'!AD151</f>
        <v>2106580.7059061239</v>
      </c>
      <c r="E132" s="25">
        <f>+'Deducible 151'!AD151</f>
        <v>2066609.2997353706</v>
      </c>
      <c r="F132" s="25">
        <f>+'Deducible 185'!AD151</f>
        <v>2106580.7059061239</v>
      </c>
      <c r="H132" s="24">
        <f t="shared" si="33"/>
        <v>128</v>
      </c>
      <c r="I132" s="25">
        <f>+'No Deducible 93'!Y151</f>
        <v>1641268.6512801386</v>
      </c>
      <c r="J132" s="25">
        <f>+'Deducible 151'!Y151</f>
        <v>1622537.4592787419</v>
      </c>
      <c r="K132" s="25">
        <f>+'Deducible 185'!Y151</f>
        <v>1641268.6512801386</v>
      </c>
      <c r="O132" s="13"/>
      <c r="P132" s="13"/>
      <c r="Q132" s="13"/>
      <c r="Z132" s="18"/>
      <c r="AA132" s="17"/>
    </row>
    <row r="133" spans="1:27">
      <c r="A133" s="27">
        <f t="shared" si="31"/>
        <v>10.75</v>
      </c>
      <c r="B133" s="28">
        <f>'OptiMaxx plus'!$T$7+A133</f>
        <v>39.75</v>
      </c>
      <c r="C133" s="24">
        <f t="shared" si="32"/>
        <v>129</v>
      </c>
      <c r="D133" s="25">
        <f>+'No Deducible 93'!AD152</f>
        <v>2126859.1272426168</v>
      </c>
      <c r="E133" s="25">
        <f>+'Deducible 151'!AD152</f>
        <v>2086091.2859665807</v>
      </c>
      <c r="F133" s="25">
        <f>+'Deducible 185'!AD152</f>
        <v>2126859.1272426168</v>
      </c>
      <c r="H133" s="24">
        <f t="shared" si="33"/>
        <v>129</v>
      </c>
      <c r="I133" s="25">
        <f>+'No Deducible 93'!Y152</f>
        <v>1662658.868677391</v>
      </c>
      <c r="J133" s="25">
        <f>+'Deducible 151'!Y152</f>
        <v>1643516.007829085</v>
      </c>
      <c r="K133" s="25">
        <f>+'Deducible 185'!Y152</f>
        <v>1662658.868677391</v>
      </c>
      <c r="O133" s="13"/>
      <c r="P133" s="13"/>
      <c r="Q133" s="13"/>
      <c r="Z133" s="18"/>
      <c r="AA133" s="17"/>
    </row>
    <row r="134" spans="1:27">
      <c r="A134" s="27">
        <f t="shared" ref="A134:A197" si="37">+C134/12</f>
        <v>10.833333333333334</v>
      </c>
      <c r="B134" s="28">
        <f>'OptiMaxx plus'!$T$7+A134</f>
        <v>39.833333333333336</v>
      </c>
      <c r="C134" s="24">
        <f t="shared" si="32"/>
        <v>130</v>
      </c>
      <c r="D134" s="25">
        <f>+'No Deducible 93'!AD153</f>
        <v>2151496.5670881569</v>
      </c>
      <c r="E134" s="25">
        <f>+'Deducible 151'!AD153</f>
        <v>2110117.3087656656</v>
      </c>
      <c r="F134" s="25">
        <f>+'Deducible 185'!AD153</f>
        <v>2151496.5670881569</v>
      </c>
      <c r="H134" s="24">
        <f t="shared" si="33"/>
        <v>130</v>
      </c>
      <c r="I134" s="25">
        <f>+'No Deducible 93'!Y153</f>
        <v>1684198.0938859791</v>
      </c>
      <c r="J134" s="25">
        <f>+'Deducible 151'!Y153</f>
        <v>1664637.31310361</v>
      </c>
      <c r="K134" s="25">
        <f>+'Deducible 185'!Y153</f>
        <v>1684198.0938859791</v>
      </c>
      <c r="O134" s="13"/>
      <c r="P134" s="13"/>
      <c r="Q134" s="13"/>
      <c r="Z134" s="18"/>
      <c r="AA134" s="17"/>
    </row>
    <row r="135" spans="1:27">
      <c r="A135" s="27">
        <f t="shared" si="37"/>
        <v>10.916666666666666</v>
      </c>
      <c r="B135" s="28">
        <f>'OptiMaxx plus'!$T$7+A135</f>
        <v>39.916666666666664</v>
      </c>
      <c r="C135" s="24">
        <f t="shared" ref="C135:C198" si="38">+C134+1</f>
        <v>131</v>
      </c>
      <c r="D135" s="25">
        <f>+'No Deducible 93'!AD154</f>
        <v>2176304.7954352256</v>
      </c>
      <c r="E135" s="25">
        <f>+'Deducible 151'!AD154</f>
        <v>2134306.1628606245</v>
      </c>
      <c r="F135" s="25">
        <f>+'Deducible 185'!AD154</f>
        <v>2176304.7954352256</v>
      </c>
      <c r="H135" s="24">
        <f t="shared" ref="H135:H198" si="39">+H134+1</f>
        <v>131</v>
      </c>
      <c r="I135" s="25">
        <f>+'No Deducible 93'!Y154</f>
        <v>1705887.3649190953</v>
      </c>
      <c r="J135" s="25">
        <f>+'Deducible 151'!Y154</f>
        <v>1685902.3465461824</v>
      </c>
      <c r="K135" s="25">
        <f>+'Deducible 185'!Y154</f>
        <v>1705887.3649190953</v>
      </c>
      <c r="O135" s="13"/>
      <c r="P135" s="13"/>
      <c r="Q135" s="13"/>
      <c r="Z135" s="18"/>
      <c r="AA135" s="17"/>
    </row>
    <row r="136" spans="1:27">
      <c r="A136" s="27">
        <f t="shared" si="37"/>
        <v>11</v>
      </c>
      <c r="B136" s="28">
        <f>'OptiMaxx plus'!$T$7+A136</f>
        <v>40</v>
      </c>
      <c r="C136" s="24">
        <f t="shared" si="38"/>
        <v>132</v>
      </c>
      <c r="D136" s="25">
        <f>+'No Deducible 93'!AD155</f>
        <v>2197021.3582597948</v>
      </c>
      <c r="E136" s="25">
        <f>+'Deducible 151'!AD155</f>
        <v>2154204.7086961879</v>
      </c>
      <c r="F136" s="25">
        <f>+'Deducible 185'!AD155</f>
        <v>2197021.3582597948</v>
      </c>
      <c r="H136" s="24">
        <f t="shared" si="39"/>
        <v>132</v>
      </c>
      <c r="I136" s="25">
        <f>+'No Deducible 93'!Y155</f>
        <v>1727727.7270209037</v>
      </c>
      <c r="J136" s="25">
        <f>+'Deducible 151'!Y155</f>
        <v>1707312.0862112369</v>
      </c>
      <c r="K136" s="25">
        <f>+'Deducible 185'!Y155</f>
        <v>1727727.7270209037</v>
      </c>
      <c r="O136" s="13"/>
      <c r="P136" s="13"/>
      <c r="Q136" s="13"/>
      <c r="Z136" s="18"/>
      <c r="AA136" s="17"/>
    </row>
    <row r="137" spans="1:27">
      <c r="A137" s="27">
        <f t="shared" si="37"/>
        <v>11.083333333333334</v>
      </c>
      <c r="B137" s="28">
        <f>'OptiMaxx plus'!$T$7+A137</f>
        <v>40.083333333333336</v>
      </c>
      <c r="C137" s="24">
        <f t="shared" si="38"/>
        <v>133</v>
      </c>
      <c r="D137" s="25">
        <f>+'No Deducible 93'!AD156</f>
        <v>2222141.7558268504</v>
      </c>
      <c r="E137" s="25">
        <f>+'Deducible 151'!AD156</f>
        <v>2178687.9880708908</v>
      </c>
      <c r="F137" s="25">
        <f>+'Deducible 185'!AD156</f>
        <v>2222141.7558268504</v>
      </c>
      <c r="H137" s="24">
        <f t="shared" si="39"/>
        <v>133</v>
      </c>
      <c r="I137" s="25">
        <f>+'No Deducible 93'!Y156</f>
        <v>1749715.7209323335</v>
      </c>
      <c r="J137" s="25">
        <f>+'Deducible 151'!Y156</f>
        <v>1728862.2892097053</v>
      </c>
      <c r="K137" s="25">
        <f>+'Deducible 185'!Y156</f>
        <v>1749715.7209323335</v>
      </c>
      <c r="O137" s="13"/>
      <c r="P137" s="13"/>
      <c r="Q137" s="13"/>
      <c r="Z137" s="18"/>
      <c r="AA137" s="17"/>
    </row>
    <row r="138" spans="1:27">
      <c r="A138" s="27">
        <f t="shared" si="37"/>
        <v>11.166666666666666</v>
      </c>
      <c r="B138" s="28">
        <f>'OptiMaxx plus'!$T$7+A138</f>
        <v>40.166666666666664</v>
      </c>
      <c r="C138" s="24">
        <f t="shared" si="38"/>
        <v>134</v>
      </c>
      <c r="D138" s="25">
        <f>+'No Deducible 93'!AD157</f>
        <v>2247436.2982470561</v>
      </c>
      <c r="E138" s="25">
        <f>+'Deducible 151'!AD157</f>
        <v>2203337.203996981</v>
      </c>
      <c r="F138" s="25">
        <f>+'Deducible 185'!AD157</f>
        <v>2247436.2982470561</v>
      </c>
      <c r="H138" s="24">
        <f t="shared" si="39"/>
        <v>134</v>
      </c>
      <c r="I138" s="25">
        <f>+'No Deducible 93'!Y157</f>
        <v>1771856.8868657004</v>
      </c>
      <c r="J138" s="25">
        <f>+'Deducible 151'!Y157</f>
        <v>1750559.1389782366</v>
      </c>
      <c r="K138" s="25">
        <f>+'Deducible 185'!Y157</f>
        <v>1771856.8868657004</v>
      </c>
      <c r="O138" s="13"/>
      <c r="P138" s="13"/>
      <c r="Q138" s="13"/>
      <c r="Z138" s="18"/>
      <c r="AA138" s="17"/>
    </row>
    <row r="139" spans="1:27">
      <c r="A139" s="27">
        <f t="shared" si="37"/>
        <v>11.25</v>
      </c>
      <c r="B139" s="28">
        <f>'OptiMaxx plus'!$T$7+A139</f>
        <v>40.25</v>
      </c>
      <c r="C139" s="24">
        <f t="shared" si="38"/>
        <v>135</v>
      </c>
      <c r="D139" s="25">
        <f>+'No Deducible 93'!AD158</f>
        <v>2268595.7696600254</v>
      </c>
      <c r="E139" s="25">
        <f>+'Deducible 151'!AD158</f>
        <v>2223655.7300186167</v>
      </c>
      <c r="F139" s="25">
        <f>+'Deducible 185'!AD158</f>
        <v>2268595.7696600254</v>
      </c>
      <c r="H139" s="24">
        <f t="shared" si="39"/>
        <v>135</v>
      </c>
      <c r="I139" s="25">
        <f>+'No Deducible 93'!Y158</f>
        <v>1794152.2918427798</v>
      </c>
      <c r="J139" s="25">
        <f>+'Deducible 151'!Y158</f>
        <v>1772403.6334320321</v>
      </c>
      <c r="K139" s="25">
        <f>+'Deducible 185'!Y158</f>
        <v>1794152.2918427798</v>
      </c>
      <c r="O139" s="13"/>
      <c r="P139" s="13"/>
      <c r="Q139" s="13"/>
      <c r="Z139" s="18"/>
      <c r="AA139" s="17"/>
    </row>
    <row r="140" spans="1:27">
      <c r="A140" s="27">
        <f t="shared" si="37"/>
        <v>11.333333333333334</v>
      </c>
      <c r="B140" s="28">
        <f>'OptiMaxx plus'!$T$7+A140</f>
        <v>40.333333333333336</v>
      </c>
      <c r="C140" s="24">
        <f t="shared" si="38"/>
        <v>136</v>
      </c>
      <c r="D140" s="25">
        <f>+'No Deducible 93'!AD159</f>
        <v>2294213.461890582</v>
      </c>
      <c r="E140" s="25">
        <f>+'Deducible 151'!AD159</f>
        <v>2248610.586048855</v>
      </c>
      <c r="F140" s="25">
        <f>+'Deducible 185'!AD159</f>
        <v>2294213.461890582</v>
      </c>
      <c r="H140" s="24">
        <f t="shared" si="39"/>
        <v>136</v>
      </c>
      <c r="I140" s="25">
        <f>+'No Deducible 93'!Y159</f>
        <v>1816603.0103183985</v>
      </c>
      <c r="J140" s="25">
        <f>+'Deducible 151'!Y159</f>
        <v>1794396.7772769972</v>
      </c>
      <c r="K140" s="25">
        <f>+'Deducible 185'!Y159</f>
        <v>1816603.0103183985</v>
      </c>
      <c r="O140" s="13"/>
      <c r="P140" s="13"/>
      <c r="Q140" s="13"/>
      <c r="Z140" s="18"/>
      <c r="AA140" s="17"/>
    </row>
    <row r="141" spans="1:27">
      <c r="A141" s="27">
        <f t="shared" si="37"/>
        <v>11.416666666666666</v>
      </c>
      <c r="B141" s="28">
        <f>'OptiMaxx plus'!$T$7+A141</f>
        <v>40.416666666666664</v>
      </c>
      <c r="C141" s="24">
        <f t="shared" si="38"/>
        <v>137</v>
      </c>
      <c r="D141" s="25">
        <f>+'No Deducible 93'!AD160</f>
        <v>2320008.7551230099</v>
      </c>
      <c r="E141" s="25">
        <f>+'Deducible 151'!AD160</f>
        <v>2273734.5812722351</v>
      </c>
      <c r="F141" s="25">
        <f>+'Deducible 185'!AD160</f>
        <v>2320008.7551230099</v>
      </c>
      <c r="H141" s="24">
        <f t="shared" si="39"/>
        <v>137</v>
      </c>
      <c r="I141" s="25">
        <f>+'No Deducible 93'!Y160</f>
        <v>1839210.1242322142</v>
      </c>
      <c r="J141" s="25">
        <f>+'Deducible 151'!Y160</f>
        <v>1816539.5820559508</v>
      </c>
      <c r="K141" s="25">
        <f>+'Deducible 185'!Y160</f>
        <v>1839210.1242322142</v>
      </c>
      <c r="O141" s="13"/>
      <c r="P141" s="13"/>
      <c r="Q141" s="13"/>
      <c r="Z141" s="18"/>
      <c r="AA141" s="17"/>
    </row>
    <row r="142" spans="1:27">
      <c r="A142" s="27">
        <f t="shared" si="37"/>
        <v>11.5</v>
      </c>
      <c r="B142" s="28">
        <f>'OptiMaxx plus'!$T$7+A142</f>
        <v>40.5</v>
      </c>
      <c r="C142" s="24">
        <f t="shared" si="38"/>
        <v>138</v>
      </c>
      <c r="D142" s="25">
        <f>+'No Deducible 93'!AD161</f>
        <v>2341625.1535835322</v>
      </c>
      <c r="E142" s="25">
        <f>+'Deducible 151'!AD161</f>
        <v>2294487.1778844679</v>
      </c>
      <c r="F142" s="25">
        <f>+'Deducible 185'!AD161</f>
        <v>2341625.1535835322</v>
      </c>
      <c r="H142" s="24">
        <f t="shared" si="39"/>
        <v>138</v>
      </c>
      <c r="I142" s="25">
        <f>+'No Deducible 93'!Y161</f>
        <v>1861974.7230608559</v>
      </c>
      <c r="J142" s="25">
        <f>+'Deducible 151'!Y161</f>
        <v>1838833.0661951494</v>
      </c>
      <c r="K142" s="25">
        <f>+'Deducible 185'!Y161</f>
        <v>1861974.7230608559</v>
      </c>
      <c r="O142" s="13"/>
      <c r="P142" s="13"/>
      <c r="Q142" s="13"/>
      <c r="Z142" s="18"/>
      <c r="AA142" s="17"/>
    </row>
    <row r="143" spans="1:27">
      <c r="A143" s="27">
        <f t="shared" si="37"/>
        <v>11.583333333333334</v>
      </c>
      <c r="B143" s="28">
        <f>'OptiMaxx plus'!$T$7+A143</f>
        <v>40.583333333333336</v>
      </c>
      <c r="C143" s="24">
        <f t="shared" si="38"/>
        <v>139</v>
      </c>
      <c r="D143" s="25">
        <f>+'No Deducible 93'!AD162</f>
        <v>2367750.2636145903</v>
      </c>
      <c r="E143" s="25">
        <f>+'Deducible 151'!AD162</f>
        <v>2319922.9943977958</v>
      </c>
      <c r="F143" s="25">
        <f>+'Deducible 185'!AD162</f>
        <v>2367750.2636145903</v>
      </c>
      <c r="H143" s="24">
        <f t="shared" si="39"/>
        <v>139</v>
      </c>
      <c r="I143" s="25">
        <f>+'No Deducible 93'!Y162</f>
        <v>1884897.9038704282</v>
      </c>
      <c r="J143" s="25">
        <f>+'Deducible 151'!Y162</f>
        <v>1861278.2550511293</v>
      </c>
      <c r="K143" s="25">
        <f>+'Deducible 185'!Y162</f>
        <v>1884897.9038704282</v>
      </c>
      <c r="O143" s="13"/>
      <c r="P143" s="13"/>
      <c r="Q143" s="13"/>
      <c r="Z143" s="18"/>
      <c r="AA143" s="17"/>
    </row>
    <row r="144" spans="1:27">
      <c r="A144" s="27">
        <f t="shared" si="37"/>
        <v>11.666666666666666</v>
      </c>
      <c r="B144" s="28">
        <f>'OptiMaxx plus'!$T$7+A144</f>
        <v>40.666666666666664</v>
      </c>
      <c r="C144" s="24">
        <f t="shared" si="38"/>
        <v>140</v>
      </c>
      <c r="D144" s="25">
        <f>+'No Deducible 93'!AD163</f>
        <v>2394056.5012385463</v>
      </c>
      <c r="E144" s="25">
        <f>+'Deducible 151'!AD163</f>
        <v>2345531.2165410304</v>
      </c>
      <c r="F144" s="25">
        <f>+'Deducible 185'!AD163</f>
        <v>2394056.5012385463</v>
      </c>
      <c r="H144" s="24">
        <f t="shared" si="39"/>
        <v>140</v>
      </c>
      <c r="I144" s="25">
        <f>+'No Deducible 93'!Y163</f>
        <v>1907980.7713693809</v>
      </c>
      <c r="J144" s="25">
        <f>+'Deducible 151'!Y163</f>
        <v>1883876.1809578652</v>
      </c>
      <c r="K144" s="25">
        <f>+'Deducible 185'!Y163</f>
        <v>1907980.7713693809</v>
      </c>
      <c r="O144" s="13"/>
      <c r="P144" s="13"/>
      <c r="Q144" s="13"/>
      <c r="Z144" s="18"/>
      <c r="AA144" s="17"/>
    </row>
    <row r="145" spans="1:27">
      <c r="A145" s="27">
        <f t="shared" si="37"/>
        <v>11.75</v>
      </c>
      <c r="B145" s="28">
        <f>'OptiMaxx plus'!$T$7+A145</f>
        <v>40.75</v>
      </c>
      <c r="C145" s="24">
        <f t="shared" si="38"/>
        <v>141</v>
      </c>
      <c r="D145" s="25">
        <f>+'No Deducible 93'!AD164</f>
        <v>2416139.566678769</v>
      </c>
      <c r="E145" s="25">
        <f>+'Deducible 151'!AD164</f>
        <v>2366726.9663299806</v>
      </c>
      <c r="F145" s="25">
        <f>+'Deducible 185'!AD164</f>
        <v>2416139.566678769</v>
      </c>
      <c r="H145" s="24">
        <f t="shared" si="39"/>
        <v>141</v>
      </c>
      <c r="I145" s="25">
        <f>+'No Deducible 93'!Y164</f>
        <v>1931224.437961746</v>
      </c>
      <c r="J145" s="25">
        <f>+'Deducible 151'!Y164</f>
        <v>1906627.8832742514</v>
      </c>
      <c r="K145" s="25">
        <f>+'Deducible 185'!Y164</f>
        <v>1931224.437961746</v>
      </c>
      <c r="O145" s="13"/>
      <c r="P145" s="13"/>
      <c r="Q145" s="13"/>
      <c r="Z145" s="18"/>
      <c r="AA145" s="17"/>
    </row>
    <row r="146" spans="1:27">
      <c r="A146" s="27">
        <f t="shared" si="37"/>
        <v>11.833333333333334</v>
      </c>
      <c r="B146" s="28">
        <f>'OptiMaxx plus'!$T$7+A146</f>
        <v>40.833333333333336</v>
      </c>
      <c r="C146" s="24">
        <f t="shared" si="38"/>
        <v>142</v>
      </c>
      <c r="D146" s="25">
        <f>+'No Deducible 93'!AD165</f>
        <v>2442782.4269082509</v>
      </c>
      <c r="E146" s="25">
        <f>+'Deducible 151'!AD165</f>
        <v>2392653.3170122099</v>
      </c>
      <c r="F146" s="25">
        <f>+'Deducible 185'!AD165</f>
        <v>2442782.4269082509</v>
      </c>
      <c r="H146" s="24">
        <f t="shared" si="39"/>
        <v>142</v>
      </c>
      <c r="I146" s="25">
        <f>+'No Deducible 93'!Y165</f>
        <v>1954630.0238007475</v>
      </c>
      <c r="J146" s="25">
        <f>+'Deducible 151'!Y165</f>
        <v>1929534.4084319056</v>
      </c>
      <c r="K146" s="25">
        <f>+'Deducible 185'!Y165</f>
        <v>1954630.0238007475</v>
      </c>
      <c r="O146" s="13"/>
      <c r="P146" s="13"/>
      <c r="Q146" s="13"/>
      <c r="Z146" s="18"/>
      <c r="AA146" s="17"/>
    </row>
    <row r="147" spans="1:27">
      <c r="A147" s="27">
        <f t="shared" si="37"/>
        <v>11.916666666666666</v>
      </c>
      <c r="B147" s="28">
        <f>'OptiMaxx plus'!$T$7+A147</f>
        <v>40.916666666666664</v>
      </c>
      <c r="C147" s="24">
        <f t="shared" si="38"/>
        <v>143</v>
      </c>
      <c r="D147" s="25">
        <f>+'No Deducible 93'!AD166</f>
        <v>2469610.013220971</v>
      </c>
      <c r="E147" s="25">
        <f>+'Deducible 151'!AD166</f>
        <v>2418755.4048475027</v>
      </c>
      <c r="F147" s="25">
        <f>+'Deducible 185'!AD166</f>
        <v>2469610.013220971</v>
      </c>
      <c r="H147" s="24">
        <f t="shared" si="39"/>
        <v>143</v>
      </c>
      <c r="I147" s="25">
        <f>+'No Deducible 93'!Y166</f>
        <v>1978198.6568427826</v>
      </c>
      <c r="J147" s="25">
        <f>+'Deducible 151'!Y166</f>
        <v>1952596.8099832982</v>
      </c>
      <c r="K147" s="25">
        <f>+'Deducible 185'!Y166</f>
        <v>1978198.6568427826</v>
      </c>
      <c r="O147" s="13"/>
      <c r="P147" s="13"/>
      <c r="Q147" s="13"/>
      <c r="Z147" s="18"/>
      <c r="AA147" s="17"/>
    </row>
    <row r="148" spans="1:27">
      <c r="A148" s="27">
        <f t="shared" si="37"/>
        <v>12</v>
      </c>
      <c r="B148" s="28">
        <f>'OptiMaxx plus'!$T$7+A148</f>
        <v>41</v>
      </c>
      <c r="C148" s="24">
        <f t="shared" si="38"/>
        <v>144</v>
      </c>
      <c r="D148" s="25">
        <f>+'No Deducible 93'!AD167</f>
        <v>2492169.6918846024</v>
      </c>
      <c r="E148" s="25">
        <f>+'Deducible 151'!AD167</f>
        <v>2440403.578653485</v>
      </c>
      <c r="F148" s="25">
        <f>+'Deducible 185'!AD167</f>
        <v>2492169.6918846024</v>
      </c>
      <c r="H148" s="24">
        <f t="shared" si="39"/>
        <v>144</v>
      </c>
      <c r="I148" s="25">
        <f>+'No Deducible 93'!Y167</f>
        <v>2001931.4729017809</v>
      </c>
      <c r="J148" s="25">
        <f>+'Deducible 151'!Y167</f>
        <v>1975816.1486502085</v>
      </c>
      <c r="K148" s="25">
        <f>+'Deducible 185'!Y167</f>
        <v>2001931.4729017809</v>
      </c>
      <c r="O148" s="13"/>
      <c r="P148" s="13"/>
      <c r="Q148" s="13"/>
      <c r="Z148" s="18"/>
      <c r="AA148" s="17"/>
    </row>
    <row r="149" spans="1:27">
      <c r="A149" s="27">
        <f t="shared" si="37"/>
        <v>12.083333333333334</v>
      </c>
      <c r="B149" s="28">
        <f>'OptiMaxx plus'!$T$7+A149</f>
        <v>41.083333333333336</v>
      </c>
      <c r="C149" s="24">
        <f t="shared" si="38"/>
        <v>145</v>
      </c>
      <c r="D149" s="25">
        <f>+'No Deducible 93'!AD168</f>
        <v>2519336.1560770986</v>
      </c>
      <c r="E149" s="25">
        <f>+'Deducible 151'!AD168</f>
        <v>2466824.7942185355</v>
      </c>
      <c r="F149" s="25">
        <f>+'Deducible 185'!AD168</f>
        <v>2519336.1560770986</v>
      </c>
      <c r="H149" s="24">
        <f t="shared" si="39"/>
        <v>145</v>
      </c>
      <c r="I149" s="25">
        <f>+'No Deducible 93'!Y168</f>
        <v>2025824.9234479759</v>
      </c>
      <c r="J149" s="25">
        <f>+'Deducible 151'!Y168</f>
        <v>1999188.0556694935</v>
      </c>
      <c r="K149" s="25">
        <f>+'Deducible 185'!Y168</f>
        <v>2025824.9234479759</v>
      </c>
      <c r="O149" s="13"/>
      <c r="P149" s="13"/>
      <c r="Q149" s="13"/>
      <c r="Z149" s="18"/>
      <c r="AA149" s="17"/>
    </row>
    <row r="150" spans="1:27">
      <c r="A150" s="27">
        <f t="shared" si="37"/>
        <v>12.166666666666666</v>
      </c>
      <c r="B150" s="28">
        <f>'OptiMaxx plus'!$T$7+A150</f>
        <v>41.166666666666664</v>
      </c>
      <c r="C150" s="24">
        <f t="shared" si="38"/>
        <v>146</v>
      </c>
      <c r="D150" s="25">
        <f>+'No Deducible 93'!AD169</f>
        <v>2546690.9855428408</v>
      </c>
      <c r="E150" s="25">
        <f>+'Deducible 151'!AD169</f>
        <v>2493425.1078677648</v>
      </c>
      <c r="F150" s="25">
        <f>+'Deducible 185'!AD169</f>
        <v>2546690.9855428408</v>
      </c>
      <c r="H150" s="24">
        <f t="shared" si="39"/>
        <v>146</v>
      </c>
      <c r="I150" s="25">
        <f>+'No Deducible 93'!Y169</f>
        <v>2049884.819743881</v>
      </c>
      <c r="J150" s="25">
        <f>+'Deducible 151'!Y169</f>
        <v>2022719.0059550917</v>
      </c>
      <c r="K150" s="25">
        <f>+'Deducible 185'!Y169</f>
        <v>2049884.819743881</v>
      </c>
      <c r="O150" s="13"/>
      <c r="P150" s="13"/>
      <c r="Q150" s="13"/>
      <c r="Z150" s="18"/>
      <c r="AA150" s="17"/>
    </row>
    <row r="151" spans="1:27">
      <c r="A151" s="27">
        <f t="shared" si="37"/>
        <v>12.25</v>
      </c>
      <c r="B151" s="28">
        <f>'OptiMaxx plus'!$T$7+A151</f>
        <v>41.25</v>
      </c>
      <c r="C151" s="24">
        <f t="shared" si="38"/>
        <v>147</v>
      </c>
      <c r="D151" s="25">
        <f>+'No Deducible 93'!AD170</f>
        <v>2569732.6764837527</v>
      </c>
      <c r="E151" s="25">
        <f>+'Deducible 151'!AD170</f>
        <v>2515529.6577229095</v>
      </c>
      <c r="F151" s="25">
        <f>+'Deducible 185'!AD170</f>
        <v>2569732.6764837527</v>
      </c>
      <c r="H151" s="24">
        <f t="shared" si="39"/>
        <v>147</v>
      </c>
      <c r="I151" s="25">
        <f>+'No Deducible 93'!Y170</f>
        <v>2074112.3212782671</v>
      </c>
      <c r="J151" s="25">
        <f>+'Deducible 151'!Y170</f>
        <v>2046410.0817790029</v>
      </c>
      <c r="K151" s="25">
        <f>+'Deducible 185'!Y170</f>
        <v>2074112.3212782671</v>
      </c>
      <c r="O151" s="13"/>
      <c r="P151" s="13"/>
      <c r="Q151" s="13"/>
      <c r="Z151" s="18"/>
      <c r="AA151" s="17"/>
    </row>
    <row r="152" spans="1:27">
      <c r="A152" s="27">
        <f t="shared" si="37"/>
        <v>12.333333333333334</v>
      </c>
      <c r="B152" s="28">
        <f>'OptiMaxx plus'!$T$7+A152</f>
        <v>41.333333333333336</v>
      </c>
      <c r="C152" s="24">
        <f t="shared" si="38"/>
        <v>148</v>
      </c>
      <c r="D152" s="25">
        <f>+'No Deducible 93'!AD171</f>
        <v>2597438.1022456386</v>
      </c>
      <c r="E152" s="25">
        <f>+'Deducible 151'!AD171</f>
        <v>2542461.0282285698</v>
      </c>
      <c r="F152" s="25">
        <f>+'Deducible 185'!AD171</f>
        <v>2597438.1022456386</v>
      </c>
      <c r="H152" s="24">
        <f t="shared" si="39"/>
        <v>148</v>
      </c>
      <c r="I152" s="25">
        <f>+'No Deducible 93'!Y171</f>
        <v>2098508.5956170959</v>
      </c>
      <c r="J152" s="25">
        <f>+'Deducible 151'!Y171</f>
        <v>2070262.3727779703</v>
      </c>
      <c r="K152" s="25">
        <f>+'Deducible 185'!Y171</f>
        <v>2098508.5956170959</v>
      </c>
      <c r="O152" s="13"/>
      <c r="P152" s="13"/>
      <c r="Q152" s="13"/>
      <c r="Z152" s="18"/>
      <c r="AA152" s="17"/>
    </row>
    <row r="153" spans="1:27">
      <c r="A153" s="27">
        <f t="shared" si="37"/>
        <v>12.416666666666666</v>
      </c>
      <c r="B153" s="28">
        <f>'OptiMaxx plus'!$T$7+A153</f>
        <v>41.416666666666664</v>
      </c>
      <c r="C153" s="24">
        <f t="shared" si="38"/>
        <v>149</v>
      </c>
      <c r="D153" s="25">
        <f>+'No Deducible 93'!AD172</f>
        <v>2625335.639375038</v>
      </c>
      <c r="E153" s="25">
        <f>+'Deducible 151'!AD172</f>
        <v>2569574.9617340239</v>
      </c>
      <c r="F153" s="25">
        <f>+'Deducible 185'!AD172</f>
        <v>2625335.639375038</v>
      </c>
      <c r="H153" s="24">
        <f t="shared" si="39"/>
        <v>149</v>
      </c>
      <c r="I153" s="25">
        <f>+'No Deducible 93'!Y172</f>
        <v>2123074.8184597883</v>
      </c>
      <c r="J153" s="25">
        <f>+'Deducible 151'!Y172</f>
        <v>2094276.9760035947</v>
      </c>
      <c r="K153" s="25">
        <f>+'Deducible 185'!Y172</f>
        <v>2123074.8184597883</v>
      </c>
      <c r="O153" s="13"/>
      <c r="P153" s="13"/>
      <c r="Q153" s="13"/>
      <c r="Z153" s="18"/>
      <c r="AA153" s="17"/>
    </row>
    <row r="154" spans="1:27">
      <c r="A154" s="27">
        <f t="shared" si="37"/>
        <v>12.5</v>
      </c>
      <c r="B154" s="28">
        <f>'OptiMaxx plus'!$T$7+A154</f>
        <v>41.5</v>
      </c>
      <c r="C154" s="24">
        <f t="shared" si="38"/>
        <v>150</v>
      </c>
      <c r="D154" s="25">
        <f>+'No Deducible 93'!AD173</f>
        <v>2648874.3723523058</v>
      </c>
      <c r="E154" s="25">
        <f>+'Deducible 151'!AD173</f>
        <v>2592150.9443968399</v>
      </c>
      <c r="F154" s="25">
        <f>+'Deducible 185'!AD173</f>
        <v>2648874.3723523058</v>
      </c>
      <c r="H154" s="24">
        <f t="shared" si="39"/>
        <v>150</v>
      </c>
      <c r="I154" s="25">
        <f>+'No Deducible 93'!Y173</f>
        <v>2147812.1736958828</v>
      </c>
      <c r="J154" s="25">
        <f>+'Deducible 151'!Y173</f>
        <v>2118454.9959727931</v>
      </c>
      <c r="K154" s="25">
        <f>+'Deducible 185'!Y173</f>
        <v>2147812.1736958828</v>
      </c>
      <c r="O154" s="13"/>
      <c r="P154" s="13"/>
      <c r="Q154" s="13"/>
      <c r="Z154" s="18"/>
      <c r="AA154" s="17"/>
    </row>
    <row r="155" spans="1:27">
      <c r="A155" s="27">
        <f t="shared" si="37"/>
        <v>12.583333333333334</v>
      </c>
      <c r="B155" s="28">
        <f>'OptiMaxx plus'!$T$7+A155</f>
        <v>41.583333333333336</v>
      </c>
      <c r="C155" s="24">
        <f t="shared" si="38"/>
        <v>151</v>
      </c>
      <c r="D155" s="25">
        <f>+'No Deducible 93'!AD174</f>
        <v>2677129.7443236681</v>
      </c>
      <c r="E155" s="25">
        <f>+'Deducible 151'!AD174</f>
        <v>2619602.6343630031</v>
      </c>
      <c r="F155" s="25">
        <f>+'Deducible 185'!AD174</f>
        <v>2677129.7443236681</v>
      </c>
      <c r="H155" s="24">
        <f t="shared" si="39"/>
        <v>151</v>
      </c>
      <c r="I155" s="25">
        <f>+'No Deducible 93'!Y174</f>
        <v>2172721.8534620893</v>
      </c>
      <c r="J155" s="25">
        <f>+'Deducible 151'!Y174</f>
        <v>2142797.5447185999</v>
      </c>
      <c r="K155" s="25">
        <f>+'Deducible 185'!Y174</f>
        <v>2172721.8534620893</v>
      </c>
      <c r="O155" s="13"/>
      <c r="P155" s="13"/>
      <c r="Q155" s="13"/>
      <c r="Z155" s="18"/>
      <c r="AA155" s="17"/>
    </row>
    <row r="156" spans="1:27">
      <c r="A156" s="27">
        <f t="shared" si="37"/>
        <v>12.666666666666666</v>
      </c>
      <c r="B156" s="28">
        <f>'OptiMaxx plus'!$T$7+A156</f>
        <v>41.666666666666664</v>
      </c>
      <c r="C156" s="24">
        <f t="shared" si="38"/>
        <v>152</v>
      </c>
      <c r="D156" s="25">
        <f>+'No Deducible 93'!AD175</f>
        <v>2705581.0501975031</v>
      </c>
      <c r="E156" s="25">
        <f>+'Deducible 151'!AD175</f>
        <v>2647240.4213497518</v>
      </c>
      <c r="F156" s="25">
        <f>+'Deducible 185'!AD175</f>
        <v>2705581.0501975031</v>
      </c>
      <c r="H156" s="24">
        <f t="shared" si="39"/>
        <v>152</v>
      </c>
      <c r="I156" s="25">
        <f>+'No Deducible 93'!Y175</f>
        <v>2197805.0581997395</v>
      </c>
      <c r="J156" s="25">
        <f>+'Deducible 151'!Y175</f>
        <v>2167305.7418413116</v>
      </c>
      <c r="K156" s="25">
        <f>+'Deducible 185'!Y175</f>
        <v>2197805.0581997395</v>
      </c>
      <c r="O156" s="13"/>
      <c r="P156" s="13"/>
      <c r="Q156" s="13"/>
      <c r="Z156" s="18"/>
      <c r="AA156" s="17"/>
    </row>
    <row r="157" spans="1:27">
      <c r="A157" s="27">
        <f t="shared" si="37"/>
        <v>12.75</v>
      </c>
      <c r="B157" s="28">
        <f>'OptiMaxx plus'!$T$7+A157</f>
        <v>41.75</v>
      </c>
      <c r="C157" s="24">
        <f t="shared" si="38"/>
        <v>153</v>
      </c>
      <c r="D157" s="25">
        <f>+'No Deducible 93'!AD176</f>
        <v>2729627.4147897484</v>
      </c>
      <c r="E157" s="25">
        <f>+'Deducible 151'!AD176</f>
        <v>2670297.6937249745</v>
      </c>
      <c r="F157" s="25">
        <f>+'Deducible 185'!AD176</f>
        <v>2729627.4147897484</v>
      </c>
      <c r="H157" s="24">
        <f t="shared" si="39"/>
        <v>153</v>
      </c>
      <c r="I157" s="25">
        <f>+'No Deducible 93'!Y176</f>
        <v>2223062.9967126399</v>
      </c>
      <c r="J157" s="25">
        <f>+'Deducible 151'!Y176</f>
        <v>2191980.7145599821</v>
      </c>
      <c r="K157" s="25">
        <f>+'Deducible 185'!Y176</f>
        <v>2223062.9967126399</v>
      </c>
      <c r="O157" s="13"/>
      <c r="P157" s="13"/>
      <c r="Q157" s="13"/>
      <c r="Z157" s="18"/>
      <c r="AA157" s="17"/>
    </row>
    <row r="158" spans="1:27">
      <c r="A158" s="27">
        <f t="shared" si="37"/>
        <v>12.833333333333334</v>
      </c>
      <c r="B158" s="28">
        <f>'OptiMaxx plus'!$T$7+A158</f>
        <v>41.833333333333336</v>
      </c>
      <c r="C158" s="24">
        <f t="shared" si="38"/>
        <v>154</v>
      </c>
      <c r="D158" s="25">
        <f>+'No Deducible 93'!AD177</f>
        <v>2758443.9448303124</v>
      </c>
      <c r="E158" s="25">
        <f>+'Deducible 151'!AD177</f>
        <v>2698280.0734565025</v>
      </c>
      <c r="F158" s="25">
        <f>+'Deducible 185'!AD177</f>
        <v>2758443.9448303124</v>
      </c>
      <c r="H158" s="24">
        <f t="shared" si="39"/>
        <v>154</v>
      </c>
      <c r="I158" s="25">
        <f>+'No Deducible 93'!Y177</f>
        <v>2248496.8862253255</v>
      </c>
      <c r="J158" s="25">
        <f>+'Deducible 151'!Y177</f>
        <v>2216823.5977642681</v>
      </c>
      <c r="K158" s="25">
        <f>+'Deducible 185'!Y177</f>
        <v>2248496.8862253255</v>
      </c>
      <c r="O158" s="13"/>
      <c r="P158" s="13"/>
      <c r="Q158" s="13"/>
      <c r="Z158" s="18"/>
      <c r="AA158" s="17"/>
    </row>
    <row r="159" spans="1:27">
      <c r="A159" s="27">
        <f t="shared" si="37"/>
        <v>12.916666666666666</v>
      </c>
      <c r="B159" s="28">
        <f>'OptiMaxx plus'!$T$7+A159</f>
        <v>41.916666666666664</v>
      </c>
      <c r="C159" s="24">
        <f t="shared" si="38"/>
        <v>155</v>
      </c>
      <c r="D159" s="25">
        <f>+'No Deducible 93'!AD178</f>
        <v>2787460.3093310869</v>
      </c>
      <c r="E159" s="25">
        <f>+'Deducible 151'!AD178</f>
        <v>2726452.1547343265</v>
      </c>
      <c r="F159" s="25">
        <f>+'Deducible 185'!AD178</f>
        <v>2787460.3093310869</v>
      </c>
      <c r="H159" s="24">
        <f t="shared" si="39"/>
        <v>155</v>
      </c>
      <c r="I159" s="25">
        <f>+'No Deducible 93'!Y178</f>
        <v>2274107.9524417194</v>
      </c>
      <c r="J159" s="25">
        <f>+'Deducible 151'!Y178</f>
        <v>2241835.5340666254</v>
      </c>
      <c r="K159" s="25">
        <f>+'Deducible 185'!Y178</f>
        <v>2274107.9524417194</v>
      </c>
      <c r="O159" s="13"/>
      <c r="P159" s="13"/>
      <c r="Q159" s="13"/>
      <c r="Z159" s="18"/>
      <c r="AA159" s="17"/>
    </row>
    <row r="160" spans="1:27">
      <c r="A160" s="27">
        <f t="shared" si="37"/>
        <v>13</v>
      </c>
      <c r="B160" s="28">
        <f>'OptiMaxx plus'!$T$7+A160</f>
        <v>42</v>
      </c>
      <c r="C160" s="24">
        <f t="shared" si="38"/>
        <v>156</v>
      </c>
      <c r="D160" s="25">
        <f>+'No Deducible 93'!AD179</f>
        <v>2812025.1193683213</v>
      </c>
      <c r="E160" s="25">
        <f>+'Deducible 151'!AD179</f>
        <v>2750000.7779585477</v>
      </c>
      <c r="F160" s="25">
        <f>+'Deducible 185'!AD179</f>
        <v>2812025.1193683213</v>
      </c>
      <c r="H160" s="24">
        <f t="shared" si="39"/>
        <v>156</v>
      </c>
      <c r="I160" s="25">
        <f>+'No Deducible 93'!Y179</f>
        <v>2299897.4296042011</v>
      </c>
      <c r="J160" s="25">
        <f>+'Deducible 151'!Y179</f>
        <v>2267017.6738548628</v>
      </c>
      <c r="K160" s="25">
        <f>+'Deducible 185'!Y179</f>
        <v>2299897.4296042011</v>
      </c>
      <c r="O160" s="13"/>
      <c r="P160" s="13"/>
      <c r="Q160" s="13"/>
      <c r="Z160" s="18"/>
      <c r="AA160" s="17"/>
    </row>
    <row r="161" spans="1:27">
      <c r="A161" s="27">
        <f t="shared" si="37"/>
        <v>13.083333333333334</v>
      </c>
      <c r="B161" s="28">
        <f>'OptiMaxx plus'!$T$7+A161</f>
        <v>42.083333333333336</v>
      </c>
      <c r="C161" s="24">
        <f t="shared" si="38"/>
        <v>157</v>
      </c>
      <c r="D161" s="25">
        <f>+'No Deducible 93'!AD180</f>
        <v>2841409.3713489678</v>
      </c>
      <c r="E161" s="25">
        <f>+'Deducible 151'!AD180</f>
        <v>2778518.7735731918</v>
      </c>
      <c r="F161" s="25">
        <f>+'Deducible 185'!AD180</f>
        <v>2841409.3713489678</v>
      </c>
      <c r="H161" s="24">
        <f t="shared" si="39"/>
        <v>157</v>
      </c>
      <c r="I161" s="25">
        <f>+'No Deducible 93'!Y180</f>
        <v>2325861.6806068877</v>
      </c>
      <c r="J161" s="25">
        <f>+'Deducible 151'!Y180</f>
        <v>2292365.5211739121</v>
      </c>
      <c r="K161" s="25">
        <f>+'Deducible 185'!Y180</f>
        <v>2325861.6806068877</v>
      </c>
      <c r="O161" s="13"/>
      <c r="P161" s="13"/>
      <c r="Q161" s="13"/>
      <c r="Z161" s="18"/>
      <c r="AA161" s="17"/>
    </row>
    <row r="162" spans="1:27">
      <c r="A162" s="27">
        <f t="shared" si="37"/>
        <v>13.166666666666666</v>
      </c>
      <c r="B162" s="28">
        <f>'OptiMaxx plus'!$T$7+A162</f>
        <v>42.166666666666664</v>
      </c>
      <c r="C162" s="24">
        <f t="shared" si="38"/>
        <v>158</v>
      </c>
      <c r="D162" s="25">
        <f>+'No Deducible 93'!AD181</f>
        <v>2870997.4039909034</v>
      </c>
      <c r="E162" s="25">
        <f>+'Deducible 151'!AD181</f>
        <v>2807230.1087170565</v>
      </c>
      <c r="F162" s="25">
        <f>+'Deducible 185'!AD181</f>
        <v>2870997.4039909034</v>
      </c>
      <c r="H162" s="24">
        <f t="shared" si="39"/>
        <v>158</v>
      </c>
      <c r="I162" s="25">
        <f>+'No Deducible 93'!Y181</f>
        <v>2352006.8028996144</v>
      </c>
      <c r="J162" s="25">
        <f>+'Deducible 151'!Y181</f>
        <v>2317885.8578165029</v>
      </c>
      <c r="K162" s="25">
        <f>+'Deducible 185'!Y181</f>
        <v>2352006.8028996144</v>
      </c>
      <c r="O162" s="13"/>
      <c r="P162" s="13"/>
      <c r="Q162" s="13"/>
      <c r="Z162" s="18"/>
      <c r="AA162" s="17"/>
    </row>
    <row r="163" spans="1:27">
      <c r="A163" s="27">
        <f t="shared" si="37"/>
        <v>13.25</v>
      </c>
      <c r="B163" s="28">
        <f>'OptiMaxx plus'!$T$7+A163</f>
        <v>42.25</v>
      </c>
      <c r="C163" s="24">
        <f t="shared" si="38"/>
        <v>159</v>
      </c>
      <c r="D163" s="25">
        <f>+'No Deducible 93'!AD182</f>
        <v>2896086.754117012</v>
      </c>
      <c r="E163" s="25">
        <f>+'Deducible 151'!AD182</f>
        <v>2831274.6209874698</v>
      </c>
      <c r="F163" s="25">
        <f>+'Deducible 185'!AD182</f>
        <v>2896086.754117012</v>
      </c>
      <c r="H163" s="24">
        <f t="shared" si="39"/>
        <v>159</v>
      </c>
      <c r="I163" s="25">
        <f>+'No Deducible 93'!Y182</f>
        <v>2378334.0564618646</v>
      </c>
      <c r="J163" s="25">
        <f>+'Deducible 151'!Y182</f>
        <v>2343579.8575535812</v>
      </c>
      <c r="K163" s="25">
        <f>+'Deducible 185'!Y182</f>
        <v>2378334.0564618646</v>
      </c>
      <c r="O163" s="13"/>
      <c r="P163" s="13"/>
      <c r="Q163" s="13"/>
      <c r="Z163" s="18"/>
      <c r="AA163" s="17"/>
    </row>
    <row r="164" spans="1:27">
      <c r="A164" s="27">
        <f t="shared" si="37"/>
        <v>13.333333333333334</v>
      </c>
      <c r="B164" s="28">
        <f>'OptiMaxx plus'!$T$7+A164</f>
        <v>42.333333333333336</v>
      </c>
      <c r="C164" s="24">
        <f t="shared" si="38"/>
        <v>160</v>
      </c>
      <c r="D164" s="25">
        <f>+'No Deducible 93'!AD183</f>
        <v>2926055.1858996721</v>
      </c>
      <c r="E164" s="25">
        <f>+'Deducible 151'!AD183</f>
        <v>2860344.564999057</v>
      </c>
      <c r="F164" s="25">
        <f>+'Deducible 185'!AD183</f>
        <v>2926055.1858996721</v>
      </c>
      <c r="H164" s="24">
        <f t="shared" si="39"/>
        <v>160</v>
      </c>
      <c r="I164" s="25">
        <f>+'No Deducible 93'!Y183</f>
        <v>2404844.7100503487</v>
      </c>
      <c r="J164" s="25">
        <f>+'Deducible 151'!Y183</f>
        <v>2369448.7021434763</v>
      </c>
      <c r="K164" s="25">
        <f>+'Deducible 185'!Y183</f>
        <v>2404844.7100503487</v>
      </c>
      <c r="O164" s="13"/>
      <c r="P164" s="13"/>
      <c r="Q164" s="13"/>
      <c r="Z164" s="18"/>
      <c r="AA164" s="17"/>
    </row>
    <row r="165" spans="1:27">
      <c r="A165" s="27">
        <f t="shared" si="37"/>
        <v>13.416666666666666</v>
      </c>
      <c r="B165" s="28">
        <f>'OptiMaxx plus'!$T$7+A165</f>
        <v>42.416666666666664</v>
      </c>
      <c r="C165" s="24">
        <f t="shared" si="38"/>
        <v>161</v>
      </c>
      <c r="D165" s="25">
        <f>+'No Deducible 93'!AD184</f>
        <v>2956231.4591104523</v>
      </c>
      <c r="E165" s="25">
        <f>+'Deducible 151'!AD184</f>
        <v>2889611.5975986607</v>
      </c>
      <c r="F165" s="25">
        <f>+'Deducible 185'!AD184</f>
        <v>2956231.4591104523</v>
      </c>
      <c r="H165" s="24">
        <f t="shared" si="39"/>
        <v>161</v>
      </c>
      <c r="I165" s="25">
        <f>+'No Deducible 93'!Y184</f>
        <v>2431540.0412601461</v>
      </c>
      <c r="J165" s="25">
        <f>+'Deducible 151'!Y184</f>
        <v>2395493.5813862528</v>
      </c>
      <c r="K165" s="25">
        <f>+'Deducible 185'!Y184</f>
        <v>2431540.0412601461</v>
      </c>
      <c r="O165" s="13"/>
      <c r="P165" s="13"/>
      <c r="Q165" s="13"/>
      <c r="Z165" s="18"/>
      <c r="AA165" s="17"/>
    </row>
    <row r="166" spans="1:27">
      <c r="A166" s="27">
        <f t="shared" si="37"/>
        <v>13.5</v>
      </c>
      <c r="B166" s="28">
        <f>'OptiMaxx plus'!$T$7+A166</f>
        <v>42.5</v>
      </c>
      <c r="C166" s="24">
        <f t="shared" si="38"/>
        <v>162</v>
      </c>
      <c r="D166" s="25">
        <f>+'No Deducible 93'!AD185</f>
        <v>2981861.4700022619</v>
      </c>
      <c r="E166" s="25">
        <f>+'Deducible 151'!AD185</f>
        <v>2914168.0948262075</v>
      </c>
      <c r="F166" s="25">
        <f>+'Deducible 185'!AD185</f>
        <v>2981861.4700022619</v>
      </c>
      <c r="H166" s="24">
        <f t="shared" si="39"/>
        <v>162</v>
      </c>
      <c r="I166" s="25">
        <f>+'No Deducible 93'!Y185</f>
        <v>2458421.3365862765</v>
      </c>
      <c r="J166" s="25">
        <f>+'Deducible 151'!Y185</f>
        <v>2421715.6931784353</v>
      </c>
      <c r="K166" s="25">
        <f>+'Deducible 185'!Y185</f>
        <v>2458421.3365862765</v>
      </c>
      <c r="O166" s="13"/>
      <c r="P166" s="13"/>
      <c r="Q166" s="13"/>
      <c r="Z166" s="18"/>
      <c r="AA166" s="17"/>
    </row>
    <row r="167" spans="1:27">
      <c r="A167" s="27">
        <f t="shared" si="37"/>
        <v>13.583333333333334</v>
      </c>
      <c r="B167" s="28">
        <f>'OptiMaxx plus'!$T$7+A167</f>
        <v>42.583333333333336</v>
      </c>
      <c r="C167" s="24">
        <f t="shared" si="38"/>
        <v>163</v>
      </c>
      <c r="D167" s="25">
        <f>+'No Deducible 93'!AD186</f>
        <v>3012426.0017696256</v>
      </c>
      <c r="E167" s="25">
        <f>+'Deducible 151'!AD186</f>
        <v>2943800.9980459861</v>
      </c>
      <c r="F167" s="25">
        <f>+'Deducible 185'!AD186</f>
        <v>3012426.0017696256</v>
      </c>
      <c r="H167" s="24">
        <f t="shared" si="39"/>
        <v>163</v>
      </c>
      <c r="I167" s="25">
        <f>+'No Deducible 93'!Y186</f>
        <v>2485489.8914856985</v>
      </c>
      <c r="J167" s="25">
        <f>+'Deducible 151'!Y186</f>
        <v>2448116.2435681019</v>
      </c>
      <c r="K167" s="25">
        <f>+'Deducible 185'!Y186</f>
        <v>2485489.8914856985</v>
      </c>
      <c r="O167" s="13"/>
      <c r="P167" s="13"/>
      <c r="Q167" s="13"/>
      <c r="Z167" s="18"/>
      <c r="AA167" s="17"/>
    </row>
    <row r="168" spans="1:27">
      <c r="A168" s="27">
        <f t="shared" si="37"/>
        <v>13.666666666666666</v>
      </c>
      <c r="B168" s="28">
        <f>'OptiMaxx plus'!$T$7+A168</f>
        <v>42.666666666666664</v>
      </c>
      <c r="C168" s="24">
        <f t="shared" si="38"/>
        <v>164</v>
      </c>
      <c r="D168" s="25">
        <f>+'No Deducible 93'!AD187</f>
        <v>3043202.5186866764</v>
      </c>
      <c r="E168" s="25">
        <f>+'Deducible 151'!AD187</f>
        <v>2973634.8137742286</v>
      </c>
      <c r="F168" s="25">
        <f>+'Deducible 185'!AD187</f>
        <v>3043202.5186866764</v>
      </c>
      <c r="H168" s="24">
        <f t="shared" si="39"/>
        <v>164</v>
      </c>
      <c r="I168" s="25">
        <f>+'No Deducible 93'!Y187</f>
        <v>2512747.0104397391</v>
      </c>
      <c r="J168" s="25">
        <f>+'Deducible 151'!Y187</f>
        <v>2474696.4468103563</v>
      </c>
      <c r="K168" s="25">
        <f>+'Deducible 185'!Y187</f>
        <v>2512747.0104397391</v>
      </c>
      <c r="O168" s="13"/>
      <c r="P168" s="13"/>
      <c r="Q168" s="13"/>
      <c r="Z168" s="18"/>
      <c r="AA168" s="17"/>
    </row>
    <row r="169" spans="1:27">
      <c r="A169" s="27">
        <f t="shared" si="37"/>
        <v>13.75</v>
      </c>
      <c r="B169" s="28">
        <f>'OptiMaxx plus'!$T$7+A169</f>
        <v>42.75</v>
      </c>
      <c r="C169" s="24">
        <f t="shared" si="38"/>
        <v>165</v>
      </c>
      <c r="D169" s="25">
        <f>+'No Deducible 93'!AD188</f>
        <v>3069384.7035454889</v>
      </c>
      <c r="E169" s="25">
        <f>+'Deducible 151'!AD188</f>
        <v>2998713.9930010694</v>
      </c>
      <c r="F169" s="25">
        <f>+'Deducible 185'!AD188</f>
        <v>3069384.7035454889</v>
      </c>
      <c r="H169" s="24">
        <f t="shared" si="39"/>
        <v>165</v>
      </c>
      <c r="I169" s="25">
        <f>+'No Deducible 93'!Y188</f>
        <v>2540194.0070169577</v>
      </c>
      <c r="J169" s="25">
        <f>+'Deducible 151'!Y188</f>
        <v>2501457.5254231752</v>
      </c>
      <c r="K169" s="25">
        <f>+'Deducible 185'!Y188</f>
        <v>2540194.0070169577</v>
      </c>
      <c r="O169" s="13"/>
      <c r="P169" s="13"/>
      <c r="Q169" s="13"/>
      <c r="Z169" s="18"/>
      <c r="AA169" s="17"/>
    </row>
    <row r="170" spans="1:27">
      <c r="A170" s="27">
        <f t="shared" si="37"/>
        <v>13.833333333333334</v>
      </c>
      <c r="B170" s="28">
        <f>'OptiMaxx plus'!$T$7+A170</f>
        <v>42.833333333333336</v>
      </c>
      <c r="C170" s="24">
        <f t="shared" si="38"/>
        <v>166</v>
      </c>
      <c r="D170" s="25">
        <f>+'No Deducible 93'!AD189</f>
        <v>3100557.5022088918</v>
      </c>
      <c r="E170" s="25">
        <f>+'Deducible 151'!AD189</f>
        <v>3028921.0892955479</v>
      </c>
      <c r="F170" s="25">
        <f>+'Deducible 185'!AD189</f>
        <v>3100557.5022088918</v>
      </c>
      <c r="H170" s="24">
        <f t="shared" si="39"/>
        <v>166</v>
      </c>
      <c r="I170" s="25">
        <f>+'No Deducible 93'!Y189</f>
        <v>2567832.2039364525</v>
      </c>
      <c r="J170" s="25">
        <f>+'Deducible 151'!Y189</f>
        <v>2528400.7102436363</v>
      </c>
      <c r="K170" s="25">
        <f>+'Deducible 185'!Y189</f>
        <v>2567832.2039364525</v>
      </c>
      <c r="O170" s="13"/>
      <c r="P170" s="13"/>
      <c r="Q170" s="13"/>
      <c r="Z170" s="18"/>
      <c r="AA170" s="17"/>
    </row>
    <row r="171" spans="1:27">
      <c r="A171" s="27">
        <f t="shared" si="37"/>
        <v>13.916666666666666</v>
      </c>
      <c r="B171" s="28">
        <f>'OptiMaxx plus'!$T$7+A171</f>
        <v>42.916666666666664</v>
      </c>
      <c r="C171" s="24">
        <f t="shared" si="38"/>
        <v>167</v>
      </c>
      <c r="D171" s="25">
        <f>+'No Deducible 93'!AD190</f>
        <v>3131946.5144162429</v>
      </c>
      <c r="E171" s="25">
        <f>+'Deducible 151'!AD190</f>
        <v>3059332.9983978258</v>
      </c>
      <c r="F171" s="25">
        <f>+'Deducible 185'!AD190</f>
        <v>3131946.5144162429</v>
      </c>
      <c r="H171" s="24">
        <f t="shared" si="39"/>
        <v>167</v>
      </c>
      <c r="I171" s="25">
        <f>+'No Deducible 93'!Y190</f>
        <v>2595662.9331316021</v>
      </c>
      <c r="J171" s="25">
        <f>+'Deducible 151'!Y190</f>
        <v>2555527.2404845282</v>
      </c>
      <c r="K171" s="25">
        <f>+'Deducible 185'!Y190</f>
        <v>2595662.9331316021</v>
      </c>
      <c r="O171" s="13"/>
      <c r="P171" s="13"/>
      <c r="Q171" s="13"/>
      <c r="Z171" s="18"/>
      <c r="AA171" s="17"/>
    </row>
    <row r="172" spans="1:27">
      <c r="A172" s="27">
        <f t="shared" si="37"/>
        <v>14</v>
      </c>
      <c r="B172" s="28">
        <f>'OptiMaxx plus'!$T$7+A172</f>
        <v>43</v>
      </c>
      <c r="C172" s="24">
        <f t="shared" si="38"/>
        <v>168</v>
      </c>
      <c r="D172" s="25">
        <f>+'No Deducible 93'!AD191</f>
        <v>3158692.6301940354</v>
      </c>
      <c r="E172" s="25">
        <f>+'Deducible 151'!AD191</f>
        <v>3084945.7782309493</v>
      </c>
      <c r="F172" s="25">
        <f>+'Deducible 185'!AD191</f>
        <v>3158692.6301940354</v>
      </c>
      <c r="H172" s="24">
        <f t="shared" si="39"/>
        <v>168</v>
      </c>
      <c r="I172" s="25">
        <f>+'No Deducible 93'!Y191</f>
        <v>2623687.535814255</v>
      </c>
      <c r="J172" s="25">
        <f>+'Deducible 151'!Y191</f>
        <v>2582838.363791347</v>
      </c>
      <c r="K172" s="25">
        <f>+'Deducible 185'!Y191</f>
        <v>2623687.535814255</v>
      </c>
      <c r="O172" s="13"/>
      <c r="P172" s="13"/>
      <c r="Q172" s="13"/>
      <c r="Z172" s="18"/>
      <c r="AA172" s="17"/>
    </row>
    <row r="173" spans="1:27">
      <c r="A173" s="27">
        <f t="shared" si="37"/>
        <v>14.083333333333334</v>
      </c>
      <c r="B173" s="28">
        <f>'OptiMaxx plus'!$T$7+A173</f>
        <v>43.083333333333336</v>
      </c>
      <c r="C173" s="24">
        <f t="shared" si="38"/>
        <v>169</v>
      </c>
      <c r="D173" s="25">
        <f>+'No Deducible 93'!AD192</f>
        <v>3190481.0393956685</v>
      </c>
      <c r="E173" s="25">
        <f>+'Deducible 151'!AD192</f>
        <v>3115732.6487367251</v>
      </c>
      <c r="F173" s="25">
        <f>+'Deducible 185'!AD192</f>
        <v>3190481.0393956685</v>
      </c>
      <c r="H173" s="24">
        <f t="shared" si="39"/>
        <v>169</v>
      </c>
      <c r="I173" s="25">
        <f>+'No Deducible 93'!Y192</f>
        <v>2651902.2873953134</v>
      </c>
      <c r="J173" s="25">
        <f>+'Deducible 151'!Y192</f>
        <v>2610329.4559616959</v>
      </c>
      <c r="K173" s="25">
        <f>+'Deducible 185'!Y192</f>
        <v>2651902.2873953134</v>
      </c>
      <c r="O173" s="13"/>
      <c r="P173" s="13"/>
      <c r="Q173" s="13"/>
      <c r="Z173" s="18"/>
      <c r="AA173" s="17"/>
    </row>
    <row r="174" spans="1:27">
      <c r="A174" s="27">
        <f t="shared" si="37"/>
        <v>14.166666666666666</v>
      </c>
      <c r="B174" s="28">
        <f>'OptiMaxx plus'!$T$7+A174</f>
        <v>43.166666666666664</v>
      </c>
      <c r="C174" s="24">
        <f t="shared" si="38"/>
        <v>170</v>
      </c>
      <c r="D174" s="25">
        <f>+'No Deducible 93'!AD193</f>
        <v>3222489.9416077095</v>
      </c>
      <c r="E174" s="25">
        <f>+'Deducible 151'!AD193</f>
        <v>3146728.2702616844</v>
      </c>
      <c r="F174" s="25">
        <f>+'Deducible 185'!AD193</f>
        <v>3222489.9416077095</v>
      </c>
      <c r="H174" s="24">
        <f t="shared" si="39"/>
        <v>170</v>
      </c>
      <c r="I174" s="25">
        <f>+'No Deducible 93'!Y193</f>
        <v>2680313.5876276735</v>
      </c>
      <c r="J174" s="25">
        <f>+'Deducible 151'!Y193</f>
        <v>2638007.6220019548</v>
      </c>
      <c r="K174" s="25">
        <f>+'Deducible 185'!Y193</f>
        <v>2680313.5876276735</v>
      </c>
      <c r="O174" s="13"/>
      <c r="P174" s="13"/>
      <c r="Q174" s="13"/>
      <c r="Z174" s="18"/>
      <c r="AA174" s="17"/>
    </row>
    <row r="175" spans="1:27">
      <c r="A175" s="27">
        <f t="shared" si="37"/>
        <v>14.25</v>
      </c>
      <c r="B175" s="28">
        <f>'OptiMaxx plus'!$T$7+A175</f>
        <v>43.25</v>
      </c>
      <c r="C175" s="24">
        <f t="shared" si="38"/>
        <v>171</v>
      </c>
      <c r="D175" s="25">
        <f>+'No Deducible 93'!AD194</f>
        <v>3249806.8480537757</v>
      </c>
      <c r="E175" s="25">
        <f>+'Deducible 151'!AD194</f>
        <v>3172879.8348031505</v>
      </c>
      <c r="F175" s="25">
        <f>+'Deducible 185'!AD194</f>
        <v>3249806.8480537757</v>
      </c>
      <c r="H175" s="24">
        <f t="shared" si="39"/>
        <v>171</v>
      </c>
      <c r="I175" s="25">
        <f>+'No Deducible 93'!Y194</f>
        <v>2708922.805701924</v>
      </c>
      <c r="J175" s="25">
        <f>+'Deducible 151'!Y194</f>
        <v>2665874.1349293105</v>
      </c>
      <c r="K175" s="25">
        <f>+'Deducible 185'!Y194</f>
        <v>2708922.805701924</v>
      </c>
      <c r="O175" s="13"/>
      <c r="P175" s="13"/>
      <c r="Q175" s="13"/>
      <c r="Z175" s="18"/>
      <c r="AA175" s="17"/>
    </row>
    <row r="176" spans="1:27">
      <c r="A176" s="27">
        <f t="shared" si="37"/>
        <v>14.333333333333334</v>
      </c>
      <c r="B176" s="28">
        <f>'OptiMaxx plus'!$T$7+A176</f>
        <v>43.333333333333336</v>
      </c>
      <c r="C176" s="24">
        <f t="shared" si="38"/>
        <v>172</v>
      </c>
      <c r="D176" s="25">
        <f>+'No Deducible 93'!AD195</f>
        <v>3282228.5120494175</v>
      </c>
      <c r="E176" s="25">
        <f>+'Deducible 151'!AD195</f>
        <v>3204263.9327230374</v>
      </c>
      <c r="F176" s="25">
        <f>+'Deducible 185'!AD195</f>
        <v>3282228.5120494175</v>
      </c>
      <c r="H176" s="24">
        <f t="shared" si="39"/>
        <v>172</v>
      </c>
      <c r="I176" s="25">
        <f>+'No Deducible 93'!Y195</f>
        <v>2737731.3203466628</v>
      </c>
      <c r="J176" s="25">
        <f>+'Deducible 151'!Y195</f>
        <v>2693930.2764236922</v>
      </c>
      <c r="K176" s="25">
        <f>+'Deducible 185'!Y195</f>
        <v>2737731.3203466628</v>
      </c>
      <c r="O176" s="13"/>
      <c r="P176" s="13"/>
      <c r="Q176" s="13"/>
      <c r="Z176" s="18"/>
      <c r="AA176" s="17"/>
    </row>
    <row r="177" spans="1:27">
      <c r="A177" s="27">
        <f t="shared" si="37"/>
        <v>14.416666666666666</v>
      </c>
      <c r="B177" s="28">
        <f>'OptiMaxx plus'!$T$7+A177</f>
        <v>43.416666666666664</v>
      </c>
      <c r="C177" s="24">
        <f t="shared" si="38"/>
        <v>173</v>
      </c>
      <c r="D177" s="25">
        <f>+'No Deducible 93'!AD196</f>
        <v>3314875.0713491025</v>
      </c>
      <c r="E177" s="25">
        <f>+'Deducible 151'!AD196</f>
        <v>3235860.8385730116</v>
      </c>
      <c r="F177" s="25">
        <f>+'Deducible 185'!AD196</f>
        <v>3314875.0713491025</v>
      </c>
      <c r="H177" s="24">
        <f t="shared" si="39"/>
        <v>173</v>
      </c>
      <c r="I177" s="25">
        <f>+'No Deducible 93'!Y196</f>
        <v>2766740.5198949408</v>
      </c>
      <c r="J177" s="25">
        <f>+'Deducible 151'!Y196</f>
        <v>2722177.3368867193</v>
      </c>
      <c r="K177" s="25">
        <f>+'Deducible 185'!Y196</f>
        <v>2766740.5198949408</v>
      </c>
      <c r="O177" s="13"/>
      <c r="P177" s="13"/>
      <c r="Q177" s="13"/>
      <c r="Z177" s="18"/>
      <c r="AA177" s="17"/>
    </row>
    <row r="178" spans="1:27">
      <c r="A178" s="27">
        <f t="shared" si="37"/>
        <v>14.5</v>
      </c>
      <c r="B178" s="28">
        <f>'OptiMaxx plus'!$T$7+A178</f>
        <v>43.5</v>
      </c>
      <c r="C178" s="24">
        <f t="shared" si="38"/>
        <v>174</v>
      </c>
      <c r="D178" s="25">
        <f>+'No Deducible 93'!AD197</f>
        <v>3342780.0662642051</v>
      </c>
      <c r="E178" s="25">
        <f>+'Deducible 151'!AD197</f>
        <v>3262568.4014914343</v>
      </c>
      <c r="F178" s="25">
        <f>+'Deducible 185'!AD197</f>
        <v>3342780.0662642051</v>
      </c>
      <c r="H178" s="24">
        <f t="shared" si="39"/>
        <v>174</v>
      </c>
      <c r="I178" s="25">
        <f>+'No Deducible 93'!Y197</f>
        <v>2795951.8023511674</v>
      </c>
      <c r="J178" s="25">
        <f>+'Deducible 151'!Y197</f>
        <v>2750616.6155010541</v>
      </c>
      <c r="K178" s="25">
        <f>+'Deducible 185'!Y197</f>
        <v>2795951.8023511674</v>
      </c>
      <c r="O178" s="13"/>
      <c r="P178" s="13"/>
      <c r="Q178" s="13"/>
      <c r="Z178" s="18"/>
      <c r="AA178" s="17"/>
    </row>
    <row r="179" spans="1:27">
      <c r="A179" s="27">
        <f t="shared" si="37"/>
        <v>14.583333333333334</v>
      </c>
      <c r="B179" s="28">
        <f>'OptiMaxx plus'!$T$7+A179</f>
        <v>43.583333333333336</v>
      </c>
      <c r="C179" s="24">
        <f t="shared" si="38"/>
        <v>175</v>
      </c>
      <c r="D179" s="25">
        <f>+'No Deducible 93'!AD198</f>
        <v>3375847.9212144604</v>
      </c>
      <c r="E179" s="25">
        <f>+'Deducible 151'!AD198</f>
        <v>3294561.6550653763</v>
      </c>
      <c r="F179" s="25">
        <f>+'Deducible 185'!AD198</f>
        <v>3375847.9212144604</v>
      </c>
      <c r="H179" s="24">
        <f t="shared" si="39"/>
        <v>175</v>
      </c>
      <c r="I179" s="25">
        <f>+'No Deducible 93'!Y198</f>
        <v>2825366.5754584838</v>
      </c>
      <c r="J179" s="25">
        <f>+'Deducible 151'!Y198</f>
        <v>2779249.4202901544</v>
      </c>
      <c r="K179" s="25">
        <f>+'Deducible 185'!Y198</f>
        <v>2825366.5754584838</v>
      </c>
      <c r="O179" s="13"/>
      <c r="P179" s="13"/>
      <c r="Q179" s="13"/>
      <c r="Z179" s="18"/>
      <c r="AA179" s="17"/>
    </row>
    <row r="180" spans="1:27">
      <c r="A180" s="27">
        <f t="shared" si="37"/>
        <v>14.666666666666666</v>
      </c>
      <c r="B180" s="28">
        <f>'OptiMaxx plus'!$T$7+A180</f>
        <v>43.666666666666664</v>
      </c>
      <c r="C180" s="24">
        <f t="shared" si="38"/>
        <v>176</v>
      </c>
      <c r="D180" s="25">
        <f>+'No Deducible 93'!AD199</f>
        <v>3409145.163791379</v>
      </c>
      <c r="E180" s="25">
        <f>+'Deducible 151'!AD199</f>
        <v>3326771.8545824168</v>
      </c>
      <c r="F180" s="25">
        <f>+'Deducible 185'!AD199</f>
        <v>3409145.163791379</v>
      </c>
      <c r="H180" s="24">
        <f t="shared" si="39"/>
        <v>176</v>
      </c>
      <c r="I180" s="25">
        <f>+'No Deducible 93'!Y199</f>
        <v>2854986.2567666033</v>
      </c>
      <c r="J180" s="25">
        <f>+'Deducible 151'!Y199</f>
        <v>2808077.0681784335</v>
      </c>
      <c r="K180" s="25">
        <f>+'Deducible 185'!Y199</f>
        <v>2854986.2567666033</v>
      </c>
      <c r="O180" s="13"/>
      <c r="P180" s="13"/>
      <c r="Q180" s="13"/>
      <c r="Z180" s="18"/>
      <c r="AA180" s="17"/>
    </row>
    <row r="181" spans="1:27">
      <c r="A181" s="27">
        <f t="shared" si="37"/>
        <v>14.75</v>
      </c>
      <c r="B181" s="28">
        <f>'OptiMaxx plus'!$T$7+A181</f>
        <v>43.75</v>
      </c>
      <c r="C181" s="24">
        <f t="shared" si="38"/>
        <v>177</v>
      </c>
      <c r="D181" s="25">
        <f>+'No Deducible 93'!AD200</f>
        <v>3437650.764410032</v>
      </c>
      <c r="E181" s="25">
        <f>+'Deducible 151'!AD200</f>
        <v>3354047.0244633062</v>
      </c>
      <c r="F181" s="25">
        <f>+'Deducible 185'!AD200</f>
        <v>3437650.764410032</v>
      </c>
      <c r="H181" s="24">
        <f t="shared" si="39"/>
        <v>177</v>
      </c>
      <c r="I181" s="25">
        <f>+'No Deducible 93'!Y200</f>
        <v>2884812.2737001274</v>
      </c>
      <c r="J181" s="25">
        <f>+'Deducible 151'!Y200</f>
        <v>2837100.8850518321</v>
      </c>
      <c r="K181" s="25">
        <f>+'Deducible 185'!Y200</f>
        <v>2884812.2737001274</v>
      </c>
      <c r="O181" s="13"/>
      <c r="P181" s="13"/>
      <c r="Q181" s="13"/>
      <c r="Z181" s="18"/>
      <c r="AA181" s="17"/>
    </row>
    <row r="182" spans="1:27">
      <c r="A182" s="27">
        <f t="shared" si="37"/>
        <v>14.833333333333334</v>
      </c>
      <c r="B182" s="28">
        <f>'OptiMaxx plus'!$T$7+A182</f>
        <v>43.833333333333336</v>
      </c>
      <c r="C182" s="24">
        <f t="shared" si="38"/>
        <v>178</v>
      </c>
      <c r="D182" s="25">
        <f>+'No Deducible 93'!AD201</f>
        <v>3471378.0143976794</v>
      </c>
      <c r="E182" s="25">
        <f>+'Deducible 151'!AD201</f>
        <v>3386661.6037140125</v>
      </c>
      <c r="F182" s="25">
        <f>+'Deducible 185'!AD201</f>
        <v>3471378.0143976794</v>
      </c>
      <c r="H182" s="24">
        <f t="shared" si="39"/>
        <v>178</v>
      </c>
      <c r="I182" s="25">
        <f>+'No Deducible 93'!Y201</f>
        <v>2914846.0636273329</v>
      </c>
      <c r="J182" s="25">
        <f>+'Deducible 151'!Y201</f>
        <v>2866322.2058187984</v>
      </c>
      <c r="K182" s="25">
        <f>+'Deducible 185'!Y201</f>
        <v>2914846.0636273329</v>
      </c>
      <c r="O182" s="13"/>
      <c r="P182" s="13"/>
      <c r="Q182" s="13"/>
      <c r="Z182" s="18"/>
      <c r="AA182" s="17"/>
    </row>
    <row r="183" spans="1:27">
      <c r="A183" s="27">
        <f t="shared" si="37"/>
        <v>14.916666666666666</v>
      </c>
      <c r="B183" s="28">
        <f>'OptiMaxx plus'!$T$7+A183</f>
        <v>43.916666666666664</v>
      </c>
      <c r="C183" s="24">
        <f t="shared" si="38"/>
        <v>179</v>
      </c>
      <c r="D183" s="25">
        <f>+'No Deducible 93'!AD202</f>
        <v>3505339.2362291636</v>
      </c>
      <c r="E183" s="25">
        <f>+'Deducible 151'!AD202</f>
        <v>3419497.3496675924</v>
      </c>
      <c r="F183" s="25">
        <f>+'Deducible 185'!AD202</f>
        <v>3505339.2362291636</v>
      </c>
      <c r="H183" s="24">
        <f t="shared" si="39"/>
        <v>179</v>
      </c>
      <c r="I183" s="25">
        <f>+'No Deducible 93'!Y202</f>
        <v>2945089.0739294449</v>
      </c>
      <c r="J183" s="25">
        <f>+'Deducible 151'!Y202</f>
        <v>2895742.3744716868</v>
      </c>
      <c r="K183" s="25">
        <f>+'Deducible 185'!Y202</f>
        <v>2945089.0739294449</v>
      </c>
      <c r="O183" s="13"/>
      <c r="P183" s="13"/>
      <c r="Q183" s="13"/>
      <c r="Z183" s="18"/>
      <c r="AA183" s="17"/>
    </row>
    <row r="184" spans="1:27">
      <c r="A184" s="27">
        <f t="shared" si="37"/>
        <v>15</v>
      </c>
      <c r="B184" s="28">
        <f>'OptiMaxx plus'!$T$7+A184</f>
        <v>44</v>
      </c>
      <c r="C184" s="24">
        <f t="shared" si="38"/>
        <v>180</v>
      </c>
      <c r="D184" s="25">
        <f>+'No Deducible 93'!AD203</f>
        <v>3534458.2247308269</v>
      </c>
      <c r="E184" s="25">
        <f>+'Deducible 151'!AD203</f>
        <v>3447351.9754645042</v>
      </c>
      <c r="F184" s="25">
        <f>+'Deducible 185'!AD203</f>
        <v>3534458.2247308269</v>
      </c>
      <c r="H184" s="24">
        <f t="shared" si="39"/>
        <v>180</v>
      </c>
      <c r="I184" s="25">
        <f>+'No Deducible 93'!Y203</f>
        <v>2975542.7620703848</v>
      </c>
      <c r="J184" s="25">
        <f>+'Deducible 151'!Y203</f>
        <v>2925362.7441485734</v>
      </c>
      <c r="K184" s="25">
        <f>+'Deducible 185'!Y203</f>
        <v>2975542.7620703848</v>
      </c>
      <c r="O184" s="13"/>
      <c r="P184" s="13"/>
      <c r="Q184" s="13"/>
      <c r="Z184" s="18"/>
      <c r="AA184" s="17"/>
    </row>
    <row r="185" spans="1:27">
      <c r="A185" s="27">
        <f t="shared" si="37"/>
        <v>15.083333333333334</v>
      </c>
      <c r="B185" s="28">
        <f>'OptiMaxx plus'!$T$7+A185</f>
        <v>44.083333333333336</v>
      </c>
      <c r="C185" s="24">
        <f t="shared" si="38"/>
        <v>181</v>
      </c>
      <c r="D185" s="25">
        <f>+'No Deducible 93'!AD204</f>
        <v>3568853.0692011677</v>
      </c>
      <c r="E185" s="25">
        <f>+'Deducible 151'!AD204</f>
        <v>3480594.1815824276</v>
      </c>
      <c r="F185" s="25">
        <f>+'Deducible 185'!AD204</f>
        <v>3568853.0692011677</v>
      </c>
      <c r="H185" s="24">
        <f t="shared" si="39"/>
        <v>181</v>
      </c>
      <c r="I185" s="25">
        <f>+'No Deducible 93'!Y204</f>
        <v>3006203.3175172005</v>
      </c>
      <c r="J185" s="25">
        <f>+'Deducible 151'!Y204</f>
        <v>2955178.5616439846</v>
      </c>
      <c r="K185" s="25">
        <f>+'Deducible 185'!Y204</f>
        <v>3006203.3175172005</v>
      </c>
      <c r="O185" s="13"/>
      <c r="P185" s="13"/>
      <c r="Q185" s="13"/>
      <c r="Z185" s="18"/>
      <c r="AA185" s="17"/>
    </row>
    <row r="186" spans="1:27">
      <c r="A186" s="27">
        <f t="shared" si="37"/>
        <v>15.166666666666666</v>
      </c>
      <c r="B186" s="28">
        <f>'OptiMaxx plus'!$T$7+A186</f>
        <v>44.166666666666664</v>
      </c>
      <c r="C186" s="24">
        <f t="shared" si="38"/>
        <v>182</v>
      </c>
      <c r="D186" s="25">
        <f>+'No Deducible 93'!AD205</f>
        <v>3603486.5267630983</v>
      </c>
      <c r="E186" s="25">
        <f>+'Deducible 151'!AD205</f>
        <v>3514061.817972342</v>
      </c>
      <c r="F186" s="25">
        <f>+'Deducible 185'!AD205</f>
        <v>3603486.5267630983</v>
      </c>
      <c r="H186" s="24">
        <f t="shared" si="39"/>
        <v>182</v>
      </c>
      <c r="I186" s="25">
        <f>+'No Deducible 93'!Y205</f>
        <v>3037077.4594917553</v>
      </c>
      <c r="J186" s="25">
        <f>+'Deducible 151'!Y205</f>
        <v>2985197.272510414</v>
      </c>
      <c r="K186" s="25">
        <f>+'Deducible 185'!Y205</f>
        <v>3037077.4594917553</v>
      </c>
      <c r="O186" s="13"/>
      <c r="P186" s="13"/>
      <c r="Q186" s="13"/>
      <c r="Z186" s="18"/>
      <c r="AA186" s="17"/>
    </row>
    <row r="187" spans="1:27">
      <c r="A187" s="27">
        <f t="shared" si="37"/>
        <v>15.25</v>
      </c>
      <c r="B187" s="28">
        <f>'OptiMaxx plus'!$T$7+A187</f>
        <v>44.25</v>
      </c>
      <c r="C187" s="24">
        <f t="shared" si="38"/>
        <v>183</v>
      </c>
      <c r="D187" s="25">
        <f>+'No Deducible 93'!AD206</f>
        <v>3633226.6039216053</v>
      </c>
      <c r="E187" s="25">
        <f>+'Deducible 151'!AD206</f>
        <v>3542501.7948986441</v>
      </c>
      <c r="F187" s="25">
        <f>+'Deducible 185'!AD206</f>
        <v>3633226.6039216053</v>
      </c>
      <c r="H187" s="24">
        <f t="shared" si="39"/>
        <v>183</v>
      </c>
      <c r="I187" s="25">
        <f>+'No Deducible 93'!Y206</f>
        <v>3068166.6758733192</v>
      </c>
      <c r="J187" s="25">
        <f>+'Deducible 151'!Y206</f>
        <v>3015420.2574150194</v>
      </c>
      <c r="K187" s="25">
        <f>+'Deducible 185'!Y206</f>
        <v>3068166.6758733192</v>
      </c>
      <c r="O187" s="13"/>
      <c r="P187" s="13"/>
      <c r="Q187" s="13"/>
      <c r="Z187" s="18"/>
      <c r="AA187" s="17"/>
    </row>
    <row r="188" spans="1:27">
      <c r="A188" s="27">
        <f t="shared" si="37"/>
        <v>15.333333333333334</v>
      </c>
      <c r="B188" s="28">
        <f>'OptiMaxx plus'!$T$7+A188</f>
        <v>44.333333333333336</v>
      </c>
      <c r="C188" s="24">
        <f t="shared" si="38"/>
        <v>184</v>
      </c>
      <c r="D188" s="25">
        <f>+'No Deducible 93'!AD207</f>
        <v>3668307.9667635565</v>
      </c>
      <c r="E188" s="25">
        <f>+'Deducible 151'!AD207</f>
        <v>3576390.286235638</v>
      </c>
      <c r="F188" s="25">
        <f>+'Deducible 185'!AD207</f>
        <v>3668307.9667635565</v>
      </c>
      <c r="H188" s="24">
        <f t="shared" si="39"/>
        <v>184</v>
      </c>
      <c r="I188" s="25">
        <f>+'No Deducible 93'!Y207</f>
        <v>3099472.4649059749</v>
      </c>
      <c r="J188" s="25">
        <f>+'Deducible 151'!Y207</f>
        <v>3045848.9064202476</v>
      </c>
      <c r="K188" s="25">
        <f>+'Deducible 185'!Y207</f>
        <v>3099472.4649059749</v>
      </c>
      <c r="O188" s="13"/>
      <c r="P188" s="13"/>
      <c r="Q188" s="13"/>
      <c r="Z188" s="18"/>
      <c r="AA188" s="17"/>
    </row>
    <row r="189" spans="1:27">
      <c r="A189" s="27">
        <f t="shared" si="37"/>
        <v>15.416666666666666</v>
      </c>
      <c r="B189" s="28">
        <f>'OptiMaxx plus'!$T$7+A189</f>
        <v>44.416666666666664</v>
      </c>
      <c r="C189" s="24">
        <f t="shared" si="38"/>
        <v>185</v>
      </c>
      <c r="D189" s="25">
        <f>+'No Deducible 93'!AD208</f>
        <v>3703632.7156828512</v>
      </c>
      <c r="E189" s="25">
        <f>+'Deducible 151'!AD208</f>
        <v>3610508.5983115514</v>
      </c>
      <c r="F189" s="25">
        <f>+'Deducible 185'!AD208</f>
        <v>3703632.7156828512</v>
      </c>
      <c r="H189" s="24">
        <f t="shared" si="39"/>
        <v>185</v>
      </c>
      <c r="I189" s="25">
        <f>+'No Deducible 93'!Y208</f>
        <v>3130996.3352708244</v>
      </c>
      <c r="J189" s="25">
        <f>+'Deducible 151'!Y208</f>
        <v>3076484.6190477679</v>
      </c>
      <c r="K189" s="25">
        <f>+'Deducible 185'!Y208</f>
        <v>3130996.3352708244</v>
      </c>
      <c r="O189" s="13"/>
      <c r="P189" s="13"/>
      <c r="Q189" s="13"/>
      <c r="Z189" s="18"/>
      <c r="AA189" s="17"/>
    </row>
    <row r="190" spans="1:27">
      <c r="A190" s="27">
        <f t="shared" si="37"/>
        <v>15.5</v>
      </c>
      <c r="B190" s="28">
        <f>'OptiMaxx plus'!$T$7+A190</f>
        <v>44.5</v>
      </c>
      <c r="C190" s="24">
        <f t="shared" si="38"/>
        <v>186</v>
      </c>
      <c r="D190" s="25">
        <f>+'No Deducible 93'!AD209</f>
        <v>3734012.4497767123</v>
      </c>
      <c r="E190" s="25">
        <f>+'Deducible 151'!AD209</f>
        <v>3639552.3426832817</v>
      </c>
      <c r="F190" s="25">
        <f>+'Deducible 185'!AD209</f>
        <v>3734012.4497767123</v>
      </c>
      <c r="H190" s="24">
        <f t="shared" si="39"/>
        <v>186</v>
      </c>
      <c r="I190" s="25">
        <f>+'No Deducible 93'!Y209</f>
        <v>3162739.8061586916</v>
      </c>
      <c r="J190" s="25">
        <f>+'Deducible 151'!Y209</f>
        <v>3107328.8043428413</v>
      </c>
      <c r="K190" s="25">
        <f>+'Deducible 185'!Y209</f>
        <v>3162739.8061586916</v>
      </c>
      <c r="O190" s="13"/>
      <c r="P190" s="13"/>
      <c r="Q190" s="13"/>
      <c r="Z190" s="18"/>
      <c r="AA190" s="17"/>
    </row>
    <row r="191" spans="1:27">
      <c r="A191" s="27">
        <f t="shared" si="37"/>
        <v>15.583333333333334</v>
      </c>
      <c r="B191" s="28">
        <f>'OptiMaxx plus'!$T$7+A191</f>
        <v>44.583333333333336</v>
      </c>
      <c r="C191" s="24">
        <f t="shared" si="38"/>
        <v>187</v>
      </c>
      <c r="D191" s="25">
        <f>+'No Deducible 93'!AD210</f>
        <v>3769794.3705138662</v>
      </c>
      <c r="E191" s="25">
        <f>+'Deducible 151'!AD210</f>
        <v>3674100.0420522727</v>
      </c>
      <c r="F191" s="25">
        <f>+'Deducible 185'!AD210</f>
        <v>3769794.3705138662</v>
      </c>
      <c r="H191" s="24">
        <f t="shared" si="39"/>
        <v>187</v>
      </c>
      <c r="I191" s="25">
        <f>+'No Deducible 93'!Y210</f>
        <v>3194704.4073433373</v>
      </c>
      <c r="J191" s="25">
        <f>+'Deducible 151'!Y210</f>
        <v>3138382.8809391269</v>
      </c>
      <c r="K191" s="25">
        <f>+'Deducible 185'!Y210</f>
        <v>3194704.4073433373</v>
      </c>
      <c r="O191" s="13"/>
      <c r="P191" s="13"/>
      <c r="Q191" s="13"/>
      <c r="Z191" s="18"/>
      <c r="AA191" s="17"/>
    </row>
    <row r="192" spans="1:27">
      <c r="A192" s="27">
        <f t="shared" si="37"/>
        <v>15.666666666666666</v>
      </c>
      <c r="B192" s="28">
        <f>'OptiMaxx plus'!$T$7+A192</f>
        <v>44.666666666666664</v>
      </c>
      <c r="C192" s="24">
        <f t="shared" si="38"/>
        <v>188</v>
      </c>
      <c r="D192" s="25">
        <f>+'No Deducible 93'!AD211</f>
        <v>3805824.5480259643</v>
      </c>
      <c r="E192" s="25">
        <f>+'Deducible 151'!AD211</f>
        <v>3708882.0404945356</v>
      </c>
      <c r="F192" s="25">
        <f>+'Deducible 185'!AD211</f>
        <v>3805824.5480259643</v>
      </c>
      <c r="H192" s="24">
        <f t="shared" si="39"/>
        <v>188</v>
      </c>
      <c r="I192" s="25">
        <f>+'No Deducible 93'!Y211</f>
        <v>3226891.6792551796</v>
      </c>
      <c r="J192" s="25">
        <f>+'Deducible 151'!Y211</f>
        <v>3169648.2771239304</v>
      </c>
      <c r="K192" s="25">
        <f>+'Deducible 185'!Y211</f>
        <v>3226891.6792551796</v>
      </c>
      <c r="O192" s="13"/>
      <c r="P192" s="13"/>
      <c r="Q192" s="13"/>
      <c r="Z192" s="18"/>
      <c r="AA192" s="17"/>
    </row>
    <row r="193" spans="1:27">
      <c r="A193" s="27">
        <f t="shared" si="37"/>
        <v>15.75</v>
      </c>
      <c r="B193" s="28">
        <f>'OptiMaxx plus'!$T$7+A193</f>
        <v>44.75</v>
      </c>
      <c r="C193" s="24">
        <f t="shared" si="38"/>
        <v>189</v>
      </c>
      <c r="D193" s="25">
        <f>+'No Deducible 93'!AD212</f>
        <v>3836857.5477271038</v>
      </c>
      <c r="E193" s="25">
        <f>+'Deducible 151'!AD212</f>
        <v>3738542.1499075554</v>
      </c>
      <c r="F193" s="25">
        <f>+'Deducible 185'!AD212</f>
        <v>3836857.5477271038</v>
      </c>
      <c r="H193" s="24">
        <f t="shared" si="39"/>
        <v>189</v>
      </c>
      <c r="I193" s="25">
        <f>+'No Deducible 93'!Y212</f>
        <v>3259303.1730555324</v>
      </c>
      <c r="J193" s="25">
        <f>+'Deducible 151'!Y212</f>
        <v>3201126.4309038976</v>
      </c>
      <c r="K193" s="25">
        <f>+'Deducible 185'!Y212</f>
        <v>3259303.1730555324</v>
      </c>
      <c r="O193" s="13"/>
      <c r="P193" s="13"/>
      <c r="Q193" s="13"/>
      <c r="Z193" s="18"/>
      <c r="AA193" s="17"/>
    </row>
    <row r="194" spans="1:27">
      <c r="A194" s="27">
        <f t="shared" si="37"/>
        <v>15.833333333333334</v>
      </c>
      <c r="B194" s="28">
        <f>'OptiMaxx plus'!$T$7+A194</f>
        <v>44.833333333333336</v>
      </c>
      <c r="C194" s="24">
        <f t="shared" si="38"/>
        <v>190</v>
      </c>
      <c r="D194" s="25">
        <f>+'No Deducible 93'!AD213</f>
        <v>3873354.356829152</v>
      </c>
      <c r="E194" s="25">
        <f>+'Deducible 151'!AD213</f>
        <v>3773762.242212235</v>
      </c>
      <c r="F194" s="25">
        <f>+'Deducible 185'!AD213</f>
        <v>3873354.356829152</v>
      </c>
      <c r="H194" s="24">
        <f t="shared" si="39"/>
        <v>190</v>
      </c>
      <c r="I194" s="25">
        <f>+'No Deducible 93'!Y213</f>
        <v>3291940.4507113565</v>
      </c>
      <c r="J194" s="25">
        <f>+'Deducible 151'!Y213</f>
        <v>3232818.7900711508</v>
      </c>
      <c r="K194" s="25">
        <f>+'Deducible 185'!Y213</f>
        <v>3291940.4507113565</v>
      </c>
      <c r="O194" s="13"/>
      <c r="P194" s="13"/>
      <c r="Q194" s="13"/>
      <c r="Z194" s="18"/>
      <c r="AA194" s="17"/>
    </row>
    <row r="195" spans="1:27">
      <c r="A195" s="27">
        <f t="shared" si="37"/>
        <v>15.916666666666666</v>
      </c>
      <c r="B195" s="28">
        <f>'OptiMaxx plus'!$T$7+A195</f>
        <v>44.916666666666664</v>
      </c>
      <c r="C195" s="24">
        <f t="shared" si="38"/>
        <v>191</v>
      </c>
      <c r="D195" s="25">
        <f>+'No Deducible 93'!AD214</f>
        <v>3910104.3931415193</v>
      </c>
      <c r="E195" s="25">
        <f>+'Deducible 151'!AD214</f>
        <v>3809221.2015747908</v>
      </c>
      <c r="F195" s="25">
        <f>+'Deducible 185'!AD214</f>
        <v>3910104.3931415193</v>
      </c>
      <c r="H195" s="24">
        <f t="shared" si="39"/>
        <v>191</v>
      </c>
      <c r="I195" s="25">
        <f>+'No Deducible 93'!Y214</f>
        <v>3324805.0850705341</v>
      </c>
      <c r="J195" s="25">
        <f>+'Deducible 151'!Y214</f>
        <v>3264726.8122698781</v>
      </c>
      <c r="K195" s="25">
        <f>+'Deducible 185'!Y214</f>
        <v>3324805.0850705341</v>
      </c>
      <c r="O195" s="13"/>
      <c r="P195" s="13"/>
      <c r="Q195" s="13"/>
      <c r="Z195" s="18"/>
      <c r="AA195" s="17"/>
    </row>
    <row r="196" spans="1:27">
      <c r="A196" s="27">
        <f t="shared" si="37"/>
        <v>16</v>
      </c>
      <c r="B196" s="28">
        <f>'OptiMaxx plus'!$T$7+A196</f>
        <v>45</v>
      </c>
      <c r="C196" s="24">
        <f t="shared" si="38"/>
        <v>192</v>
      </c>
      <c r="D196" s="25">
        <f>+'No Deducible 93'!AD215</f>
        <v>3941804.5551033723</v>
      </c>
      <c r="E196" s="25">
        <f>+'Deducible 151'!AD215</f>
        <v>3839510.5343911517</v>
      </c>
      <c r="F196" s="25">
        <f>+'Deducible 185'!AD215</f>
        <v>3941804.5551033723</v>
      </c>
      <c r="H196" s="24">
        <f t="shared" si="39"/>
        <v>192</v>
      </c>
      <c r="I196" s="25">
        <f>+'No Deducible 93'!Y215</f>
        <v>3357898.6599376677</v>
      </c>
      <c r="J196" s="25">
        <f>+'Deducible 151'!Y215</f>
        <v>3296851.9650633787</v>
      </c>
      <c r="K196" s="25">
        <f>+'Deducible 185'!Y215</f>
        <v>3357898.6599376677</v>
      </c>
      <c r="O196" s="13"/>
      <c r="P196" s="13"/>
      <c r="Q196" s="13"/>
      <c r="Z196" s="18"/>
      <c r="AA196" s="17"/>
    </row>
    <row r="197" spans="1:27">
      <c r="A197" s="27">
        <f t="shared" si="37"/>
        <v>16.083333333333332</v>
      </c>
      <c r="B197" s="28">
        <f>'OptiMaxx plus'!$T$7+A197</f>
        <v>45.083333333333329</v>
      </c>
      <c r="C197" s="24">
        <f t="shared" si="38"/>
        <v>193</v>
      </c>
      <c r="D197" s="25">
        <f>+'No Deducible 93'!AD216</f>
        <v>3979025.3907827842</v>
      </c>
      <c r="E197" s="25">
        <f>+'Deducible 151'!AD216</f>
        <v>3875410.1118049906</v>
      </c>
      <c r="F197" s="25">
        <f>+'Deducible 185'!AD216</f>
        <v>3979025.3907827842</v>
      </c>
      <c r="H197" s="24">
        <f t="shared" si="39"/>
        <v>193</v>
      </c>
      <c r="I197" s="25">
        <f>+'No Deducible 93'!Y216</f>
        <v>3391217.2808746006</v>
      </c>
      <c r="J197" s="25">
        <f>+'Deducible 151'!Y216</f>
        <v>3329189.3658279935</v>
      </c>
      <c r="K197" s="25">
        <f>+'Deducible 185'!Y216</f>
        <v>3391217.2808746006</v>
      </c>
      <c r="O197" s="13"/>
      <c r="P197" s="13"/>
      <c r="Q197" s="13"/>
      <c r="Z197" s="18"/>
      <c r="AA197" s="17"/>
    </row>
    <row r="198" spans="1:27">
      <c r="A198" s="27">
        <f t="shared" ref="A198:A261" si="40">+C198/12</f>
        <v>16.166666666666668</v>
      </c>
      <c r="B198" s="28">
        <f>'OptiMaxx plus'!$T$7+A198</f>
        <v>45.166666666666671</v>
      </c>
      <c r="C198" s="24">
        <f t="shared" si="38"/>
        <v>194</v>
      </c>
      <c r="D198" s="25">
        <f>+'No Deducible 93'!AD217</f>
        <v>4016504.4876746684</v>
      </c>
      <c r="E198" s="25">
        <f>+'Deducible 151'!AD217</f>
        <v>3911553.172450514</v>
      </c>
      <c r="F198" s="25">
        <f>+'Deducible 185'!AD217</f>
        <v>4016504.4876746684</v>
      </c>
      <c r="H198" s="24">
        <f t="shared" si="39"/>
        <v>194</v>
      </c>
      <c r="I198" s="25">
        <f>+'No Deducible 93'!Y217</f>
        <v>3424768.0048654829</v>
      </c>
      <c r="J198" s="25">
        <f>+'Deducible 151'!Y217</f>
        <v>3361746.8190614735</v>
      </c>
      <c r="K198" s="25">
        <f>+'Deducible 185'!Y217</f>
        <v>3424768.0048654829</v>
      </c>
      <c r="O198" s="13"/>
      <c r="P198" s="13"/>
      <c r="Q198" s="13"/>
      <c r="Z198" s="18"/>
      <c r="AA198" s="17"/>
    </row>
    <row r="199" spans="1:27">
      <c r="A199" s="27">
        <f t="shared" si="40"/>
        <v>16.25</v>
      </c>
      <c r="B199" s="28">
        <f>'OptiMaxx plus'!$T$7+A199</f>
        <v>45.25</v>
      </c>
      <c r="C199" s="24">
        <f t="shared" ref="C199:C262" si="41">+C198+1</f>
        <v>195</v>
      </c>
      <c r="D199" s="25">
        <f>+'No Deducible 93'!AD218</f>
        <v>4048880.4365894319</v>
      </c>
      <c r="E199" s="25">
        <f>+'Deducible 151'!AD218</f>
        <v>3942478.406147535</v>
      </c>
      <c r="F199" s="25">
        <f>+'Deducible 185'!AD218</f>
        <v>4048880.4365894319</v>
      </c>
      <c r="H199" s="24">
        <f t="shared" ref="H199:H262" si="42">+H198+1</f>
        <v>195</v>
      </c>
      <c r="I199" s="25">
        <f>+'No Deducible 93'!Y218</f>
        <v>3458552.4487787844</v>
      </c>
      <c r="J199" s="25">
        <f>+'Deducible 151'!Y218</f>
        <v>3394525.822196757</v>
      </c>
      <c r="K199" s="25">
        <f>+'Deducible 185'!Y218</f>
        <v>3458552.4487787844</v>
      </c>
      <c r="O199" s="13"/>
      <c r="P199" s="13"/>
      <c r="Q199" s="13"/>
      <c r="Z199" s="18"/>
      <c r="AA199" s="17"/>
    </row>
    <row r="200" spans="1:27">
      <c r="A200" s="27">
        <f t="shared" si="40"/>
        <v>16.333333333333332</v>
      </c>
      <c r="B200" s="28">
        <f>'OptiMaxx plus'!$T$7+A200</f>
        <v>45.333333333333329</v>
      </c>
      <c r="C200" s="24">
        <f t="shared" si="41"/>
        <v>196</v>
      </c>
      <c r="D200" s="25">
        <f>+'No Deducible 93'!AD219</f>
        <v>4086845.6033099517</v>
      </c>
      <c r="E200" s="25">
        <f>+'Deducible 151'!AD219</f>
        <v>3979077.4233703199</v>
      </c>
      <c r="F200" s="25">
        <f>+'Deducible 185'!AD219</f>
        <v>4086845.6033099517</v>
      </c>
      <c r="H200" s="24">
        <f t="shared" si="42"/>
        <v>196</v>
      </c>
      <c r="I200" s="25">
        <f>+'No Deducible 93'!Y219</f>
        <v>3492572.2407463496</v>
      </c>
      <c r="J200" s="25">
        <f>+'Deducible 151'!Y219</f>
        <v>3427527.8828566498</v>
      </c>
      <c r="K200" s="25">
        <f>+'Deducible 185'!Y219</f>
        <v>3492572.2407463496</v>
      </c>
      <c r="O200" s="13"/>
      <c r="P200" s="13"/>
      <c r="Q200" s="13"/>
      <c r="Z200" s="18"/>
      <c r="AA200" s="17"/>
    </row>
    <row r="201" spans="1:27">
      <c r="A201" s="27">
        <f t="shared" si="40"/>
        <v>16.416666666666668</v>
      </c>
      <c r="B201" s="28">
        <f>'OptiMaxx plus'!$T$7+A201</f>
        <v>45.416666666666671</v>
      </c>
      <c r="C201" s="24">
        <f t="shared" si="41"/>
        <v>197</v>
      </c>
      <c r="D201" s="25">
        <f>+'No Deducible 93'!AD220</f>
        <v>4125074.2065969664</v>
      </c>
      <c r="E201" s="25">
        <f>+'Deducible 151'!AD220</f>
        <v>4015924.6757151941</v>
      </c>
      <c r="F201" s="25">
        <f>+'Deducible 185'!AD220</f>
        <v>4125074.2065969664</v>
      </c>
      <c r="H201" s="24">
        <f t="shared" si="42"/>
        <v>197</v>
      </c>
      <c r="I201" s="25">
        <f>+'No Deducible 93'!Y220</f>
        <v>3526829.0202418598</v>
      </c>
      <c r="J201" s="25">
        <f>+'Deducible 151'!Y220</f>
        <v>3460754.5189231657</v>
      </c>
      <c r="K201" s="25">
        <f>+'Deducible 185'!Y220</f>
        <v>3526829.0202418598</v>
      </c>
      <c r="O201" s="13"/>
      <c r="P201" s="13"/>
      <c r="Q201" s="13"/>
      <c r="Z201" s="18"/>
      <c r="AA201" s="17"/>
    </row>
    <row r="202" spans="1:27">
      <c r="A202" s="27">
        <f t="shared" si="40"/>
        <v>16.5</v>
      </c>
      <c r="B202" s="28">
        <f>'OptiMaxx plus'!$T$7+A202</f>
        <v>45.5</v>
      </c>
      <c r="C202" s="24">
        <f t="shared" si="41"/>
        <v>198</v>
      </c>
      <c r="D202" s="25">
        <f>+'No Deducible 93'!AD221</f>
        <v>4158145.8823296786</v>
      </c>
      <c r="E202" s="25">
        <f>+'Deducible 151'!AD221</f>
        <v>4047505.5209482238</v>
      </c>
      <c r="F202" s="25">
        <f>+'Deducible 185'!AD221</f>
        <v>4158145.8823296786</v>
      </c>
      <c r="H202" s="24">
        <f t="shared" si="42"/>
        <v>198</v>
      </c>
      <c r="I202" s="25">
        <f>+'No Deducible 93'!Y221</f>
        <v>3561324.4381598434</v>
      </c>
      <c r="J202" s="25">
        <f>+'Deducible 151'!Y221</f>
        <v>3494207.2586073391</v>
      </c>
      <c r="K202" s="25">
        <f>+'Deducible 185'!Y221</f>
        <v>3561324.4381598434</v>
      </c>
      <c r="O202" s="13"/>
      <c r="P202" s="13"/>
      <c r="Q202" s="13"/>
      <c r="Z202" s="18"/>
      <c r="AA202" s="17"/>
    </row>
    <row r="203" spans="1:27">
      <c r="A203" s="27">
        <f t="shared" si="40"/>
        <v>16.583333333333332</v>
      </c>
      <c r="B203" s="28">
        <f>'OptiMaxx plus'!$T$7+A203</f>
        <v>45.583333333333329</v>
      </c>
      <c r="C203" s="24">
        <f t="shared" si="41"/>
        <v>199</v>
      </c>
      <c r="D203" s="25">
        <f>+'No Deducible 93'!AD222</f>
        <v>4196870.6179147316</v>
      </c>
      <c r="E203" s="25">
        <f>+'Deducible 151'!AD222</f>
        <v>4084817.97902543</v>
      </c>
      <c r="F203" s="25">
        <f>+'Deducible 185'!AD222</f>
        <v>4196870.6179147316</v>
      </c>
      <c r="H203" s="24">
        <f t="shared" si="42"/>
        <v>199</v>
      </c>
      <c r="I203" s="25">
        <f>+'No Deducible 93'!Y222</f>
        <v>3596060.1568952342</v>
      </c>
      <c r="J203" s="25">
        <f>+'Deducible 151'!Y222</f>
        <v>3527887.6405195128</v>
      </c>
      <c r="K203" s="25">
        <f>+'Deducible 185'!Y222</f>
        <v>3596060.1568952342</v>
      </c>
      <c r="O203" s="13"/>
      <c r="P203" s="13"/>
      <c r="Q203" s="13"/>
      <c r="Z203" s="18"/>
      <c r="AA203" s="17"/>
    </row>
    <row r="204" spans="1:27">
      <c r="A204" s="27">
        <f t="shared" si="40"/>
        <v>16.666666666666668</v>
      </c>
      <c r="B204" s="28">
        <f>'OptiMaxx plus'!$T$7+A204</f>
        <v>45.666666666666671</v>
      </c>
      <c r="C204" s="24">
        <f t="shared" si="41"/>
        <v>200</v>
      </c>
      <c r="D204" s="25">
        <f>+'No Deducible 93'!AD223</f>
        <v>4235864.0714762341</v>
      </c>
      <c r="E204" s="25">
        <f>+'Deducible 151'!AD223</f>
        <v>4122383.5193170677</v>
      </c>
      <c r="F204" s="25">
        <f>+'Deducible 185'!AD223</f>
        <v>4235864.0714762341</v>
      </c>
      <c r="H204" s="24">
        <f t="shared" si="42"/>
        <v>200</v>
      </c>
      <c r="I204" s="25">
        <f>+'No Deducible 93'!Y223</f>
        <v>3631037.850423486</v>
      </c>
      <c r="J204" s="25">
        <f>+'Deducible 151'!Y223</f>
        <v>3561797.2137401048</v>
      </c>
      <c r="K204" s="25">
        <f>+'Deducible 185'!Y223</f>
        <v>3631037.850423486</v>
      </c>
      <c r="O204" s="13"/>
      <c r="P204" s="13"/>
      <c r="Q204" s="13"/>
      <c r="Z204" s="18"/>
      <c r="AA204" s="17"/>
    </row>
    <row r="205" spans="1:27">
      <c r="A205" s="27">
        <f t="shared" si="40"/>
        <v>16.75</v>
      </c>
      <c r="B205" s="28">
        <f>'OptiMaxx plus'!$T$7+A205</f>
        <v>45.75</v>
      </c>
      <c r="C205" s="24">
        <f t="shared" si="41"/>
        <v>201</v>
      </c>
      <c r="D205" s="25">
        <f>+'No Deducible 93'!AD224</f>
        <v>4269646.2691420456</v>
      </c>
      <c r="E205" s="25">
        <f>+'Deducible 151'!AD224</f>
        <v>4154633.6467345627</v>
      </c>
      <c r="F205" s="25">
        <f>+'Deducible 185'!AD224</f>
        <v>4269646.2691420456</v>
      </c>
      <c r="H205" s="24">
        <f t="shared" si="42"/>
        <v>201</v>
      </c>
      <c r="I205" s="25">
        <f>+'No Deducible 93'!Y224</f>
        <v>3666259.2043812424</v>
      </c>
      <c r="J205" s="25">
        <f>+'Deducible 151'!Y224</f>
        <v>3595937.5378908557</v>
      </c>
      <c r="K205" s="25">
        <f>+'Deducible 185'!Y224</f>
        <v>3666259.2043812424</v>
      </c>
      <c r="O205" s="13"/>
      <c r="P205" s="13"/>
      <c r="Q205" s="13"/>
      <c r="Z205" s="18"/>
      <c r="AA205" s="17"/>
    </row>
    <row r="206" spans="1:27">
      <c r="A206" s="27">
        <f t="shared" si="40"/>
        <v>16.833333333333332</v>
      </c>
      <c r="B206" s="28">
        <f>'OptiMaxx plus'!$T$7+A206</f>
        <v>45.833333333333329</v>
      </c>
      <c r="C206" s="24">
        <f t="shared" si="41"/>
        <v>202</v>
      </c>
      <c r="D206" s="25">
        <f>+'No Deducible 93'!AD225</f>
        <v>4309146.1273740139</v>
      </c>
      <c r="E206" s="25">
        <f>+'Deducible 151'!AD225</f>
        <v>4192673.8308246369</v>
      </c>
      <c r="F206" s="25">
        <f>+'Deducible 185'!AD225</f>
        <v>4309146.1273740139</v>
      </c>
      <c r="H206" s="24">
        <f t="shared" si="42"/>
        <v>202</v>
      </c>
      <c r="I206" s="25">
        <f>+'No Deducible 93'!Y225</f>
        <v>3701725.9161475739</v>
      </c>
      <c r="J206" s="25">
        <f>+'Deducible 151'!Y225</f>
        <v>3630310.183206561</v>
      </c>
      <c r="K206" s="25">
        <f>+'Deducible 185'!Y225</f>
        <v>3701725.9161475739</v>
      </c>
      <c r="O206" s="13"/>
      <c r="P206" s="13"/>
      <c r="Q206" s="13"/>
      <c r="Z206" s="18"/>
      <c r="AA206" s="17"/>
    </row>
    <row r="207" spans="1:27">
      <c r="A207" s="27">
        <f t="shared" si="40"/>
        <v>16.916666666666668</v>
      </c>
      <c r="B207" s="28">
        <f>'OptiMaxx plus'!$T$7+A207</f>
        <v>45.916666666666671</v>
      </c>
      <c r="C207" s="24">
        <f t="shared" si="41"/>
        <v>203</v>
      </c>
      <c r="D207" s="25">
        <f>+'No Deducible 93'!AD226</f>
        <v>4348920.0932484446</v>
      </c>
      <c r="E207" s="25">
        <f>+'Deducible 151'!AD226</f>
        <v>4230972.0413560765</v>
      </c>
      <c r="F207" s="25">
        <f>+'Deducible 185'!AD226</f>
        <v>4348920.0932484446</v>
      </c>
      <c r="H207" s="24">
        <f t="shared" si="42"/>
        <v>203</v>
      </c>
      <c r="I207" s="25">
        <f>+'No Deducible 93'!Y226</f>
        <v>3737439.6949257748</v>
      </c>
      <c r="J207" s="25">
        <f>+'Deducible 151'!Y226</f>
        <v>3664916.7306072917</v>
      </c>
      <c r="K207" s="25">
        <f>+'Deducible 185'!Y226</f>
        <v>3737439.6949257748</v>
      </c>
      <c r="O207" s="13"/>
      <c r="P207" s="13"/>
      <c r="Q207" s="13"/>
      <c r="Z207" s="18"/>
      <c r="AA207" s="17"/>
    </row>
    <row r="208" spans="1:27">
      <c r="A208" s="27">
        <f t="shared" si="40"/>
        <v>17</v>
      </c>
      <c r="B208" s="28">
        <f>'OptiMaxx plus'!$T$7+A208</f>
        <v>46</v>
      </c>
      <c r="C208" s="24">
        <f t="shared" si="41"/>
        <v>204</v>
      </c>
      <c r="D208" s="25">
        <f>+'No Deducible 93'!AD227</f>
        <v>4383427.9209829755</v>
      </c>
      <c r="E208" s="25">
        <f>+'Deducible 151'!AD227</f>
        <v>4263905.4045010125</v>
      </c>
      <c r="F208" s="25">
        <f>+'Deducible 185'!AD227</f>
        <v>4383427.9209829755</v>
      </c>
      <c r="H208" s="24">
        <f t="shared" si="42"/>
        <v>204</v>
      </c>
      <c r="I208" s="25">
        <f>+'No Deducible 93'!Y227</f>
        <v>3773402.2618257343</v>
      </c>
      <c r="J208" s="25">
        <f>+'Deducible 151'!Y227</f>
        <v>3699758.7717711069</v>
      </c>
      <c r="K208" s="25">
        <f>+'Deducible 185'!Y227</f>
        <v>3773402.2618257343</v>
      </c>
      <c r="O208" s="13"/>
      <c r="P208" s="13"/>
      <c r="Q208" s="13"/>
      <c r="Z208" s="18"/>
      <c r="AA208" s="17"/>
    </row>
    <row r="209" spans="1:27">
      <c r="A209" s="27">
        <f t="shared" si="40"/>
        <v>17.083333333333332</v>
      </c>
      <c r="B209" s="28">
        <f>'OptiMaxx plus'!$T$7+A209</f>
        <v>46.083333333333329</v>
      </c>
      <c r="C209" s="24">
        <f t="shared" si="41"/>
        <v>205</v>
      </c>
      <c r="D209" s="25">
        <f>+'No Deducible 93'!AD228</f>
        <v>4423713.069352909</v>
      </c>
      <c r="E209" s="25">
        <f>+'Deducible 151'!AD228</f>
        <v>4302681.2750987168</v>
      </c>
      <c r="F209" s="25">
        <f>+'Deducible 185'!AD228</f>
        <v>4423713.069352909</v>
      </c>
      <c r="H209" s="24">
        <f t="shared" si="42"/>
        <v>205</v>
      </c>
      <c r="I209" s="25">
        <f>+'No Deducible 93'!Y228</f>
        <v>3809609.641100043</v>
      </c>
      <c r="J209" s="25">
        <f>+'Deducible 151'!Y228</f>
        <v>3734831.2946267533</v>
      </c>
      <c r="K209" s="25">
        <f>+'Deducible 185'!Y228</f>
        <v>3809609.641100043</v>
      </c>
      <c r="O209" s="13"/>
      <c r="P209" s="13"/>
      <c r="Q209" s="13"/>
      <c r="Z209" s="18"/>
      <c r="AA209" s="17"/>
    </row>
    <row r="210" spans="1:27">
      <c r="A210" s="27">
        <f t="shared" si="40"/>
        <v>17.166666666666668</v>
      </c>
      <c r="B210" s="28">
        <f>'OptiMaxx plus'!$T$7+A210</f>
        <v>46.166666666666671</v>
      </c>
      <c r="C210" s="24">
        <f t="shared" si="41"/>
        <v>206</v>
      </c>
      <c r="D210" s="25">
        <f>+'No Deducible 93'!AD229</f>
        <v>4464277.7857646849</v>
      </c>
      <c r="E210" s="25">
        <f>+'Deducible 151'!AD229</f>
        <v>4341720.1704599587</v>
      </c>
      <c r="F210" s="25">
        <f>+'Deducible 185'!AD229</f>
        <v>4464277.7857646849</v>
      </c>
      <c r="H210" s="24">
        <f t="shared" si="42"/>
        <v>206</v>
      </c>
      <c r="I210" s="25">
        <f>+'No Deducible 93'!Y229</f>
        <v>3846069.2469992461</v>
      </c>
      <c r="J210" s="25">
        <f>+'Deducible 151'!Y229</f>
        <v>3770142.4821573962</v>
      </c>
      <c r="K210" s="25">
        <f>+'Deducible 185'!Y229</f>
        <v>3846069.2469992461</v>
      </c>
      <c r="O210" s="13"/>
      <c r="P210" s="13"/>
      <c r="Q210" s="13"/>
      <c r="Z210" s="18"/>
      <c r="AA210" s="17"/>
    </row>
    <row r="211" spans="1:27">
      <c r="A211" s="27">
        <f t="shared" si="40"/>
        <v>17.25</v>
      </c>
      <c r="B211" s="28">
        <f>'OptiMaxx plus'!$T$7+A211</f>
        <v>46.25</v>
      </c>
      <c r="C211" s="24">
        <f t="shared" si="41"/>
        <v>207</v>
      </c>
      <c r="D211" s="25">
        <f>+'No Deducible 93'!AD230</f>
        <v>4499520.8826681664</v>
      </c>
      <c r="E211" s="25">
        <f>+'Deducible 151'!AD230</f>
        <v>4375344.3066932969</v>
      </c>
      <c r="F211" s="25">
        <f>+'Deducible 185'!AD230</f>
        <v>4499520.8826681664</v>
      </c>
      <c r="H211" s="24">
        <f t="shared" si="42"/>
        <v>207</v>
      </c>
      <c r="I211" s="25">
        <f>+'No Deducible 93'!Y230</f>
        <v>3882782.8365759552</v>
      </c>
      <c r="J211" s="25">
        <f>+'Deducible 151'!Y230</f>
        <v>3805693.9584499975</v>
      </c>
      <c r="K211" s="25">
        <f>+'Deducible 185'!Y230</f>
        <v>3882782.8365759552</v>
      </c>
      <c r="O211" s="13"/>
      <c r="P211" s="13"/>
      <c r="Q211" s="13"/>
      <c r="Z211" s="18"/>
      <c r="AA211" s="17"/>
    </row>
    <row r="212" spans="1:27">
      <c r="A212" s="27">
        <f t="shared" si="40"/>
        <v>17.333333333333332</v>
      </c>
      <c r="B212" s="28">
        <f>'OptiMaxx plus'!$T$7+A212</f>
        <v>46.333333333333329</v>
      </c>
      <c r="C212" s="24">
        <f t="shared" si="41"/>
        <v>208</v>
      </c>
      <c r="D212" s="25">
        <f>+'No Deducible 93'!AD231</f>
        <v>4540613.1155117173</v>
      </c>
      <c r="E212" s="25">
        <f>+'Deducible 151'!AD231</f>
        <v>4414877.2133385576</v>
      </c>
      <c r="F212" s="25">
        <f>+'Deducible 185'!AD231</f>
        <v>4540613.1155117173</v>
      </c>
      <c r="H212" s="24">
        <f t="shared" si="42"/>
        <v>208</v>
      </c>
      <c r="I212" s="25">
        <f>+'No Deducible 93'!Y231</f>
        <v>3919752.1791227027</v>
      </c>
      <c r="J212" s="25">
        <f>+'Deducible 151'!Y231</f>
        <v>3841487.3586432524</v>
      </c>
      <c r="K212" s="25">
        <f>+'Deducible 185'!Y231</f>
        <v>3919752.1791227027</v>
      </c>
      <c r="O212" s="13"/>
      <c r="P212" s="13"/>
      <c r="Q212" s="13"/>
      <c r="Z212" s="18"/>
      <c r="AA212" s="17"/>
    </row>
    <row r="213" spans="1:27">
      <c r="A213" s="27">
        <f t="shared" si="40"/>
        <v>17.416666666666668</v>
      </c>
      <c r="B213" s="28">
        <f>'OptiMaxx plus'!$T$7+A213</f>
        <v>46.416666666666671</v>
      </c>
      <c r="C213" s="24">
        <f t="shared" si="41"/>
        <v>209</v>
      </c>
      <c r="D213" s="25">
        <f>+'No Deducible 93'!AD232</f>
        <v>4581990.5285234768</v>
      </c>
      <c r="E213" s="25">
        <f>+'Deducible 151'!AD232</f>
        <v>4454678.2882750388</v>
      </c>
      <c r="F213" s="25">
        <f>+'Deducible 185'!AD232</f>
        <v>4581990.5285234768</v>
      </c>
      <c r="H213" s="24">
        <f t="shared" si="42"/>
        <v>209</v>
      </c>
      <c r="I213" s="25">
        <f>+'No Deducible 93'!Y232</f>
        <v>3956979.0562572065</v>
      </c>
      <c r="J213" s="25">
        <f>+'Deducible 151'!Y232</f>
        <v>3877524.3290027967</v>
      </c>
      <c r="K213" s="25">
        <f>+'Deducible 185'!Y232</f>
        <v>3956979.0562572065</v>
      </c>
      <c r="O213" s="13"/>
      <c r="P213" s="13"/>
      <c r="Q213" s="13"/>
      <c r="Z213" s="18"/>
      <c r="AA213" s="17"/>
    </row>
    <row r="214" spans="1:27">
      <c r="A214" s="27">
        <f t="shared" si="40"/>
        <v>17.5</v>
      </c>
      <c r="B214" s="28">
        <f>'OptiMaxx plus'!$T$7+A214</f>
        <v>46.5</v>
      </c>
      <c r="C214" s="24">
        <f t="shared" si="41"/>
        <v>210</v>
      </c>
      <c r="D214" s="25">
        <f>+'No Deducible 93'!AD233</f>
        <v>4617990.3155707847</v>
      </c>
      <c r="E214" s="25">
        <f>+'Deducible 151'!AD233</f>
        <v>4489014.3016463639</v>
      </c>
      <c r="F214" s="25">
        <f>+'Deducible 185'!AD233</f>
        <v>4617990.3155707847</v>
      </c>
      <c r="H214" s="24">
        <f t="shared" si="42"/>
        <v>210</v>
      </c>
      <c r="I214" s="25">
        <f>+'No Deducible 93'!Y233</f>
        <v>3994465.2620082297</v>
      </c>
      <c r="J214" s="25">
        <f>+'Deducible 151'!Y233</f>
        <v>3913806.5269969227</v>
      </c>
      <c r="K214" s="25">
        <f>+'Deducible 185'!Y233</f>
        <v>3994465.2620082297</v>
      </c>
      <c r="O214" s="13"/>
      <c r="P214" s="13"/>
      <c r="Q214" s="13"/>
      <c r="Z214" s="18"/>
      <c r="AA214" s="17"/>
    </row>
    <row r="215" spans="1:27">
      <c r="A215" s="27">
        <f t="shared" si="40"/>
        <v>17.583333333333332</v>
      </c>
      <c r="B215" s="28">
        <f>'OptiMaxx plus'!$T$7+A215</f>
        <v>46.583333333333329</v>
      </c>
      <c r="C215" s="24">
        <f t="shared" si="41"/>
        <v>211</v>
      </c>
      <c r="D215" s="25">
        <f>+'No Deducible 93'!AD234</f>
        <v>4659906.1721540764</v>
      </c>
      <c r="E215" s="25">
        <f>+'Deducible 151'!AD234</f>
        <v>4529319.4143434484</v>
      </c>
      <c r="F215" s="25">
        <f>+'Deducible 185'!AD234</f>
        <v>4659906.1721540764</v>
      </c>
      <c r="H215" s="24">
        <f t="shared" si="42"/>
        <v>211</v>
      </c>
      <c r="I215" s="25">
        <f>+'No Deducible 93'!Y234</f>
        <v>4032212.602902039</v>
      </c>
      <c r="J215" s="25">
        <f>+'Deducible 151'!Y234</f>
        <v>3950335.6213728138</v>
      </c>
      <c r="K215" s="25">
        <f>+'Deducible 185'!Y234</f>
        <v>4032212.602902039</v>
      </c>
      <c r="O215" s="13"/>
      <c r="P215" s="13"/>
      <c r="Q215" s="13"/>
      <c r="Z215" s="18"/>
      <c r="AA215" s="17"/>
    </row>
    <row r="216" spans="1:27">
      <c r="A216" s="27">
        <f t="shared" si="40"/>
        <v>17.666666666666668</v>
      </c>
      <c r="B216" s="28">
        <f>'OptiMaxx plus'!$T$7+A216</f>
        <v>46.666666666666671</v>
      </c>
      <c r="C216" s="24">
        <f t="shared" si="41"/>
        <v>212</v>
      </c>
      <c r="D216" s="25">
        <f>+'No Deducible 93'!AD235</f>
        <v>4702112.9361503292</v>
      </c>
      <c r="E216" s="25">
        <f>+'Deducible 151'!AD235</f>
        <v>4569897.9420131566</v>
      </c>
      <c r="F216" s="25">
        <f>+'Deducible 185'!AD235</f>
        <v>4702112.9361503292</v>
      </c>
      <c r="H216" s="24">
        <f t="shared" si="42"/>
        <v>212</v>
      </c>
      <c r="I216" s="25">
        <f>+'No Deducible 93'!Y235</f>
        <v>4070222.8980494621</v>
      </c>
      <c r="J216" s="25">
        <f>+'Deducible 151'!Y235</f>
        <v>3987113.2922332943</v>
      </c>
      <c r="K216" s="25">
        <f>+'Deducible 185'!Y235</f>
        <v>4070222.8980494621</v>
      </c>
      <c r="O216" s="13"/>
      <c r="P216" s="13"/>
      <c r="Q216" s="13"/>
      <c r="Z216" s="18"/>
      <c r="AA216" s="17"/>
    </row>
    <row r="217" spans="1:27">
      <c r="A217" s="27">
        <f t="shared" si="40"/>
        <v>17.75</v>
      </c>
      <c r="B217" s="28">
        <f>'OptiMaxx plus'!$T$7+A217</f>
        <v>46.75</v>
      </c>
      <c r="C217" s="24">
        <f t="shared" si="41"/>
        <v>213</v>
      </c>
      <c r="D217" s="25">
        <f>+'No Deducible 93'!AD236</f>
        <v>4738885.4981680531</v>
      </c>
      <c r="E217" s="25">
        <f>+'Deducible 151'!AD236</f>
        <v>4604960.6673987806</v>
      </c>
      <c r="F217" s="25">
        <f>+'Deducible 185'!AD236</f>
        <v>4738885.4981680531</v>
      </c>
      <c r="H217" s="24">
        <f t="shared" si="42"/>
        <v>213</v>
      </c>
      <c r="I217" s="25">
        <f>+'No Deducible 93'!Y236</f>
        <v>4108497.9792335564</v>
      </c>
      <c r="J217" s="25">
        <f>+'Deducible 151'!Y236</f>
        <v>4024141.2311141039</v>
      </c>
      <c r="K217" s="25">
        <f>+'Deducible 185'!Y236</f>
        <v>4108497.9792335564</v>
      </c>
      <c r="O217" s="13"/>
      <c r="P217" s="13"/>
      <c r="Q217" s="13"/>
      <c r="Z217" s="18"/>
      <c r="AA217" s="17"/>
    </row>
    <row r="218" spans="1:27">
      <c r="A218" s="27">
        <f t="shared" si="40"/>
        <v>17.833333333333332</v>
      </c>
      <c r="B218" s="28">
        <f>'OptiMaxx plus'!$T$7+A218</f>
        <v>46.833333333333329</v>
      </c>
      <c r="C218" s="24">
        <f t="shared" si="41"/>
        <v>214</v>
      </c>
      <c r="D218" s="25">
        <f>+'No Deducible 93'!AD237</f>
        <v>4781641.8608902143</v>
      </c>
      <c r="E218" s="25">
        <f>+'Deducible 151'!AD237</f>
        <v>4646053.4641463645</v>
      </c>
      <c r="F218" s="25">
        <f>+'Deducible 185'!AD237</f>
        <v>4781641.8608902143</v>
      </c>
      <c r="H218" s="24">
        <f t="shared" si="42"/>
        <v>214</v>
      </c>
      <c r="I218" s="25">
        <f>+'No Deducible 93'!Y237</f>
        <v>4147039.6909978837</v>
      </c>
      <c r="J218" s="25">
        <f>+'Deducible 151'!Y237</f>
        <v>4061421.1410616981</v>
      </c>
      <c r="K218" s="25">
        <f>+'Deducible 185'!Y237</f>
        <v>4147039.6909978837</v>
      </c>
      <c r="O218" s="13"/>
      <c r="P218" s="13"/>
      <c r="Q218" s="13"/>
      <c r="Z218" s="18"/>
      <c r="AA218" s="17"/>
    </row>
    <row r="219" spans="1:27">
      <c r="A219" s="27">
        <f t="shared" si="40"/>
        <v>17.916666666666668</v>
      </c>
      <c r="B219" s="28">
        <f>'OptiMaxx plus'!$T$7+A219</f>
        <v>46.916666666666671</v>
      </c>
      <c r="C219" s="24">
        <f t="shared" si="41"/>
        <v>215</v>
      </c>
      <c r="D219" s="25">
        <f>+'No Deducible 93'!AD238</f>
        <v>4824694.9757778728</v>
      </c>
      <c r="E219" s="25">
        <f>+'Deducible 151'!AD238</f>
        <v>4687425.0277968394</v>
      </c>
      <c r="F219" s="25">
        <f>+'Deducible 185'!AD238</f>
        <v>4824694.9757778728</v>
      </c>
      <c r="H219" s="24">
        <f t="shared" si="42"/>
        <v>215</v>
      </c>
      <c r="I219" s="25">
        <f>+'No Deducible 93'!Y238</f>
        <v>4185849.8907354036</v>
      </c>
      <c r="J219" s="25">
        <f>+'Deducible 151'!Y238</f>
        <v>4098954.736711577</v>
      </c>
      <c r="K219" s="25">
        <f>+'Deducible 185'!Y238</f>
        <v>4185849.8907354036</v>
      </c>
      <c r="O219" s="13"/>
      <c r="P219" s="13"/>
      <c r="Q219" s="13"/>
      <c r="Z219" s="18"/>
      <c r="AA219" s="17"/>
    </row>
    <row r="220" spans="1:27">
      <c r="A220" s="27">
        <f t="shared" si="40"/>
        <v>18</v>
      </c>
      <c r="B220" s="28">
        <f>'OptiMaxx plus'!$T$7+A220</f>
        <v>47</v>
      </c>
      <c r="C220" s="24">
        <f t="shared" si="41"/>
        <v>216</v>
      </c>
      <c r="D220" s="25">
        <f>+'No Deducible 93'!AD239</f>
        <v>4862256.737828441</v>
      </c>
      <c r="E220" s="25">
        <f>+'Deducible 151'!AD239</f>
        <v>4723229.606972822</v>
      </c>
      <c r="F220" s="25">
        <f>+'Deducible 185'!AD239</f>
        <v>4862256.737828441</v>
      </c>
      <c r="H220" s="24">
        <f t="shared" si="42"/>
        <v>216</v>
      </c>
      <c r="I220" s="25">
        <f>+'No Deducible 93'!Y239</f>
        <v>4224930.4487779848</v>
      </c>
      <c r="J220" s="25">
        <f>+'Deducible 151'!Y239</f>
        <v>4136743.7443671478</v>
      </c>
      <c r="K220" s="25">
        <f>+'Deducible 185'!Y239</f>
        <v>4224930.4487779848</v>
      </c>
      <c r="O220" s="13"/>
      <c r="P220" s="13"/>
      <c r="Q220" s="13"/>
      <c r="Z220" s="18"/>
      <c r="AA220" s="17"/>
    </row>
    <row r="221" spans="1:27">
      <c r="A221" s="27">
        <f t="shared" si="40"/>
        <v>18.083333333333332</v>
      </c>
      <c r="B221" s="28">
        <f>'OptiMaxx plus'!$T$7+A221</f>
        <v>47.083333333333329</v>
      </c>
      <c r="C221" s="24">
        <f t="shared" si="41"/>
        <v>217</v>
      </c>
      <c r="D221" s="25">
        <f>+'No Deducible 93'!AD240</f>
        <v>4905864.902186905</v>
      </c>
      <c r="E221" s="25">
        <f>+'Deducible 151'!AD240</f>
        <v>4765119.0008935612</v>
      </c>
      <c r="F221" s="25">
        <f>+'Deducible 185'!AD240</f>
        <v>4905864.902186905</v>
      </c>
      <c r="H221" s="24">
        <f t="shared" si="42"/>
        <v>217</v>
      </c>
      <c r="I221" s="25">
        <f>+'No Deducible 93'!Y240</f>
        <v>4264277.3112858254</v>
      </c>
      <c r="J221" s="25">
        <f>+'Deducible 151'!Y240</f>
        <v>4174783.022915395</v>
      </c>
      <c r="K221" s="25">
        <f>+'Deducible 185'!Y240</f>
        <v>4264277.3112858254</v>
      </c>
      <c r="O221" s="13"/>
      <c r="P221" s="13"/>
      <c r="Q221" s="13"/>
      <c r="Z221" s="18"/>
      <c r="AA221" s="17"/>
    </row>
    <row r="222" spans="1:27">
      <c r="A222" s="27">
        <f t="shared" si="40"/>
        <v>18.166666666666668</v>
      </c>
      <c r="B222" s="28">
        <f>'OptiMaxx plus'!$T$7+A222</f>
        <v>47.166666666666671</v>
      </c>
      <c r="C222" s="24">
        <f t="shared" si="41"/>
        <v>218</v>
      </c>
      <c r="D222" s="25">
        <f>+'No Deducible 93'!AD241</f>
        <v>4949775.7420509635</v>
      </c>
      <c r="E222" s="25">
        <f>+'Deducible 151'!AD241</f>
        <v>4807292.574222317</v>
      </c>
      <c r="F222" s="25">
        <f>+'Deducible 185'!AD241</f>
        <v>4949775.7420509635</v>
      </c>
      <c r="H222" s="24">
        <f t="shared" si="42"/>
        <v>218</v>
      </c>
      <c r="I222" s="25">
        <f>+'No Deducible 93'!Y241</f>
        <v>4303898.2705808254</v>
      </c>
      <c r="J222" s="25">
        <f>+'Deducible 151'!Y241</f>
        <v>4213081.1545860469</v>
      </c>
      <c r="K222" s="25">
        <f>+'Deducible 185'!Y241</f>
        <v>4303898.2705808254</v>
      </c>
      <c r="O222" s="13"/>
      <c r="P222" s="13"/>
      <c r="Q222" s="13"/>
      <c r="Z222" s="18"/>
      <c r="AA222" s="17"/>
    </row>
    <row r="223" spans="1:27">
      <c r="A223" s="27">
        <f t="shared" si="40"/>
        <v>18.25</v>
      </c>
      <c r="B223" s="28">
        <f>'OptiMaxx plus'!$T$7+A223</f>
        <v>47.25</v>
      </c>
      <c r="C223" s="24">
        <f t="shared" si="41"/>
        <v>219</v>
      </c>
      <c r="D223" s="25">
        <f>+'No Deducible 93'!AD242</f>
        <v>4988137.4564038776</v>
      </c>
      <c r="E223" s="25">
        <f>+'Deducible 151'!AD242</f>
        <v>4843847.4890856817</v>
      </c>
      <c r="F223" s="25">
        <f>+'Deducible 185'!AD242</f>
        <v>4988137.4564038776</v>
      </c>
      <c r="H223" s="24">
        <f t="shared" si="42"/>
        <v>219</v>
      </c>
      <c r="I223" s="25">
        <f>+'No Deducible 93'!Y242</f>
        <v>4343795.2360667838</v>
      </c>
      <c r="J223" s="25">
        <f>+'Deducible 151'!Y242</f>
        <v>4251639.9008462392</v>
      </c>
      <c r="K223" s="25">
        <f>+'Deducible 185'!Y242</f>
        <v>4343795.2360667838</v>
      </c>
      <c r="O223" s="13"/>
      <c r="P223" s="13"/>
      <c r="Q223" s="13"/>
      <c r="Z223" s="18"/>
      <c r="AA223" s="17"/>
    </row>
    <row r="224" spans="1:27">
      <c r="A224" s="27">
        <f t="shared" si="40"/>
        <v>18.333333333333332</v>
      </c>
      <c r="B224" s="28">
        <f>'OptiMaxx plus'!$T$7+A224</f>
        <v>47.333333333333329</v>
      </c>
      <c r="C224" s="24">
        <f t="shared" si="41"/>
        <v>220</v>
      </c>
      <c r="D224" s="25">
        <f>+'No Deducible 93'!AD243</f>
        <v>5032620.8249677569</v>
      </c>
      <c r="E224" s="25">
        <f>+'Deducible 151'!AD243</f>
        <v>4886556.3309459798</v>
      </c>
      <c r="F224" s="25">
        <f>+'Deducible 185'!AD243</f>
        <v>5032620.8249677569</v>
      </c>
      <c r="H224" s="24">
        <f t="shared" si="42"/>
        <v>220</v>
      </c>
      <c r="I224" s="25">
        <f>+'No Deducible 93'!Y243</f>
        <v>4383970.1304487223</v>
      </c>
      <c r="J224" s="25">
        <f>+'Deducible 151'!Y243</f>
        <v>4290461.0351496954</v>
      </c>
      <c r="K224" s="25">
        <f>+'Deducible 185'!Y243</f>
        <v>4383970.1304487223</v>
      </c>
      <c r="O224" s="13"/>
      <c r="P224" s="13"/>
      <c r="Q224" s="13"/>
      <c r="Z224" s="18"/>
      <c r="AA224" s="17"/>
    </row>
    <row r="225" spans="1:27">
      <c r="A225" s="27">
        <f t="shared" si="40"/>
        <v>18.416666666666668</v>
      </c>
      <c r="B225" s="28">
        <f>'OptiMaxx plus'!$T$7+A225</f>
        <v>47.416666666666671</v>
      </c>
      <c r="C225" s="24">
        <f t="shared" si="41"/>
        <v>221</v>
      </c>
      <c r="D225" s="25">
        <f>+'No Deducible 93'!AD244</f>
        <v>5077412.9553038282</v>
      </c>
      <c r="E225" s="25">
        <f>+'Deducible 151'!AD244</f>
        <v>4929554.9201376829</v>
      </c>
      <c r="F225" s="25">
        <f>+'Deducible 185'!AD244</f>
        <v>5077412.9553038282</v>
      </c>
      <c r="H225" s="24">
        <f t="shared" si="42"/>
        <v>221</v>
      </c>
      <c r="I225" s="25">
        <f>+'No Deducible 93'!Y244</f>
        <v>4424424.889825548</v>
      </c>
      <c r="J225" s="25">
        <f>+'Deducible 151'!Y244</f>
        <v>4329546.3430183008</v>
      </c>
      <c r="K225" s="25">
        <f>+'Deducible 185'!Y244</f>
        <v>4424424.889825548</v>
      </c>
      <c r="O225" s="13"/>
      <c r="P225" s="13"/>
      <c r="Q225" s="13"/>
      <c r="Z225" s="18"/>
      <c r="AA225" s="17"/>
    </row>
    <row r="226" spans="1:27">
      <c r="A226" s="27">
        <f t="shared" si="40"/>
        <v>18.5</v>
      </c>
      <c r="B226" s="28">
        <f>'OptiMaxx plus'!$T$7+A226</f>
        <v>47.5</v>
      </c>
      <c r="C226" s="24">
        <f t="shared" si="41"/>
        <v>222</v>
      </c>
      <c r="D226" s="25">
        <f>+'No Deducible 93'!AD245</f>
        <v>5116597.6426979378</v>
      </c>
      <c r="E226" s="25">
        <f>+'Deducible 151'!AD245</f>
        <v>4966882.7751580607</v>
      </c>
      <c r="F226" s="25">
        <f>+'Deducible 185'!AD245</f>
        <v>5116597.6426979378</v>
      </c>
      <c r="H226" s="24">
        <f t="shared" si="42"/>
        <v>222</v>
      </c>
      <c r="I226" s="25">
        <f>+'No Deducible 93'!Y245</f>
        <v>4465161.4637833526</v>
      </c>
      <c r="J226" s="25">
        <f>+'Deducible 151'!Y245</f>
        <v>4368897.6221242193</v>
      </c>
      <c r="K226" s="25">
        <f>+'Deducible 185'!Y245</f>
        <v>4465161.4637833526</v>
      </c>
      <c r="O226" s="13"/>
      <c r="P226" s="13"/>
      <c r="Q226" s="13"/>
      <c r="Z226" s="18"/>
      <c r="AA226" s="17"/>
    </row>
    <row r="227" spans="1:27">
      <c r="A227" s="27">
        <f t="shared" si="40"/>
        <v>18.583333333333332</v>
      </c>
      <c r="B227" s="28">
        <f>'OptiMaxx plus'!$T$7+A227</f>
        <v>47.583333333333329</v>
      </c>
      <c r="C227" s="24">
        <f t="shared" si="41"/>
        <v>223</v>
      </c>
      <c r="D227" s="25">
        <f>+'No Deducible 93'!AD246</f>
        <v>5161974.1682359157</v>
      </c>
      <c r="E227" s="25">
        <f>+'Deducible 151'!AD246</f>
        <v>5010427.5023119831</v>
      </c>
      <c r="F227" s="25">
        <f>+'Deducible 185'!AD246</f>
        <v>5161974.1682359157</v>
      </c>
      <c r="H227" s="24">
        <f t="shared" si="42"/>
        <v>223</v>
      </c>
      <c r="I227" s="25">
        <f>+'No Deducible 93'!Y246</f>
        <v>4506181.8154893704</v>
      </c>
      <c r="J227" s="25">
        <f>+'Deducible 151'!Y246</f>
        <v>4408516.6823725756</v>
      </c>
      <c r="K227" s="25">
        <f>+'Deducible 185'!Y246</f>
        <v>4506181.8154893704</v>
      </c>
      <c r="O227" s="13"/>
      <c r="P227" s="13"/>
      <c r="Q227" s="13"/>
      <c r="Z227" s="18"/>
      <c r="AA227" s="17"/>
    </row>
    <row r="228" spans="1:27">
      <c r="A228" s="27">
        <f t="shared" si="40"/>
        <v>18.666666666666668</v>
      </c>
      <c r="B228" s="28">
        <f>'OptiMaxx plus'!$T$7+A228</f>
        <v>47.666666666666671</v>
      </c>
      <c r="C228" s="24">
        <f t="shared" si="41"/>
        <v>224</v>
      </c>
      <c r="D228" s="25">
        <f>+'No Deducible 93'!AD247</f>
        <v>5207665.6667740075</v>
      </c>
      <c r="E228" s="25">
        <f>+'Deducible 151'!AD247</f>
        <v>5054267.6564956363</v>
      </c>
      <c r="F228" s="25">
        <f>+'Deducible 185'!AD247</f>
        <v>5207665.6667740075</v>
      </c>
      <c r="H228" s="24">
        <f t="shared" si="42"/>
        <v>224</v>
      </c>
      <c r="I228" s="25">
        <f>+'No Deducible 93'!Y247</f>
        <v>4547487.921786583</v>
      </c>
      <c r="J228" s="25">
        <f>+'Deducible 151'!Y247</f>
        <v>4448405.3459847029</v>
      </c>
      <c r="K228" s="25">
        <f>+'Deducible 185'!Y247</f>
        <v>4547487.921786583</v>
      </c>
      <c r="O228" s="13"/>
      <c r="P228" s="13"/>
      <c r="Q228" s="13"/>
      <c r="Z228" s="18"/>
      <c r="AA228" s="17"/>
    </row>
    <row r="229" spans="1:27">
      <c r="A229" s="27">
        <f t="shared" si="40"/>
        <v>18.75</v>
      </c>
      <c r="B229" s="28">
        <f>'OptiMaxx plus'!$T$7+A229</f>
        <v>47.75</v>
      </c>
      <c r="C229" s="24">
        <f t="shared" si="41"/>
        <v>225</v>
      </c>
      <c r="D229" s="25">
        <f>+'No Deducible 93'!AD248</f>
        <v>5247690.8139961557</v>
      </c>
      <c r="E229" s="25">
        <f>+'Deducible 151'!AD248</f>
        <v>5092384.5496905269</v>
      </c>
      <c r="F229" s="25">
        <f>+'Deducible 185'!AD248</f>
        <v>5247690.8139961557</v>
      </c>
      <c r="H229" s="24">
        <f t="shared" si="42"/>
        <v>225</v>
      </c>
      <c r="I229" s="25">
        <f>+'No Deducible 93'!Y248</f>
        <v>4589081.7732889922</v>
      </c>
      <c r="J229" s="25">
        <f>+'Deducible 151'!Y248</f>
        <v>4488565.4475819506</v>
      </c>
      <c r="K229" s="25">
        <f>+'Deducible 185'!Y248</f>
        <v>4589081.7732889922</v>
      </c>
      <c r="O229" s="13"/>
      <c r="P229" s="13"/>
      <c r="Q229" s="13"/>
      <c r="Z229" s="18"/>
      <c r="AA229" s="17"/>
    </row>
    <row r="230" spans="1:27">
      <c r="A230" s="27">
        <f t="shared" si="40"/>
        <v>18.833333333333332</v>
      </c>
      <c r="B230" s="28">
        <f>'OptiMaxx plus'!$T$7+A230</f>
        <v>47.833333333333329</v>
      </c>
      <c r="C230" s="24">
        <f t="shared" si="41"/>
        <v>226</v>
      </c>
      <c r="D230" s="25">
        <f>+'No Deducible 93'!AD249</f>
        <v>5293978.8219323931</v>
      </c>
      <c r="E230" s="25">
        <f>+'Deducible 151'!AD249</f>
        <v>5136781.9333845563</v>
      </c>
      <c r="F230" s="25">
        <f>+'Deducible 185'!AD249</f>
        <v>5293978.8219323931</v>
      </c>
      <c r="H230" s="24">
        <f t="shared" si="42"/>
        <v>226</v>
      </c>
      <c r="I230" s="25">
        <f>+'No Deducible 93'!Y249</f>
        <v>4630965.3744775457</v>
      </c>
      <c r="J230" s="25">
        <f>+'Deducible 151'!Y249</f>
        <v>4528998.8342700657</v>
      </c>
      <c r="K230" s="25">
        <f>+'Deducible 185'!Y249</f>
        <v>4630965.3744775457</v>
      </c>
      <c r="O230" s="13"/>
      <c r="P230" s="13"/>
      <c r="Q230" s="13"/>
      <c r="Z230" s="18"/>
      <c r="AA230" s="17"/>
    </row>
    <row r="231" spans="1:27">
      <c r="A231" s="27">
        <f t="shared" si="40"/>
        <v>18.916666666666668</v>
      </c>
      <c r="B231" s="28">
        <f>'OptiMaxx plus'!$T$7+A231</f>
        <v>47.916666666666671</v>
      </c>
      <c r="C231" s="24">
        <f t="shared" si="41"/>
        <v>227</v>
      </c>
      <c r="D231" s="25">
        <f>+'No Deducible 93'!AD250</f>
        <v>5340588.1416530181</v>
      </c>
      <c r="E231" s="25">
        <f>+'Deducible 151'!AD250</f>
        <v>5181480.5378529225</v>
      </c>
      <c r="F231" s="25">
        <f>+'Deducible 185'!AD250</f>
        <v>5340588.1416530181</v>
      </c>
      <c r="H231" s="24">
        <f t="shared" si="42"/>
        <v>227</v>
      </c>
      <c r="I231" s="25">
        <f>+'No Deducible 93'!Y250</f>
        <v>4673140.7437967379</v>
      </c>
      <c r="J231" s="25">
        <f>+'Deducible 151'!Y250</f>
        <v>4569707.3657241454</v>
      </c>
      <c r="K231" s="25">
        <f>+'Deducible 185'!Y250</f>
        <v>4673140.7437967379</v>
      </c>
      <c r="O231" s="13"/>
      <c r="P231" s="13"/>
      <c r="Q231" s="13"/>
      <c r="Z231" s="18"/>
      <c r="AA231" s="17"/>
    </row>
    <row r="232" spans="1:27">
      <c r="A232" s="27">
        <f t="shared" si="40"/>
        <v>19</v>
      </c>
      <c r="B232" s="28">
        <f>'OptiMaxx plus'!$T$7+A232</f>
        <v>48</v>
      </c>
      <c r="C232" s="24">
        <f t="shared" si="41"/>
        <v>228</v>
      </c>
      <c r="D232" s="25">
        <f>+'No Deducible 93'!AD251</f>
        <v>5381471.6053067995</v>
      </c>
      <c r="E232" s="25">
        <f>+'Deducible 151'!AD251</f>
        <v>5220402.9001808744</v>
      </c>
      <c r="F232" s="25">
        <f>+'Deducible 185'!AD251</f>
        <v>5381471.6053067995</v>
      </c>
      <c r="H232" s="24">
        <f t="shared" si="42"/>
        <v>228</v>
      </c>
      <c r="I232" s="25">
        <f>+'No Deducible 93'!Y251</f>
        <v>4715609.9137518853</v>
      </c>
      <c r="J232" s="25">
        <f>+'Deducible 151'!Y251</f>
        <v>4610692.9142741738</v>
      </c>
      <c r="K232" s="25">
        <f>+'Deducible 185'!Y251</f>
        <v>4715609.9137518853</v>
      </c>
      <c r="O232" s="13"/>
      <c r="P232" s="13"/>
      <c r="Q232" s="13"/>
      <c r="Z232" s="18"/>
      <c r="AA232" s="17"/>
    </row>
    <row r="233" spans="1:27">
      <c r="A233" s="27">
        <f t="shared" si="40"/>
        <v>19.083333333333332</v>
      </c>
      <c r="B233" s="28">
        <f>'OptiMaxx plus'!$T$7+A233</f>
        <v>48.083333333333329</v>
      </c>
      <c r="C233" s="24">
        <f t="shared" si="41"/>
        <v>229</v>
      </c>
      <c r="D233" s="25">
        <f>+'No Deducible 93'!AD252</f>
        <v>5428683.6268169656</v>
      </c>
      <c r="E233" s="25">
        <f>+'Deducible 151'!AD252</f>
        <v>5265662.898047749</v>
      </c>
      <c r="F233" s="25">
        <f>+'Deducible 185'!AD252</f>
        <v>5428683.6268169656</v>
      </c>
      <c r="H233" s="24">
        <f t="shared" si="42"/>
        <v>229</v>
      </c>
      <c r="I233" s="25">
        <f>+'No Deducible 93'!Y252</f>
        <v>4758368.7563183354</v>
      </c>
      <c r="J233" s="25">
        <f>+'Deducible 151'!Y252</f>
        <v>4651950.210660859</v>
      </c>
      <c r="K233" s="25">
        <f>+'Deducible 185'!Y252</f>
        <v>4758368.7563183354</v>
      </c>
      <c r="O233" s="13"/>
      <c r="P233" s="13"/>
      <c r="Q233" s="13"/>
      <c r="Z233" s="18"/>
      <c r="AA233" s="17"/>
    </row>
    <row r="234" spans="1:27">
      <c r="A234" s="27">
        <f t="shared" si="40"/>
        <v>19.166666666666668</v>
      </c>
      <c r="B234" s="28">
        <f>'OptiMaxx plus'!$T$7+A234</f>
        <v>48.166666666666671</v>
      </c>
      <c r="C234" s="24">
        <f t="shared" si="41"/>
        <v>230</v>
      </c>
      <c r="D234" s="25">
        <f>+'No Deducible 93'!AD253</f>
        <v>5476223.3860874763</v>
      </c>
      <c r="E234" s="25">
        <f>+'Deducible 151'!AD253</f>
        <v>5311229.9781131912</v>
      </c>
      <c r="F234" s="25">
        <f>+'Deducible 185'!AD253</f>
        <v>5476223.3860874763</v>
      </c>
      <c r="H234" s="24">
        <f t="shared" si="42"/>
        <v>230</v>
      </c>
      <c r="I234" s="25">
        <f>+'No Deducible 93'!Y253</f>
        <v>4801425.4640924055</v>
      </c>
      <c r="J234" s="25">
        <f>+'Deducible 151'!Y253</f>
        <v>4693488.2584287291</v>
      </c>
      <c r="K234" s="25">
        <f>+'Deducible 185'!Y253</f>
        <v>4801425.4640924055</v>
      </c>
      <c r="O234" s="13"/>
      <c r="P234" s="13"/>
      <c r="Q234" s="13"/>
      <c r="Z234" s="18"/>
      <c r="AA234" s="17"/>
    </row>
    <row r="235" spans="1:27">
      <c r="A235" s="27">
        <f t="shared" si="40"/>
        <v>19.25</v>
      </c>
      <c r="B235" s="28">
        <f>'OptiMaxx plus'!$T$7+A235</f>
        <v>48.25</v>
      </c>
      <c r="C235" s="24">
        <f t="shared" si="41"/>
        <v>231</v>
      </c>
      <c r="D235" s="25">
        <f>+'No Deducible 93'!AD254</f>
        <v>5517977.139379533</v>
      </c>
      <c r="E235" s="25">
        <f>+'Deducible 151'!AD254</f>
        <v>5350967.3283067858</v>
      </c>
      <c r="F235" s="25">
        <f>+'Deducible 185'!AD254</f>
        <v>5517977.139379533</v>
      </c>
      <c r="H235" s="24">
        <f t="shared" si="42"/>
        <v>231</v>
      </c>
      <c r="I235" s="25">
        <f>+'No Deducible 93'!Y254</f>
        <v>4844782.1120526642</v>
      </c>
      <c r="J235" s="25">
        <f>+'Deducible 151'!Y254</f>
        <v>4735308.9680601694</v>
      </c>
      <c r="K235" s="25">
        <f>+'Deducible 185'!Y254</f>
        <v>4844782.1120526642</v>
      </c>
      <c r="O235" s="13"/>
      <c r="P235" s="13"/>
      <c r="Q235" s="13"/>
      <c r="Z235" s="18"/>
      <c r="AA235" s="17"/>
    </row>
    <row r="236" spans="1:27">
      <c r="A236" s="27">
        <f t="shared" si="40"/>
        <v>19.333333333333332</v>
      </c>
      <c r="B236" s="28">
        <f>'OptiMaxx plus'!$T$7+A236</f>
        <v>48.333333333333329</v>
      </c>
      <c r="C236" s="24">
        <f t="shared" si="41"/>
        <v>232</v>
      </c>
      <c r="D236" s="25">
        <f>+'No Deducible 93'!AD255</f>
        <v>5566138.3134622267</v>
      </c>
      <c r="E236" s="25">
        <f>+'Deducible 151'!AD255</f>
        <v>5397114.4072709046</v>
      </c>
      <c r="F236" s="25">
        <f>+'Deducible 185'!AD255</f>
        <v>5566138.3134622267</v>
      </c>
      <c r="H236" s="24">
        <f t="shared" si="42"/>
        <v>232</v>
      </c>
      <c r="I236" s="25">
        <f>+'No Deducible 93'!Y255</f>
        <v>4888440.7896323251</v>
      </c>
      <c r="J236" s="25">
        <f>+'Deducible 151'!Y255</f>
        <v>4777414.2630381892</v>
      </c>
      <c r="K236" s="25">
        <f>+'Deducible 185'!Y255</f>
        <v>4888440.7896323251</v>
      </c>
      <c r="O236" s="13"/>
      <c r="P236" s="13"/>
      <c r="Q236" s="13"/>
      <c r="Z236" s="18"/>
      <c r="AA236" s="17"/>
    </row>
    <row r="237" spans="1:27">
      <c r="A237" s="27">
        <f t="shared" si="40"/>
        <v>19.416666666666668</v>
      </c>
      <c r="B237" s="28">
        <f>'OptiMaxx plus'!$T$7+A237</f>
        <v>48.416666666666671</v>
      </c>
      <c r="C237" s="24">
        <f t="shared" si="41"/>
        <v>233</v>
      </c>
      <c r="D237" s="25">
        <f>+'No Deducible 93'!AD256</f>
        <v>5614633.8263001153</v>
      </c>
      <c r="E237" s="25">
        <f>+'Deducible 151'!AD256</f>
        <v>5443574.5962708117</v>
      </c>
      <c r="F237" s="25">
        <f>+'Deducible 185'!AD256</f>
        <v>5614633.8263001153</v>
      </c>
      <c r="H237" s="24">
        <f t="shared" si="42"/>
        <v>233</v>
      </c>
      <c r="I237" s="25">
        <f>+'No Deducible 93'!Y256</f>
        <v>4932403.6008199416</v>
      </c>
      <c r="J237" s="25">
        <f>+'Deducible 151'!Y256</f>
        <v>4819806.0799348895</v>
      </c>
      <c r="K237" s="25">
        <f>+'Deducible 185'!Y256</f>
        <v>4932403.6008199416</v>
      </c>
      <c r="O237" s="13"/>
      <c r="P237" s="13"/>
      <c r="Q237" s="13"/>
      <c r="Z237" s="18"/>
      <c r="AA237" s="17"/>
    </row>
    <row r="238" spans="1:27">
      <c r="A238" s="27">
        <f t="shared" si="40"/>
        <v>19.5</v>
      </c>
      <c r="B238" s="28">
        <f>'OptiMaxx plus'!$T$7+A238</f>
        <v>48.5</v>
      </c>
      <c r="C238" s="24">
        <f t="shared" si="41"/>
        <v>234</v>
      </c>
      <c r="D238" s="25">
        <f>+'No Deducible 93'!AD257</f>
        <v>5657282.6182961827</v>
      </c>
      <c r="E238" s="25">
        <f>+'Deducible 151'!AD257</f>
        <v>5484151.1548751108</v>
      </c>
      <c r="F238" s="25">
        <f>+'Deducible 185'!AD257</f>
        <v>5657282.6182961827</v>
      </c>
      <c r="H238" s="24">
        <f t="shared" si="42"/>
        <v>234</v>
      </c>
      <c r="I238" s="25">
        <f>+'No Deducible 93'!Y257</f>
        <v>4976672.6642608</v>
      </c>
      <c r="J238" s="25">
        <f>+'Deducible 151'!Y257</f>
        <v>4862486.3685005307</v>
      </c>
      <c r="K238" s="25">
        <f>+'Deducible 185'!Y257</f>
        <v>4976672.6642608</v>
      </c>
      <c r="O238" s="13"/>
      <c r="P238" s="13"/>
      <c r="Q238" s="13"/>
      <c r="Z238" s="18"/>
      <c r="AA238" s="17"/>
    </row>
    <row r="239" spans="1:27">
      <c r="A239" s="27">
        <f t="shared" si="40"/>
        <v>19.583333333333332</v>
      </c>
      <c r="B239" s="28">
        <f>'OptiMaxx plus'!$T$7+A239</f>
        <v>48.583333333333329</v>
      </c>
      <c r="C239" s="24">
        <f t="shared" si="41"/>
        <v>235</v>
      </c>
      <c r="D239" s="25">
        <f>+'No Deducible 93'!AD258</f>
        <v>5706412.4329721685</v>
      </c>
      <c r="E239" s="25">
        <f>+'Deducible 151'!AD258</f>
        <v>5531203.1263448903</v>
      </c>
      <c r="F239" s="25">
        <f>+'Deducible 185'!AD258</f>
        <v>5706412.4329721685</v>
      </c>
      <c r="H239" s="24">
        <f t="shared" si="42"/>
        <v>235</v>
      </c>
      <c r="I239" s="25">
        <f>+'No Deducible 93'!Y258</f>
        <v>5021250.113359022</v>
      </c>
      <c r="J239" s="25">
        <f>+'Deducible 151'!Y258</f>
        <v>4905457.0917532118</v>
      </c>
      <c r="K239" s="25">
        <f>+'Deducible 185'!Y258</f>
        <v>5021250.113359022</v>
      </c>
      <c r="O239" s="13"/>
      <c r="P239" s="13"/>
      <c r="Q239" s="13"/>
      <c r="Z239" s="18"/>
      <c r="AA239" s="17"/>
    </row>
    <row r="240" spans="1:27">
      <c r="A240" s="27">
        <f t="shared" si="40"/>
        <v>19.666666666666668</v>
      </c>
      <c r="B240" s="28">
        <f>'OptiMaxx plus'!$T$7+A240</f>
        <v>48.666666666666671</v>
      </c>
      <c r="C240" s="24">
        <f t="shared" si="41"/>
        <v>236</v>
      </c>
      <c r="D240" s="25">
        <f>+'No Deducible 93'!AD259</f>
        <v>5755883.3230504543</v>
      </c>
      <c r="E240" s="25">
        <f>+'Deducible 151'!AD259</f>
        <v>5578574.3568098331</v>
      </c>
      <c r="F240" s="25">
        <f>+'Deducible 185'!AD259</f>
        <v>5755883.3230504543</v>
      </c>
      <c r="H240" s="24">
        <f t="shared" si="42"/>
        <v>236</v>
      </c>
      <c r="I240" s="25">
        <f>+'No Deducible 93'!Y259</f>
        <v>5066138.0963803772</v>
      </c>
      <c r="J240" s="25">
        <f>+'Deducible 151'!Y259</f>
        <v>4948720.2260691542</v>
      </c>
      <c r="K240" s="25">
        <f>+'Deducible 185'!Y259</f>
        <v>5066138.0963803772</v>
      </c>
      <c r="O240" s="13"/>
      <c r="P240" s="13"/>
      <c r="Q240" s="13"/>
      <c r="Z240" s="18"/>
      <c r="AA240" s="17"/>
    </row>
    <row r="241" spans="1:36">
      <c r="A241" s="27">
        <f t="shared" si="40"/>
        <v>19.75</v>
      </c>
      <c r="B241" s="28">
        <f>'OptiMaxx plus'!$T$7+A241</f>
        <v>48.75</v>
      </c>
      <c r="C241" s="24">
        <f t="shared" si="41"/>
        <v>237</v>
      </c>
      <c r="D241" s="25">
        <f>+'No Deducible 93'!AD260</f>
        <v>5799446.1645076536</v>
      </c>
      <c r="E241" s="25">
        <f>+'Deducible 151'!AD260</f>
        <v>5620007.5922913328</v>
      </c>
      <c r="F241" s="25">
        <f>+'Deducible 185'!AD260</f>
        <v>5799446.1645076536</v>
      </c>
      <c r="H241" s="24">
        <f t="shared" si="42"/>
        <v>237</v>
      </c>
      <c r="I241" s="25">
        <f>+'No Deducible 93'!Y260</f>
        <v>5111338.7765558148</v>
      </c>
      <c r="J241" s="25">
        <f>+'Deducible 151'!Y260</f>
        <v>4992277.761273602</v>
      </c>
      <c r="K241" s="25">
        <f>+'Deducible 185'!Y260</f>
        <v>5111338.7765558148</v>
      </c>
      <c r="O241" s="13"/>
      <c r="P241" s="13"/>
      <c r="Q241" s="13"/>
      <c r="Z241" s="18"/>
      <c r="AA241" s="17"/>
    </row>
    <row r="242" spans="1:36">
      <c r="A242" s="27">
        <f t="shared" si="40"/>
        <v>19.833333333333332</v>
      </c>
      <c r="B242" s="28">
        <f>'OptiMaxx plus'!$T$7+A242</f>
        <v>48.833333333333329</v>
      </c>
      <c r="C242" s="24">
        <f t="shared" si="41"/>
        <v>238</v>
      </c>
      <c r="D242" s="25">
        <f>+'No Deducible 93'!AD261</f>
        <v>5849564.5125275319</v>
      </c>
      <c r="E242" s="25">
        <f>+'Deducible 151'!AD261</f>
        <v>5667982.6296528149</v>
      </c>
      <c r="F242" s="25">
        <f>+'Deducible 185'!AD261</f>
        <v>5849564.5125275319</v>
      </c>
      <c r="H242" s="24">
        <f t="shared" si="42"/>
        <v>238</v>
      </c>
      <c r="I242" s="25">
        <f>+'No Deducible 93'!Y261</f>
        <v>5156854.3321857061</v>
      </c>
      <c r="J242" s="25">
        <f>+'Deducible 151'!Y261</f>
        <v>5036131.700732342</v>
      </c>
      <c r="K242" s="25">
        <f>+'Deducible 185'!Y261</f>
        <v>5156854.3321857061</v>
      </c>
      <c r="O242" s="13"/>
      <c r="P242" s="13"/>
      <c r="Q242" s="13"/>
      <c r="Z242" s="18"/>
      <c r="AA242" s="17"/>
    </row>
    <row r="243" spans="1:36">
      <c r="A243" s="27">
        <f t="shared" si="40"/>
        <v>19.916666666666668</v>
      </c>
      <c r="B243" s="28">
        <f>'OptiMaxx plus'!$T$7+A243</f>
        <v>48.916666666666671</v>
      </c>
      <c r="C243" s="24">
        <f t="shared" si="41"/>
        <v>239</v>
      </c>
      <c r="D243" s="25">
        <f>+'No Deducible 93'!AD262</f>
        <v>5900030.8110674908</v>
      </c>
      <c r="E243" s="25">
        <f>+'Deducible 151'!AD262</f>
        <v>5716283.1985534141</v>
      </c>
      <c r="F243" s="25">
        <f>+'Deducible 185'!AD262</f>
        <v>5900030.8110674908</v>
      </c>
      <c r="H243" s="24">
        <f t="shared" si="42"/>
        <v>239</v>
      </c>
      <c r="I243" s="25">
        <f>+'No Deducible 93'!Y262</f>
        <v>5202686.9567448273</v>
      </c>
      <c r="J243" s="25">
        <f>+'Deducible 151'!Y262</f>
        <v>5080284.0614438476</v>
      </c>
      <c r="K243" s="25">
        <f>+'Deducible 185'!Y262</f>
        <v>5202686.9567448273</v>
      </c>
      <c r="O243" s="13"/>
      <c r="P243" s="13"/>
      <c r="Q243" s="13"/>
      <c r="Z243" s="18"/>
      <c r="AA243" s="17"/>
    </row>
    <row r="244" spans="1:36" s="93" customFormat="1">
      <c r="A244" s="56">
        <f t="shared" si="40"/>
        <v>20</v>
      </c>
      <c r="B244" s="314">
        <f>'OptiMaxx plus'!$T$7+A244</f>
        <v>49</v>
      </c>
      <c r="C244" s="315">
        <f t="shared" si="41"/>
        <v>240</v>
      </c>
      <c r="D244" s="316">
        <f>+'No Deducible 93'!AD263</f>
        <v>5944527.1147117335</v>
      </c>
      <c r="E244" s="316">
        <f>+'Deducible 151'!AD263</f>
        <v>5758590.9405696746</v>
      </c>
      <c r="F244" s="316">
        <f>+'Deducible 185'!AD263</f>
        <v>5944527.1147117335</v>
      </c>
      <c r="H244" s="315">
        <f t="shared" si="42"/>
        <v>240</v>
      </c>
      <c r="I244" s="316">
        <f>+'No Deducible 93'!Y263</f>
        <v>5248838.8589880653</v>
      </c>
      <c r="J244" s="316">
        <f>+'Deducible 151'!Y263</f>
        <v>5124736.8741320455</v>
      </c>
      <c r="K244" s="316">
        <f>+'Deducible 185'!Y263</f>
        <v>5248838.8589880653</v>
      </c>
      <c r="O244" s="317"/>
      <c r="P244" s="317"/>
      <c r="Q244" s="317"/>
      <c r="Z244" s="318"/>
      <c r="AA244" s="319"/>
      <c r="AI244" s="320"/>
      <c r="AJ244" s="320"/>
    </row>
    <row r="245" spans="1:36">
      <c r="A245" s="27">
        <f t="shared" si="40"/>
        <v>20.083333333333332</v>
      </c>
      <c r="B245" s="28">
        <f>'OptiMaxx plus'!$T$7+A245</f>
        <v>49.083333333333329</v>
      </c>
      <c r="C245" s="24">
        <f t="shared" si="41"/>
        <v>241</v>
      </c>
      <c r="D245" s="25">
        <f>+'No Deducible 93'!AD264</f>
        <v>5995647.880336768</v>
      </c>
      <c r="E245" s="25">
        <f>+'Deducible 151'!AD264</f>
        <v>5807500.1460828856</v>
      </c>
      <c r="F245" s="25">
        <f>+'Deducible 185'!AD264</f>
        <v>5995647.880336768</v>
      </c>
      <c r="H245" s="24">
        <f t="shared" si="42"/>
        <v>241</v>
      </c>
      <c r="I245" s="25">
        <f>+'No Deducible 93'!Y264</f>
        <v>5295305.841380571</v>
      </c>
      <c r="J245" s="25">
        <f>+'Deducible 151'!Y264</f>
        <v>5169484.7428362267</v>
      </c>
      <c r="K245" s="25">
        <f>+'Deducible 185'!Y264</f>
        <v>5295305.841380571</v>
      </c>
      <c r="O245" s="13"/>
      <c r="P245" s="13"/>
      <c r="Q245" s="13"/>
      <c r="Z245" s="18"/>
      <c r="AA245" s="17"/>
    </row>
    <row r="246" spans="1:36">
      <c r="A246" s="27">
        <f t="shared" si="40"/>
        <v>20.166666666666668</v>
      </c>
      <c r="B246" s="28">
        <f>'OptiMaxx plus'!$T$7+A246</f>
        <v>49.166666666666671</v>
      </c>
      <c r="C246" s="24">
        <f t="shared" si="41"/>
        <v>242</v>
      </c>
      <c r="D246" s="25">
        <f>+'No Deducible 93'!AD265</f>
        <v>6047123.5682131927</v>
      </c>
      <c r="E246" s="25">
        <f>+'Deducible 151'!AD265</f>
        <v>5856741.2311447216</v>
      </c>
      <c r="F246" s="25">
        <f>+'Deducible 185'!AD265</f>
        <v>6047123.5682131927</v>
      </c>
      <c r="H246" s="24">
        <f t="shared" si="42"/>
        <v>242</v>
      </c>
      <c r="I246" s="25">
        <f>+'No Deducible 93'!Y265</f>
        <v>5342096.5204993458</v>
      </c>
      <c r="J246" s="25">
        <f>+'Deducible 151'!Y265</f>
        <v>5214537.1158837369</v>
      </c>
      <c r="K246" s="25">
        <f>+'Deducible 185'!Y265</f>
        <v>5342096.5204993458</v>
      </c>
      <c r="O246" s="13"/>
      <c r="P246" s="13"/>
      <c r="Q246" s="13"/>
      <c r="Z246" s="18"/>
      <c r="AA246" s="17"/>
    </row>
    <row r="247" spans="1:36">
      <c r="A247" s="27">
        <f t="shared" si="40"/>
        <v>20.25</v>
      </c>
      <c r="B247" s="28">
        <f>'OptiMaxx plus'!$T$7+A247</f>
        <v>49.25</v>
      </c>
      <c r="C247" s="24">
        <f t="shared" si="41"/>
        <v>243</v>
      </c>
      <c r="D247" s="25">
        <f>+'No Deducible 93'!AD266</f>
        <v>6092566.6457623364</v>
      </c>
      <c r="E247" s="25">
        <f>+'Deducible 151'!AD266</f>
        <v>5899934.1358775869</v>
      </c>
      <c r="F247" s="25">
        <f>+'Deducible 185'!AD266</f>
        <v>6092566.6457623364</v>
      </c>
      <c r="H247" s="24">
        <f t="shared" si="42"/>
        <v>243</v>
      </c>
      <c r="I247" s="25">
        <f>+'No Deducible 93'!Y266</f>
        <v>5389213.1512696128</v>
      </c>
      <c r="J247" s="25">
        <f>+'Deducible 151'!Y266</f>
        <v>5259896.0653932672</v>
      </c>
      <c r="K247" s="25">
        <f>+'Deducible 185'!Y266</f>
        <v>5389213.1512696128</v>
      </c>
      <c r="O247" s="13"/>
      <c r="P247" s="13"/>
      <c r="Q247" s="13"/>
      <c r="Z247" s="18"/>
      <c r="AA247" s="17"/>
    </row>
    <row r="248" spans="1:36">
      <c r="A248" s="27">
        <f t="shared" si="40"/>
        <v>20.333333333333332</v>
      </c>
      <c r="B248" s="28">
        <f>'OptiMaxx plus'!$T$7+A248</f>
        <v>49.333333333333329</v>
      </c>
      <c r="C248" s="24">
        <f t="shared" si="41"/>
        <v>244</v>
      </c>
      <c r="D248" s="25">
        <f>+'No Deducible 93'!AD267</f>
        <v>6144716.8432872714</v>
      </c>
      <c r="E248" s="25">
        <f>+'Deducible 151'!AD267</f>
        <v>5949803.7168071382</v>
      </c>
      <c r="F248" s="25">
        <f>+'Deducible 185'!AD267</f>
        <v>6144716.8432872714</v>
      </c>
      <c r="H248" s="24">
        <f t="shared" si="42"/>
        <v>244</v>
      </c>
      <c r="I248" s="25">
        <f>+'No Deducible 93'!Y267</f>
        <v>5436658.0043247789</v>
      </c>
      <c r="J248" s="25">
        <f>+'Deducible 151'!Y267</f>
        <v>5305563.6775840484</v>
      </c>
      <c r="K248" s="25">
        <f>+'Deducible 185'!Y267</f>
        <v>5436658.0043247789</v>
      </c>
      <c r="O248" s="13"/>
      <c r="P248" s="13"/>
      <c r="Q248" s="13"/>
      <c r="Z248" s="18"/>
      <c r="AA248" s="17"/>
    </row>
    <row r="249" spans="1:36">
      <c r="A249" s="27">
        <f t="shared" si="40"/>
        <v>20.416666666666668</v>
      </c>
      <c r="B249" s="28">
        <f>'OptiMaxx plus'!$T$7+A249</f>
        <v>49.416666666666671</v>
      </c>
      <c r="C249" s="24">
        <f t="shared" si="41"/>
        <v>245</v>
      </c>
      <c r="D249" s="25">
        <f>+'No Deducible 93'!AD268</f>
        <v>6197229.122873419</v>
      </c>
      <c r="E249" s="25">
        <f>+'Deducible 151'!AD268</f>
        <v>6000011.7035474749</v>
      </c>
      <c r="F249" s="25">
        <f>+'Deducible 185'!AD268</f>
        <v>6197229.122873419</v>
      </c>
      <c r="H249" s="24">
        <f t="shared" si="42"/>
        <v>245</v>
      </c>
      <c r="I249" s="25">
        <f>+'No Deducible 93'!Y268</f>
        <v>5484433.3661158588</v>
      </c>
      <c r="J249" s="25">
        <f>+'Deducible 151'!Y268</f>
        <v>5351542.0528718056</v>
      </c>
      <c r="K249" s="25">
        <f>+'Deducible 185'!Y268</f>
        <v>5484433.3661158588</v>
      </c>
      <c r="O249" s="13"/>
      <c r="P249" s="13"/>
      <c r="Q249" s="13"/>
      <c r="Z249" s="18"/>
      <c r="AA249" s="17"/>
    </row>
    <row r="250" spans="1:36">
      <c r="A250" s="27">
        <f t="shared" si="40"/>
        <v>20.5</v>
      </c>
      <c r="B250" s="28">
        <f>'OptiMaxx plus'!$T$7+A250</f>
        <v>49.5</v>
      </c>
      <c r="C250" s="24">
        <f t="shared" si="41"/>
        <v>246</v>
      </c>
      <c r="D250" s="25">
        <f>+'No Deducible 93'!AD269</f>
        <v>6243645.5910366727</v>
      </c>
      <c r="E250" s="25">
        <f>+'Deducible 151'!AD269</f>
        <v>6044115.7326162895</v>
      </c>
      <c r="F250" s="25">
        <f>+'Deducible 185'!AD269</f>
        <v>6243645.5910366727</v>
      </c>
      <c r="H250" s="24">
        <f t="shared" si="42"/>
        <v>246</v>
      </c>
      <c r="I250" s="25">
        <f>+'No Deducible 93'!Y269</f>
        <v>5532541.5390216671</v>
      </c>
      <c r="J250" s="25">
        <f>+'Deducible 151'!Y269</f>
        <v>5397833.3059653621</v>
      </c>
      <c r="K250" s="25">
        <f>+'Deducible 185'!Y269</f>
        <v>5532541.5390216671</v>
      </c>
      <c r="O250" s="13"/>
      <c r="P250" s="13"/>
      <c r="Q250" s="13"/>
      <c r="Z250" s="18"/>
      <c r="AA250" s="17"/>
    </row>
    <row r="251" spans="1:36">
      <c r="A251" s="27">
        <f t="shared" si="40"/>
        <v>20.583333333333332</v>
      </c>
      <c r="B251" s="28">
        <f>'OptiMaxx plus'!$T$7+A251</f>
        <v>49.583333333333329</v>
      </c>
      <c r="C251" s="24">
        <f t="shared" si="41"/>
        <v>247</v>
      </c>
      <c r="D251" s="25">
        <f>+'No Deducible 93'!AD270</f>
        <v>6296846.3760132445</v>
      </c>
      <c r="E251" s="25">
        <f>+'Deducible 151'!AD270</f>
        <v>6094964.9901467692</v>
      </c>
      <c r="F251" s="25">
        <f>+'Deducible 185'!AD270</f>
        <v>6296846.3760132445</v>
      </c>
      <c r="H251" s="24">
        <f t="shared" si="42"/>
        <v>247</v>
      </c>
      <c r="I251" s="25">
        <f>+'No Deducible 93'!Y270</f>
        <v>5580984.8414597725</v>
      </c>
      <c r="J251" s="25">
        <f>+'Deducible 151'!Y270</f>
        <v>5444439.5659639025</v>
      </c>
      <c r="K251" s="25">
        <f>+'Deducible 185'!Y270</f>
        <v>5580984.8414597725</v>
      </c>
      <c r="O251" s="13"/>
      <c r="P251" s="13"/>
      <c r="Q251" s="13"/>
      <c r="Z251" s="18"/>
      <c r="AA251" s="17"/>
    </row>
    <row r="252" spans="1:36">
      <c r="A252" s="27">
        <f t="shared" si="40"/>
        <v>20.666666666666668</v>
      </c>
      <c r="B252" s="28">
        <f>'OptiMaxx plus'!$T$7+A252</f>
        <v>49.666666666666671</v>
      </c>
      <c r="C252" s="24">
        <f t="shared" si="41"/>
        <v>248</v>
      </c>
      <c r="D252" s="25">
        <f>+'No Deducible 93'!AD271</f>
        <v>6350416.5501253586</v>
      </c>
      <c r="E252" s="25">
        <f>+'Deducible 151'!AD271</f>
        <v>6146159.3110069148</v>
      </c>
      <c r="F252" s="25">
        <f>+'Deducible 185'!AD271</f>
        <v>6350416.5501253586</v>
      </c>
      <c r="H252" s="24">
        <f t="shared" si="42"/>
        <v>248</v>
      </c>
      <c r="I252" s="25">
        <f>+'No Deducible 93'!Y271</f>
        <v>5629765.607998224</v>
      </c>
      <c r="J252" s="25">
        <f>+'Deducible 151'!Y271</f>
        <v>5491362.9764548987</v>
      </c>
      <c r="K252" s="25">
        <f>+'Deducible 185'!Y271</f>
        <v>5629765.607998224</v>
      </c>
      <c r="O252" s="13"/>
      <c r="P252" s="13"/>
      <c r="Q252" s="13"/>
      <c r="Z252" s="18"/>
      <c r="AA252" s="17"/>
    </row>
    <row r="253" spans="1:36">
      <c r="A253" s="27">
        <f t="shared" si="40"/>
        <v>20.75</v>
      </c>
      <c r="B253" s="28">
        <f>'OptiMaxx plus'!$T$7+A253</f>
        <v>49.75</v>
      </c>
      <c r="C253" s="24">
        <f t="shared" si="41"/>
        <v>249</v>
      </c>
      <c r="D253" s="25">
        <f>+'No Deducible 93'!AD272</f>
        <v>6397827.0762498258</v>
      </c>
      <c r="E253" s="25">
        <f>+'Deducible 151'!AD272</f>
        <v>6191193.4197414778</v>
      </c>
      <c r="F253" s="25">
        <f>+'Deducible 185'!AD272</f>
        <v>6397827.0762498258</v>
      </c>
      <c r="H253" s="24">
        <f t="shared" si="42"/>
        <v>249</v>
      </c>
      <c r="I253" s="25">
        <f>+'No Deducible 93'!Y272</f>
        <v>5678886.1894680616</v>
      </c>
      <c r="J253" s="25">
        <f>+'Deducible 151'!Y272</f>
        <v>5538605.6956127007</v>
      </c>
      <c r="K253" s="25">
        <f>+'Deducible 185'!Y272</f>
        <v>5678886.1894680616</v>
      </c>
      <c r="O253" s="13"/>
      <c r="P253" s="13"/>
      <c r="Q253" s="13"/>
      <c r="Z253" s="18"/>
      <c r="AA253" s="17"/>
    </row>
    <row r="254" spans="1:36">
      <c r="A254" s="27">
        <f t="shared" si="40"/>
        <v>20.833333333333332</v>
      </c>
      <c r="B254" s="28">
        <f>'OptiMaxx plus'!$T$7+A254</f>
        <v>49.833333333333329</v>
      </c>
      <c r="C254" s="24">
        <f t="shared" si="41"/>
        <v>250</v>
      </c>
      <c r="D254" s="25">
        <f>+'No Deducible 93'!AD273</f>
        <v>6452100.0438069543</v>
      </c>
      <c r="E254" s="25">
        <f>+'Deducible 151'!AD273</f>
        <v>6243042.0474926177</v>
      </c>
      <c r="F254" s="25">
        <f>+'Deducible 185'!AD273</f>
        <v>6452100.0438069543</v>
      </c>
      <c r="H254" s="24">
        <f t="shared" si="42"/>
        <v>250</v>
      </c>
      <c r="I254" s="25">
        <f>+'No Deducible 93'!Y273</f>
        <v>5728348.9530766048</v>
      </c>
      <c r="J254" s="25">
        <f>+'Deducible 151'!Y273</f>
        <v>5586169.8962977985</v>
      </c>
      <c r="K254" s="25">
        <f>+'Deducible 185'!Y273</f>
        <v>5728348.9530766048</v>
      </c>
      <c r="O254" s="13"/>
      <c r="P254" s="13"/>
      <c r="Q254" s="13"/>
      <c r="Z254" s="18"/>
      <c r="AA254" s="17"/>
    </row>
    <row r="255" spans="1:36">
      <c r="A255" s="27">
        <f t="shared" si="40"/>
        <v>20.916666666666668</v>
      </c>
      <c r="B255" s="28">
        <f>'OptiMaxx plus'!$T$7+A255</f>
        <v>49.916666666666671</v>
      </c>
      <c r="C255" s="24">
        <f t="shared" si="41"/>
        <v>251</v>
      </c>
      <c r="D255" s="25">
        <f>+'No Deducible 93'!AD274</f>
        <v>6506749.857899596</v>
      </c>
      <c r="E255" s="25">
        <f>+'Deducible 151'!AD274</f>
        <v>6295242.5300186882</v>
      </c>
      <c r="F255" s="25">
        <f>+'Deducible 185'!AD274</f>
        <v>6506749.857899596</v>
      </c>
      <c r="H255" s="24">
        <f t="shared" si="42"/>
        <v>251</v>
      </c>
      <c r="I255" s="25">
        <f>+'No Deducible 93'!Y274</f>
        <v>5778156.2825215328</v>
      </c>
      <c r="J255" s="25">
        <f>+'Deducible 151'!Y274</f>
        <v>5634057.7661567591</v>
      </c>
      <c r="K255" s="25">
        <f>+'Deducible 185'!Y274</f>
        <v>5778156.2825215328</v>
      </c>
      <c r="O255" s="13"/>
      <c r="P255" s="13"/>
      <c r="Q255" s="13"/>
      <c r="Z255" s="18"/>
      <c r="AA255" s="17"/>
    </row>
    <row r="256" spans="1:36">
      <c r="A256" s="27">
        <f t="shared" si="40"/>
        <v>21</v>
      </c>
      <c r="B256" s="28">
        <f>'OptiMaxx plus'!$T$7+A256</f>
        <v>50</v>
      </c>
      <c r="C256" s="24">
        <f t="shared" si="41"/>
        <v>252</v>
      </c>
      <c r="D256" s="25">
        <f>+'No Deducible 93'!AD275</f>
        <v>6555175.5462477515</v>
      </c>
      <c r="E256" s="25">
        <f>+'Deducible 151'!AD275</f>
        <v>6341226.0655859085</v>
      </c>
      <c r="F256" s="25">
        <f>+'Deducible 185'!AD275</f>
        <v>6555175.5462477515</v>
      </c>
      <c r="H256" s="24">
        <f t="shared" si="42"/>
        <v>252</v>
      </c>
      <c r="I256" s="25">
        <f>+'No Deducible 93'!Y275</f>
        <v>5828310.5781057589</v>
      </c>
      <c r="J256" s="25">
        <f>+'Deducible 151'!Y275</f>
        <v>5682271.5077228444</v>
      </c>
      <c r="K256" s="25">
        <f>+'Deducible 185'!Y275</f>
        <v>5828310.5781057589</v>
      </c>
      <c r="O256" s="13"/>
      <c r="P256" s="13"/>
      <c r="Q256" s="13"/>
      <c r="Z256" s="18"/>
      <c r="AA256" s="17"/>
    </row>
    <row r="257" spans="1:27">
      <c r="A257" s="27">
        <f t="shared" si="40"/>
        <v>21.083333333333332</v>
      </c>
      <c r="B257" s="28">
        <f>'OptiMaxx plus'!$T$7+A257</f>
        <v>50.083333333333329</v>
      </c>
      <c r="C257" s="24">
        <f t="shared" si="41"/>
        <v>253</v>
      </c>
      <c r="D257" s="25">
        <f>+'No Deducible 93'!AD276</f>
        <v>6610536.0617358936</v>
      </c>
      <c r="E257" s="25">
        <f>+'Deducible 151'!AD276</f>
        <v>6394086.4195132302</v>
      </c>
      <c r="F257" s="25">
        <f>+'Deducible 185'!AD276</f>
        <v>6610536.0617358936</v>
      </c>
      <c r="H257" s="24">
        <f t="shared" si="42"/>
        <v>253</v>
      </c>
      <c r="I257" s="25">
        <f>+'No Deducible 93'!Y276</f>
        <v>5878807.5783097669</v>
      </c>
      <c r="J257" s="25">
        <f>+'Deducible 151'!Y276</f>
        <v>5730805.6003936874</v>
      </c>
      <c r="K257" s="25">
        <f>+'Deducible 185'!Y276</f>
        <v>5878807.5783097669</v>
      </c>
      <c r="O257" s="13"/>
      <c r="P257" s="13"/>
      <c r="Q257" s="13"/>
      <c r="Z257" s="18"/>
      <c r="AA257" s="17"/>
    </row>
    <row r="258" spans="1:27">
      <c r="A258" s="27">
        <f t="shared" si="40"/>
        <v>21.166666666666668</v>
      </c>
      <c r="B258" s="28">
        <f>'OptiMaxx plus'!$T$7+A258</f>
        <v>50.166666666666671</v>
      </c>
      <c r="C258" s="24">
        <f t="shared" si="41"/>
        <v>254</v>
      </c>
      <c r="D258" s="25">
        <f>+'No Deducible 93'!AD277</f>
        <v>6666280.9880864387</v>
      </c>
      <c r="E258" s="25">
        <f>+'Deducible 151'!AD277</f>
        <v>6447305.503654304</v>
      </c>
      <c r="F258" s="25">
        <f>+'Deducible 185'!AD277</f>
        <v>6666280.9880864387</v>
      </c>
      <c r="H258" s="24">
        <f t="shared" si="42"/>
        <v>254</v>
      </c>
      <c r="I258" s="25">
        <f>+'No Deducible 93'!Y277</f>
        <v>5929656.3490142655</v>
      </c>
      <c r="J258" s="25">
        <f>+'Deducible 151'!Y277</f>
        <v>5779669.9622470811</v>
      </c>
      <c r="K258" s="25">
        <f>+'Deducible 185'!Y277</f>
        <v>5929656.3490142655</v>
      </c>
      <c r="O258" s="13"/>
      <c r="P258" s="13"/>
      <c r="Q258" s="13"/>
      <c r="Z258" s="18"/>
      <c r="AA258" s="17"/>
    </row>
    <row r="259" spans="1:27">
      <c r="A259" s="27">
        <f t="shared" si="40"/>
        <v>21.25</v>
      </c>
      <c r="B259" s="28">
        <f>'OptiMaxx plus'!$T$7+A259</f>
        <v>50.25</v>
      </c>
      <c r="C259" s="24">
        <f t="shared" si="41"/>
        <v>255</v>
      </c>
      <c r="D259" s="25">
        <f>+'No Deducible 93'!AD278</f>
        <v>6715736.6171373874</v>
      </c>
      <c r="E259" s="25">
        <f>+'Deducible 151'!AD278</f>
        <v>6494250.3693376835</v>
      </c>
      <c r="F259" s="25">
        <f>+'Deducible 185'!AD278</f>
        <v>6715736.6171373874</v>
      </c>
      <c r="H259" s="24">
        <f t="shared" si="42"/>
        <v>255</v>
      </c>
      <c r="I259" s="25">
        <f>+'No Deducible 93'!Y278</f>
        <v>5980859.3407110553</v>
      </c>
      <c r="J259" s="25">
        <f>+'Deducible 151'!Y278</f>
        <v>5828866.8407286247</v>
      </c>
      <c r="K259" s="25">
        <f>+'Deducible 185'!Y278</f>
        <v>5980859.3407110553</v>
      </c>
      <c r="O259" s="13"/>
      <c r="P259" s="13"/>
      <c r="Q259" s="13"/>
      <c r="Z259" s="18"/>
      <c r="AA259" s="17"/>
    </row>
    <row r="260" spans="1:27">
      <c r="A260" s="27">
        <f t="shared" si="40"/>
        <v>21.333333333333332</v>
      </c>
      <c r="B260" s="28">
        <f>'OptiMaxx plus'!$T$7+A260</f>
        <v>50.333333333333329</v>
      </c>
      <c r="C260" s="24">
        <f t="shared" si="41"/>
        <v>256</v>
      </c>
      <c r="D260" s="25">
        <f>+'No Deducible 93'!AD279</f>
        <v>6772213.7205928145</v>
      </c>
      <c r="E260" s="25">
        <f>+'Deducible 151'!AD279</f>
        <v>6548150.5312435143</v>
      </c>
      <c r="F260" s="25">
        <f>+'Deducible 185'!AD279</f>
        <v>6772213.7205928145</v>
      </c>
      <c r="H260" s="24">
        <f t="shared" si="42"/>
        <v>256</v>
      </c>
      <c r="I260" s="25">
        <f>+'No Deducible 93'!Y279</f>
        <v>6032419.020962473</v>
      </c>
      <c r="J260" s="25">
        <f>+'Deducible 151'!Y279</f>
        <v>5878398.4985775361</v>
      </c>
      <c r="K260" s="25">
        <f>+'Deducible 185'!Y279</f>
        <v>6032419.020962473</v>
      </c>
      <c r="O260" s="13"/>
      <c r="P260" s="13"/>
      <c r="Q260" s="13"/>
      <c r="Z260" s="18"/>
      <c r="AA260" s="17"/>
    </row>
    <row r="261" spans="1:27">
      <c r="A261" s="27">
        <f t="shared" si="40"/>
        <v>21.416666666666668</v>
      </c>
      <c r="B261" s="28">
        <f>'OptiMaxx plus'!$T$7+A261</f>
        <v>50.416666666666671</v>
      </c>
      <c r="C261" s="24">
        <f t="shared" si="41"/>
        <v>257</v>
      </c>
      <c r="D261" s="25">
        <f>+'No Deducible 93'!AD280</f>
        <v>6829083.0014235368</v>
      </c>
      <c r="E261" s="25">
        <f>+'Deducible 151'!AD280</f>
        <v>6602416.4898073059</v>
      </c>
      <c r="F261" s="25">
        <f>+'Deducible 185'!AD280</f>
        <v>6829083.0014235368</v>
      </c>
      <c r="H261" s="24">
        <f t="shared" si="42"/>
        <v>257</v>
      </c>
      <c r="I261" s="25">
        <f>+'No Deducible 93'!Y280</f>
        <v>6084337.8745203028</v>
      </c>
      <c r="J261" s="25">
        <f>+'Deducible 151'!Y280</f>
        <v>5928267.2139307279</v>
      </c>
      <c r="K261" s="25">
        <f>+'Deducible 185'!Y280</f>
        <v>6084337.8745203028</v>
      </c>
      <c r="O261" s="13"/>
      <c r="P261" s="13"/>
      <c r="Q261" s="13"/>
      <c r="Z261" s="18"/>
      <c r="AA261" s="17"/>
    </row>
    <row r="262" spans="1:27">
      <c r="A262" s="27">
        <f t="shared" ref="A262:A325" si="43">+C262/12</f>
        <v>21.5</v>
      </c>
      <c r="B262" s="28">
        <f>'OptiMaxx plus'!$T$7+A262</f>
        <v>50.5</v>
      </c>
      <c r="C262" s="24">
        <f t="shared" si="41"/>
        <v>258</v>
      </c>
      <c r="D262" s="25">
        <f>+'No Deducible 93'!AD281</f>
        <v>6879597.2065179124</v>
      </c>
      <c r="E262" s="25">
        <f>+'Deducible 151'!AD281</f>
        <v>6650350.5234164512</v>
      </c>
      <c r="F262" s="25">
        <f>+'Deducible 185'!AD281</f>
        <v>6879597.2065179124</v>
      </c>
      <c r="H262" s="24">
        <f t="shared" si="42"/>
        <v>258</v>
      </c>
      <c r="I262" s="25">
        <f>+'No Deducible 93'!Y281</f>
        <v>6136618.4034455232</v>
      </c>
      <c r="J262" s="25">
        <f>+'Deducible 151'!Y281</f>
        <v>5978475.2804275835</v>
      </c>
      <c r="K262" s="25">
        <f>+'Deducible 185'!Y281</f>
        <v>6136618.4034455232</v>
      </c>
      <c r="O262" s="13"/>
      <c r="P262" s="13"/>
      <c r="Q262" s="13"/>
      <c r="Z262" s="18"/>
      <c r="AA262" s="17"/>
    </row>
    <row r="263" spans="1:27">
      <c r="A263" s="27">
        <f t="shared" si="43"/>
        <v>21.583333333333332</v>
      </c>
      <c r="B263" s="28">
        <f>'OptiMaxx plus'!$T$7+A263</f>
        <v>50.583333333333329</v>
      </c>
      <c r="C263" s="24">
        <f t="shared" ref="C263:C326" si="44">+C262+1</f>
        <v>259</v>
      </c>
      <c r="D263" s="25">
        <f>+'No Deducible 93'!AD282</f>
        <v>6937213.8647441342</v>
      </c>
      <c r="E263" s="25">
        <f>+'Deducible 151'!AD282</f>
        <v>6705311.4097639928</v>
      </c>
      <c r="F263" s="25">
        <f>+'Deducible 185'!AD282</f>
        <v>6937213.8647441342</v>
      </c>
      <c r="H263" s="24">
        <f t="shared" ref="H263:H326" si="45">+H262+1</f>
        <v>259</v>
      </c>
      <c r="I263" s="25">
        <f>+'No Deducible 93'!Y282</f>
        <v>6189263.1272288859</v>
      </c>
      <c r="J263" s="25">
        <f>+'Deducible 151'!Y282</f>
        <v>6029025.0073154522</v>
      </c>
      <c r="K263" s="25">
        <f>+'Deducible 185'!Y282</f>
        <v>6189263.1272288859</v>
      </c>
      <c r="O263" s="13"/>
      <c r="P263" s="13"/>
      <c r="Q263" s="13"/>
      <c r="Z263" s="18"/>
      <c r="AA263" s="17"/>
    </row>
    <row r="264" spans="1:27">
      <c r="A264" s="27">
        <f t="shared" si="43"/>
        <v>21.666666666666668</v>
      </c>
      <c r="B264" s="28">
        <f>'OptiMaxx plus'!$T$7+A264</f>
        <v>50.666666666666671</v>
      </c>
      <c r="C264" s="24">
        <f t="shared" si="44"/>
        <v>260</v>
      </c>
      <c r="D264" s="25">
        <f>+'No Deducible 93'!AD283</f>
        <v>6995230.6267363308</v>
      </c>
      <c r="E264" s="25">
        <f>+'Deducible 151'!AD283</f>
        <v>6760645.3014589027</v>
      </c>
      <c r="F264" s="25">
        <f>+'Deducible 185'!AD283</f>
        <v>6995230.6267363308</v>
      </c>
      <c r="H264" s="24">
        <f t="shared" si="45"/>
        <v>260</v>
      </c>
      <c r="I264" s="25">
        <f>+'No Deducible 93'!Y283</f>
        <v>6242274.5829123342</v>
      </c>
      <c r="J264" s="25">
        <f>+'Deducible 151'!Y283</f>
        <v>6079918.7195558585</v>
      </c>
      <c r="K264" s="25">
        <f>+'Deducible 185'!Y283</f>
        <v>6242274.5829123342</v>
      </c>
      <c r="O264" s="13"/>
      <c r="P264" s="13"/>
      <c r="Q264" s="13"/>
      <c r="Z264" s="18"/>
      <c r="AA264" s="17"/>
    </row>
    <row r="265" spans="1:27">
      <c r="A265" s="27">
        <f t="shared" si="43"/>
        <v>21.75</v>
      </c>
      <c r="B265" s="28">
        <f>'OptiMaxx plus'!$T$7+A265</f>
        <v>50.75</v>
      </c>
      <c r="C265" s="24">
        <f t="shared" si="44"/>
        <v>261</v>
      </c>
      <c r="D265" s="25">
        <f>+'No Deducible 93'!AD284</f>
        <v>7046825.8759627678</v>
      </c>
      <c r="E265" s="25">
        <f>+'Deducible 151'!AD284</f>
        <v>6809589.0714801764</v>
      </c>
      <c r="F265" s="25">
        <f>+'Deducible 185'!AD284</f>
        <v>7046825.8759627678</v>
      </c>
      <c r="H265" s="24">
        <f t="shared" si="45"/>
        <v>261</v>
      </c>
      <c r="I265" s="25">
        <f>+'No Deducible 93'!Y284</f>
        <v>6295655.3252112679</v>
      </c>
      <c r="J265" s="25">
        <f>+'Deducible 151'!Y284</f>
        <v>6131158.7579314327</v>
      </c>
      <c r="K265" s="25">
        <f>+'Deducible 185'!Y284</f>
        <v>6295655.3252112679</v>
      </c>
      <c r="O265" s="13"/>
      <c r="P265" s="13"/>
      <c r="Q265" s="13"/>
      <c r="Z265" s="18"/>
      <c r="AA265" s="17"/>
    </row>
    <row r="266" spans="1:27">
      <c r="A266" s="27">
        <f t="shared" si="43"/>
        <v>21.833333333333332</v>
      </c>
      <c r="B266" s="28">
        <f>'OptiMaxx plus'!$T$7+A266</f>
        <v>50.833333333333329</v>
      </c>
      <c r="C266" s="24">
        <f t="shared" si="44"/>
        <v>262</v>
      </c>
      <c r="D266" s="25">
        <f>+'No Deducible 93'!AD285</f>
        <v>7105605.5332011078</v>
      </c>
      <c r="E266" s="25">
        <f>+'Deducible 151'!AD285</f>
        <v>6865632.0241983868</v>
      </c>
      <c r="F266" s="25">
        <f>+'Deducible 185'!AD285</f>
        <v>7105605.5332011078</v>
      </c>
      <c r="H266" s="24">
        <f t="shared" si="45"/>
        <v>262</v>
      </c>
      <c r="I266" s="25">
        <f>+'No Deducible 93'!Y285</f>
        <v>6349407.9266376579</v>
      </c>
      <c r="J266" s="25">
        <f>+'Deducible 151'!Y285</f>
        <v>6182747.4791535772</v>
      </c>
      <c r="K266" s="25">
        <f>+'Deducible 185'!Y285</f>
        <v>6349407.9266376579</v>
      </c>
      <c r="O266" s="13"/>
      <c r="P266" s="13"/>
      <c r="Q266" s="13"/>
      <c r="Z266" s="18"/>
      <c r="AA266" s="17"/>
    </row>
    <row r="267" spans="1:27">
      <c r="A267" s="27">
        <f t="shared" si="43"/>
        <v>21.916666666666668</v>
      </c>
      <c r="B267" s="28">
        <f>'OptiMaxx plus'!$T$7+A267</f>
        <v>50.916666666666671</v>
      </c>
      <c r="C267" s="24">
        <f t="shared" si="44"/>
        <v>263</v>
      </c>
      <c r="D267" s="25">
        <f>+'No Deducible 93'!AD286</f>
        <v>7164793.3837987222</v>
      </c>
      <c r="E267" s="25">
        <f>+'Deducible 151'!AD286</f>
        <v>6922055.3360929694</v>
      </c>
      <c r="F267" s="25">
        <f>+'Deducible 185'!AD286</f>
        <v>7164793.3837987222</v>
      </c>
      <c r="H267" s="24">
        <f t="shared" si="45"/>
        <v>263</v>
      </c>
      <c r="I267" s="25">
        <f>+'No Deducible 93'!Y286</f>
        <v>6403534.9776240224</v>
      </c>
      <c r="J267" s="25">
        <f>+'Deducible 151'!Y286</f>
        <v>6234687.2559708552</v>
      </c>
      <c r="K267" s="25">
        <f>+'Deducible 185'!Y286</f>
        <v>6403534.9776240224</v>
      </c>
      <c r="O267" s="13"/>
      <c r="P267" s="13"/>
      <c r="Q267" s="13"/>
      <c r="Z267" s="18"/>
      <c r="AA267" s="17"/>
    </row>
    <row r="268" spans="1:27">
      <c r="A268" s="27">
        <f t="shared" si="43"/>
        <v>22</v>
      </c>
      <c r="B268" s="28">
        <f>'OptiMaxx plus'!$T$7+A268</f>
        <v>51</v>
      </c>
      <c r="C268" s="24">
        <f t="shared" si="44"/>
        <v>264</v>
      </c>
      <c r="D268" s="25">
        <f>+'No Deducible 93'!AD287</f>
        <v>7217492.6201452101</v>
      </c>
      <c r="E268" s="25">
        <f>+'Deducible 151'!AD287</f>
        <v>6972029.8360950844</v>
      </c>
      <c r="F268" s="25">
        <f>+'Deducible 185'!AD287</f>
        <v>7217492.6201452101</v>
      </c>
      <c r="H268" s="24">
        <f t="shared" si="45"/>
        <v>264</v>
      </c>
      <c r="I268" s="25">
        <f>+'No Deducible 93'!Y287</f>
        <v>6458039.0866482621</v>
      </c>
      <c r="J268" s="25">
        <f>+'Deducible 151'!Y287</f>
        <v>6286980.4772781264</v>
      </c>
      <c r="K268" s="25">
        <f>+'Deducible 185'!Y287</f>
        <v>6458039.0866482621</v>
      </c>
      <c r="O268" s="13"/>
      <c r="P268" s="13"/>
      <c r="Q268" s="13"/>
      <c r="Z268" s="18"/>
      <c r="AA268" s="17"/>
    </row>
    <row r="269" spans="1:27">
      <c r="A269" s="27">
        <f t="shared" si="43"/>
        <v>22.083333333333332</v>
      </c>
      <c r="B269" s="28">
        <f>'OptiMaxx plus'!$T$7+A269</f>
        <v>51.083333333333329</v>
      </c>
      <c r="C269" s="24">
        <f t="shared" si="44"/>
        <v>265</v>
      </c>
      <c r="D269" s="25">
        <f>+'No Deducible 93'!AD288</f>
        <v>7277452.262371283</v>
      </c>
      <c r="E269" s="25">
        <f>+'Deducible 151'!AD288</f>
        <v>7029168.5836316319</v>
      </c>
      <c r="F269" s="25">
        <f>+'Deducible 185'!AD288</f>
        <v>7277452.262371283</v>
      </c>
      <c r="H269" s="24">
        <f t="shared" si="45"/>
        <v>265</v>
      </c>
      <c r="I269" s="25">
        <f>+'No Deducible 93'!Y288</f>
        <v>6512915.9346742965</v>
      </c>
      <c r="J269" s="25">
        <f>+'Deducible 151'!Y288</f>
        <v>6339621.5005778456</v>
      </c>
      <c r="K269" s="25">
        <f>+'Deducible 185'!Y288</f>
        <v>6512915.9346742965</v>
      </c>
      <c r="O269" s="13"/>
      <c r="P269" s="13"/>
      <c r="Q269" s="13"/>
      <c r="Z269" s="18"/>
      <c r="AA269" s="17"/>
    </row>
    <row r="270" spans="1:27">
      <c r="A270" s="27">
        <f t="shared" si="43"/>
        <v>22.166666666666668</v>
      </c>
      <c r="B270" s="28">
        <f>'OptiMaxx plus'!$T$7+A270</f>
        <v>51.166666666666671</v>
      </c>
      <c r="C270" s="24">
        <f t="shared" si="44"/>
        <v>266</v>
      </c>
      <c r="D270" s="25">
        <f>+'No Deducible 93'!AD289</f>
        <v>7337828.3057621131</v>
      </c>
      <c r="E270" s="25">
        <f>+'Deducible 151'!AD289</f>
        <v>7086695.1375033921</v>
      </c>
      <c r="F270" s="25">
        <f>+'Deducible 185'!AD289</f>
        <v>7337828.3057621131</v>
      </c>
      <c r="H270" s="24">
        <f t="shared" si="45"/>
        <v>266</v>
      </c>
      <c r="I270" s="25">
        <f>+'No Deducible 93'!Y289</f>
        <v>6568175.0639490671</v>
      </c>
      <c r="J270" s="25">
        <f>+'Deducible 151'!Y289</f>
        <v>6392620.7402730323</v>
      </c>
      <c r="K270" s="25">
        <f>+'Deducible 185'!Y289</f>
        <v>6568175.0639490671</v>
      </c>
      <c r="O270" s="13"/>
      <c r="P270" s="13"/>
      <c r="Q270" s="13"/>
      <c r="Z270" s="18"/>
      <c r="AA270" s="17"/>
    </row>
    <row r="271" spans="1:27">
      <c r="A271" s="27">
        <f t="shared" si="43"/>
        <v>22.25</v>
      </c>
      <c r="B271" s="28">
        <f>'OptiMaxx plus'!$T$7+A271</f>
        <v>51.25</v>
      </c>
      <c r="C271" s="24">
        <f t="shared" si="44"/>
        <v>267</v>
      </c>
      <c r="D271" s="25">
        <f>+'No Deducible 93'!AD290</f>
        <v>7391647.9143409813</v>
      </c>
      <c r="E271" s="25">
        <f>+'Deducible 151'!AD290</f>
        <v>7137713.6373492433</v>
      </c>
      <c r="F271" s="25">
        <f>+'Deducible 185'!AD290</f>
        <v>7391647.9143409813</v>
      </c>
      <c r="H271" s="24">
        <f t="shared" si="45"/>
        <v>267</v>
      </c>
      <c r="I271" s="25">
        <f>+'No Deducible 93'!Y290</f>
        <v>6623819.1375073232</v>
      </c>
      <c r="J271" s="25">
        <f>+'Deducible 151'!Y290</f>
        <v>6445980.6339870058</v>
      </c>
      <c r="K271" s="25">
        <f>+'Deducible 185'!Y290</f>
        <v>6623819.1375073232</v>
      </c>
      <c r="O271" s="13"/>
      <c r="P271" s="13"/>
      <c r="Q271" s="13"/>
      <c r="Z271" s="18"/>
      <c r="AA271" s="17"/>
    </row>
    <row r="272" spans="1:27">
      <c r="A272" s="27">
        <f t="shared" si="43"/>
        <v>22.333333333333332</v>
      </c>
      <c r="B272" s="28">
        <f>'OptiMaxx plus'!$T$7+A272</f>
        <v>51.333333333333329</v>
      </c>
      <c r="C272" s="24">
        <f t="shared" si="44"/>
        <v>268</v>
      </c>
      <c r="D272" s="25">
        <f>+'No Deducible 93'!AD291</f>
        <v>7452818.770342879</v>
      </c>
      <c r="E272" s="25">
        <f>+'Deducible 151'!AD291</f>
        <v>7195978.2810855601</v>
      </c>
      <c r="F272" s="25">
        <f>+'Deducible 185'!AD291</f>
        <v>7452818.770342879</v>
      </c>
      <c r="H272" s="24">
        <f t="shared" si="45"/>
        <v>268</v>
      </c>
      <c r="I272" s="25">
        <f>+'No Deducible 93'!Y291</f>
        <v>6679850.8369349539</v>
      </c>
      <c r="J272" s="25">
        <f>+'Deducible 151'!Y291</f>
        <v>6499703.6359308464</v>
      </c>
      <c r="K272" s="25">
        <f>+'Deducible 185'!Y291</f>
        <v>6679850.8369349539</v>
      </c>
      <c r="O272" s="13"/>
      <c r="P272" s="13"/>
      <c r="Q272" s="13"/>
      <c r="Z272" s="18"/>
      <c r="AA272" s="17"/>
    </row>
    <row r="273" spans="1:27">
      <c r="A273" s="27">
        <f t="shared" si="43"/>
        <v>22.416666666666668</v>
      </c>
      <c r="B273" s="28">
        <f>'OptiMaxx plus'!$T$7+A273</f>
        <v>51.416666666666671</v>
      </c>
      <c r="C273" s="24">
        <f t="shared" si="44"/>
        <v>269</v>
      </c>
      <c r="D273" s="25">
        <f>+'No Deducible 93'!AD292</f>
        <v>7514414.4527439037</v>
      </c>
      <c r="E273" s="25">
        <f>+'Deducible 151'!AD292</f>
        <v>7254638.3830609173</v>
      </c>
      <c r="F273" s="25">
        <f>+'Deducible 185'!AD292</f>
        <v>7514414.4527439037</v>
      </c>
      <c r="H273" s="24">
        <f t="shared" si="45"/>
        <v>269</v>
      </c>
      <c r="I273" s="25">
        <f>+'No Deducible 93'!Y292</f>
        <v>6736272.8624982238</v>
      </c>
      <c r="J273" s="25">
        <f>+'Deducible 151'!Y292</f>
        <v>6553792.2170162713</v>
      </c>
      <c r="K273" s="25">
        <f>+'Deducible 185'!Y292</f>
        <v>6736272.8624982238</v>
      </c>
      <c r="O273" s="13"/>
      <c r="P273" s="13"/>
      <c r="Q273" s="13"/>
      <c r="Z273" s="18"/>
      <c r="AA273" s="17"/>
    </row>
    <row r="274" spans="1:27">
      <c r="A274" s="27">
        <f t="shared" si="43"/>
        <v>22.5</v>
      </c>
      <c r="B274" s="28">
        <f>'OptiMaxx plus'!$T$7+A274</f>
        <v>51.5</v>
      </c>
      <c r="C274" s="24">
        <f t="shared" si="44"/>
        <v>270</v>
      </c>
      <c r="D274" s="25">
        <f>+'No Deducible 93'!AD293</f>
        <v>7569385.2511832723</v>
      </c>
      <c r="E274" s="25">
        <f>+'Deducible 151'!AD293</f>
        <v>7306730.7428220594</v>
      </c>
      <c r="F274" s="25">
        <f>+'Deducible 185'!AD293</f>
        <v>7569385.2511832723</v>
      </c>
      <c r="H274" s="24">
        <f t="shared" si="45"/>
        <v>270</v>
      </c>
      <c r="I274" s="25">
        <f>+'No Deducible 93'!Y293</f>
        <v>6793087.9332738994</v>
      </c>
      <c r="J274" s="25">
        <f>+'Deducible 151'!Y293</f>
        <v>6608248.8649692805</v>
      </c>
      <c r="K274" s="25">
        <f>+'Deducible 185'!Y293</f>
        <v>6793087.9332738994</v>
      </c>
      <c r="O274" s="13"/>
      <c r="P274" s="13"/>
      <c r="Q274" s="13"/>
      <c r="Z274" s="18"/>
      <c r="AA274" s="17"/>
    </row>
    <row r="275" spans="1:27">
      <c r="A275" s="27">
        <f t="shared" si="43"/>
        <v>22.583333333333332</v>
      </c>
      <c r="B275" s="28">
        <f>'OptiMaxx plus'!$T$7+A275</f>
        <v>51.583333333333329</v>
      </c>
      <c r="C275" s="24">
        <f t="shared" si="44"/>
        <v>271</v>
      </c>
      <c r="D275" s="25">
        <f>+'No Deducible 93'!AD294</f>
        <v>7631792.2551707169</v>
      </c>
      <c r="E275" s="25">
        <f>+'Deducible 151'!AD294</f>
        <v>7366143.950611054</v>
      </c>
      <c r="F275" s="25">
        <f>+'Deducible 185'!AD294</f>
        <v>7631792.2551707169</v>
      </c>
      <c r="H275" s="24">
        <f t="shared" si="45"/>
        <v>271</v>
      </c>
      <c r="I275" s="25">
        <f>+'No Deducible 93'!Y294</f>
        <v>6850298.7872802895</v>
      </c>
      <c r="J275" s="25">
        <f>+'Deducible 151'!Y294</f>
        <v>6663076.0844445778</v>
      </c>
      <c r="K275" s="25">
        <f>+'Deducible 185'!Y294</f>
        <v>6850298.7872802895</v>
      </c>
      <c r="O275" s="13"/>
      <c r="P275" s="13"/>
      <c r="Q275" s="13"/>
      <c r="Z275" s="18"/>
      <c r="AA275" s="17"/>
    </row>
    <row r="276" spans="1:27">
      <c r="A276" s="27">
        <f t="shared" si="43"/>
        <v>22.666666666666668</v>
      </c>
      <c r="B276" s="28">
        <f>'OptiMaxx plus'!$T$7+A276</f>
        <v>51.666666666666671</v>
      </c>
      <c r="C276" s="24">
        <f t="shared" si="44"/>
        <v>272</v>
      </c>
      <c r="D276" s="25">
        <f>+'No Deducible 93'!AD295</f>
        <v>7694632.6843703575</v>
      </c>
      <c r="E276" s="25">
        <f>+'Deducible 151'!AD295</f>
        <v>7425960.4227026822</v>
      </c>
      <c r="F276" s="25">
        <f>+'Deducible 185'!AD295</f>
        <v>7694632.6843703575</v>
      </c>
      <c r="H276" s="24">
        <f t="shared" si="45"/>
        <v>272</v>
      </c>
      <c r="I276" s="25">
        <f>+'No Deducible 93'!Y295</f>
        <v>6907908.1816091938</v>
      </c>
      <c r="J276" s="25">
        <f>+'Deducible 151'!Y295</f>
        <v>6718276.3971407665</v>
      </c>
      <c r="K276" s="25">
        <f>+'Deducible 185'!Y295</f>
        <v>6907908.1816091938</v>
      </c>
      <c r="O276" s="13"/>
      <c r="P276" s="13"/>
      <c r="Q276" s="13"/>
      <c r="Z276" s="18"/>
      <c r="AA276" s="17"/>
    </row>
    <row r="277" spans="1:27">
      <c r="A277" s="27">
        <f t="shared" si="43"/>
        <v>22.75</v>
      </c>
      <c r="B277" s="28">
        <f>'OptiMaxx plus'!$T$7+A277</f>
        <v>51.75</v>
      </c>
      <c r="C277" s="24">
        <f t="shared" si="44"/>
        <v>273</v>
      </c>
      <c r="D277" s="25">
        <f>+'No Deducible 93'!AD296</f>
        <v>7750779.0981861129</v>
      </c>
      <c r="E277" s="25">
        <f>+'Deducible 151'!AD296</f>
        <v>7479148.9610321606</v>
      </c>
      <c r="F277" s="25">
        <f>+'Deducible 185'!AD296</f>
        <v>7750779.0981861129</v>
      </c>
      <c r="H277" s="24">
        <f t="shared" si="45"/>
        <v>273</v>
      </c>
      <c r="I277" s="25">
        <f>+'No Deducible 93'!Y296</f>
        <v>6965918.8925587712</v>
      </c>
      <c r="J277" s="25">
        <f>+'Deducible 151'!Y296</f>
        <v>6773852.3419163339</v>
      </c>
      <c r="K277" s="25">
        <f>+'Deducible 185'!Y296</f>
        <v>6965918.8925587712</v>
      </c>
      <c r="O277" s="13"/>
      <c r="P277" s="13"/>
      <c r="Q277" s="13"/>
      <c r="Z277" s="18"/>
      <c r="AA277" s="17"/>
    </row>
    <row r="278" spans="1:27">
      <c r="A278" s="27">
        <f t="shared" si="43"/>
        <v>22.833333333333332</v>
      </c>
      <c r="B278" s="28">
        <f>'OptiMaxx plus'!$T$7+A278</f>
        <v>51.833333333333329</v>
      </c>
      <c r="C278" s="24">
        <f t="shared" si="44"/>
        <v>274</v>
      </c>
      <c r="D278" s="25">
        <f>+'No Deducible 93'!AD297</f>
        <v>7814447.7029416896</v>
      </c>
      <c r="E278" s="25">
        <f>+'Deducible 151'!AD297</f>
        <v>7539733.8620139956</v>
      </c>
      <c r="F278" s="25">
        <f>+'Deducible 185'!AD297</f>
        <v>7814447.7029416896</v>
      </c>
      <c r="H278" s="24">
        <f t="shared" si="45"/>
        <v>274</v>
      </c>
      <c r="I278" s="25">
        <f>+'No Deducible 93'!Y297</f>
        <v>7024333.715767337</v>
      </c>
      <c r="J278" s="25">
        <f>+'Deducible 151'!Y297</f>
        <v>6829806.4749064213</v>
      </c>
      <c r="K278" s="25">
        <f>+'Deducible 185'!Y297</f>
        <v>7024333.715767337</v>
      </c>
      <c r="O278" s="13"/>
      <c r="P278" s="13"/>
      <c r="Q278" s="13"/>
      <c r="Z278" s="18"/>
      <c r="AA278" s="17"/>
    </row>
    <row r="279" spans="1:27">
      <c r="A279" s="27">
        <f t="shared" si="43"/>
        <v>22.916666666666668</v>
      </c>
      <c r="B279" s="28">
        <f>'OptiMaxx plus'!$T$7+A279</f>
        <v>51.916666666666671</v>
      </c>
      <c r="C279" s="24">
        <f t="shared" si="44"/>
        <v>275</v>
      </c>
      <c r="D279" s="25">
        <f>+'No Deducible 93'!AD298</f>
        <v>7878558.5089125792</v>
      </c>
      <c r="E279" s="25">
        <f>+'Deducible 151'!AD298</f>
        <v>7600729.9906599568</v>
      </c>
      <c r="F279" s="25">
        <f>+'Deducible 185'!AD298</f>
        <v>7878558.5089125792</v>
      </c>
      <c r="H279" s="24">
        <f t="shared" si="45"/>
        <v>275</v>
      </c>
      <c r="I279" s="25">
        <f>+'No Deducible 93'!Y298</f>
        <v>7083155.4663480856</v>
      </c>
      <c r="J279" s="25">
        <f>+'Deducible 151'!Y298</f>
        <v>6886141.3696403885</v>
      </c>
      <c r="K279" s="25">
        <f>+'Deducible 185'!Y298</f>
        <v>7083155.4663480856</v>
      </c>
      <c r="O279" s="13"/>
      <c r="P279" s="13"/>
      <c r="Q279" s="13"/>
      <c r="Z279" s="18"/>
      <c r="AA279" s="17"/>
    </row>
    <row r="280" spans="1:27">
      <c r="A280" s="27">
        <f t="shared" si="43"/>
        <v>23</v>
      </c>
      <c r="B280" s="28">
        <f>'OptiMaxx plus'!$T$7+A280</f>
        <v>52</v>
      </c>
      <c r="C280" s="24">
        <f t="shared" si="44"/>
        <v>276</v>
      </c>
      <c r="D280" s="25">
        <f>+'No Deducible 93'!AD299</f>
        <v>7935905.4798052944</v>
      </c>
      <c r="E280" s="25">
        <f>+'Deducible 151'!AD299</f>
        <v>7655037.4873580281</v>
      </c>
      <c r="F280" s="25">
        <f>+'Deducible 185'!AD299</f>
        <v>7935905.4798052944</v>
      </c>
      <c r="H280" s="24">
        <f t="shared" si="45"/>
        <v>276</v>
      </c>
      <c r="I280" s="25">
        <f>+'No Deducible 93'!Y299</f>
        <v>7142386.9790247586</v>
      </c>
      <c r="J280" s="25">
        <f>+'Deducible 151'!Y299</f>
        <v>6942859.6171601806</v>
      </c>
      <c r="K280" s="25">
        <f>+'Deducible 185'!Y299</f>
        <v>7142386.9790247586</v>
      </c>
      <c r="O280" s="13"/>
      <c r="P280" s="13"/>
      <c r="Q280" s="13"/>
      <c r="Z280" s="18"/>
      <c r="AA280" s="17"/>
    </row>
    <row r="281" spans="1:27">
      <c r="A281" s="27">
        <f t="shared" si="43"/>
        <v>23.083333333333332</v>
      </c>
      <c r="B281" s="28">
        <f>'OptiMaxx plus'!$T$7+A281</f>
        <v>52.083333333333329</v>
      </c>
      <c r="C281" s="24">
        <f t="shared" si="44"/>
        <v>277</v>
      </c>
      <c r="D281" s="25">
        <f>+'No Deducible 93'!AD300</f>
        <v>8000854.4440161651</v>
      </c>
      <c r="E281" s="25">
        <f>+'Deducible 151'!AD300</f>
        <v>7716809.3118416835</v>
      </c>
      <c r="F281" s="25">
        <f>+'Deducible 185'!AD300</f>
        <v>8000854.4440161651</v>
      </c>
      <c r="H281" s="24">
        <f t="shared" si="45"/>
        <v>277</v>
      </c>
      <c r="I281" s="25">
        <f>+'No Deducible 93'!Y300</f>
        <v>7202023.8847557781</v>
      </c>
      <c r="J281" s="25">
        <f>+'Deducible 151'!Y300</f>
        <v>6999955.4565849863</v>
      </c>
      <c r="K281" s="25">
        <f>+'Deducible 185'!Y300</f>
        <v>7202023.8847557781</v>
      </c>
      <c r="O281" s="13"/>
      <c r="P281" s="13"/>
      <c r="Q281" s="13"/>
      <c r="Z281" s="18"/>
      <c r="AA281" s="17"/>
    </row>
    <row r="282" spans="1:27">
      <c r="A282" s="27">
        <f t="shared" si="43"/>
        <v>23.166666666666668</v>
      </c>
      <c r="B282" s="28">
        <f>'OptiMaxx plus'!$T$7+A282</f>
        <v>52.166666666666671</v>
      </c>
      <c r="C282" s="24">
        <f t="shared" si="44"/>
        <v>278</v>
      </c>
      <c r="D282" s="25">
        <f>+'No Deducible 93'!AD301</f>
        <v>8066254.5160022024</v>
      </c>
      <c r="E282" s="25">
        <f>+'Deducible 151'!AD301</f>
        <v>7779000.4308972759</v>
      </c>
      <c r="F282" s="25">
        <f>+'Deducible 185'!AD301</f>
        <v>8066254.5160022024</v>
      </c>
      <c r="H282" s="24">
        <f t="shared" si="45"/>
        <v>278</v>
      </c>
      <c r="I282" s="25">
        <f>+'No Deducible 93'!Y301</f>
        <v>7262076.2310890509</v>
      </c>
      <c r="J282" s="25">
        <f>+'Deducible 151'!Y301</f>
        <v>7057439.8269408587</v>
      </c>
      <c r="K282" s="25">
        <f>+'Deducible 185'!Y301</f>
        <v>7262076.2310890509</v>
      </c>
      <c r="O282" s="13"/>
      <c r="P282" s="13"/>
      <c r="Q282" s="13"/>
      <c r="Z282" s="18"/>
      <c r="AA282" s="17"/>
    </row>
    <row r="283" spans="1:27">
      <c r="A283" s="27">
        <f t="shared" si="43"/>
        <v>23.25</v>
      </c>
      <c r="B283" s="28">
        <f>'OptiMaxx plus'!$T$7+A283</f>
        <v>52.25</v>
      </c>
      <c r="C283" s="24">
        <f t="shared" si="44"/>
        <v>279</v>
      </c>
      <c r="D283" s="25">
        <f>+'No Deducible 93'!AD302</f>
        <v>8124820.1882402943</v>
      </c>
      <c r="E283" s="25">
        <f>+'Deducible 151'!AD302</f>
        <v>7834441.6525634946</v>
      </c>
      <c r="F283" s="25">
        <f>+'Deducible 185'!AD302</f>
        <v>8124820.1882402943</v>
      </c>
      <c r="H283" s="24">
        <f t="shared" si="45"/>
        <v>279</v>
      </c>
      <c r="I283" s="25">
        <f>+'No Deducible 93'!Y302</f>
        <v>7322546.912052894</v>
      </c>
      <c r="J283" s="25">
        <f>+'Deducible 151'!Y302</f>
        <v>7115315.3721382106</v>
      </c>
      <c r="K283" s="25">
        <f>+'Deducible 185'!Y302</f>
        <v>7322546.912052894</v>
      </c>
      <c r="O283" s="13"/>
      <c r="P283" s="13"/>
      <c r="Q283" s="13"/>
      <c r="Z283" s="18"/>
      <c r="AA283" s="17"/>
    </row>
    <row r="284" spans="1:27">
      <c r="A284" s="27">
        <f t="shared" si="43"/>
        <v>23.333333333333332</v>
      </c>
      <c r="B284" s="28">
        <f>'OptiMaxx plus'!$T$7+A284</f>
        <v>52.333333333333329</v>
      </c>
      <c r="C284" s="24">
        <f t="shared" si="44"/>
        <v>280</v>
      </c>
      <c r="D284" s="25">
        <f>+'No Deducible 93'!AD303</f>
        <v>8191083.1060926327</v>
      </c>
      <c r="E284" s="25">
        <f>+'Deducible 151'!AD303</f>
        <v>7897432.6782928444</v>
      </c>
      <c r="F284" s="25">
        <f>+'Deducible 185'!AD303</f>
        <v>8191083.1060926327</v>
      </c>
      <c r="H284" s="24">
        <f t="shared" si="45"/>
        <v>280</v>
      </c>
      <c r="I284" s="25">
        <f>+'No Deducible 93'!Y303</f>
        <v>7383438.8418359086</v>
      </c>
      <c r="J284" s="25">
        <f>+'Deducible 151'!Y303</f>
        <v>7173584.7540789759</v>
      </c>
      <c r="K284" s="25">
        <f>+'Deducible 185'!Y303</f>
        <v>7383438.8418359086</v>
      </c>
      <c r="O284" s="13"/>
      <c r="P284" s="13"/>
      <c r="Q284" s="13"/>
      <c r="Z284" s="18"/>
      <c r="AA284" s="17"/>
    </row>
    <row r="285" spans="1:27">
      <c r="A285" s="27">
        <f t="shared" si="43"/>
        <v>23.416666666666668</v>
      </c>
      <c r="B285" s="28">
        <f>'OptiMaxx plus'!$T$7+A285</f>
        <v>52.416666666666671</v>
      </c>
      <c r="C285" s="24">
        <f t="shared" si="44"/>
        <v>281</v>
      </c>
      <c r="D285" s="25">
        <f>+'No Deducible 93'!AD304</f>
        <v>8257806.2721821442</v>
      </c>
      <c r="E285" s="25">
        <f>+'Deducible 151'!AD304</f>
        <v>7960851.2850532979</v>
      </c>
      <c r="F285" s="25">
        <f>+'Deducible 185'!AD304</f>
        <v>8257806.2721821442</v>
      </c>
      <c r="H285" s="24">
        <f t="shared" si="45"/>
        <v>281</v>
      </c>
      <c r="I285" s="25">
        <f>+'No Deducible 93'!Y304</f>
        <v>7444754.9549274174</v>
      </c>
      <c r="J285" s="25">
        <f>+'Deducible 151'!Y304</f>
        <v>7232250.652779039</v>
      </c>
      <c r="K285" s="25">
        <f>+'Deducible 185'!Y304</f>
        <v>7444754.9549274174</v>
      </c>
      <c r="O285" s="13"/>
      <c r="P285" s="13"/>
      <c r="Q285" s="13"/>
      <c r="Z285" s="18"/>
      <c r="AA285" s="17"/>
    </row>
    <row r="286" spans="1:27">
      <c r="A286" s="27">
        <f t="shared" si="43"/>
        <v>23.5</v>
      </c>
      <c r="B286" s="28">
        <f>'OptiMaxx plus'!$T$7+A286</f>
        <v>52.5</v>
      </c>
      <c r="C286" s="24">
        <f t="shared" si="44"/>
        <v>282</v>
      </c>
      <c r="D286" s="25">
        <f>+'No Deducible 93'!AD305</f>
        <v>8317623.823088048</v>
      </c>
      <c r="E286" s="25">
        <f>+'Deducible 151'!AD305</f>
        <v>8017458.2719574003</v>
      </c>
      <c r="F286" s="25">
        <f>+'Deducible 185'!AD305</f>
        <v>8317623.823088048</v>
      </c>
      <c r="H286" s="24">
        <f t="shared" si="45"/>
        <v>282</v>
      </c>
      <c r="I286" s="25">
        <f>+'No Deducible 93'!Y305</f>
        <v>7506498.2062588846</v>
      </c>
      <c r="J286" s="25">
        <f>+'Deducible 151'!Y305</f>
        <v>7291315.7664914997</v>
      </c>
      <c r="K286" s="25">
        <f>+'Deducible 185'!Y305</f>
        <v>7506498.2062588846</v>
      </c>
      <c r="O286" s="13"/>
      <c r="P286" s="13"/>
      <c r="Q286" s="13"/>
      <c r="Z286" s="18"/>
      <c r="AA286" s="17"/>
    </row>
    <row r="287" spans="1:27">
      <c r="A287" s="27">
        <f t="shared" si="43"/>
        <v>23.583333333333332</v>
      </c>
      <c r="B287" s="28">
        <f>'OptiMaxx plus'!$T$7+A287</f>
        <v>52.583333333333329</v>
      </c>
      <c r="C287" s="24">
        <f t="shared" si="44"/>
        <v>283</v>
      </c>
      <c r="D287" s="25">
        <f>+'No Deducible 93'!AD306</f>
        <v>8385227.7658636393</v>
      </c>
      <c r="E287" s="25">
        <f>+'Deducible 151'!AD306</f>
        <v>8081693.0657929825</v>
      </c>
      <c r="F287" s="25">
        <f>+'Deducible 185'!AD306</f>
        <v>8385227.7658636393</v>
      </c>
      <c r="H287" s="24">
        <f t="shared" si="45"/>
        <v>283</v>
      </c>
      <c r="I287" s="25">
        <f>+'No Deducible 93'!Y306</f>
        <v>7568671.5713463174</v>
      </c>
      <c r="J287" s="25">
        <f>+'Deducible 151'!Y306</f>
        <v>7350782.811830773</v>
      </c>
      <c r="K287" s="25">
        <f>+'Deducible 185'!Y306</f>
        <v>7568671.5713463174</v>
      </c>
      <c r="O287" s="13"/>
      <c r="P287" s="13"/>
      <c r="Q287" s="13"/>
      <c r="Z287" s="18"/>
      <c r="AA287" s="17"/>
    </row>
    <row r="288" spans="1:27">
      <c r="A288" s="27">
        <f t="shared" si="43"/>
        <v>23.666666666666668</v>
      </c>
      <c r="B288" s="28">
        <f>'OptiMaxx plus'!$T$7+A288</f>
        <v>52.666666666666671</v>
      </c>
      <c r="C288" s="24">
        <f t="shared" si="44"/>
        <v>284</v>
      </c>
      <c r="D288" s="25">
        <f>+'No Deducible 93'!AD307</f>
        <v>8453301.2857997771</v>
      </c>
      <c r="E288" s="25">
        <f>+'Deducible 151'!AD307</f>
        <v>8146363.8941975608</v>
      </c>
      <c r="F288" s="25">
        <f>+'Deducible 185'!AD307</f>
        <v>8453301.2857997771</v>
      </c>
      <c r="H288" s="24">
        <f t="shared" si="45"/>
        <v>284</v>
      </c>
      <c r="I288" s="25">
        <f>+'No Deducible 93'!Y307</f>
        <v>7631278.0464336649</v>
      </c>
      <c r="J288" s="25">
        <f>+'Deducible 151'!Y307</f>
        <v>7410654.5238975389</v>
      </c>
      <c r="K288" s="25">
        <f>+'Deducible 185'!Y307</f>
        <v>7631278.0464336649</v>
      </c>
      <c r="O288" s="13"/>
      <c r="P288" s="13"/>
      <c r="Q288" s="13"/>
      <c r="Z288" s="18"/>
      <c r="AA288" s="17"/>
    </row>
    <row r="289" spans="1:27">
      <c r="A289" s="27">
        <f t="shared" si="43"/>
        <v>23.75</v>
      </c>
      <c r="B289" s="28">
        <f>'OptiMaxx plus'!$T$7+A289</f>
        <v>52.75</v>
      </c>
      <c r="C289" s="24">
        <f t="shared" si="44"/>
        <v>285</v>
      </c>
      <c r="D289" s="25">
        <f>+'No Deducible 93'!AD308</f>
        <v>8514397.2686259411</v>
      </c>
      <c r="E289" s="25">
        <f>+'Deducible 151'!AD308</f>
        <v>8204160.8637952749</v>
      </c>
      <c r="F289" s="25">
        <f>+'Deducible 185'!AD308</f>
        <v>8514397.2686259411</v>
      </c>
      <c r="H289" s="24">
        <f t="shared" si="45"/>
        <v>285</v>
      </c>
      <c r="I289" s="25">
        <f>+'No Deducible 93'!Y308</f>
        <v>7694320.6486372054</v>
      </c>
      <c r="J289" s="25">
        <f>+'Deducible 151'!Y308</f>
        <v>7470933.6564045353</v>
      </c>
      <c r="K289" s="25">
        <f>+'Deducible 185'!Y308</f>
        <v>7694320.6486372054</v>
      </c>
      <c r="O289" s="13"/>
      <c r="P289" s="13"/>
      <c r="Q289" s="13"/>
      <c r="Z289" s="18"/>
      <c r="AA289" s="17"/>
    </row>
    <row r="290" spans="1:27">
      <c r="A290" s="27">
        <f t="shared" si="43"/>
        <v>23.833333333333332</v>
      </c>
      <c r="B290" s="28">
        <f>'OptiMaxx plus'!$T$7+A290</f>
        <v>52.833333333333329</v>
      </c>
      <c r="C290" s="24">
        <f t="shared" si="44"/>
        <v>286</v>
      </c>
      <c r="D290" s="25">
        <f>+'No Deducible 93'!AD309</f>
        <v>8583369.8708727006</v>
      </c>
      <c r="E290" s="25">
        <f>+'Deducible 151'!AD309</f>
        <v>8269664.4927335093</v>
      </c>
      <c r="F290" s="25">
        <f>+'Deducible 185'!AD309</f>
        <v>8583369.8708727006</v>
      </c>
      <c r="H290" s="24">
        <f t="shared" si="45"/>
        <v>286</v>
      </c>
      <c r="I290" s="25">
        <f>+'No Deducible 93'!Y309</f>
        <v>7757802.4160909541</v>
      </c>
      <c r="J290" s="25">
        <f>+'Deducible 151'!Y309</f>
        <v>7531622.981803217</v>
      </c>
      <c r="K290" s="25">
        <f>+'Deducible 185'!Y309</f>
        <v>7757802.4160909541</v>
      </c>
      <c r="O290" s="13"/>
      <c r="P290" s="13"/>
      <c r="Q290" s="13"/>
      <c r="Z290" s="18"/>
      <c r="AA290" s="17"/>
    </row>
    <row r="291" spans="1:27">
      <c r="A291" s="27">
        <f t="shared" si="43"/>
        <v>23.916666666666668</v>
      </c>
      <c r="B291" s="28">
        <f>'OptiMaxx plus'!$T$7+A291</f>
        <v>52.916666666666671</v>
      </c>
      <c r="C291" s="24">
        <f t="shared" si="44"/>
        <v>287</v>
      </c>
      <c r="D291" s="25">
        <f>+'No Deducible 93'!AD310</f>
        <v>8652821.5715873837</v>
      </c>
      <c r="E291" s="25">
        <f>+'Deducible 151'!AD310</f>
        <v>8335612.7802598132</v>
      </c>
      <c r="F291" s="25">
        <f>+'Deducible 185'!AD310</f>
        <v>8652821.5715873837</v>
      </c>
      <c r="H291" s="24">
        <f t="shared" si="45"/>
        <v>287</v>
      </c>
      <c r="I291" s="25">
        <f>+'No Deducible 93'!Y310</f>
        <v>7821726.4080930715</v>
      </c>
      <c r="J291" s="25">
        <f>+'Deducible 151'!Y310</f>
        <v>7592725.2914112657</v>
      </c>
      <c r="K291" s="25">
        <f>+'Deducible 185'!Y310</f>
        <v>7821726.4080930715</v>
      </c>
      <c r="O291" s="13"/>
      <c r="P291" s="13"/>
      <c r="Q291" s="13"/>
      <c r="Z291" s="18"/>
      <c r="AA291" s="17"/>
    </row>
    <row r="292" spans="1:27">
      <c r="A292" s="27">
        <f t="shared" si="43"/>
        <v>24</v>
      </c>
      <c r="B292" s="28">
        <f>'OptiMaxx plus'!$T$7+A292</f>
        <v>53</v>
      </c>
      <c r="C292" s="24">
        <f t="shared" si="44"/>
        <v>288</v>
      </c>
      <c r="D292" s="25">
        <f>+'No Deducible 93'!AD311</f>
        <v>8715223.1006444916</v>
      </c>
      <c r="E292" s="25">
        <f>+'Deducible 151'!AD311</f>
        <v>8394624.4502776433</v>
      </c>
      <c r="F292" s="25">
        <f>+'Deducible 185'!AD311</f>
        <v>8715223.1006444916</v>
      </c>
      <c r="H292" s="24">
        <f t="shared" si="45"/>
        <v>288</v>
      </c>
      <c r="I292" s="25">
        <f>+'No Deducible 93'!Y311</f>
        <v>7886095.7052532984</v>
      </c>
      <c r="J292" s="25">
        <f>+'Deducible 151'!Y311</f>
        <v>7654243.3955409732</v>
      </c>
      <c r="K292" s="25">
        <f>+'Deducible 185'!Y311</f>
        <v>7886095.7052532984</v>
      </c>
      <c r="O292" s="13"/>
      <c r="P292" s="13"/>
      <c r="Q292" s="13"/>
      <c r="Z292" s="18"/>
      <c r="AA292" s="17"/>
    </row>
    <row r="293" spans="1:27">
      <c r="A293" s="27">
        <f t="shared" si="43"/>
        <v>24.083333333333332</v>
      </c>
      <c r="B293" s="28">
        <f>'OptiMaxx plus'!$T$7+A293</f>
        <v>53.083333333333329</v>
      </c>
      <c r="C293" s="24">
        <f t="shared" si="44"/>
        <v>289</v>
      </c>
      <c r="D293" s="25">
        <f>+'No Deducible 93'!AD312</f>
        <v>8785585.0595050529</v>
      </c>
      <c r="E293" s="25">
        <f>+'Deducible 151'!AD312</f>
        <v>8461413.7873469107</v>
      </c>
      <c r="F293" s="25">
        <f>+'Deducible 185'!AD312</f>
        <v>8785585.0595050529</v>
      </c>
      <c r="H293" s="24">
        <f t="shared" si="45"/>
        <v>289</v>
      </c>
      <c r="I293" s="25">
        <f>+'No Deducible 93'!Y312</f>
        <v>7950905.8971884409</v>
      </c>
      <c r="J293" s="25">
        <f>+'Deducible 151'!Y312</f>
        <v>7716171.4192918027</v>
      </c>
      <c r="K293" s="25">
        <f>+'Deducible 185'!Y312</f>
        <v>7950905.8971884409</v>
      </c>
      <c r="O293" s="13"/>
      <c r="P293" s="13"/>
      <c r="Q293" s="13"/>
      <c r="Z293" s="18"/>
      <c r="AA293" s="17"/>
    </row>
    <row r="294" spans="1:27">
      <c r="A294" s="27">
        <f t="shared" si="43"/>
        <v>24.166666666666668</v>
      </c>
      <c r="B294" s="28">
        <f>'OptiMaxx plus'!$T$7+A294</f>
        <v>53.166666666666671</v>
      </c>
      <c r="C294" s="24">
        <f t="shared" si="44"/>
        <v>290</v>
      </c>
      <c r="D294" s="25">
        <f>+'No Deducible 93'!AD313</f>
        <v>8856435.782196641</v>
      </c>
      <c r="E294" s="25">
        <f>+'Deducible 151'!AD313</f>
        <v>8528656.5217445195</v>
      </c>
      <c r="F294" s="25">
        <f>+'Deducible 185'!AD313</f>
        <v>8856435.782196641</v>
      </c>
      <c r="H294" s="24">
        <f t="shared" si="45"/>
        <v>290</v>
      </c>
      <c r="I294" s="25">
        <f>+'No Deducible 93'!Y313</f>
        <v>8016167.5676977905</v>
      </c>
      <c r="J294" s="25">
        <f>+'Deducible 151'!Y313</f>
        <v>7778520.8564585559</v>
      </c>
      <c r="K294" s="25">
        <f>+'Deducible 185'!Y313</f>
        <v>8016167.5676977905</v>
      </c>
      <c r="O294" s="13"/>
      <c r="P294" s="13"/>
      <c r="Q294" s="13"/>
      <c r="Z294" s="18"/>
      <c r="AA294" s="17"/>
    </row>
    <row r="295" spans="1:27">
      <c r="A295" s="27">
        <f t="shared" si="43"/>
        <v>24.25</v>
      </c>
      <c r="B295" s="28">
        <f>'OptiMaxx plus'!$T$7+A295</f>
        <v>53.25</v>
      </c>
      <c r="C295" s="24">
        <f t="shared" si="44"/>
        <v>291</v>
      </c>
      <c r="D295" s="25">
        <f>+'No Deducible 93'!AD314</f>
        <v>8920162.9272020552</v>
      </c>
      <c r="E295" s="25">
        <f>+'Deducible 151'!AD314</f>
        <v>8588899.29728291</v>
      </c>
      <c r="F295" s="25">
        <f>+'Deducible 185'!AD314</f>
        <v>8920162.9272020552</v>
      </c>
      <c r="H295" s="24">
        <f t="shared" si="45"/>
        <v>291</v>
      </c>
      <c r="I295" s="25">
        <f>+'No Deducible 93'!Y314</f>
        <v>8081883.8618561728</v>
      </c>
      <c r="J295" s="25">
        <f>+'Deducible 151'!Y314</f>
        <v>7841294.5747133521</v>
      </c>
      <c r="K295" s="25">
        <f>+'Deducible 185'!Y314</f>
        <v>8081883.8618561728</v>
      </c>
      <c r="O295" s="13"/>
      <c r="P295" s="13"/>
      <c r="Q295" s="13"/>
      <c r="Z295" s="18"/>
      <c r="AA295" s="17"/>
    </row>
    <row r="296" spans="1:27">
      <c r="A296" s="27">
        <f t="shared" si="43"/>
        <v>24.333333333333332</v>
      </c>
      <c r="B296" s="28">
        <f>'OptiMaxx plus'!$T$7+A296</f>
        <v>53.333333333333329</v>
      </c>
      <c r="C296" s="24">
        <f t="shared" si="44"/>
        <v>292</v>
      </c>
      <c r="D296" s="25">
        <f>+'No Deducible 93'!AD315</f>
        <v>8991950.3937061969</v>
      </c>
      <c r="E296" s="25">
        <f>+'Deducible 151'!AD315</f>
        <v>8657008.9660881516</v>
      </c>
      <c r="F296" s="25">
        <f>+'Deducible 185'!AD315</f>
        <v>8991950.3937061969</v>
      </c>
      <c r="H296" s="24">
        <f t="shared" si="45"/>
        <v>292</v>
      </c>
      <c r="I296" s="25">
        <f>+'No Deducible 93'!Y315</f>
        <v>8148057.9466475248</v>
      </c>
      <c r="J296" s="25">
        <f>+'Deducible 151'!Y315</f>
        <v>7904495.4612425053</v>
      </c>
      <c r="K296" s="25">
        <f>+'Deducible 185'!Y315</f>
        <v>8148057.9466475248</v>
      </c>
      <c r="O296" s="13"/>
      <c r="P296" s="13"/>
      <c r="Q296" s="13"/>
      <c r="Z296" s="18"/>
      <c r="AA296" s="17"/>
    </row>
    <row r="297" spans="1:27">
      <c r="A297" s="27">
        <f t="shared" si="43"/>
        <v>24.416666666666668</v>
      </c>
      <c r="B297" s="28">
        <f>'OptiMaxx plus'!$T$7+A297</f>
        <v>53.416666666666671</v>
      </c>
      <c r="C297" s="24">
        <f t="shared" si="44"/>
        <v>293</v>
      </c>
      <c r="D297" s="25">
        <f>+'No Deducible 93'!AD316</f>
        <v>9064236.5411133505</v>
      </c>
      <c r="E297" s="25">
        <f>+'Deducible 151'!AD316</f>
        <v>8725581.006473003</v>
      </c>
      <c r="F297" s="25">
        <f>+'Deducible 185'!AD316</f>
        <v>9064236.5411133505</v>
      </c>
      <c r="H297" s="24">
        <f t="shared" si="45"/>
        <v>293</v>
      </c>
      <c r="I297" s="25">
        <f>+'No Deducible 93'!Y316</f>
        <v>8214693.0111175207</v>
      </c>
      <c r="J297" s="25">
        <f>+'Deducible 151'!Y316</f>
        <v>7968126.4228793159</v>
      </c>
      <c r="K297" s="25">
        <f>+'Deducible 185'!Y316</f>
        <v>8214693.0111175207</v>
      </c>
      <c r="O297" s="13"/>
      <c r="P297" s="13"/>
      <c r="Q297" s="13"/>
      <c r="Z297" s="18"/>
      <c r="AA297" s="17"/>
    </row>
    <row r="298" spans="1:27">
      <c r="A298" s="27">
        <f t="shared" si="43"/>
        <v>24.5</v>
      </c>
      <c r="B298" s="28">
        <f>'OptiMaxx plus'!$T$7+A298</f>
        <v>53.5</v>
      </c>
      <c r="C298" s="24">
        <f t="shared" si="44"/>
        <v>294</v>
      </c>
      <c r="D298" s="25">
        <f>+'No Deducible 93'!AD317</f>
        <v>9129325.031417409</v>
      </c>
      <c r="E298" s="25">
        <f>+'Deducible 151'!AD317</f>
        <v>8787089.2787858099</v>
      </c>
      <c r="F298" s="25">
        <f>+'Deducible 185'!AD317</f>
        <v>9129325.031417409</v>
      </c>
      <c r="H298" s="24">
        <f t="shared" si="45"/>
        <v>294</v>
      </c>
      <c r="I298" s="25">
        <f>+'No Deducible 93'!Y317</f>
        <v>8281792.2665272579</v>
      </c>
      <c r="J298" s="25">
        <f>+'Deducible 151'!Y317</f>
        <v>8032190.3862377666</v>
      </c>
      <c r="K298" s="25">
        <f>+'Deducible 185'!Y317</f>
        <v>8281792.2665272579</v>
      </c>
      <c r="O298" s="13"/>
      <c r="P298" s="13"/>
      <c r="Q298" s="13"/>
      <c r="Z298" s="18"/>
      <c r="AA298" s="17"/>
    </row>
    <row r="299" spans="1:27">
      <c r="A299" s="27">
        <f t="shared" si="43"/>
        <v>24.583333333333332</v>
      </c>
      <c r="B299" s="28">
        <f>'OptiMaxx plus'!$T$7+A299</f>
        <v>53.583333333333329</v>
      </c>
      <c r="C299" s="24">
        <f t="shared" si="44"/>
        <v>295</v>
      </c>
      <c r="D299" s="25">
        <f>+'No Deducible 93'!AD318</f>
        <v>9202567.3982675355</v>
      </c>
      <c r="E299" s="25">
        <f>+'Deducible 151'!AD318</f>
        <v>8856545.9052942283</v>
      </c>
      <c r="F299" s="25">
        <f>+'Deducible 185'!AD318</f>
        <v>9202567.3982675355</v>
      </c>
      <c r="H299" s="24">
        <f t="shared" si="45"/>
        <v>295</v>
      </c>
      <c r="I299" s="25">
        <f>+'No Deducible 93'!Y318</f>
        <v>8349358.9465080118</v>
      </c>
      <c r="J299" s="25">
        <f>+'Deducible 151'!Y318</f>
        <v>8096690.2978471266</v>
      </c>
      <c r="K299" s="25">
        <f>+'Deducible 185'!Y318</f>
        <v>8349358.9465080118</v>
      </c>
      <c r="O299" s="13"/>
      <c r="P299" s="13"/>
      <c r="Q299" s="13"/>
      <c r="Z299" s="18"/>
      <c r="AA299" s="17"/>
    </row>
    <row r="300" spans="1:27">
      <c r="A300" s="27">
        <f t="shared" si="43"/>
        <v>24.666666666666668</v>
      </c>
      <c r="B300" s="28">
        <f>'OptiMaxx plus'!$T$7+A300</f>
        <v>53.666666666666671</v>
      </c>
      <c r="C300" s="24">
        <f t="shared" si="44"/>
        <v>296</v>
      </c>
      <c r="D300" s="25">
        <f>+'No Deducible 93'!AD319</f>
        <v>9276318.5677207187</v>
      </c>
      <c r="E300" s="25">
        <f>+'Deducible 151'!AD319</f>
        <v>8926474.0587205328</v>
      </c>
      <c r="F300" s="25">
        <f>+'Deducible 185'!AD319</f>
        <v>9276318.5677207187</v>
      </c>
      <c r="H300" s="24">
        <f t="shared" si="45"/>
        <v>296</v>
      </c>
      <c r="I300" s="25">
        <f>+'No Deducible 93'!Y319</f>
        <v>8417396.3072170727</v>
      </c>
      <c r="J300" s="25">
        <f>+'Deducible 151'!Y319</f>
        <v>8161629.1242874758</v>
      </c>
      <c r="K300" s="25">
        <f>+'Deducible 185'!Y319</f>
        <v>8417396.3072170727</v>
      </c>
      <c r="O300" s="13"/>
      <c r="P300" s="13"/>
      <c r="Q300" s="13"/>
      <c r="Z300" s="18"/>
      <c r="AA300" s="17"/>
    </row>
    <row r="301" spans="1:27">
      <c r="A301" s="27">
        <f t="shared" si="43"/>
        <v>24.75</v>
      </c>
      <c r="B301" s="28">
        <f>'OptiMaxx plus'!$T$7+A301</f>
        <v>53.75</v>
      </c>
      <c r="C301" s="24">
        <f t="shared" si="44"/>
        <v>297</v>
      </c>
      <c r="D301" s="25">
        <f>+'No Deducible 93'!AD320</f>
        <v>9342797.2694293968</v>
      </c>
      <c r="E301" s="25">
        <f>+'Deducible 151'!AD320</f>
        <v>8989274.1053140964</v>
      </c>
      <c r="F301" s="25">
        <f>+'Deducible 185'!AD320</f>
        <v>9342797.2694293968</v>
      </c>
      <c r="H301" s="24">
        <f t="shared" si="45"/>
        <v>297</v>
      </c>
      <c r="I301" s="25">
        <f>+'No Deducible 93'!Y320</f>
        <v>8485907.6274946611</v>
      </c>
      <c r="J301" s="25">
        <f>+'Deducible 151'!Y320</f>
        <v>8227009.8523261445</v>
      </c>
      <c r="K301" s="25">
        <f>+'Deducible 185'!Y320</f>
        <v>8485907.6274946611</v>
      </c>
      <c r="O301" s="13"/>
      <c r="P301" s="13"/>
      <c r="Q301" s="13"/>
      <c r="Z301" s="18"/>
      <c r="AA301" s="17"/>
    </row>
    <row r="302" spans="1:27">
      <c r="A302" s="27">
        <f t="shared" si="43"/>
        <v>24.833333333333332</v>
      </c>
      <c r="B302" s="28">
        <f>'OptiMaxx plus'!$T$7+A302</f>
        <v>53.833333333333329</v>
      </c>
      <c r="C302" s="24">
        <f t="shared" si="44"/>
        <v>298</v>
      </c>
      <c r="D302" s="25">
        <f>+'No Deducible 93'!AD321</f>
        <v>9417524.5411539413</v>
      </c>
      <c r="E302" s="25">
        <f>+'Deducible 151'!AD321</f>
        <v>9060104.8577607945</v>
      </c>
      <c r="F302" s="25">
        <f>+'Deducible 185'!AD321</f>
        <v>9417524.5411539413</v>
      </c>
      <c r="H302" s="24">
        <f t="shared" si="45"/>
        <v>298</v>
      </c>
      <c r="I302" s="25">
        <f>+'No Deducible 93'!Y321</f>
        <v>8554896.2090219464</v>
      </c>
      <c r="J302" s="25">
        <f>+'Deducible 151'!Y321</f>
        <v>8292835.4890550887</v>
      </c>
      <c r="K302" s="25">
        <f>+'Deducible 185'!Y321</f>
        <v>8554896.2090219464</v>
      </c>
      <c r="O302" s="13"/>
      <c r="P302" s="13"/>
      <c r="Q302" s="13"/>
      <c r="Z302" s="18"/>
      <c r="AA302" s="17"/>
    </row>
    <row r="303" spans="1:27">
      <c r="A303" s="27">
        <f t="shared" si="43"/>
        <v>24.916666666666668</v>
      </c>
      <c r="B303" s="28">
        <f>'OptiMaxx plus'!$T$7+A303</f>
        <v>53.916666666666671</v>
      </c>
      <c r="C303" s="24">
        <f t="shared" si="44"/>
        <v>299</v>
      </c>
      <c r="D303" s="25">
        <f>+'No Deducible 93'!AD322</f>
        <v>9492770.9460705183</v>
      </c>
      <c r="E303" s="25">
        <f>+'Deducible 151'!AD322</f>
        <v>9131416.4772397745</v>
      </c>
      <c r="F303" s="25">
        <f>+'Deducible 185'!AD322</f>
        <v>9492770.9460705183</v>
      </c>
      <c r="H303" s="24">
        <f t="shared" si="45"/>
        <v>299</v>
      </c>
      <c r="I303" s="25">
        <f>+'No Deducible 93'!Y322</f>
        <v>8624365.3764801566</v>
      </c>
      <c r="J303" s="25">
        <f>+'Deducible 151'!Y322</f>
        <v>8359109.0620291959</v>
      </c>
      <c r="K303" s="25">
        <f>+'Deducible 185'!Y322</f>
        <v>8624365.3764801566</v>
      </c>
      <c r="O303" s="13"/>
      <c r="P303" s="13"/>
      <c r="Q303" s="13"/>
      <c r="Z303" s="18"/>
      <c r="AA303" s="17"/>
    </row>
    <row r="304" spans="1:27">
      <c r="A304" s="27">
        <f t="shared" si="43"/>
        <v>25</v>
      </c>
      <c r="B304" s="28">
        <f>'OptiMaxx plus'!$T$7+A304</f>
        <v>54</v>
      </c>
      <c r="C304" s="24">
        <f t="shared" si="44"/>
        <v>300</v>
      </c>
      <c r="D304" s="25">
        <f>+'No Deducible 93'!AD323</f>
        <v>9560669.3351216335</v>
      </c>
      <c r="E304" s="25">
        <f>+'Deducible 151'!AD323</f>
        <v>9195535.1183328629</v>
      </c>
      <c r="F304" s="25">
        <f>+'Deducible 185'!AD323</f>
        <v>9560669.3351216335</v>
      </c>
      <c r="H304" s="24">
        <f t="shared" si="45"/>
        <v>300</v>
      </c>
      <c r="I304" s="25">
        <f>+'No Deducible 93'!Y323</f>
        <v>8694318.4777108021</v>
      </c>
      <c r="J304" s="25">
        <f>+'Deducible 151'!Y323</f>
        <v>8425833.6194055323</v>
      </c>
      <c r="K304" s="25">
        <f>+'Deducible 185'!Y323</f>
        <v>8694318.4777108021</v>
      </c>
      <c r="O304" s="13"/>
      <c r="P304" s="13"/>
      <c r="Q304" s="13"/>
      <c r="Z304" s="18"/>
      <c r="AA304" s="17"/>
    </row>
    <row r="305" spans="1:27">
      <c r="A305" s="27">
        <f t="shared" si="43"/>
        <v>25.083333333333332</v>
      </c>
      <c r="B305" s="28">
        <f>'OptiMaxx plus'!$T$7+A305</f>
        <v>54.083333333333329</v>
      </c>
      <c r="C305" s="24">
        <f t="shared" si="44"/>
        <v>301</v>
      </c>
      <c r="D305" s="25">
        <f>+'No Deducible 93'!AD324</f>
        <v>9636904.3279241361</v>
      </c>
      <c r="E305" s="25">
        <f>+'Deducible 151'!AD324</f>
        <v>9267758.6658075619</v>
      </c>
      <c r="F305" s="25">
        <f>+'Deducible 185'!AD324</f>
        <v>9636904.3279241361</v>
      </c>
      <c r="H305" s="24">
        <f t="shared" si="45"/>
        <v>301</v>
      </c>
      <c r="I305" s="25">
        <f>+'No Deducible 93'!Y324</f>
        <v>8764751.0709259193</v>
      </c>
      <c r="J305" s="25">
        <f>+'Deducible 151'!Y324</f>
        <v>8493003.1775733754</v>
      </c>
      <c r="K305" s="25">
        <f>+'Deducible 185'!Y324</f>
        <v>8764751.0709259193</v>
      </c>
      <c r="O305" s="13"/>
      <c r="P305" s="13"/>
      <c r="Q305" s="13"/>
      <c r="Z305" s="18"/>
      <c r="AA305" s="17"/>
    </row>
    <row r="306" spans="1:27">
      <c r="A306" s="27">
        <f t="shared" si="43"/>
        <v>25.166666666666668</v>
      </c>
      <c r="B306" s="28">
        <f>'OptiMaxx plus'!$T$7+A306</f>
        <v>54.166666666666671</v>
      </c>
      <c r="C306" s="24">
        <f t="shared" si="44"/>
        <v>302</v>
      </c>
      <c r="D306" s="25">
        <f>+'No Deducible 93'!AD325</f>
        <v>9713668.9433203004</v>
      </c>
      <c r="E306" s="25">
        <f>+'Deducible 151'!AD325</f>
        <v>9340472.5473683551</v>
      </c>
      <c r="F306" s="25">
        <f>+'Deducible 185'!AD325</f>
        <v>9713668.9433203004</v>
      </c>
      <c r="H306" s="24">
        <f t="shared" si="45"/>
        <v>302</v>
      </c>
      <c r="I306" s="25">
        <f>+'No Deducible 93'!Y325</f>
        <v>8835674.309297502</v>
      </c>
      <c r="J306" s="25">
        <f>+'Deducible 151'!Y325</f>
        <v>8560629.8172245137</v>
      </c>
      <c r="K306" s="25">
        <f>+'Deducible 185'!Y325</f>
        <v>8835674.309297502</v>
      </c>
      <c r="O306" s="13"/>
      <c r="P306" s="13"/>
      <c r="Q306" s="13"/>
      <c r="Z306" s="18"/>
      <c r="AA306" s="17"/>
    </row>
    <row r="307" spans="1:27">
      <c r="A307" s="27">
        <f t="shared" si="43"/>
        <v>25.25</v>
      </c>
      <c r="B307" s="28">
        <f>'OptiMaxx plus'!$T$7+A307</f>
        <v>54.25</v>
      </c>
      <c r="C307" s="24">
        <f t="shared" si="44"/>
        <v>303</v>
      </c>
      <c r="D307" s="25">
        <f>+'No Deducible 93'!AD326</f>
        <v>9783009.196160119</v>
      </c>
      <c r="E307" s="25">
        <f>+'Deducible 151'!AD326</f>
        <v>9405927.9809404742</v>
      </c>
      <c r="F307" s="25">
        <f>+'Deducible 185'!AD326</f>
        <v>9783009.196160119</v>
      </c>
      <c r="H307" s="24">
        <f t="shared" si="45"/>
        <v>303</v>
      </c>
      <c r="I307" s="25">
        <f>+'No Deducible 93'!Y326</f>
        <v>8907091.6107412986</v>
      </c>
      <c r="J307" s="25">
        <f>+'Deducible 151'!Y326</f>
        <v>8628716.6487483568</v>
      </c>
      <c r="K307" s="25">
        <f>+'Deducible 185'!Y326</f>
        <v>8907091.6107412986</v>
      </c>
      <c r="O307" s="13"/>
      <c r="P307" s="13"/>
      <c r="Q307" s="13"/>
      <c r="Z307" s="18"/>
      <c r="AA307" s="17"/>
    </row>
    <row r="308" spans="1:27">
      <c r="A308" s="27">
        <f t="shared" si="43"/>
        <v>25.333333333333332</v>
      </c>
      <c r="B308" s="28">
        <f>'OptiMaxx plus'!$T$7+A308</f>
        <v>54.333333333333329</v>
      </c>
      <c r="C308" s="24">
        <f t="shared" si="44"/>
        <v>304</v>
      </c>
      <c r="D308" s="25">
        <f>+'No Deducible 93'!AD327</f>
        <v>9860790.8254222088</v>
      </c>
      <c r="E308" s="25">
        <f>+'Deducible 151'!AD327</f>
        <v>9479581.4761780519</v>
      </c>
      <c r="F308" s="25">
        <f>+'Deducible 185'!AD327</f>
        <v>9860790.8254222088</v>
      </c>
      <c r="H308" s="24">
        <f t="shared" si="45"/>
        <v>304</v>
      </c>
      <c r="I308" s="25">
        <f>+'No Deducible 93'!Y327</f>
        <v>8979006.4169828277</v>
      </c>
      <c r="J308" s="25">
        <f>+'Deducible 151'!Y327</f>
        <v>8697266.8037001733</v>
      </c>
      <c r="K308" s="25">
        <f>+'Deducible 185'!Y327</f>
        <v>8979006.4169828277</v>
      </c>
      <c r="O308" s="13"/>
      <c r="P308" s="13"/>
      <c r="Q308" s="13"/>
      <c r="Z308" s="18"/>
      <c r="AA308" s="17"/>
    </row>
    <row r="309" spans="1:27">
      <c r="A309" s="27">
        <f t="shared" si="43"/>
        <v>25.416666666666668</v>
      </c>
      <c r="B309" s="28">
        <f>'OptiMaxx plus'!$T$7+A309</f>
        <v>54.416666666666671</v>
      </c>
      <c r="C309" s="24">
        <f t="shared" si="44"/>
        <v>305</v>
      </c>
      <c r="D309" s="25">
        <f>+'No Deducible 93'!AD328</f>
        <v>9939112.8376405537</v>
      </c>
      <c r="E309" s="25">
        <f>+'Deducible 151'!AD328</f>
        <v>9553735.0252731554</v>
      </c>
      <c r="F309" s="25">
        <f>+'Deducible 185'!AD328</f>
        <v>9939112.8376405537</v>
      </c>
      <c r="H309" s="24">
        <f t="shared" si="45"/>
        <v>305</v>
      </c>
      <c r="I309" s="25">
        <f>+'No Deducible 93'!Y328</f>
        <v>9051422.1937232371</v>
      </c>
      <c r="J309" s="25">
        <f>+'Deducible 151'!Y328</f>
        <v>8766283.4349451214</v>
      </c>
      <c r="K309" s="25">
        <f>+'Deducible 185'!Y328</f>
        <v>9051422.1937232371</v>
      </c>
      <c r="O309" s="13"/>
      <c r="P309" s="13"/>
      <c r="Q309" s="13"/>
      <c r="Z309" s="18"/>
      <c r="AA309" s="17"/>
    </row>
    <row r="310" spans="1:27">
      <c r="A310" s="27">
        <f t="shared" si="43"/>
        <v>25.5</v>
      </c>
      <c r="B310" s="28">
        <f>'OptiMaxx plus'!$T$7+A310</f>
        <v>54.5</v>
      </c>
      <c r="C310" s="24">
        <f t="shared" si="44"/>
        <v>306</v>
      </c>
      <c r="D310" s="25">
        <f>+'No Deducible 93'!AD329</f>
        <v>10009933.444185076</v>
      </c>
      <c r="E310" s="25">
        <f>+'Deducible 151'!AD329</f>
        <v>9620564.178265715</v>
      </c>
      <c r="F310" s="25">
        <f>+'Deducible 185'!AD329</f>
        <v>10009933.444185076</v>
      </c>
      <c r="H310" s="24">
        <f t="shared" si="45"/>
        <v>306</v>
      </c>
      <c r="I310" s="25">
        <f>+'No Deducible 93'!Y329</f>
        <v>9124342.4308063295</v>
      </c>
      <c r="J310" s="25">
        <f>+'Deducible 151'!Y329</f>
        <v>8835769.7168032657</v>
      </c>
      <c r="K310" s="25">
        <f>+'Deducible 185'!Y329</f>
        <v>9124342.4308063295</v>
      </c>
      <c r="O310" s="13"/>
      <c r="P310" s="13"/>
      <c r="Q310" s="13"/>
      <c r="Z310" s="18"/>
      <c r="AA310" s="17"/>
    </row>
    <row r="311" spans="1:27">
      <c r="A311" s="27">
        <f t="shared" si="43"/>
        <v>25.583333333333332</v>
      </c>
      <c r="B311" s="28">
        <f>'OptiMaxx plus'!$T$7+A311</f>
        <v>54.583333333333329</v>
      </c>
      <c r="C311" s="24">
        <f t="shared" si="44"/>
        <v>307</v>
      </c>
      <c r="D311" s="25">
        <f>+'No Deducible 93'!AD330</f>
        <v>10089293.624333967</v>
      </c>
      <c r="E311" s="25">
        <f>+'Deducible 151'!AD330</f>
        <v>9695676.4799770303</v>
      </c>
      <c r="F311" s="25">
        <f>+'Deducible 185'!AD330</f>
        <v>10089293.624333967</v>
      </c>
      <c r="H311" s="24">
        <f t="shared" si="45"/>
        <v>307</v>
      </c>
      <c r="I311" s="25">
        <f>+'No Deducible 93'!Y330</f>
        <v>9197770.6423867382</v>
      </c>
      <c r="J311" s="25">
        <f>+'Deducible 151'!Y330</f>
        <v>8905728.8451955635</v>
      </c>
      <c r="K311" s="25">
        <f>+'Deducible 185'!Y330</f>
        <v>9197770.6423867382</v>
      </c>
      <c r="O311" s="13"/>
      <c r="P311" s="13"/>
      <c r="Q311" s="13"/>
      <c r="Z311" s="18"/>
      <c r="AA311" s="17"/>
    </row>
    <row r="312" spans="1:27">
      <c r="A312" s="27">
        <f t="shared" si="43"/>
        <v>25.666666666666668</v>
      </c>
      <c r="B312" s="28">
        <f>'OptiMaxx plus'!$T$7+A312</f>
        <v>54.666666666666671</v>
      </c>
      <c r="C312" s="24">
        <f t="shared" si="44"/>
        <v>308</v>
      </c>
      <c r="D312" s="25">
        <f>+'No Deducible 93'!AD331</f>
        <v>10169205.169991639</v>
      </c>
      <c r="E312" s="25">
        <f>+'Deducible 151'!AD331</f>
        <v>9771298.7515940256</v>
      </c>
      <c r="F312" s="25">
        <f>+'Deducible 185'!AD331</f>
        <v>10169205.169991639</v>
      </c>
      <c r="H312" s="24">
        <f t="shared" si="45"/>
        <v>308</v>
      </c>
      <c r="I312" s="25">
        <f>+'No Deducible 93'!Y331</f>
        <v>9271710.3670992814</v>
      </c>
      <c r="J312" s="25">
        <f>+'Deducible 151'!Y331</f>
        <v>8976164.0377908703</v>
      </c>
      <c r="K312" s="25">
        <f>+'Deducible 185'!Y331</f>
        <v>9271710.3670992814</v>
      </c>
      <c r="O312" s="13"/>
      <c r="P312" s="13"/>
      <c r="Q312" s="13"/>
      <c r="Z312" s="18"/>
      <c r="AA312" s="17"/>
    </row>
    <row r="313" spans="1:27">
      <c r="A313" s="27">
        <f t="shared" si="43"/>
        <v>25.75</v>
      </c>
      <c r="B313" s="28">
        <f>'OptiMaxx plus'!$T$7+A313</f>
        <v>54.75</v>
      </c>
      <c r="C313" s="24">
        <f t="shared" si="44"/>
        <v>309</v>
      </c>
      <c r="D313" s="25">
        <f>+'No Deducible 93'!AD332</f>
        <v>10241537.510411995</v>
      </c>
      <c r="E313" s="25">
        <f>+'Deducible 151'!AD332</f>
        <v>9839530.1364935581</v>
      </c>
      <c r="F313" s="25">
        <f>+'Deducible 185'!AD332</f>
        <v>10241537.510411995</v>
      </c>
      <c r="H313" s="24">
        <f t="shared" si="45"/>
        <v>309</v>
      </c>
      <c r="I313" s="25">
        <f>+'No Deducible 93'!Y332</f>
        <v>9346165.1682294961</v>
      </c>
      <c r="J313" s="25">
        <f>+'Deducible 151'!Y332</f>
        <v>9047078.5341539234</v>
      </c>
      <c r="K313" s="25">
        <f>+'Deducible 185'!Y332</f>
        <v>9346165.1682294961</v>
      </c>
      <c r="O313" s="13"/>
      <c r="P313" s="13"/>
      <c r="Q313" s="13"/>
      <c r="Z313" s="18"/>
      <c r="AA313" s="17"/>
    </row>
    <row r="314" spans="1:27">
      <c r="A314" s="27">
        <f t="shared" si="43"/>
        <v>25.833333333333332</v>
      </c>
      <c r="B314" s="28">
        <f>'OptiMaxx plus'!$T$7+A314</f>
        <v>54.833333333333329</v>
      </c>
      <c r="C314" s="24">
        <f t="shared" si="44"/>
        <v>310</v>
      </c>
      <c r="D314" s="25">
        <f>+'No Deducible 93'!AD333</f>
        <v>10322508.82046265</v>
      </c>
      <c r="E314" s="25">
        <f>+'Deducible 151'!AD333</f>
        <v>9916130.6913507394</v>
      </c>
      <c r="F314" s="25">
        <f>+'Deducible 185'!AD333</f>
        <v>10322508.82046265</v>
      </c>
      <c r="H314" s="24">
        <f t="shared" si="45"/>
        <v>310</v>
      </c>
      <c r="I314" s="25">
        <f>+'No Deducible 93'!Y333</f>
        <v>9421138.6338853594</v>
      </c>
      <c r="J314" s="25">
        <f>+'Deducible 151'!Y333</f>
        <v>9118475.5958943423</v>
      </c>
      <c r="K314" s="25">
        <f>+'Deducible 185'!Y333</f>
        <v>9421138.6338853594</v>
      </c>
      <c r="O314" s="13"/>
      <c r="P314" s="13"/>
      <c r="Q314" s="13"/>
      <c r="Z314" s="18"/>
      <c r="AA314" s="17"/>
    </row>
    <row r="315" spans="1:27">
      <c r="A315" s="27">
        <f t="shared" si="43"/>
        <v>25.916666666666668</v>
      </c>
      <c r="B315" s="28">
        <f>'OptiMaxx plus'!$T$7+A315</f>
        <v>54.916666666666671</v>
      </c>
      <c r="C315" s="24">
        <f t="shared" si="44"/>
        <v>311</v>
      </c>
      <c r="D315" s="25">
        <f>+'No Deducible 93'!AD334</f>
        <v>10404042.705392906</v>
      </c>
      <c r="E315" s="25">
        <f>+'Deducible 151'!AD334</f>
        <v>9993251.3324384931</v>
      </c>
      <c r="F315" s="25">
        <f>+'Deducible 185'!AD334</f>
        <v>10404042.705392906</v>
      </c>
      <c r="H315" s="24">
        <f t="shared" si="45"/>
        <v>311</v>
      </c>
      <c r="I315" s="25">
        <f>+'No Deducible 93'!Y334</f>
        <v>9496634.3771702051</v>
      </c>
      <c r="J315" s="25">
        <f>+'Deducible 151'!Y334</f>
        <v>9190358.5068166424</v>
      </c>
      <c r="K315" s="25">
        <f>+'Deducible 185'!Y334</f>
        <v>9496634.3771702051</v>
      </c>
      <c r="O315" s="13"/>
      <c r="P315" s="13"/>
      <c r="Q315" s="13"/>
      <c r="Z315" s="18"/>
      <c r="AA315" s="17"/>
    </row>
    <row r="316" spans="1:27">
      <c r="A316" s="27">
        <f t="shared" si="43"/>
        <v>26</v>
      </c>
      <c r="B316" s="28">
        <f>'OptiMaxx plus'!$T$7+A316</f>
        <v>55</v>
      </c>
      <c r="C316" s="24">
        <f t="shared" si="44"/>
        <v>312</v>
      </c>
      <c r="D316" s="25">
        <f>+'No Deducible 93'!AD335</f>
        <v>10477918.822704589</v>
      </c>
      <c r="E316" s="25">
        <f>+'Deducible 151'!AD335</f>
        <v>10062914.050485035</v>
      </c>
      <c r="F316" s="25">
        <f>+'Deducible 185'!AD335</f>
        <v>10477918.822704589</v>
      </c>
      <c r="H316" s="24">
        <f t="shared" si="45"/>
        <v>312</v>
      </c>
      <c r="I316" s="25">
        <f>+'No Deducible 93'!Y335</f>
        <v>9572656.036356844</v>
      </c>
      <c r="J316" s="25">
        <f>+'Deducible 151'!Y335</f>
        <v>9262730.573071273</v>
      </c>
      <c r="K316" s="25">
        <f>+'Deducible 185'!Y335</f>
        <v>9572656.036356844</v>
      </c>
      <c r="O316" s="13"/>
      <c r="P316" s="13"/>
      <c r="Q316" s="13"/>
      <c r="Z316" s="18"/>
      <c r="AA316" s="17"/>
    </row>
    <row r="317" spans="1:27">
      <c r="A317" s="27">
        <f t="shared" si="43"/>
        <v>26.083333333333332</v>
      </c>
      <c r="B317" s="28">
        <f>'OptiMaxx plus'!$T$7+A317</f>
        <v>55.083333333333329</v>
      </c>
      <c r="C317" s="24">
        <f t="shared" si="44"/>
        <v>313</v>
      </c>
      <c r="D317" s="25">
        <f>+'No Deducible 93'!AD336</f>
        <v>10560526.394697638</v>
      </c>
      <c r="E317" s="25">
        <f>+'Deducible 151'!AD336</f>
        <v>10141023.490545031</v>
      </c>
      <c r="F317" s="25">
        <f>+'Deducible 185'!AD336</f>
        <v>10560526.394697638</v>
      </c>
      <c r="H317" s="24">
        <f t="shared" si="45"/>
        <v>313</v>
      </c>
      <c r="I317" s="25">
        <f>+'No Deducible 93'!Y336</f>
        <v>9649199.1495937668</v>
      </c>
      <c r="J317" s="25">
        <f>+'Deducible 151'!Y336</f>
        <v>9335585.708696099</v>
      </c>
      <c r="K317" s="25">
        <f>+'Deducible 185'!Y336</f>
        <v>9649199.1495937668</v>
      </c>
      <c r="O317" s="13"/>
      <c r="P317" s="13"/>
      <c r="Q317" s="13"/>
      <c r="Z317" s="18"/>
      <c r="AA317" s="17"/>
    </row>
    <row r="318" spans="1:27">
      <c r="A318" s="27">
        <f t="shared" si="43"/>
        <v>26.166666666666668</v>
      </c>
      <c r="B318" s="28">
        <f>'OptiMaxx plus'!$T$7+A318</f>
        <v>55.166666666666671</v>
      </c>
      <c r="C318" s="24">
        <f t="shared" si="44"/>
        <v>314</v>
      </c>
      <c r="D318" s="25">
        <f>+'No Deducible 93'!AD337</f>
        <v>10643707.925881274</v>
      </c>
      <c r="E318" s="25">
        <f>+'Deducible 151'!AD337</f>
        <v>10219663.273453744</v>
      </c>
      <c r="F318" s="25">
        <f>+'Deducible 185'!AD337</f>
        <v>10643707.925881274</v>
      </c>
      <c r="H318" s="24">
        <f t="shared" si="45"/>
        <v>314</v>
      </c>
      <c r="I318" s="25">
        <f>+'No Deducible 93'!Y337</f>
        <v>9726275.4748857338</v>
      </c>
      <c r="J318" s="25">
        <f>+'Deducible 151'!Y337</f>
        <v>9408936.6155358236</v>
      </c>
      <c r="K318" s="25">
        <f>+'Deducible 185'!Y337</f>
        <v>9726275.4748857338</v>
      </c>
      <c r="O318" s="13"/>
      <c r="P318" s="13"/>
      <c r="Q318" s="13"/>
      <c r="Z318" s="18"/>
      <c r="AA318" s="17"/>
    </row>
    <row r="319" spans="1:27">
      <c r="A319" s="27">
        <f t="shared" si="43"/>
        <v>26.25</v>
      </c>
      <c r="B319" s="28">
        <f>'OptiMaxx plus'!$T$7+A319</f>
        <v>55.25</v>
      </c>
      <c r="C319" s="24">
        <f t="shared" si="44"/>
        <v>315</v>
      </c>
      <c r="D319" s="25">
        <f>+'No Deducible 93'!AD338</f>
        <v>10719152.300850242</v>
      </c>
      <c r="E319" s="25">
        <f>+'Deducible 151'!AD338</f>
        <v>10290777.483591219</v>
      </c>
      <c r="F319" s="25">
        <f>+'Deducible 185'!AD338</f>
        <v>10719152.300850242</v>
      </c>
      <c r="H319" s="24">
        <f t="shared" si="45"/>
        <v>315</v>
      </c>
      <c r="I319" s="25">
        <f>+'No Deducible 93'!Y338</f>
        <v>9803888.7266765907</v>
      </c>
      <c r="J319" s="25">
        <f>+'Deducible 151'!Y338</f>
        <v>9482786.6672592424</v>
      </c>
      <c r="K319" s="25">
        <f>+'Deducible 185'!Y338</f>
        <v>9803888.7266765907</v>
      </c>
      <c r="O319" s="13"/>
      <c r="P319" s="13"/>
      <c r="Q319" s="13"/>
      <c r="Z319" s="18"/>
      <c r="AA319" s="17"/>
    </row>
    <row r="320" spans="1:27">
      <c r="A320" s="27">
        <f t="shared" si="43"/>
        <v>26.333333333333332</v>
      </c>
      <c r="B320" s="28">
        <f>'OptiMaxx plus'!$T$7+A320</f>
        <v>55.333333333333329</v>
      </c>
      <c r="C320" s="24">
        <f t="shared" si="44"/>
        <v>316</v>
      </c>
      <c r="D320" s="25">
        <f>+'No Deducible 93'!AD339</f>
        <v>10803438.039462438</v>
      </c>
      <c r="E320" s="25">
        <f>+'Deducible 151'!AD339</f>
        <v>10370435.688901469</v>
      </c>
      <c r="F320" s="25">
        <f>+'Deducible 185'!AD339</f>
        <v>10803438.039462438</v>
      </c>
      <c r="H320" s="24">
        <f t="shared" si="45"/>
        <v>316</v>
      </c>
      <c r="I320" s="25">
        <f>+'No Deducible 93'!Y339</f>
        <v>9882042.645285612</v>
      </c>
      <c r="J320" s="25">
        <f>+'Deducible 151'!Y339</f>
        <v>9557139.2604925949</v>
      </c>
      <c r="K320" s="25">
        <f>+'Deducible 185'!Y339</f>
        <v>9882042.645285612</v>
      </c>
      <c r="O320" s="13"/>
      <c r="P320" s="13"/>
      <c r="Q320" s="13"/>
      <c r="Z320" s="18"/>
      <c r="AA320" s="17"/>
    </row>
    <row r="321" spans="1:27">
      <c r="A321" s="27">
        <f t="shared" si="43"/>
        <v>26.416666666666668</v>
      </c>
      <c r="B321" s="28">
        <f>'OptiMaxx plus'!$T$7+A321</f>
        <v>55.416666666666671</v>
      </c>
      <c r="C321" s="24">
        <f t="shared" si="44"/>
        <v>317</v>
      </c>
      <c r="D321" s="25">
        <f>+'No Deducible 93'!AD340</f>
        <v>10888309.413356079</v>
      </c>
      <c r="E321" s="25">
        <f>+'Deducible 151'!AD340</f>
        <v>10450634.764951298</v>
      </c>
      <c r="F321" s="25">
        <f>+'Deducible 185'!AD340</f>
        <v>10888309.413356079</v>
      </c>
      <c r="H321" s="24">
        <f t="shared" si="45"/>
        <v>317</v>
      </c>
      <c r="I321" s="25">
        <f>+'No Deducible 93'!Y340</f>
        <v>9960740.9970877599</v>
      </c>
      <c r="J321" s="25">
        <f>+'Deducible 151'!Y340</f>
        <v>9631997.8149757888</v>
      </c>
      <c r="K321" s="25">
        <f>+'Deducible 185'!Y340</f>
        <v>9960740.9970877599</v>
      </c>
      <c r="O321" s="13"/>
      <c r="P321" s="13"/>
      <c r="Q321" s="13"/>
      <c r="Z321" s="18"/>
      <c r="AA321" s="17"/>
    </row>
    <row r="322" spans="1:27">
      <c r="A322" s="27">
        <f t="shared" si="43"/>
        <v>26.5</v>
      </c>
      <c r="B322" s="28">
        <f>'OptiMaxx plus'!$T$7+A322</f>
        <v>55.5</v>
      </c>
      <c r="C322" s="24">
        <f t="shared" si="44"/>
        <v>318</v>
      </c>
      <c r="D322" s="25">
        <f>+'No Deducible 93'!AD341</f>
        <v>10965363.522593552</v>
      </c>
      <c r="E322" s="25">
        <f>+'Deducible 151'!AD341</f>
        <v>10523240.129587112</v>
      </c>
      <c r="F322" s="25">
        <f>+'Deducible 185'!AD341</f>
        <v>10965363.522593552</v>
      </c>
      <c r="H322" s="24">
        <f t="shared" si="45"/>
        <v>318</v>
      </c>
      <c r="I322" s="25">
        <f>+'No Deducible 93'!Y341</f>
        <v>10039987.574695189</v>
      </c>
      <c r="J322" s="25">
        <f>+'Deducible 151'!Y341</f>
        <v>9707365.7737196907</v>
      </c>
      <c r="K322" s="25">
        <f>+'Deducible 185'!Y341</f>
        <v>10039987.574695189</v>
      </c>
      <c r="O322" s="13"/>
      <c r="P322" s="13"/>
      <c r="Q322" s="13"/>
      <c r="Z322" s="18"/>
      <c r="AA322" s="17"/>
    </row>
    <row r="323" spans="1:27">
      <c r="A323" s="27">
        <f t="shared" si="43"/>
        <v>26.583333333333332</v>
      </c>
      <c r="B323" s="28">
        <f>'OptiMaxx plus'!$T$7+A323</f>
        <v>55.583333333333329</v>
      </c>
      <c r="C323" s="24">
        <f t="shared" si="44"/>
        <v>319</v>
      </c>
      <c r="D323" s="25">
        <f>+'No Deducible 93'!AD342</f>
        <v>11051362.081620153</v>
      </c>
      <c r="E323" s="25">
        <f>+'Deducible 151'!AD342</f>
        <v>10604478.37992345</v>
      </c>
      <c r="F323" s="25">
        <f>+'Deducible 185'!AD342</f>
        <v>11051362.081620153</v>
      </c>
      <c r="H323" s="24">
        <f t="shared" si="45"/>
        <v>319</v>
      </c>
      <c r="I323" s="25">
        <f>+'No Deducible 93'!Y342</f>
        <v>10119786.197140023</v>
      </c>
      <c r="J323" s="25">
        <f>+'Deducible 151'!Y342</f>
        <v>9783246.6031644754</v>
      </c>
      <c r="K323" s="25">
        <f>+'Deducible 185'!Y342</f>
        <v>10119786.197140023</v>
      </c>
      <c r="O323" s="13"/>
      <c r="P323" s="13"/>
      <c r="Q323" s="13"/>
      <c r="Z323" s="18"/>
      <c r="AA323" s="17"/>
    </row>
    <row r="324" spans="1:27">
      <c r="A324" s="27">
        <f t="shared" si="43"/>
        <v>26.666666666666668</v>
      </c>
      <c r="B324" s="28">
        <f>'OptiMaxx plus'!$T$7+A324</f>
        <v>55.666666666666671</v>
      </c>
      <c r="C324" s="24">
        <f t="shared" si="44"/>
        <v>320</v>
      </c>
      <c r="D324" s="25">
        <f>+'No Deducible 93'!AD343</f>
        <v>11137958.193286793</v>
      </c>
      <c r="E324" s="25">
        <f>+'Deducible 151'!AD343</f>
        <v>10686268.241638016</v>
      </c>
      <c r="F324" s="25">
        <f>+'Deducible 185'!AD343</f>
        <v>11137958.193286793</v>
      </c>
      <c r="H324" s="24">
        <f t="shared" si="45"/>
        <v>320</v>
      </c>
      <c r="I324" s="25">
        <f>+'No Deducible 93'!Y343</f>
        <v>10200140.7100584</v>
      </c>
      <c r="J324" s="25">
        <f>+'Deducible 151'!Y343</f>
        <v>9859643.7933390662</v>
      </c>
      <c r="K324" s="25">
        <f>+'Deducible 185'!Y343</f>
        <v>10200140.7100584</v>
      </c>
      <c r="O324" s="13"/>
      <c r="P324" s="13"/>
      <c r="Q324" s="13"/>
      <c r="Z324" s="18"/>
      <c r="AA324" s="17"/>
    </row>
    <row r="325" spans="1:27">
      <c r="A325" s="27">
        <f t="shared" si="43"/>
        <v>26.75</v>
      </c>
      <c r="B325" s="28">
        <f>'OptiMaxx plus'!$T$7+A325</f>
        <v>55.75</v>
      </c>
      <c r="C325" s="24">
        <f t="shared" si="44"/>
        <v>321</v>
      </c>
      <c r="D325" s="25">
        <f>+'No Deducible 93'!AD344</f>
        <v>11216656.149734125</v>
      </c>
      <c r="E325" s="25">
        <f>+'Deducible 151'!AD344</f>
        <v>10760395.69801051</v>
      </c>
      <c r="F325" s="25">
        <f>+'Deducible 185'!AD344</f>
        <v>11216656.149734125</v>
      </c>
      <c r="H325" s="24">
        <f t="shared" si="45"/>
        <v>321</v>
      </c>
      <c r="I325" s="25">
        <f>+'No Deducible 93'!Y344</f>
        <v>10281054.985875797</v>
      </c>
      <c r="J325" s="25">
        <f>+'Deducible 151'!Y344</f>
        <v>9936560.8580216505</v>
      </c>
      <c r="K325" s="25">
        <f>+'Deducible 185'!Y344</f>
        <v>10281054.985875797</v>
      </c>
      <c r="O325" s="13"/>
      <c r="P325" s="13"/>
      <c r="Q325" s="13"/>
      <c r="Z325" s="18"/>
      <c r="AA325" s="17"/>
    </row>
    <row r="326" spans="1:27">
      <c r="A326" s="27">
        <f t="shared" ref="A326:A389" si="46">+C326/12</f>
        <v>26.833333333333332</v>
      </c>
      <c r="B326" s="28">
        <f>'OptiMaxx plus'!$T$7+A326</f>
        <v>55.833333333333329</v>
      </c>
      <c r="C326" s="24">
        <f t="shared" si="44"/>
        <v>322</v>
      </c>
      <c r="D326" s="25">
        <f>+'No Deducible 93'!AD345</f>
        <v>11304402.904885946</v>
      </c>
      <c r="E326" s="25">
        <f>+'Deducible 151'!AD345</f>
        <v>10843245.910666291</v>
      </c>
      <c r="F326" s="25">
        <f>+'Deducible 185'!AD345</f>
        <v>11304402.904885946</v>
      </c>
      <c r="H326" s="24">
        <f t="shared" si="45"/>
        <v>322</v>
      </c>
      <c r="I326" s="25">
        <f>+'No Deducible 93'!Y345</f>
        <v>10362532.923993649</v>
      </c>
      <c r="J326" s="25">
        <f>+'Deducible 151'!Y345</f>
        <v>10014001.33490129</v>
      </c>
      <c r="K326" s="25">
        <f>+'Deducible 185'!Y345</f>
        <v>10362532.923993649</v>
      </c>
      <c r="O326" s="13"/>
      <c r="P326" s="13"/>
      <c r="Q326" s="13"/>
      <c r="Z326" s="18"/>
      <c r="AA326" s="17"/>
    </row>
    <row r="327" spans="1:27">
      <c r="A327" s="27">
        <f t="shared" si="46"/>
        <v>26.916666666666668</v>
      </c>
      <c r="B327" s="28">
        <f>'OptiMaxx plus'!$T$7+A327</f>
        <v>55.916666666666671</v>
      </c>
      <c r="C327" s="24">
        <f t="shared" ref="C327:C390" si="47">+C326+1</f>
        <v>323</v>
      </c>
      <c r="D327" s="25">
        <f>+'No Deducible 93'!AD346</f>
        <v>11392759.376331808</v>
      </c>
      <c r="E327" s="25">
        <f>+'Deducible 151'!AD346</f>
        <v>10926658.692423947</v>
      </c>
      <c r="F327" s="25">
        <f>+'Deducible 185'!AD346</f>
        <v>11392759.376331808</v>
      </c>
      <c r="H327" s="24">
        <f t="shared" ref="H327:H390" si="48">+H326+1</f>
        <v>323</v>
      </c>
      <c r="I327" s="25">
        <f>+'No Deducible 93'!Y346</f>
        <v>10444578.450977273</v>
      </c>
      <c r="J327" s="25">
        <f>+'Deducible 151'!Y346</f>
        <v>10091968.785740634</v>
      </c>
      <c r="K327" s="25">
        <f>+'Deducible 185'!Y346</f>
        <v>10444578.450977273</v>
      </c>
      <c r="O327" s="13"/>
      <c r="P327" s="13"/>
      <c r="Q327" s="13"/>
      <c r="Z327" s="18"/>
      <c r="AA327" s="17"/>
    </row>
    <row r="328" spans="1:27">
      <c r="A328" s="27">
        <f t="shared" si="46"/>
        <v>27</v>
      </c>
      <c r="B328" s="28">
        <f>'OptiMaxx plus'!$T$7+A328</f>
        <v>56</v>
      </c>
      <c r="C328" s="24">
        <f t="shared" si="47"/>
        <v>324</v>
      </c>
      <c r="D328" s="25">
        <f>+'No Deducible 93'!AD347</f>
        <v>11473136.013394522</v>
      </c>
      <c r="E328" s="25">
        <f>+'Deducible 151'!AD347</f>
        <v>11002339.816470703</v>
      </c>
      <c r="F328" s="25">
        <f>+'Deducible 185'!AD347</f>
        <v>11473136.013394522</v>
      </c>
      <c r="H328" s="24">
        <f t="shared" si="48"/>
        <v>324</v>
      </c>
      <c r="I328" s="25">
        <f>+'No Deducible 93'!Y347</f>
        <v>10527195.520745089</v>
      </c>
      <c r="J328" s="25">
        <f>+'Deducible 151'!Y347</f>
        <v>10170466.796539735</v>
      </c>
      <c r="K328" s="25">
        <f>+'Deducible 185'!Y347</f>
        <v>10527195.520745089</v>
      </c>
      <c r="O328" s="13"/>
      <c r="P328" s="13"/>
      <c r="Q328" s="13"/>
      <c r="Z328" s="18"/>
      <c r="AA328" s="17"/>
    </row>
    <row r="329" spans="1:27">
      <c r="A329" s="27">
        <f t="shared" si="46"/>
        <v>27.083333333333332</v>
      </c>
      <c r="B329" s="28">
        <f>'OptiMaxx plus'!$T$7+A329</f>
        <v>56.083333333333329</v>
      </c>
      <c r="C329" s="24">
        <f t="shared" si="47"/>
        <v>325</v>
      </c>
      <c r="D329" s="25">
        <f>+'No Deducible 93'!AD348</f>
        <v>11562658.626919871</v>
      </c>
      <c r="E329" s="25">
        <f>+'Deducible 151'!AD348</f>
        <v>11086824.768112486</v>
      </c>
      <c r="F329" s="25">
        <f>+'Deducible 185'!AD348</f>
        <v>11562658.626919871</v>
      </c>
      <c r="H329" s="24">
        <f t="shared" si="48"/>
        <v>325</v>
      </c>
      <c r="I329" s="25">
        <f>+'No Deducible 93'!Y348</f>
        <v>10610379.664271271</v>
      </c>
      <c r="J329" s="25">
        <f>+'Deducible 151'!Y348</f>
        <v>10249489.18650599</v>
      </c>
      <c r="K329" s="25">
        <f>+'Deducible 185'!Y348</f>
        <v>10610379.664271271</v>
      </c>
      <c r="O329" s="13"/>
      <c r="P329" s="13"/>
      <c r="Q329" s="13"/>
      <c r="Z329" s="18"/>
      <c r="AA329" s="17"/>
    </row>
    <row r="330" spans="1:27">
      <c r="A330" s="27">
        <f t="shared" si="46"/>
        <v>27.166666666666668</v>
      </c>
      <c r="B330" s="28">
        <f>'OptiMaxx plus'!$T$7+A330</f>
        <v>56.166666666666671</v>
      </c>
      <c r="C330" s="24">
        <f t="shared" si="47"/>
        <v>326</v>
      </c>
      <c r="D330" s="25">
        <f>+'No Deducible 93'!AD349</f>
        <v>11652803.312954104</v>
      </c>
      <c r="E330" s="25">
        <f>+'Deducible 151'!AD349</f>
        <v>11171883.401462788</v>
      </c>
      <c r="F330" s="25">
        <f>+'Deducible 185'!AD349</f>
        <v>11652803.312954104</v>
      </c>
      <c r="H330" s="24">
        <f t="shared" si="48"/>
        <v>326</v>
      </c>
      <c r="I330" s="25">
        <f>+'No Deducible 93'!Y349</f>
        <v>10694143.28237382</v>
      </c>
      <c r="J330" s="25">
        <f>+'Deducible 151'!Y349</f>
        <v>10329049.315177169</v>
      </c>
      <c r="K330" s="25">
        <f>+'Deducible 185'!Y349</f>
        <v>10694143.28237382</v>
      </c>
      <c r="O330" s="13"/>
      <c r="P330" s="13"/>
      <c r="Q330" s="13"/>
      <c r="Z330" s="18"/>
      <c r="AA330" s="17"/>
    </row>
    <row r="331" spans="1:27">
      <c r="A331" s="27">
        <f t="shared" si="46"/>
        <v>27.25</v>
      </c>
      <c r="B331" s="28">
        <f>'OptiMaxx plus'!$T$7+A331</f>
        <v>56.25</v>
      </c>
      <c r="C331" s="24">
        <f t="shared" si="47"/>
        <v>327</v>
      </c>
      <c r="D331" s="25">
        <f>+'No Deducible 93'!AD350</f>
        <v>11734885.631058989</v>
      </c>
      <c r="E331" s="25">
        <f>+'Deducible 151'!AD350</f>
        <v>11249140.496071562</v>
      </c>
      <c r="F331" s="25">
        <f>+'Deducible 185'!AD350</f>
        <v>11734885.631058989</v>
      </c>
      <c r="H331" s="24">
        <f t="shared" si="48"/>
        <v>327</v>
      </c>
      <c r="I331" s="25">
        <f>+'No Deducible 93'!Y350</f>
        <v>10778490.411768995</v>
      </c>
      <c r="J331" s="25">
        <f>+'Deducible 151'!Y350</f>
        <v>10409150.841806233</v>
      </c>
      <c r="K331" s="25">
        <f>+'Deducible 185'!Y350</f>
        <v>10778490.411768995</v>
      </c>
      <c r="O331" s="13"/>
      <c r="P331" s="13"/>
      <c r="Q331" s="13"/>
      <c r="Z331" s="18"/>
      <c r="AA331" s="17"/>
    </row>
    <row r="332" spans="1:27">
      <c r="A332" s="27">
        <f t="shared" si="46"/>
        <v>27.333333333333332</v>
      </c>
      <c r="B332" s="28">
        <f>'OptiMaxx plus'!$T$7+A332</f>
        <v>56.333333333333329</v>
      </c>
      <c r="C332" s="24">
        <f t="shared" si="47"/>
        <v>328</v>
      </c>
      <c r="D332" s="25">
        <f>+'No Deducible 93'!AD351</f>
        <v>11826229.240798693</v>
      </c>
      <c r="E332" s="25">
        <f>+'Deducible 151'!AD351</f>
        <v>11335303.008395202</v>
      </c>
      <c r="F332" s="25">
        <f>+'Deducible 185'!AD351</f>
        <v>11826229.240798693</v>
      </c>
      <c r="H332" s="24">
        <f t="shared" si="48"/>
        <v>328</v>
      </c>
      <c r="I332" s="25">
        <f>+'No Deducible 93'!Y351</f>
        <v>10863425.117293492</v>
      </c>
      <c r="J332" s="25">
        <f>+'Deducible 151'!Y351</f>
        <v>10489797.450546963</v>
      </c>
      <c r="K332" s="25">
        <f>+'Deducible 185'!Y351</f>
        <v>10863425.117293492</v>
      </c>
      <c r="O332" s="13"/>
      <c r="P332" s="13"/>
      <c r="Q332" s="13"/>
      <c r="Z332" s="18"/>
      <c r="AA332" s="17"/>
    </row>
    <row r="333" spans="1:27">
      <c r="A333" s="27">
        <f t="shared" si="46"/>
        <v>27.416666666666668</v>
      </c>
      <c r="B333" s="28">
        <f>'OptiMaxx plus'!$T$7+A333</f>
        <v>56.416666666666671</v>
      </c>
      <c r="C333" s="24">
        <f t="shared" si="47"/>
        <v>329</v>
      </c>
      <c r="D333" s="25">
        <f>+'No Deducible 93'!AD352</f>
        <v>11918207.593559526</v>
      </c>
      <c r="E333" s="25">
        <f>+'Deducible 151'!AD352</f>
        <v>11422050.606320189</v>
      </c>
      <c r="F333" s="25">
        <f>+'Deducible 185'!AD352</f>
        <v>11918207.593559526</v>
      </c>
      <c r="H333" s="24">
        <f t="shared" si="48"/>
        <v>329</v>
      </c>
      <c r="I333" s="25">
        <f>+'No Deducible 93'!Y352</f>
        <v>10948951.492100336</v>
      </c>
      <c r="J333" s="25">
        <f>+'Deducible 151'!Y352</f>
        <v>10570992.850623405</v>
      </c>
      <c r="K333" s="25">
        <f>+'Deducible 185'!Y352</f>
        <v>10948951.492100336</v>
      </c>
      <c r="O333" s="13"/>
      <c r="P333" s="13"/>
      <c r="Q333" s="13"/>
      <c r="Z333" s="18"/>
      <c r="AA333" s="17"/>
    </row>
    <row r="334" spans="1:27">
      <c r="A334" s="27">
        <f t="shared" si="46"/>
        <v>27.5</v>
      </c>
      <c r="B334" s="28">
        <f>'OptiMaxx plus'!$T$7+A334</f>
        <v>56.5</v>
      </c>
      <c r="C334" s="24">
        <f t="shared" si="47"/>
        <v>330</v>
      </c>
      <c r="D334" s="25">
        <f>+'No Deducible 93'!AD353</f>
        <v>12002040.301241772</v>
      </c>
      <c r="E334" s="25">
        <f>+'Deducible 151'!AD353</f>
        <v>11500926.285472557</v>
      </c>
      <c r="F334" s="25">
        <f>+'Deducible 185'!AD353</f>
        <v>12002040.301241772</v>
      </c>
      <c r="H334" s="24">
        <f t="shared" si="48"/>
        <v>330</v>
      </c>
      <c r="I334" s="25">
        <f>+'No Deducible 93'!Y353</f>
        <v>11035073.657856135</v>
      </c>
      <c r="J334" s="25">
        <f>+'Deducible 151'!Y353</f>
        <v>10652740.77650046</v>
      </c>
      <c r="K334" s="25">
        <f>+'Deducible 185'!Y353</f>
        <v>11035073.657856135</v>
      </c>
      <c r="O334" s="13"/>
      <c r="P334" s="13"/>
      <c r="Q334" s="13"/>
      <c r="Z334" s="18"/>
      <c r="AA334" s="17"/>
    </row>
    <row r="335" spans="1:27">
      <c r="A335" s="27">
        <f t="shared" si="46"/>
        <v>27.583333333333332</v>
      </c>
      <c r="B335" s="28">
        <f>'OptiMaxx plus'!$T$7+A335</f>
        <v>56.583333333333329</v>
      </c>
      <c r="C335" s="24">
        <f t="shared" si="47"/>
        <v>331</v>
      </c>
      <c r="D335" s="25">
        <f>+'No Deducible 93'!AD354</f>
        <v>12095242.536844855</v>
      </c>
      <c r="E335" s="25">
        <f>+'Deducible 151'!AD354</f>
        <v>11588800.263568059</v>
      </c>
      <c r="F335" s="25">
        <f>+'Deducible 185'!AD354</f>
        <v>12095242.536844855</v>
      </c>
      <c r="H335" s="24">
        <f t="shared" si="48"/>
        <v>331</v>
      </c>
      <c r="I335" s="25">
        <f>+'No Deducible 93'!Y354</f>
        <v>11121795.764939712</v>
      </c>
      <c r="J335" s="25">
        <f>+'Deducible 151'!Y354</f>
        <v>10735044.988055663</v>
      </c>
      <c r="K335" s="25">
        <f>+'Deducible 185'!Y354</f>
        <v>11121795.764939712</v>
      </c>
      <c r="O335" s="13"/>
      <c r="P335" s="13"/>
      <c r="Q335" s="13"/>
      <c r="Z335" s="18"/>
      <c r="AA335" s="17"/>
    </row>
    <row r="336" spans="1:27">
      <c r="A336" s="27">
        <f t="shared" si="46"/>
        <v>27.666666666666668</v>
      </c>
      <c r="B336" s="28">
        <f>'OptiMaxx plus'!$T$7+A336</f>
        <v>56.666666666666671</v>
      </c>
      <c r="C336" s="24">
        <f t="shared" si="47"/>
        <v>332</v>
      </c>
      <c r="D336" s="25">
        <f>+'No Deducible 93'!AD355</f>
        <v>12189092.447974056</v>
      </c>
      <c r="E336" s="25">
        <f>+'Deducible 151'!AD355</f>
        <v>11677270.961766321</v>
      </c>
      <c r="F336" s="25">
        <f>+'Deducible 185'!AD355</f>
        <v>12189092.447974056</v>
      </c>
      <c r="H336" s="24">
        <f t="shared" si="48"/>
        <v>332</v>
      </c>
      <c r="I336" s="25">
        <f>+'No Deducible 93'!Y355</f>
        <v>11209121.992642121</v>
      </c>
      <c r="J336" s="25">
        <f>+'Deducible 151'!Y355</f>
        <v>10817909.270752097</v>
      </c>
      <c r="K336" s="25">
        <f>+'Deducible 185'!Y355</f>
        <v>11209121.992642121</v>
      </c>
      <c r="O336" s="13"/>
      <c r="P336" s="13"/>
      <c r="Q336" s="13"/>
      <c r="Z336" s="18"/>
      <c r="AA336" s="17"/>
    </row>
    <row r="337" spans="1:27">
      <c r="A337" s="27">
        <f t="shared" si="46"/>
        <v>27.75</v>
      </c>
      <c r="B337" s="28">
        <f>'OptiMaxx plus'!$T$7+A337</f>
        <v>56.75</v>
      </c>
      <c r="C337" s="24">
        <f t="shared" si="47"/>
        <v>333</v>
      </c>
      <c r="D337" s="25">
        <f>+'No Deducible 93'!AD356</f>
        <v>12274712.628664097</v>
      </c>
      <c r="E337" s="25">
        <f>+'Deducible 151'!AD356</f>
        <v>11757798.793324893</v>
      </c>
      <c r="F337" s="25">
        <f>+'Deducible 185'!AD356</f>
        <v>12274712.628664097</v>
      </c>
      <c r="H337" s="24">
        <f t="shared" si="48"/>
        <v>333</v>
      </c>
      <c r="I337" s="25">
        <f>+'No Deducible 93'!Y356</f>
        <v>11297056.54936805</v>
      </c>
      <c r="J337" s="25">
        <f>+'Deducible 151'!Y356</f>
        <v>10901337.435812511</v>
      </c>
      <c r="K337" s="25">
        <f>+'Deducible 185'!Y356</f>
        <v>11297056.54936805</v>
      </c>
      <c r="O337" s="13"/>
      <c r="P337" s="13"/>
      <c r="Q337" s="13"/>
      <c r="Z337" s="18"/>
      <c r="AA337" s="17"/>
    </row>
    <row r="338" spans="1:27">
      <c r="A338" s="27">
        <f t="shared" si="46"/>
        <v>27.833333333333332</v>
      </c>
      <c r="B338" s="28">
        <f>'OptiMaxx plus'!$T$7+A338</f>
        <v>56.833333333333329</v>
      </c>
      <c r="C338" s="24">
        <f t="shared" si="47"/>
        <v>334</v>
      </c>
      <c r="D338" s="25">
        <f>+'No Deducible 93'!AD357</f>
        <v>12369811.903984886</v>
      </c>
      <c r="E338" s="25">
        <f>+'Deducible 151'!AD357</f>
        <v>11847418.833545959</v>
      </c>
      <c r="F338" s="25">
        <f>+'Deducible 185'!AD357</f>
        <v>12369811.903984886</v>
      </c>
      <c r="H338" s="24">
        <f t="shared" si="48"/>
        <v>334</v>
      </c>
      <c r="I338" s="25">
        <f>+'No Deducible 93'!Y357</f>
        <v>11385603.672838636</v>
      </c>
      <c r="J338" s="25">
        <f>+'Deducible 151'!Y357</f>
        <v>10985333.320394602</v>
      </c>
      <c r="K338" s="25">
        <f>+'Deducible 185'!Y357</f>
        <v>11385603.672838636</v>
      </c>
      <c r="O338" s="13"/>
      <c r="P338" s="13"/>
      <c r="Q338" s="13"/>
      <c r="Z338" s="18"/>
      <c r="AA338" s="17"/>
    </row>
    <row r="339" spans="1:27">
      <c r="A339" s="27">
        <f t="shared" si="46"/>
        <v>27.916666666666668</v>
      </c>
      <c r="B339" s="28">
        <f>'OptiMaxx plus'!$T$7+A339</f>
        <v>56.916666666666671</v>
      </c>
      <c r="C339" s="24">
        <f t="shared" si="47"/>
        <v>335</v>
      </c>
      <c r="D339" s="25">
        <f>+'No Deducible 93'!AD358</f>
        <v>12465572.054791084</v>
      </c>
      <c r="E339" s="25">
        <f>+'Deducible 151'!AD358</f>
        <v>11937647.463682717</v>
      </c>
      <c r="F339" s="25">
        <f>+'Deducible 185'!AD358</f>
        <v>12465572.054791084</v>
      </c>
      <c r="H339" s="24">
        <f t="shared" si="48"/>
        <v>335</v>
      </c>
      <c r="I339" s="25">
        <f>+'No Deducible 93'!Y358</f>
        <v>11474767.630295685</v>
      </c>
      <c r="J339" s="25">
        <f>+'Deducible 151'!Y358</f>
        <v>11069900.787767511</v>
      </c>
      <c r="K339" s="25">
        <f>+'Deducible 185'!Y358</f>
        <v>11474767.630295685</v>
      </c>
      <c r="O339" s="13"/>
      <c r="P339" s="13"/>
      <c r="Q339" s="13"/>
      <c r="Z339" s="18"/>
      <c r="AA339" s="17"/>
    </row>
    <row r="340" spans="1:27">
      <c r="A340" s="27">
        <f t="shared" si="46"/>
        <v>28</v>
      </c>
      <c r="B340" s="28">
        <f>'OptiMaxx plus'!$T$7+A340</f>
        <v>57</v>
      </c>
      <c r="C340" s="24">
        <f t="shared" si="47"/>
        <v>336</v>
      </c>
      <c r="D340" s="25">
        <f>+'No Deducible 93'!AD359</f>
        <v>12553017.575010981</v>
      </c>
      <c r="E340" s="25">
        <f>+'Deducible 151'!AD359</f>
        <v>12019861.708390849</v>
      </c>
      <c r="F340" s="25">
        <f>+'Deducible 185'!AD359</f>
        <v>12553017.575010981</v>
      </c>
      <c r="H340" s="24">
        <f t="shared" si="48"/>
        <v>336</v>
      </c>
      <c r="I340" s="25">
        <f>+'No Deducible 93'!Y359</f>
        <v>11564552.718707316</v>
      </c>
      <c r="J340" s="25">
        <f>+'Deducible 151'!Y359</f>
        <v>11155043.727489498</v>
      </c>
      <c r="K340" s="25">
        <f>+'Deducible 185'!Y359</f>
        <v>11564552.718707316</v>
      </c>
      <c r="O340" s="13"/>
      <c r="P340" s="13"/>
      <c r="Q340" s="13"/>
      <c r="Z340" s="18"/>
      <c r="AA340" s="17"/>
    </row>
    <row r="341" spans="1:27">
      <c r="A341" s="27">
        <f t="shared" si="46"/>
        <v>28.083333333333332</v>
      </c>
      <c r="B341" s="28">
        <f>'OptiMaxx plus'!$T$7+A341</f>
        <v>57.083333333333329</v>
      </c>
      <c r="C341" s="24">
        <f t="shared" si="47"/>
        <v>337</v>
      </c>
      <c r="D341" s="25">
        <f>+'No Deducible 93'!AD360</f>
        <v>12650044.316018607</v>
      </c>
      <c r="E341" s="25">
        <f>+'Deducible 151'!AD360</f>
        <v>12111252.929665385</v>
      </c>
      <c r="F341" s="25">
        <f>+'Deducible 185'!AD360</f>
        <v>12650044.316018607</v>
      </c>
      <c r="H341" s="24">
        <f t="shared" si="48"/>
        <v>337</v>
      </c>
      <c r="I341" s="25">
        <f>+'No Deducible 93'!Y360</f>
        <v>11654954.476467626</v>
      </c>
      <c r="J341" s="25">
        <f>+'Deducible 151'!Y360</f>
        <v>11240755.872744048</v>
      </c>
      <c r="K341" s="25">
        <f>+'Deducible 185'!Y360</f>
        <v>11654954.476467626</v>
      </c>
      <c r="O341" s="13"/>
      <c r="P341" s="13"/>
      <c r="Q341" s="13"/>
      <c r="Z341" s="18"/>
      <c r="AA341" s="17"/>
    </row>
    <row r="342" spans="1:27">
      <c r="A342" s="27">
        <f t="shared" si="46"/>
        <v>28.166666666666668</v>
      </c>
      <c r="B342" s="28">
        <f>'OptiMaxx plus'!$T$7+A342</f>
        <v>57.166666666666671</v>
      </c>
      <c r="C342" s="24">
        <f t="shared" si="47"/>
        <v>338</v>
      </c>
      <c r="D342" s="25">
        <f>+'No Deducible 93'!AD361</f>
        <v>12747745.344278935</v>
      </c>
      <c r="E342" s="25">
        <f>+'Deducible 151'!AD361</f>
        <v>12203264.781486126</v>
      </c>
      <c r="F342" s="25">
        <f>+'Deducible 185'!AD361</f>
        <v>12747745.344278935</v>
      </c>
      <c r="H342" s="24">
        <f t="shared" si="48"/>
        <v>338</v>
      </c>
      <c r="I342" s="25">
        <f>+'No Deducible 93'!Y361</f>
        <v>11745985.987905268</v>
      </c>
      <c r="J342" s="25">
        <f>+'Deducible 151'!Y361</f>
        <v>11327051.279755235</v>
      </c>
      <c r="K342" s="25">
        <f>+'Deducible 185'!Y361</f>
        <v>11745985.987905268</v>
      </c>
      <c r="O342" s="13"/>
      <c r="P342" s="13"/>
      <c r="Q342" s="13"/>
      <c r="Z342" s="18"/>
      <c r="AA342" s="17"/>
    </row>
    <row r="343" spans="1:27">
      <c r="A343" s="27">
        <f t="shared" si="46"/>
        <v>28.25</v>
      </c>
      <c r="B343" s="28">
        <f>'OptiMaxx plus'!$T$7+A343</f>
        <v>57.25</v>
      </c>
      <c r="C343" s="24">
        <f t="shared" si="47"/>
        <v>339</v>
      </c>
      <c r="D343" s="25">
        <f>+'No Deducible 93'!AD362</f>
        <v>12837045.958773378</v>
      </c>
      <c r="E343" s="25">
        <f>+'Deducible 151'!AD362</f>
        <v>12287190.085337393</v>
      </c>
      <c r="F343" s="25">
        <f>+'Deducible 185'!AD362</f>
        <v>12837045.958773378</v>
      </c>
      <c r="H343" s="24">
        <f t="shared" si="48"/>
        <v>339</v>
      </c>
      <c r="I343" s="25">
        <f>+'No Deducible 93'!Y362</f>
        <v>11837651.639989074</v>
      </c>
      <c r="J343" s="25">
        <f>+'Deducible 151'!Y362</f>
        <v>11413933.917555397</v>
      </c>
      <c r="K343" s="25">
        <f>+'Deducible 185'!Y362</f>
        <v>11837651.639989074</v>
      </c>
      <c r="O343" s="13"/>
      <c r="P343" s="13"/>
      <c r="Q343" s="13"/>
      <c r="Z343" s="18"/>
      <c r="AA343" s="17"/>
    </row>
    <row r="344" spans="1:27">
      <c r="A344" s="27">
        <f t="shared" si="46"/>
        <v>28.333333333333332</v>
      </c>
      <c r="B344" s="28">
        <f>'OptiMaxx plus'!$T$7+A344</f>
        <v>57.333333333333329</v>
      </c>
      <c r="C344" s="24">
        <f t="shared" si="47"/>
        <v>340</v>
      </c>
      <c r="D344" s="25">
        <f>+'No Deducible 93'!AD363</f>
        <v>12936048.800886447</v>
      </c>
      <c r="E344" s="25">
        <f>+'Deducible 151'!AD363</f>
        <v>12380398.482842349</v>
      </c>
      <c r="F344" s="25">
        <f>+'Deducible 185'!AD363</f>
        <v>12936048.800886447</v>
      </c>
      <c r="H344" s="24">
        <f t="shared" si="48"/>
        <v>340</v>
      </c>
      <c r="I344" s="25">
        <f>+'No Deducible 93'!Y363</f>
        <v>11929955.850248238</v>
      </c>
      <c r="J344" s="25">
        <f>+'Deducible 151'!Y363</f>
        <v>11501407.782185715</v>
      </c>
      <c r="K344" s="25">
        <f>+'Deducible 185'!Y363</f>
        <v>11929955.850248238</v>
      </c>
      <c r="O344" s="13"/>
      <c r="P344" s="13"/>
      <c r="Q344" s="13"/>
      <c r="Z344" s="18"/>
      <c r="AA344" s="17"/>
    </row>
    <row r="345" spans="1:27">
      <c r="A345" s="27">
        <f t="shared" si="46"/>
        <v>28.416666666666668</v>
      </c>
      <c r="B345" s="28">
        <f>'OptiMaxx plus'!$T$7+A345</f>
        <v>57.416666666666671</v>
      </c>
      <c r="C345" s="24">
        <f t="shared" si="47"/>
        <v>341</v>
      </c>
      <c r="D345" s="25">
        <f>+'No Deducible 93'!AD364</f>
        <v>13035739.680676183</v>
      </c>
      <c r="E345" s="25">
        <f>+'Deducible 151'!AD364</f>
        <v>12474239.864401098</v>
      </c>
      <c r="F345" s="25">
        <f>+'Deducible 185'!AD364</f>
        <v>13035739.680676183</v>
      </c>
      <c r="H345" s="24">
        <f t="shared" si="48"/>
        <v>341</v>
      </c>
      <c r="I345" s="25">
        <f>+'No Deducible 93'!Y364</f>
        <v>12022903.066985194</v>
      </c>
      <c r="J345" s="25">
        <f>+'Deducible 151'!Y364</f>
        <v>11589476.89687998</v>
      </c>
      <c r="K345" s="25">
        <f>+'Deducible 185'!Y364</f>
        <v>12022903.066985194</v>
      </c>
      <c r="O345" s="13"/>
      <c r="P345" s="13"/>
      <c r="Q345" s="13"/>
      <c r="Z345" s="18"/>
      <c r="AA345" s="17"/>
    </row>
    <row r="346" spans="1:27">
      <c r="A346" s="27">
        <f t="shared" si="46"/>
        <v>28.5</v>
      </c>
      <c r="B346" s="28">
        <f>'OptiMaxx plus'!$T$7+A346</f>
        <v>57.5</v>
      </c>
      <c r="C346" s="24">
        <f t="shared" si="47"/>
        <v>342</v>
      </c>
      <c r="D346" s="25">
        <f>+'No Deducible 93'!AD365</f>
        <v>13126943.595869726</v>
      </c>
      <c r="E346" s="25">
        <f>+'Deducible 151'!AD365</f>
        <v>12559922.026749341</v>
      </c>
      <c r="F346" s="25">
        <f>+'Deducible 185'!AD365</f>
        <v>13126943.595869726</v>
      </c>
      <c r="H346" s="24">
        <f t="shared" si="48"/>
        <v>342</v>
      </c>
      <c r="I346" s="25">
        <f>+'No Deducible 93'!Y365</f>
        <v>12116497.769489989</v>
      </c>
      <c r="J346" s="25">
        <f>+'Deducible 151'!Y365</f>
        <v>11678145.312249655</v>
      </c>
      <c r="K346" s="25">
        <f>+'Deducible 185'!Y365</f>
        <v>12116497.769489989</v>
      </c>
      <c r="O346" s="13"/>
      <c r="P346" s="13"/>
      <c r="Q346" s="13"/>
      <c r="Z346" s="18"/>
      <c r="AA346" s="17"/>
    </row>
    <row r="347" spans="1:27">
      <c r="A347" s="27">
        <f t="shared" si="46"/>
        <v>28.583333333333332</v>
      </c>
      <c r="B347" s="28">
        <f>'OptiMaxx plus'!$T$7+A347</f>
        <v>57.583333333333329</v>
      </c>
      <c r="C347" s="24">
        <f t="shared" si="47"/>
        <v>343</v>
      </c>
      <c r="D347" s="25">
        <f>+'No Deducible 93'!AD366</f>
        <v>13227963.40155315</v>
      </c>
      <c r="E347" s="25">
        <f>+'Deducible 151'!AD366</f>
        <v>12654984.35241482</v>
      </c>
      <c r="F347" s="25">
        <f>+'Deducible 185'!AD366</f>
        <v>13227963.40155315</v>
      </c>
      <c r="H347" s="24">
        <f t="shared" si="48"/>
        <v>343</v>
      </c>
      <c r="I347" s="25">
        <f>+'No Deducible 93'!Y366</f>
        <v>12210744.468256155</v>
      </c>
      <c r="J347" s="25">
        <f>+'Deducible 151'!Y366</f>
        <v>11767417.106470168</v>
      </c>
      <c r="K347" s="25">
        <f>+'Deducible 185'!Y366</f>
        <v>12210744.468256155</v>
      </c>
      <c r="O347" s="13"/>
      <c r="P347" s="13"/>
      <c r="Q347" s="13"/>
      <c r="Z347" s="18"/>
      <c r="AA347" s="17"/>
    </row>
    <row r="348" spans="1:27">
      <c r="A348" s="27">
        <f t="shared" si="46"/>
        <v>28.666666666666668</v>
      </c>
      <c r="B348" s="28">
        <f>'OptiMaxx plus'!$T$7+A348</f>
        <v>57.666666666666671</v>
      </c>
      <c r="C348" s="24">
        <f t="shared" si="47"/>
        <v>344</v>
      </c>
      <c r="D348" s="25">
        <f>+'No Deducible 93'!AD367</f>
        <v>13329685.279844806</v>
      </c>
      <c r="E348" s="25">
        <f>+'Deducible 151'!AD367</f>
        <v>12750692.265618395</v>
      </c>
      <c r="F348" s="25">
        <f>+'Deducible 185'!AD367</f>
        <v>13329685.279844806</v>
      </c>
      <c r="H348" s="24">
        <f t="shared" si="48"/>
        <v>344</v>
      </c>
      <c r="I348" s="25">
        <f>+'No Deducible 93'!Y367</f>
        <v>12305647.705198066</v>
      </c>
      <c r="J348" s="25">
        <f>+'Deducible 151'!Y367</f>
        <v>11857296.385468483</v>
      </c>
      <c r="K348" s="25">
        <f>+'Deducible 185'!Y367</f>
        <v>12305647.705198066</v>
      </c>
      <c r="O348" s="13"/>
      <c r="P348" s="13"/>
      <c r="Q348" s="13"/>
      <c r="Z348" s="18"/>
      <c r="AA348" s="17"/>
    </row>
    <row r="349" spans="1:27">
      <c r="A349" s="27">
        <f t="shared" si="46"/>
        <v>28.75</v>
      </c>
      <c r="B349" s="28">
        <f>'OptiMaxx plus'!$T$7+A349</f>
        <v>57.75</v>
      </c>
      <c r="C349" s="24">
        <f t="shared" si="47"/>
        <v>345</v>
      </c>
      <c r="D349" s="25">
        <f>+'No Deducible 93'!AD368</f>
        <v>13422832.808042098</v>
      </c>
      <c r="E349" s="25">
        <f>+'Deducible 151'!AD368</f>
        <v>12838167.708289353</v>
      </c>
      <c r="F349" s="25">
        <f>+'Deducible 185'!AD368</f>
        <v>13422832.808042098</v>
      </c>
      <c r="H349" s="24">
        <f t="shared" si="48"/>
        <v>345</v>
      </c>
      <c r="I349" s="25">
        <f>+'No Deducible 93'!Y368</f>
        <v>12401212.053869827</v>
      </c>
      <c r="J349" s="25">
        <f>+'Deducible 151'!Y368</f>
        <v>11947787.283111952</v>
      </c>
      <c r="K349" s="25">
        <f>+'Deducible 185'!Y368</f>
        <v>12401212.053869827</v>
      </c>
      <c r="O349" s="13"/>
      <c r="P349" s="13"/>
      <c r="Q349" s="13"/>
      <c r="Z349" s="18"/>
      <c r="AA349" s="17"/>
    </row>
    <row r="350" spans="1:27">
      <c r="A350" s="27">
        <f t="shared" si="46"/>
        <v>28.833333333333332</v>
      </c>
      <c r="B350" s="28">
        <f>'OptiMaxx plus'!$T$7+A350</f>
        <v>57.833333333333329</v>
      </c>
      <c r="C350" s="24">
        <f t="shared" si="47"/>
        <v>346</v>
      </c>
      <c r="D350" s="25">
        <f>+'No Deducible 93'!AD369</f>
        <v>13525911.291648041</v>
      </c>
      <c r="E350" s="25">
        <f>+'Deducible 151'!AD369</f>
        <v>12935121.463600092</v>
      </c>
      <c r="F350" s="25">
        <f>+'Deducible 185'!AD369</f>
        <v>13525911.291648041</v>
      </c>
      <c r="H350" s="24">
        <f t="shared" si="48"/>
        <v>346</v>
      </c>
      <c r="I350" s="25">
        <f>+'No Deducible 93'!Y369</f>
        <v>12497442.119685685</v>
      </c>
      <c r="J350" s="25">
        <f>+'Deducible 151'!Y369</f>
        <v>12038893.961398436</v>
      </c>
      <c r="K350" s="25">
        <f>+'Deducible 185'!Y369</f>
        <v>12497442.119685685</v>
      </c>
      <c r="O350" s="13"/>
      <c r="P350" s="13"/>
      <c r="Q350" s="13"/>
      <c r="Z350" s="18"/>
      <c r="AA350" s="17"/>
    </row>
    <row r="351" spans="1:27">
      <c r="A351" s="27">
        <f t="shared" si="46"/>
        <v>28.916666666666668</v>
      </c>
      <c r="B351" s="28">
        <f>'OptiMaxx plus'!$T$7+A351</f>
        <v>57.916666666666671</v>
      </c>
      <c r="C351" s="24">
        <f t="shared" si="47"/>
        <v>347</v>
      </c>
      <c r="D351" s="25">
        <f>+'No Deducible 93'!AD370</f>
        <v>13629706.173234362</v>
      </c>
      <c r="E351" s="25">
        <f>+'Deducible 151'!AD370</f>
        <v>13032733.665009454</v>
      </c>
      <c r="F351" s="25">
        <f>+'Deducible 185'!AD370</f>
        <v>13629706.173234362</v>
      </c>
      <c r="H351" s="24">
        <f t="shared" si="48"/>
        <v>347</v>
      </c>
      <c r="I351" s="25">
        <f>+'No Deducible 93'!Y370</f>
        <v>12594342.540141968</v>
      </c>
      <c r="J351" s="25">
        <f>+'Deducible 151'!Y370</f>
        <v>12130620.610647736</v>
      </c>
      <c r="K351" s="25">
        <f>+'Deducible 185'!Y370</f>
        <v>12594342.540141968</v>
      </c>
      <c r="O351" s="13"/>
      <c r="P351" s="13"/>
      <c r="Q351" s="13"/>
      <c r="Z351" s="18"/>
      <c r="AA351" s="17"/>
    </row>
    <row r="352" spans="1:27">
      <c r="A352" s="27">
        <f t="shared" si="46"/>
        <v>29</v>
      </c>
      <c r="B352" s="28">
        <f>'OptiMaxx plus'!$T$7+A352</f>
        <v>58</v>
      </c>
      <c r="C352" s="24">
        <f t="shared" si="47"/>
        <v>348</v>
      </c>
      <c r="D352" s="25">
        <f>+'No Deducible 93'!AD371</f>
        <v>13724838.477901898</v>
      </c>
      <c r="E352" s="25">
        <f>+'Deducible 151'!AD371</f>
        <v>13122039.561486043</v>
      </c>
      <c r="F352" s="25">
        <f>+'Deducible 185'!AD371</f>
        <v>13724838.477901898</v>
      </c>
      <c r="H352" s="24">
        <f t="shared" si="48"/>
        <v>348</v>
      </c>
      <c r="I352" s="25">
        <f>+'No Deducible 93'!Y371</f>
        <v>12691917.985040573</v>
      </c>
      <c r="J352" s="25">
        <f>+'Deducible 151'!Y371</f>
        <v>12222971.449694322</v>
      </c>
      <c r="K352" s="25">
        <f>+'Deducible 185'!Y371</f>
        <v>12691917.985040573</v>
      </c>
      <c r="O352" s="13"/>
      <c r="P352" s="13"/>
      <c r="Q352" s="13"/>
      <c r="Z352" s="18"/>
      <c r="AA352" s="17"/>
    </row>
    <row r="353" spans="1:27">
      <c r="A353" s="27">
        <f t="shared" si="46"/>
        <v>29.083333333333332</v>
      </c>
      <c r="B353" s="28">
        <f>'OptiMaxx plus'!$T$7+A353</f>
        <v>58.083333333333329</v>
      </c>
      <c r="C353" s="24">
        <f t="shared" si="47"/>
        <v>349</v>
      </c>
      <c r="D353" s="25">
        <f>+'No Deducible 93'!AD372</f>
        <v>13830009.083459351</v>
      </c>
      <c r="E353" s="25">
        <f>+'Deducible 151'!AD372</f>
        <v>13220912.422674106</v>
      </c>
      <c r="F353" s="25">
        <f>+'Deducible 185'!AD372</f>
        <v>13830009.083459351</v>
      </c>
      <c r="H353" s="24">
        <f t="shared" si="48"/>
        <v>349</v>
      </c>
      <c r="I353" s="25">
        <f>+'No Deducible 93'!Y372</f>
        <v>12790164.016666299</v>
      </c>
      <c r="J353" s="25">
        <f>+'Deducible 151'!Y372</f>
        <v>12315940.135924868</v>
      </c>
      <c r="K353" s="25">
        <f>+'Deducible 185'!Y372</f>
        <v>12790164.016666299</v>
      </c>
      <c r="O353" s="13"/>
      <c r="P353" s="13"/>
      <c r="Q353" s="13"/>
      <c r="Z353" s="18"/>
      <c r="AA353" s="17"/>
    </row>
    <row r="354" spans="1:27">
      <c r="A354" s="27">
        <f t="shared" si="46"/>
        <v>29.166666666666668</v>
      </c>
      <c r="B354" s="28">
        <f>'OptiMaxx plus'!$T$7+A354</f>
        <v>58.166666666666671</v>
      </c>
      <c r="C354" s="24">
        <f t="shared" si="47"/>
        <v>350</v>
      </c>
      <c r="D354" s="25">
        <f>+'No Deducible 93'!AD373</f>
        <v>13935910.64519605</v>
      </c>
      <c r="E354" s="25">
        <f>+'Deducible 151'!AD373</f>
        <v>13320456.776736675</v>
      </c>
      <c r="F354" s="25">
        <f>+'Deducible 185'!AD373</f>
        <v>13935910.64519605</v>
      </c>
      <c r="H354" s="24">
        <f t="shared" si="48"/>
        <v>350</v>
      </c>
      <c r="I354" s="25">
        <f>+'No Deducible 93'!Y373</f>
        <v>12889094.44648551</v>
      </c>
      <c r="J354" s="25">
        <f>+'Deducible 151'!Y373</f>
        <v>12409541.463878263</v>
      </c>
      <c r="K354" s="25">
        <f>+'Deducible 185'!Y373</f>
        <v>12889094.44648551</v>
      </c>
      <c r="O354" s="13"/>
      <c r="P354" s="13"/>
      <c r="Q354" s="13"/>
      <c r="Z354" s="18"/>
      <c r="AA354" s="17"/>
    </row>
    <row r="355" spans="1:27">
      <c r="A355" s="27">
        <f t="shared" si="46"/>
        <v>29.25</v>
      </c>
      <c r="B355" s="28">
        <f>'OptiMaxx plus'!$T$7+A355</f>
        <v>58.25</v>
      </c>
      <c r="C355" s="24">
        <f t="shared" si="47"/>
        <v>351</v>
      </c>
      <c r="D355" s="25">
        <f>+'No Deducible 93'!AD374</f>
        <v>14033060.49107188</v>
      </c>
      <c r="E355" s="25">
        <f>+'Deducible 151'!AD374</f>
        <v>13411620.332861664</v>
      </c>
      <c r="F355" s="25">
        <f>+'Deducible 185'!AD374</f>
        <v>14033060.49107188</v>
      </c>
      <c r="H355" s="24">
        <f t="shared" si="48"/>
        <v>351</v>
      </c>
      <c r="I355" s="25">
        <f>+'No Deducible 93'!Y374</f>
        <v>12988714.042129833</v>
      </c>
      <c r="J355" s="25">
        <f>+'Deducible 151'!Y374</f>
        <v>12503779.738612108</v>
      </c>
      <c r="K355" s="25">
        <f>+'Deducible 185'!Y374</f>
        <v>12988714.042129833</v>
      </c>
      <c r="O355" s="13"/>
      <c r="P355" s="13"/>
      <c r="Q355" s="13"/>
      <c r="Z355" s="18"/>
      <c r="AA355" s="17"/>
    </row>
    <row r="356" spans="1:27">
      <c r="A356" s="27">
        <f t="shared" si="46"/>
        <v>29.333333333333332</v>
      </c>
      <c r="B356" s="28">
        <f>'OptiMaxx plus'!$T$7+A356</f>
        <v>58.333333333333329</v>
      </c>
      <c r="C356" s="24">
        <f t="shared" si="47"/>
        <v>352</v>
      </c>
      <c r="D356" s="25">
        <f>+'No Deducible 93'!AD375</f>
        <v>14140375.638294438</v>
      </c>
      <c r="E356" s="25">
        <f>+'Deducible 151'!AD375</f>
        <v>13512461.719371026</v>
      </c>
      <c r="F356" s="25">
        <f>+'Deducible 185'!AD375</f>
        <v>14140375.638294438</v>
      </c>
      <c r="H356" s="24">
        <f t="shared" si="48"/>
        <v>352</v>
      </c>
      <c r="I356" s="25">
        <f>+'No Deducible 93'!Y375</f>
        <v>13089027.604443004</v>
      </c>
      <c r="J356" s="25">
        <f>+'Deducible 151'!Y375</f>
        <v>12598659.294479454</v>
      </c>
      <c r="K356" s="25">
        <f>+'Deducible 185'!Y375</f>
        <v>13089027.604443004</v>
      </c>
      <c r="O356" s="13"/>
      <c r="P356" s="13"/>
      <c r="Q356" s="13"/>
      <c r="Z356" s="18"/>
      <c r="AA356" s="17"/>
    </row>
    <row r="357" spans="1:27">
      <c r="A357" s="27">
        <f t="shared" si="46"/>
        <v>29.416666666666668</v>
      </c>
      <c r="B357" s="28">
        <f>'OptiMaxx plus'!$T$7+A357</f>
        <v>58.416666666666671</v>
      </c>
      <c r="C357" s="24">
        <f t="shared" si="47"/>
        <v>353</v>
      </c>
      <c r="D357" s="25">
        <f>+'No Deducible 93'!AD376</f>
        <v>14248436.664908169</v>
      </c>
      <c r="E357" s="25">
        <f>+'Deducible 151'!AD376</f>
        <v>13613987.981705159</v>
      </c>
      <c r="F357" s="25">
        <f>+'Deducible 185'!AD376</f>
        <v>14248436.664908169</v>
      </c>
      <c r="H357" s="24">
        <f t="shared" si="48"/>
        <v>353</v>
      </c>
      <c r="I357" s="25">
        <f>+'No Deducible 93'!Y376</f>
        <v>13190039.967712238</v>
      </c>
      <c r="J357" s="25">
        <f>+'Deducible 151'!Y376</f>
        <v>12694184.495328143</v>
      </c>
      <c r="K357" s="25">
        <f>+'Deducible 185'!Y376</f>
        <v>13190039.967712238</v>
      </c>
      <c r="O357" s="13"/>
      <c r="P357" s="13"/>
      <c r="Q357" s="13"/>
      <c r="Z357" s="18"/>
      <c r="AA357" s="17"/>
    </row>
    <row r="358" spans="1:27">
      <c r="A358" s="27">
        <f t="shared" si="46"/>
        <v>29.5</v>
      </c>
      <c r="B358" s="28">
        <f>'OptiMaxx plus'!$T$7+A358</f>
        <v>58.5</v>
      </c>
      <c r="C358" s="24">
        <f t="shared" si="47"/>
        <v>354</v>
      </c>
      <c r="D358" s="25">
        <f>+'No Deducible 93'!AD377</f>
        <v>14347656.04478717</v>
      </c>
      <c r="E358" s="25">
        <f>+'Deducible 151'!AD377</f>
        <v>13707058.435167154</v>
      </c>
      <c r="F358" s="25">
        <f>+'Deducible 185'!AD377</f>
        <v>14347656.04478717</v>
      </c>
      <c r="H358" s="24">
        <f t="shared" si="48"/>
        <v>354</v>
      </c>
      <c r="I358" s="25">
        <f>+'No Deducible 93'!Y377</f>
        <v>13291755.9999012</v>
      </c>
      <c r="J358" s="25">
        <f>+'Deducible 151'!Y377</f>
        <v>12790359.734701531</v>
      </c>
      <c r="K358" s="25">
        <f>+'Deducible 185'!Y377</f>
        <v>13291755.9999012</v>
      </c>
      <c r="O358" s="13"/>
      <c r="P358" s="13"/>
      <c r="Q358" s="13"/>
      <c r="Z358" s="18"/>
      <c r="AA358" s="17"/>
    </row>
    <row r="359" spans="1:27">
      <c r="A359" s="27">
        <f t="shared" si="46"/>
        <v>29.583333333333332</v>
      </c>
      <c r="B359" s="28">
        <f>'OptiMaxx plus'!$T$7+A359</f>
        <v>58.583333333333329</v>
      </c>
      <c r="C359" s="24">
        <f t="shared" si="47"/>
        <v>355</v>
      </c>
      <c r="D359" s="25">
        <f>+'No Deducible 93'!AD378</f>
        <v>14457160.108169913</v>
      </c>
      <c r="E359" s="25">
        <f>+'Deducible 151'!AD378</f>
        <v>13809908.186033938</v>
      </c>
      <c r="F359" s="25">
        <f>+'Deducible 185'!AD378</f>
        <v>14457160.108169913</v>
      </c>
      <c r="H359" s="24">
        <f t="shared" si="48"/>
        <v>355</v>
      </c>
      <c r="I359" s="25">
        <f>+'No Deducible 93'!Y378</f>
        <v>13394180.602884592</v>
      </c>
      <c r="J359" s="25">
        <f>+'Deducible 151'!Y378</f>
        <v>12887189.43604055</v>
      </c>
      <c r="K359" s="25">
        <f>+'Deducible 185'!Y378</f>
        <v>13394180.602884592</v>
      </c>
      <c r="O359" s="13"/>
      <c r="P359" s="13"/>
      <c r="Q359" s="13"/>
      <c r="Z359" s="18"/>
      <c r="AA359" s="17"/>
    </row>
    <row r="360" spans="1:27">
      <c r="A360" s="27">
        <f t="shared" si="46"/>
        <v>29.666666666666668</v>
      </c>
      <c r="B360" s="28">
        <f>'OptiMaxx plus'!$T$7+A360</f>
        <v>58.666666666666671</v>
      </c>
      <c r="C360" s="24">
        <f t="shared" si="47"/>
        <v>356</v>
      </c>
      <c r="D360" s="25">
        <f>+'No Deducible 93'!AD379</f>
        <v>14567425.283123055</v>
      </c>
      <c r="E360" s="25">
        <f>+'Deducible 151'!AD379</f>
        <v>13913456.466655396</v>
      </c>
      <c r="F360" s="25">
        <f>+'Deducible 185'!AD379</f>
        <v>14567425.283123055</v>
      </c>
      <c r="H360" s="24">
        <f t="shared" si="48"/>
        <v>356</v>
      </c>
      <c r="I360" s="25">
        <f>+'No Deducible 93'!Y379</f>
        <v>13497318.712684397</v>
      </c>
      <c r="J360" s="25">
        <f>+'Deducible 151'!Y379</f>
        <v>12984678.052887164</v>
      </c>
      <c r="K360" s="25">
        <f>+'Deducible 185'!Y379</f>
        <v>13497318.712684397</v>
      </c>
      <c r="O360" s="13"/>
      <c r="P360" s="13"/>
      <c r="Q360" s="13"/>
      <c r="Z360" s="18"/>
      <c r="AA360" s="17"/>
    </row>
    <row r="361" spans="1:27">
      <c r="A361" s="27">
        <f t="shared" si="46"/>
        <v>29.75</v>
      </c>
      <c r="B361" s="28">
        <f>'OptiMaxx plus'!$T$7+A361</f>
        <v>58.75</v>
      </c>
      <c r="C361" s="24">
        <f t="shared" si="47"/>
        <v>357</v>
      </c>
      <c r="D361" s="25">
        <f>+'No Deducible 93'!AD380</f>
        <v>14668758.019031517</v>
      </c>
      <c r="E361" s="25">
        <f>+'Deducible 151'!AD380</f>
        <v>14008473.335529873</v>
      </c>
      <c r="F361" s="25">
        <f>+'Deducible 185'!AD380</f>
        <v>14668758.019031517</v>
      </c>
      <c r="H361" s="24">
        <f t="shared" si="48"/>
        <v>357</v>
      </c>
      <c r="I361" s="25">
        <f>+'No Deducible 93'!Y380</f>
        <v>13601175.299707746</v>
      </c>
      <c r="J361" s="25">
        <f>+'Deducible 151'!Y380</f>
        <v>13082830.069089202</v>
      </c>
      <c r="K361" s="25">
        <f>+'Deducible 185'!Y380</f>
        <v>13601175.299707746</v>
      </c>
      <c r="O361" s="13"/>
      <c r="P361" s="13"/>
      <c r="Q361" s="13"/>
      <c r="Z361" s="18"/>
      <c r="AA361" s="17"/>
    </row>
    <row r="362" spans="1:27">
      <c r="A362" s="27">
        <f t="shared" si="46"/>
        <v>29.833333333333332</v>
      </c>
      <c r="B362" s="28">
        <f>'OptiMaxx plus'!$T$7+A362</f>
        <v>58.833333333333329</v>
      </c>
      <c r="C362" s="24">
        <f t="shared" si="47"/>
        <v>358</v>
      </c>
      <c r="D362" s="25">
        <f>+'No Deducible 93'!AD381</f>
        <v>14780496.298498493</v>
      </c>
      <c r="E362" s="25">
        <f>+'Deducible 151'!AD381</f>
        <v>14113372.102565315</v>
      </c>
      <c r="F362" s="25">
        <f>+'Deducible 185'!AD381</f>
        <v>14780496.298498493</v>
      </c>
      <c r="H362" s="24">
        <f t="shared" si="48"/>
        <v>358</v>
      </c>
      <c r="I362" s="25">
        <f>+'No Deducible 93'!Y381</f>
        <v>13705755.368986454</v>
      </c>
      <c r="J362" s="25">
        <f>+'Deducible 151'!Y381</f>
        <v>13181649.999006586</v>
      </c>
      <c r="K362" s="25">
        <f>+'Deducible 185'!Y381</f>
        <v>13705755.368986454</v>
      </c>
      <c r="O362" s="13"/>
      <c r="P362" s="13"/>
      <c r="Q362" s="13"/>
      <c r="Z362" s="18"/>
      <c r="AA362" s="17"/>
    </row>
    <row r="363" spans="1:27">
      <c r="A363" s="27">
        <f t="shared" si="46"/>
        <v>29.916666666666668</v>
      </c>
      <c r="B363" s="28">
        <f>'OptiMaxx plus'!$T$7+A363</f>
        <v>58.916666666666671</v>
      </c>
      <c r="C363" s="24">
        <f t="shared" si="47"/>
        <v>359</v>
      </c>
      <c r="D363" s="25">
        <f>+'No Deducible 93'!AD382</f>
        <v>14893011.237127608</v>
      </c>
      <c r="E363" s="25">
        <f>+'Deducible 151'!AD382</f>
        <v>14218983.329794647</v>
      </c>
      <c r="F363" s="25">
        <f>+'Deducible 185'!AD382</f>
        <v>14893011.237127608</v>
      </c>
      <c r="H363" s="24">
        <f t="shared" si="48"/>
        <v>359</v>
      </c>
      <c r="I363" s="25">
        <f>+'No Deducible 93'!Y382</f>
        <v>13811063.960418217</v>
      </c>
      <c r="J363" s="25">
        <f>+'Deducible 151'!Y382</f>
        <v>13281142.387718963</v>
      </c>
      <c r="K363" s="25">
        <f>+'Deducible 185'!Y382</f>
        <v>13811063.960418217</v>
      </c>
      <c r="O363" s="13"/>
      <c r="P363" s="13"/>
      <c r="Q363" s="13"/>
      <c r="Z363" s="18"/>
      <c r="AA363" s="17"/>
    </row>
    <row r="364" spans="1:27">
      <c r="A364" s="27">
        <f t="shared" si="46"/>
        <v>30</v>
      </c>
      <c r="B364" s="28">
        <f>'OptiMaxx plus'!$T$7+A364</f>
        <v>59</v>
      </c>
      <c r="C364" s="24">
        <f t="shared" si="47"/>
        <v>360</v>
      </c>
      <c r="D364" s="25">
        <f>+'No Deducible 93'!AD383</f>
        <v>14996502.076239616</v>
      </c>
      <c r="E364" s="25">
        <f>+'Deducible 151'!AD383</f>
        <v>14315986.947575254</v>
      </c>
      <c r="F364" s="25">
        <f>+'Deducible 185'!AD383</f>
        <v>14996502.076239616</v>
      </c>
      <c r="H364" s="24">
        <f t="shared" si="48"/>
        <v>360</v>
      </c>
      <c r="I364" s="25">
        <f>+'No Deducible 93'!Y383</f>
        <v>13917106.1490095</v>
      </c>
      <c r="J364" s="25">
        <f>+'Deducible 151'!Y383</f>
        <v>13381311.81123475</v>
      </c>
      <c r="K364" s="25">
        <f>+'Deducible 185'!Y383</f>
        <v>13917106.1490095</v>
      </c>
      <c r="O364" s="13"/>
      <c r="P364" s="13"/>
      <c r="Q364" s="13"/>
      <c r="Z364" s="18"/>
      <c r="AA364" s="17"/>
    </row>
    <row r="365" spans="1:27">
      <c r="A365" s="27">
        <f t="shared" si="46"/>
        <v>30.083333333333332</v>
      </c>
      <c r="B365" s="28">
        <f>'OptiMaxx plus'!$T$7+A365</f>
        <v>59.083333333333329</v>
      </c>
      <c r="C365" s="24">
        <f t="shared" si="47"/>
        <v>361</v>
      </c>
      <c r="D365" s="25">
        <f>+'No Deducible 93'!AD384</f>
        <v>15110511.310874972</v>
      </c>
      <c r="E365" s="25">
        <f>+'Deducible 151'!AD384</f>
        <v>14422965.198249303</v>
      </c>
      <c r="F365" s="25">
        <f>+'Deducible 185'!AD384</f>
        <v>15110511.310874972</v>
      </c>
      <c r="H365" s="24">
        <f t="shared" si="48"/>
        <v>361</v>
      </c>
      <c r="I365" s="25">
        <f>+'No Deducible 93'!Y384</f>
        <v>14023877.539470477</v>
      </c>
      <c r="J365" s="25">
        <f>+'Deducible 151'!Y384</f>
        <v>13482151.862938834</v>
      </c>
      <c r="K365" s="25">
        <f>+'Deducible 185'!Y384</f>
        <v>14023877.539470477</v>
      </c>
      <c r="O365" s="13"/>
      <c r="P365" s="13"/>
      <c r="Q365" s="13"/>
      <c r="Z365" s="18"/>
      <c r="AA365" s="17"/>
    </row>
    <row r="366" spans="1:27">
      <c r="A366" s="27">
        <f t="shared" si="46"/>
        <v>30.166666666666668</v>
      </c>
      <c r="B366" s="28">
        <f>'OptiMaxx plus'!$T$7+A366</f>
        <v>59.166666666666671</v>
      </c>
      <c r="C366" s="24">
        <f t="shared" si="47"/>
        <v>362</v>
      </c>
      <c r="D366" s="25">
        <f>+'No Deducible 93'!AD385</f>
        <v>15225313.008039035</v>
      </c>
      <c r="E366" s="25">
        <f>+'Deducible 151'!AD385</f>
        <v>14530670.046761304</v>
      </c>
      <c r="F366" s="25">
        <f>+'Deducible 185'!AD385</f>
        <v>15225313.008039035</v>
      </c>
      <c r="H366" s="24">
        <f t="shared" si="48"/>
        <v>362</v>
      </c>
      <c r="I366" s="25">
        <f>+'No Deducible 93'!Y385</f>
        <v>14131392.717192257</v>
      </c>
      <c r="J366" s="25">
        <f>+'Deducible 151'!Y385</f>
        <v>13583678.120145319</v>
      </c>
      <c r="K366" s="25">
        <f>+'Deducible 185'!Y385</f>
        <v>14131392.717192257</v>
      </c>
      <c r="O366" s="13"/>
      <c r="P366" s="13"/>
      <c r="Q366" s="13"/>
      <c r="Z366" s="18"/>
      <c r="AA366" s="17"/>
    </row>
    <row r="367" spans="1:27">
      <c r="A367" s="27">
        <f t="shared" si="46"/>
        <v>30.25</v>
      </c>
      <c r="B367" s="28">
        <f>'OptiMaxx plus'!$T$7+A367</f>
        <v>59.25</v>
      </c>
      <c r="C367" s="24">
        <f t="shared" si="47"/>
        <v>363</v>
      </c>
      <c r="D367" s="25">
        <f>+'No Deducible 93'!AD386</f>
        <v>15330998.003631216</v>
      </c>
      <c r="E367" s="25">
        <f>+'Deducible 151'!AD386</f>
        <v>14629690.414983179</v>
      </c>
      <c r="F367" s="25">
        <f>+'Deducible 185'!AD386</f>
        <v>15330998.003631216</v>
      </c>
      <c r="H367" s="24">
        <f t="shared" si="48"/>
        <v>363</v>
      </c>
      <c r="I367" s="25">
        <f>+'No Deducible 93'!Y386</f>
        <v>14239656.863520583</v>
      </c>
      <c r="J367" s="25">
        <f>+'Deducible 151'!Y386</f>
        <v>13685895.252407456</v>
      </c>
      <c r="K367" s="25">
        <f>+'Deducible 185'!Y386</f>
        <v>14239656.863520583</v>
      </c>
      <c r="O367" s="13"/>
      <c r="P367" s="13"/>
      <c r="Q367" s="13"/>
      <c r="Z367" s="18"/>
      <c r="AA367" s="17"/>
    </row>
    <row r="368" spans="1:27">
      <c r="A368" s="27">
        <f t="shared" si="46"/>
        <v>30.333333333333332</v>
      </c>
      <c r="B368" s="28">
        <f>'OptiMaxx plus'!$T$7+A368</f>
        <v>59.333333333333329</v>
      </c>
      <c r="C368" s="24">
        <f t="shared" si="47"/>
        <v>364</v>
      </c>
      <c r="D368" s="25">
        <f>+'No Deducible 93'!AD387</f>
        <v>15447334.708374776</v>
      </c>
      <c r="E368" s="25">
        <f>+'Deducible 151'!AD387</f>
        <v>14738801.264324911</v>
      </c>
      <c r="F368" s="25">
        <f>+'Deducible 185'!AD387</f>
        <v>15447334.708374776</v>
      </c>
      <c r="H368" s="24">
        <f t="shared" si="48"/>
        <v>364</v>
      </c>
      <c r="I368" s="25">
        <f>+'No Deducible 93'!Y387</f>
        <v>14348675.19589531</v>
      </c>
      <c r="J368" s="25">
        <f>+'Deducible 151'!Y387</f>
        <v>13788807.961054295</v>
      </c>
      <c r="K368" s="25">
        <f>+'Deducible 185'!Y387</f>
        <v>14348675.19589531</v>
      </c>
      <c r="O368" s="13"/>
      <c r="P368" s="13"/>
      <c r="Q368" s="13"/>
      <c r="Z368" s="18"/>
      <c r="AA368" s="17"/>
    </row>
    <row r="369" spans="1:27">
      <c r="A369" s="27">
        <f t="shared" si="46"/>
        <v>30.416666666666668</v>
      </c>
      <c r="B369" s="28">
        <f>'OptiMaxx plus'!$T$7+A369</f>
        <v>59.416666666666671</v>
      </c>
      <c r="C369" s="24">
        <f t="shared" si="47"/>
        <v>365</v>
      </c>
      <c r="D369" s="25">
        <f>+'No Deducible 93'!AD388</f>
        <v>15564480.072548842</v>
      </c>
      <c r="E369" s="25">
        <f>+'Deducible 151'!AD388</f>
        <v>14848653.210466467</v>
      </c>
      <c r="F369" s="25">
        <f>+'Deducible 185'!AD388</f>
        <v>15564480.072548842</v>
      </c>
      <c r="H369" s="24">
        <f t="shared" si="48"/>
        <v>365</v>
      </c>
      <c r="I369" s="25">
        <f>+'No Deducible 93'!Y388</f>
        <v>14458452.968101854</v>
      </c>
      <c r="J369" s="25">
        <f>+'Deducible 151'!Y388</f>
        <v>13892420.979406921</v>
      </c>
      <c r="K369" s="25">
        <f>+'Deducible 185'!Y388</f>
        <v>14458452.968101854</v>
      </c>
      <c r="O369" s="13"/>
      <c r="P369" s="13"/>
      <c r="Q369" s="13"/>
      <c r="Z369" s="18"/>
      <c r="AA369" s="17"/>
    </row>
    <row r="370" spans="1:27">
      <c r="A370" s="27">
        <f t="shared" si="46"/>
        <v>30.5</v>
      </c>
      <c r="B370" s="28">
        <f>'OptiMaxx plus'!$T$7+A370</f>
        <v>59.5</v>
      </c>
      <c r="C370" s="24">
        <f t="shared" si="47"/>
        <v>366</v>
      </c>
      <c r="D370" s="25">
        <f>+'No Deducible 93'!AD389</f>
        <v>15672415.316715403</v>
      </c>
      <c r="E370" s="25">
        <f>+'Deducible 151'!AD389</f>
        <v>14949743.278878447</v>
      </c>
      <c r="F370" s="25">
        <f>+'Deducible 185'!AD389</f>
        <v>15672415.316715403</v>
      </c>
      <c r="H370" s="24">
        <f t="shared" si="48"/>
        <v>366</v>
      </c>
      <c r="I370" s="25">
        <f>+'No Deducible 93'!Y389</f>
        <v>14568995.470524365</v>
      </c>
      <c r="J370" s="25">
        <f>+'Deducible 151'!Y389</f>
        <v>13996739.072996145</v>
      </c>
      <c r="K370" s="25">
        <f>+'Deducible 185'!Y389</f>
        <v>14568995.470524365</v>
      </c>
      <c r="O370" s="13"/>
      <c r="P370" s="13"/>
      <c r="Q370" s="13"/>
      <c r="Z370" s="18"/>
      <c r="AA370" s="17"/>
    </row>
    <row r="371" spans="1:27">
      <c r="A371" s="27">
        <f t="shared" si="46"/>
        <v>30.583333333333332</v>
      </c>
      <c r="B371" s="28">
        <f>'OptiMaxx plus'!$T$7+A371</f>
        <v>59.583333333333329</v>
      </c>
      <c r="C371" s="24">
        <f t="shared" si="47"/>
        <v>367</v>
      </c>
      <c r="D371" s="25">
        <f>+'No Deducible 93'!AD390</f>
        <v>15791127.6814887</v>
      </c>
      <c r="E371" s="25">
        <f>+'Deducible 151'!AD390</f>
        <v>15061029.913623076</v>
      </c>
      <c r="F371" s="25">
        <f>+'Deducible 185'!AD390</f>
        <v>15791127.6814887</v>
      </c>
      <c r="H371" s="24">
        <f t="shared" si="48"/>
        <v>367</v>
      </c>
      <c r="I371" s="25">
        <f>+'No Deducible 93'!Y390</f>
        <v>14680308.030400695</v>
      </c>
      <c r="J371" s="25">
        <f>+'Deducible 151'!Y390</f>
        <v>14101767.039781693</v>
      </c>
      <c r="K371" s="25">
        <f>+'Deducible 185'!Y390</f>
        <v>14680308.030400695</v>
      </c>
      <c r="O371" s="13"/>
      <c r="P371" s="13"/>
      <c r="Q371" s="13"/>
      <c r="Z371" s="18"/>
      <c r="AA371" s="17"/>
    </row>
    <row r="372" spans="1:27">
      <c r="A372" s="27">
        <f t="shared" si="46"/>
        <v>30.666666666666668</v>
      </c>
      <c r="B372" s="28">
        <f>'OptiMaxx plus'!$T$7+A372</f>
        <v>59.666666666666671</v>
      </c>
      <c r="C372" s="24">
        <f t="shared" si="47"/>
        <v>368</v>
      </c>
      <c r="D372" s="25">
        <f>+'No Deducible 93'!AD391</f>
        <v>15910665.238134569</v>
      </c>
      <c r="E372" s="25">
        <f>+'Deducible 151'!AD391</f>
        <v>15173072.437885083</v>
      </c>
      <c r="F372" s="25">
        <f>+'Deducible 185'!AD391</f>
        <v>15910665.238134569</v>
      </c>
      <c r="H372" s="24">
        <f t="shared" si="48"/>
        <v>368</v>
      </c>
      <c r="I372" s="25">
        <f>+'No Deducible 93'!Y391</f>
        <v>14792396.01207912</v>
      </c>
      <c r="J372" s="25">
        <f>+'Deducible 151'!Y391</f>
        <v>14207509.710372882</v>
      </c>
      <c r="K372" s="25">
        <f>+'Deducible 185'!Y391</f>
        <v>14792396.01207912</v>
      </c>
      <c r="O372" s="13"/>
      <c r="P372" s="13"/>
      <c r="Q372" s="13"/>
      <c r="Z372" s="18"/>
      <c r="AA372" s="17"/>
    </row>
    <row r="373" spans="1:27">
      <c r="A373" s="27">
        <f t="shared" si="46"/>
        <v>30.75</v>
      </c>
      <c r="B373" s="28">
        <f>'OptiMaxx plus'!$T$7+A373</f>
        <v>59.75</v>
      </c>
      <c r="C373" s="24">
        <f t="shared" si="47"/>
        <v>369</v>
      </c>
      <c r="D373" s="25">
        <f>+'No Deducible 93'!AD392</f>
        <v>16020898.36788531</v>
      </c>
      <c r="E373" s="25">
        <f>+'Deducible 151'!AD392</f>
        <v>15276275.083653707</v>
      </c>
      <c r="F373" s="25">
        <f>+'Deducible 185'!AD392</f>
        <v>16020898.36788531</v>
      </c>
      <c r="H373" s="24">
        <f t="shared" si="48"/>
        <v>369</v>
      </c>
      <c r="I373" s="25">
        <f>+'No Deducible 93'!Y392</f>
        <v>14905264.817276858</v>
      </c>
      <c r="J373" s="25">
        <f>+'Deducible 151'!Y392</f>
        <v>14313971.948250799</v>
      </c>
      <c r="K373" s="25">
        <f>+'Deducible 185'!Y392</f>
        <v>14905264.817276858</v>
      </c>
      <c r="O373" s="13"/>
      <c r="P373" s="13"/>
      <c r="Q373" s="13"/>
      <c r="Z373" s="18"/>
      <c r="AA373" s="17"/>
    </row>
    <row r="374" spans="1:27">
      <c r="A374" s="27">
        <f t="shared" si="46"/>
        <v>30.833333333333332</v>
      </c>
      <c r="B374" s="28">
        <f>'OptiMaxx plus'!$T$7+A374</f>
        <v>59.833333333333329</v>
      </c>
      <c r="C374" s="24">
        <f t="shared" si="47"/>
        <v>370</v>
      </c>
      <c r="D374" s="25">
        <f>+'No Deducible 93'!AD393</f>
        <v>16142035.587948451</v>
      </c>
      <c r="E374" s="25">
        <f>+'Deducible 151'!AD393</f>
        <v>15389781.571879053</v>
      </c>
      <c r="F374" s="25">
        <f>+'Deducible 185'!AD393</f>
        <v>16142035.587948451</v>
      </c>
      <c r="H374" s="24">
        <f t="shared" si="48"/>
        <v>370</v>
      </c>
      <c r="I374" s="25">
        <f>+'No Deducible 93'!Y393</f>
        <v>15018919.885340383</v>
      </c>
      <c r="J374" s="25">
        <f>+'Deducible 151'!Y393</f>
        <v>14421158.649991982</v>
      </c>
      <c r="K374" s="25">
        <f>+'Deducible 185'!Y393</f>
        <v>15018919.885340383</v>
      </c>
      <c r="O374" s="13"/>
      <c r="P374" s="13"/>
      <c r="Q374" s="13"/>
      <c r="Z374" s="18"/>
      <c r="AA374" s="17"/>
    </row>
    <row r="375" spans="1:27">
      <c r="A375" s="27">
        <f t="shared" si="46"/>
        <v>30.916666666666668</v>
      </c>
      <c r="B375" s="28">
        <f>'OptiMaxx plus'!$T$7+A375</f>
        <v>59.916666666666671</v>
      </c>
      <c r="C375" s="24">
        <f t="shared" si="47"/>
        <v>371</v>
      </c>
      <c r="D375" s="25">
        <f>+'No Deducible 93'!AD394</f>
        <v>16264014.874868333</v>
      </c>
      <c r="E375" s="25">
        <f>+'Deducible 151'!AD394</f>
        <v>15504059.042091265</v>
      </c>
      <c r="F375" s="25">
        <f>+'Deducible 185'!AD394</f>
        <v>16264014.874868333</v>
      </c>
      <c r="H375" s="24">
        <f t="shared" si="48"/>
        <v>371</v>
      </c>
      <c r="I375" s="25">
        <f>+'No Deducible 93'!Y394</f>
        <v>15133366.693507565</v>
      </c>
      <c r="J375" s="25">
        <f>+'Deducible 151'!Y394</f>
        <v>14529074.745493639</v>
      </c>
      <c r="K375" s="25">
        <f>+'Deducible 185'!Y394</f>
        <v>15133366.693507565</v>
      </c>
      <c r="O375" s="13"/>
      <c r="P375" s="13"/>
      <c r="Q375" s="13"/>
      <c r="Z375" s="18"/>
      <c r="AA375" s="17"/>
    </row>
    <row r="376" spans="1:27">
      <c r="A376" s="27">
        <f t="shared" si="46"/>
        <v>31</v>
      </c>
      <c r="B376" s="28">
        <f>'OptiMaxx plus'!$T$7+A376</f>
        <v>60</v>
      </c>
      <c r="C376" s="24">
        <f t="shared" si="47"/>
        <v>372</v>
      </c>
      <c r="D376" s="25">
        <f>+'No Deducible 93'!AD395</f>
        <v>16376594.532776529</v>
      </c>
      <c r="E376" s="25">
        <f>+'Deducible 151'!AD395</f>
        <v>15609418.026969438</v>
      </c>
      <c r="F376" s="25">
        <f>+'Deducible 185'!AD395</f>
        <v>16376594.532776529</v>
      </c>
      <c r="H376" s="24">
        <f t="shared" si="48"/>
        <v>372</v>
      </c>
      <c r="I376" s="25">
        <f>+'No Deducible 93'!Y395</f>
        <v>15248610.757171627</v>
      </c>
      <c r="J376" s="25">
        <f>+'Deducible 151'!Y395</f>
        <v>14637725.198200388</v>
      </c>
      <c r="K376" s="25">
        <f>+'Deducible 185'!Y395</f>
        <v>15248610.757171627</v>
      </c>
      <c r="O376" s="13"/>
      <c r="P376" s="13"/>
      <c r="Q376" s="13"/>
      <c r="Z376" s="18"/>
      <c r="AA376" s="17"/>
    </row>
    <row r="377" spans="1:27">
      <c r="A377" s="27">
        <f t="shared" si="46"/>
        <v>31.083333333333332</v>
      </c>
      <c r="B377" s="28">
        <f>'OptiMaxx plus'!$T$7+A377</f>
        <v>60.083333333333329</v>
      </c>
      <c r="C377" s="24">
        <f t="shared" si="47"/>
        <v>373</v>
      </c>
      <c r="D377" s="25">
        <f>+'No Deducible 93'!AD396</f>
        <v>16500196.943910655</v>
      </c>
      <c r="E377" s="25">
        <f>+'Deducible 151'!AD396</f>
        <v>15725177.881836014</v>
      </c>
      <c r="F377" s="25">
        <f>+'Deducible 185'!AD396</f>
        <v>16500196.943910655</v>
      </c>
      <c r="H377" s="24">
        <f t="shared" si="48"/>
        <v>373</v>
      </c>
      <c r="I377" s="25">
        <f>+'No Deducible 93'!Y396</f>
        <v>15364647.744271321</v>
      </c>
      <c r="J377" s="25">
        <f>+'Deducible 151'!Y396</f>
        <v>14747103.551019266</v>
      </c>
      <c r="K377" s="25">
        <f>+'Deducible 185'!Y396</f>
        <v>15364647.744271321</v>
      </c>
      <c r="O377" s="13"/>
      <c r="P377" s="13"/>
      <c r="Q377" s="13"/>
      <c r="Z377" s="18"/>
      <c r="AA377" s="17"/>
    </row>
    <row r="378" spans="1:27">
      <c r="A378" s="27">
        <f t="shared" si="46"/>
        <v>31.166666666666668</v>
      </c>
      <c r="B378" s="28">
        <f>'OptiMaxx plus'!$T$7+A378</f>
        <v>60.166666666666671</v>
      </c>
      <c r="C378" s="24">
        <f t="shared" si="47"/>
        <v>374</v>
      </c>
      <c r="D378" s="25">
        <f>+'No Deducible 93'!AD397</f>
        <v>16624658.577709692</v>
      </c>
      <c r="E378" s="25">
        <f>+'Deducible 151'!AD397</f>
        <v>15841724.03908461</v>
      </c>
      <c r="F378" s="25">
        <f>+'Deducible 185'!AD397</f>
        <v>16624658.577709692</v>
      </c>
      <c r="H378" s="24">
        <f t="shared" si="48"/>
        <v>374</v>
      </c>
      <c r="I378" s="25">
        <f>+'No Deducible 93'!Y397</f>
        <v>15481493.064318767</v>
      </c>
      <c r="J378" s="25">
        <f>+'Deducible 151'!Y397</f>
        <v>14857226.211544055</v>
      </c>
      <c r="K378" s="25">
        <f>+'Deducible 185'!Y397</f>
        <v>15481493.064318767</v>
      </c>
      <c r="O378" s="13"/>
      <c r="P378" s="13"/>
      <c r="Q378" s="13"/>
      <c r="Z378" s="18"/>
      <c r="AA378" s="17"/>
    </row>
    <row r="379" spans="1:27">
      <c r="A379" s="27">
        <f t="shared" si="46"/>
        <v>31.25</v>
      </c>
      <c r="B379" s="28">
        <f>'OptiMaxx plus'!$T$7+A379</f>
        <v>60.25</v>
      </c>
      <c r="C379" s="24">
        <f t="shared" si="47"/>
        <v>375</v>
      </c>
      <c r="D379" s="25">
        <f>+'No Deducible 93'!AD398</f>
        <v>16739624.409018742</v>
      </c>
      <c r="E379" s="25">
        <f>+'Deducible 151'!AD398</f>
        <v>15949272.416891137</v>
      </c>
      <c r="F379" s="25">
        <f>+'Deducible 185'!AD398</f>
        <v>16739624.409018742</v>
      </c>
      <c r="H379" s="24">
        <f t="shared" si="48"/>
        <v>375</v>
      </c>
      <c r="I379" s="25">
        <f>+'No Deducible 93'!Y398</f>
        <v>15599152.348295692</v>
      </c>
      <c r="J379" s="25">
        <f>+'Deducible 151'!Y398</f>
        <v>14968098.244707134</v>
      </c>
      <c r="K379" s="25">
        <f>+'Deducible 185'!Y398</f>
        <v>15599152.348295692</v>
      </c>
      <c r="O379" s="13"/>
      <c r="P379" s="13"/>
      <c r="Q379" s="13"/>
      <c r="Z379" s="18"/>
      <c r="AA379" s="17"/>
    </row>
    <row r="380" spans="1:27">
      <c r="A380" s="27">
        <f t="shared" si="46"/>
        <v>31.333333333333332</v>
      </c>
      <c r="B380" s="28">
        <f>'OptiMaxx plus'!$T$7+A380</f>
        <v>60.333333333333329</v>
      </c>
      <c r="C380" s="24">
        <f t="shared" si="47"/>
        <v>376</v>
      </c>
      <c r="D380" s="25">
        <f>+'No Deducible 93'!AD399</f>
        <v>16865752.958610486</v>
      </c>
      <c r="E380" s="25">
        <f>+'Deducible 151'!AD399</f>
        <v>16067342.742574915</v>
      </c>
      <c r="F380" s="25">
        <f>+'Deducible 185'!AD399</f>
        <v>16865752.958610486</v>
      </c>
      <c r="H380" s="24">
        <f t="shared" si="48"/>
        <v>376</v>
      </c>
      <c r="I380" s="25">
        <f>+'No Deducible 93'!Y399</f>
        <v>15717631.266410183</v>
      </c>
      <c r="J380" s="25">
        <f>+'Deducible 151'!Y399</f>
        <v>15079724.749907196</v>
      </c>
      <c r="K380" s="25">
        <f>+'Deducible 185'!Y399</f>
        <v>15717631.266410183</v>
      </c>
      <c r="O380" s="13"/>
      <c r="P380" s="13"/>
      <c r="Q380" s="13"/>
      <c r="Z380" s="18"/>
      <c r="AA380" s="17"/>
    </row>
    <row r="381" spans="1:27">
      <c r="A381" s="27">
        <f t="shared" si="46"/>
        <v>31.416666666666668</v>
      </c>
      <c r="B381" s="28">
        <f>'OptiMaxx plus'!$T$7+A381</f>
        <v>60.416666666666671</v>
      </c>
      <c r="C381" s="24">
        <f t="shared" si="47"/>
        <v>377</v>
      </c>
      <c r="D381" s="25">
        <f>+'No Deducible 93'!AD400</f>
        <v>16992758.311081603</v>
      </c>
      <c r="E381" s="25">
        <f>+'Deducible 151'!AD400</f>
        <v>16186215.079494582</v>
      </c>
      <c r="F381" s="25">
        <f>+'Deducible 185'!AD400</f>
        <v>16992758.311081603</v>
      </c>
      <c r="H381" s="24">
        <f t="shared" si="48"/>
        <v>377</v>
      </c>
      <c r="I381" s="25">
        <f>+'No Deducible 93'!Y400</f>
        <v>15836935.528369939</v>
      </c>
      <c r="J381" s="25">
        <f>+'Deducible 151'!Y400</f>
        <v>15192110.861243783</v>
      </c>
      <c r="K381" s="25">
        <f>+'Deducible 185'!Y400</f>
        <v>15836935.528369939</v>
      </c>
      <c r="O381" s="13"/>
      <c r="P381" s="13"/>
      <c r="Q381" s="13"/>
      <c r="Z381" s="18"/>
      <c r="AA381" s="17"/>
    </row>
    <row r="382" spans="1:27">
      <c r="A382" s="27">
        <f t="shared" si="46"/>
        <v>31.5</v>
      </c>
      <c r="B382" s="28">
        <f>'OptiMaxx plus'!$T$7+A382</f>
        <v>60.5</v>
      </c>
      <c r="C382" s="24">
        <f t="shared" si="47"/>
        <v>378</v>
      </c>
      <c r="D382" s="25">
        <f>+'No Deducible 93'!AD401</f>
        <v>17110170.846661616</v>
      </c>
      <c r="E382" s="25">
        <f>+'Deducible 151'!AD401</f>
        <v>16296009.808259979</v>
      </c>
      <c r="F382" s="25">
        <f>+'Deducible 185'!AD401</f>
        <v>17110170.846661616</v>
      </c>
      <c r="H382" s="24">
        <f t="shared" si="48"/>
        <v>378</v>
      </c>
      <c r="I382" s="25">
        <f>+'No Deducible 93'!Y401</f>
        <v>15957070.883657429</v>
      </c>
      <c r="J382" s="25">
        <f>+'Deducible 151'!Y401</f>
        <v>15305261.747753421</v>
      </c>
      <c r="K382" s="25">
        <f>+'Deducible 185'!Y401</f>
        <v>15957070.883657429</v>
      </c>
      <c r="O382" s="13"/>
      <c r="P382" s="13"/>
      <c r="Q382" s="13"/>
      <c r="Z382" s="18"/>
      <c r="AA382" s="17"/>
    </row>
    <row r="383" spans="1:27">
      <c r="A383" s="27">
        <f t="shared" si="46"/>
        <v>31.583333333333332</v>
      </c>
      <c r="B383" s="28">
        <f>'OptiMaxx plus'!$T$7+A383</f>
        <v>60.583333333333329</v>
      </c>
      <c r="C383" s="24">
        <f t="shared" si="47"/>
        <v>379</v>
      </c>
      <c r="D383" s="25">
        <f>+'No Deducible 93'!AD402</f>
        <v>17238877.869734593</v>
      </c>
      <c r="E383" s="25">
        <f>+'Deducible 151'!AD402</f>
        <v>16416437.421837194</v>
      </c>
      <c r="F383" s="25">
        <f>+'Deducible 185'!AD402</f>
        <v>17238877.869734593</v>
      </c>
      <c r="H383" s="24">
        <f t="shared" si="48"/>
        <v>379</v>
      </c>
      <c r="I383" s="25">
        <f>+'No Deducible 93'!Y402</f>
        <v>16078043.121806977</v>
      </c>
      <c r="J383" s="25">
        <f>+'Deducible 151'!Y402</f>
        <v>15419182.613647362</v>
      </c>
      <c r="K383" s="25">
        <f>+'Deducible 185'!Y402</f>
        <v>16078043.121806977</v>
      </c>
      <c r="O383" s="13"/>
      <c r="P383" s="13"/>
      <c r="Q383" s="13"/>
      <c r="Z383" s="18"/>
      <c r="AA383" s="17"/>
    </row>
    <row r="384" spans="1:27">
      <c r="A384" s="27">
        <f t="shared" si="46"/>
        <v>31.666666666666668</v>
      </c>
      <c r="B384" s="28">
        <f>'OptiMaxx plus'!$T$7+A384</f>
        <v>60.666666666666671</v>
      </c>
      <c r="C384" s="24">
        <f t="shared" si="47"/>
        <v>380</v>
      </c>
      <c r="D384" s="25">
        <f>+'No Deducible 93'!AD403</f>
        <v>17368479.640311006</v>
      </c>
      <c r="E384" s="25">
        <f>+'Deducible 151'!AD403</f>
        <v>16537683.073959079</v>
      </c>
      <c r="F384" s="25">
        <f>+'Deducible 185'!AD403</f>
        <v>17368479.640311006</v>
      </c>
      <c r="H384" s="24">
        <f t="shared" si="48"/>
        <v>380</v>
      </c>
      <c r="I384" s="25">
        <f>+'No Deducible 93'!Y403</f>
        <v>16199858.072683763</v>
      </c>
      <c r="J384" s="25">
        <f>+'Deducible 151'!Y403</f>
        <v>15533878.698550947</v>
      </c>
      <c r="K384" s="25">
        <f>+'Deducible 185'!Y403</f>
        <v>16199858.072683763</v>
      </c>
      <c r="O384" s="13"/>
      <c r="P384" s="13"/>
      <c r="Q384" s="13"/>
      <c r="Z384" s="18"/>
      <c r="AA384" s="17"/>
    </row>
    <row r="385" spans="1:27">
      <c r="A385" s="27">
        <f t="shared" si="46"/>
        <v>31.75</v>
      </c>
      <c r="B385" s="28">
        <f>'OptiMaxx plus'!$T$7+A385</f>
        <v>60.75</v>
      </c>
      <c r="C385" s="24">
        <f t="shared" si="47"/>
        <v>381</v>
      </c>
      <c r="D385" s="25">
        <f>+'No Deducible 93'!AD404</f>
        <v>17488390.663953274</v>
      </c>
      <c r="E385" s="25">
        <f>+'Deducible 151'!AD404</f>
        <v>16649770.675080182</v>
      </c>
      <c r="F385" s="25">
        <f>+'Deducible 185'!AD404</f>
        <v>17488390.663953274</v>
      </c>
      <c r="H385" s="24">
        <f t="shared" si="48"/>
        <v>381</v>
      </c>
      <c r="I385" s="25">
        <f>+'No Deducible 93'!Y404</f>
        <v>16322521.606764778</v>
      </c>
      <c r="J385" s="25">
        <f>+'Deducible 151'!Y404</f>
        <v>15649355.277744593</v>
      </c>
      <c r="K385" s="25">
        <f>+'Deducible 185'!Y404</f>
        <v>16322521.606764778</v>
      </c>
      <c r="O385" s="13"/>
      <c r="P385" s="13"/>
      <c r="Q385" s="13"/>
      <c r="Z385" s="18"/>
      <c r="AA385" s="17"/>
    </row>
    <row r="386" spans="1:27">
      <c r="A386" s="27">
        <f t="shared" si="46"/>
        <v>31.833333333333332</v>
      </c>
      <c r="B386" s="28">
        <f>'OptiMaxx plus'!$T$7+A386</f>
        <v>60.833333333333329</v>
      </c>
      <c r="C386" s="24">
        <f t="shared" si="47"/>
        <v>382</v>
      </c>
      <c r="D386" s="25">
        <f>+'No Deducible 93'!AD405</f>
        <v>17619729.587699443</v>
      </c>
      <c r="E386" s="25">
        <f>+'Deducible 151'!AD405</f>
        <v>16772603.349337028</v>
      </c>
      <c r="F386" s="25">
        <f>+'Deducible 185'!AD405</f>
        <v>17619729.587699443</v>
      </c>
      <c r="H386" s="24">
        <f t="shared" si="48"/>
        <v>382</v>
      </c>
      <c r="I386" s="25">
        <f>+'No Deducible 93'!Y405</f>
        <v>16446039.635421736</v>
      </c>
      <c r="J386" s="25">
        <f>+'Deducible 151'!Y405</f>
        <v>15765617.662406422</v>
      </c>
      <c r="K386" s="25">
        <f>+'Deducible 185'!Y405</f>
        <v>16446039.635421736</v>
      </c>
      <c r="O386" s="13"/>
      <c r="P386" s="13"/>
      <c r="Q386" s="13"/>
      <c r="Z386" s="18"/>
      <c r="AA386" s="17"/>
    </row>
    <row r="387" spans="1:27">
      <c r="A387" s="27">
        <f t="shared" si="46"/>
        <v>31.916666666666668</v>
      </c>
      <c r="B387" s="28">
        <f>'OptiMaxx plus'!$T$7+A387</f>
        <v>60.916666666666671</v>
      </c>
      <c r="C387" s="24">
        <f t="shared" si="47"/>
        <v>383</v>
      </c>
      <c r="D387" s="25">
        <f>+'No Deducible 93'!AD406</f>
        <v>17751981.575589366</v>
      </c>
      <c r="E387" s="25">
        <f>+'Deducible 151'!AD406</f>
        <v>16896270.414404485</v>
      </c>
      <c r="F387" s="25">
        <f>+'Deducible 185'!AD406</f>
        <v>17751981.575589366</v>
      </c>
      <c r="H387" s="24">
        <f t="shared" si="48"/>
        <v>383</v>
      </c>
      <c r="I387" s="25">
        <f>+'No Deducible 93'!Y406</f>
        <v>16570418.111205941</v>
      </c>
      <c r="J387" s="25">
        <f>+'Deducible 151'!Y406</f>
        <v>15882671.199856542</v>
      </c>
      <c r="K387" s="25">
        <f>+'Deducible 185'!Y406</f>
        <v>16570418.111205941</v>
      </c>
      <c r="O387" s="13"/>
      <c r="P387" s="13"/>
      <c r="Q387" s="13"/>
      <c r="Z387" s="18"/>
      <c r="AA387" s="17"/>
    </row>
    <row r="388" spans="1:27">
      <c r="A388" s="27">
        <f t="shared" si="46"/>
        <v>32</v>
      </c>
      <c r="B388" s="28">
        <f>'OptiMaxx plus'!$T$7+A388</f>
        <v>61</v>
      </c>
      <c r="C388" s="24">
        <f t="shared" si="47"/>
        <v>384</v>
      </c>
      <c r="D388" s="25">
        <f>+'No Deducible 93'!AD407</f>
        <v>17874443.964052808</v>
      </c>
      <c r="E388" s="25">
        <f>+'Deducible 151'!AD407</f>
        <v>17010698.368898436</v>
      </c>
      <c r="F388" s="25">
        <f>+'Deducible 185'!AD407</f>
        <v>17874443.964052808</v>
      </c>
      <c r="H388" s="24">
        <f t="shared" si="48"/>
        <v>384</v>
      </c>
      <c r="I388" s="25">
        <f>+'No Deducible 93'!Y407</f>
        <v>16695663.028135167</v>
      </c>
      <c r="J388" s="25">
        <f>+'Deducible 151'!Y407</f>
        <v>16000521.273802986</v>
      </c>
      <c r="K388" s="25">
        <f>+'Deducible 185'!Y407</f>
        <v>16695663.028135167</v>
      </c>
      <c r="O388" s="13"/>
      <c r="P388" s="13"/>
      <c r="Q388" s="13"/>
      <c r="Z388" s="18"/>
      <c r="AA388" s="17"/>
    </row>
    <row r="389" spans="1:27">
      <c r="A389" s="27">
        <f t="shared" si="46"/>
        <v>32.083333333333336</v>
      </c>
      <c r="B389" s="28">
        <f>'OptiMaxx plus'!$T$7+A389</f>
        <v>61.083333333333336</v>
      </c>
      <c r="C389" s="24">
        <f t="shared" si="47"/>
        <v>385</v>
      </c>
      <c r="D389" s="25">
        <f>+'No Deducible 93'!AD408</f>
        <v>18008459.04940265</v>
      </c>
      <c r="E389" s="25">
        <f>+'Deducible 151'!AD408</f>
        <v>17135972.939424697</v>
      </c>
      <c r="F389" s="25">
        <f>+'Deducible 185'!AD408</f>
        <v>18008459.04940265</v>
      </c>
      <c r="H389" s="24">
        <f t="shared" si="48"/>
        <v>385</v>
      </c>
      <c r="I389" s="25">
        <f>+'No Deducible 93'!Y408</f>
        <v>16821770.140671875</v>
      </c>
      <c r="J389" s="25">
        <f>+'Deducible 151'!Y408</f>
        <v>16119161.392103527</v>
      </c>
      <c r="K389" s="25">
        <f>+'Deducible 185'!Y408</f>
        <v>16821770.140671875</v>
      </c>
      <c r="O389" s="13"/>
      <c r="P389" s="13"/>
      <c r="Q389" s="13"/>
      <c r="Z389" s="18"/>
      <c r="AA389" s="17"/>
    </row>
    <row r="390" spans="1:27">
      <c r="A390" s="27">
        <f t="shared" ref="A390:A453" si="49">+C390/12</f>
        <v>32.166666666666664</v>
      </c>
      <c r="B390" s="28">
        <f>'OptiMaxx plus'!$T$7+A390</f>
        <v>61.166666666666664</v>
      </c>
      <c r="C390" s="24">
        <f t="shared" si="47"/>
        <v>386</v>
      </c>
      <c r="D390" s="25">
        <f>+'No Deducible 93'!AD409</f>
        <v>18143405.823697522</v>
      </c>
      <c r="E390" s="25">
        <f>+'Deducible 151'!AD409</f>
        <v>17262098.503557008</v>
      </c>
      <c r="F390" s="25">
        <f>+'Deducible 185'!AD409</f>
        <v>18143405.823697522</v>
      </c>
      <c r="H390" s="24">
        <f t="shared" si="48"/>
        <v>386</v>
      </c>
      <c r="I390" s="25">
        <f>+'No Deducible 93'!Y409</f>
        <v>16948755.736324672</v>
      </c>
      <c r="J390" s="25">
        <f>+'Deducible 151'!Y409</f>
        <v>16238608.843409231</v>
      </c>
      <c r="K390" s="25">
        <f>+'Deducible 185'!Y409</f>
        <v>16948755.736324672</v>
      </c>
      <c r="O390" s="13"/>
      <c r="P390" s="13"/>
      <c r="Q390" s="13"/>
      <c r="Z390" s="18"/>
      <c r="AA390" s="17"/>
    </row>
    <row r="391" spans="1:27">
      <c r="A391" s="27">
        <f t="shared" si="49"/>
        <v>32.25</v>
      </c>
      <c r="B391" s="28">
        <f>'OptiMaxx plus'!$T$7+A391</f>
        <v>61.25</v>
      </c>
      <c r="C391" s="24">
        <f t="shared" ref="C391:C408" si="50">+C390+1</f>
        <v>387</v>
      </c>
      <c r="D391" s="25">
        <f>+'No Deducible 93'!AD410</f>
        <v>18268463.144692671</v>
      </c>
      <c r="E391" s="25">
        <f>+'Deducible 151'!AD410</f>
        <v>17378903.196654912</v>
      </c>
      <c r="F391" s="25">
        <f>+'Deducible 185'!AD410</f>
        <v>18268463.144692671</v>
      </c>
      <c r="H391" s="24">
        <f t="shared" ref="H391:H408" si="51">+H390+1</f>
        <v>387</v>
      </c>
      <c r="I391" s="25">
        <f>+'No Deducible 93'!Y410</f>
        <v>17076625.934753027</v>
      </c>
      <c r="J391" s="25">
        <f>+'Deducible 151'!Y410</f>
        <v>16358869.121532734</v>
      </c>
      <c r="K391" s="25">
        <f>+'Deducible 185'!Y410</f>
        <v>17076625.934753027</v>
      </c>
      <c r="O391" s="13"/>
      <c r="P391" s="13"/>
      <c r="Q391" s="13"/>
      <c r="Z391" s="18"/>
      <c r="AA391" s="17"/>
    </row>
    <row r="392" spans="1:27">
      <c r="A392" s="27">
        <f t="shared" si="49"/>
        <v>32.333333333333336</v>
      </c>
      <c r="B392" s="28">
        <f>'OptiMaxx plus'!$T$7+A392</f>
        <v>61.333333333333336</v>
      </c>
      <c r="C392" s="24">
        <f t="shared" si="50"/>
        <v>388</v>
      </c>
      <c r="D392" s="25">
        <f>+'No Deducible 93'!AD411</f>
        <v>18405220.137244038</v>
      </c>
      <c r="E392" s="25">
        <f>+'Deducible 151'!AD411</f>
        <v>17506681.074434549</v>
      </c>
      <c r="F392" s="25">
        <f>+'Deducible 185'!AD411</f>
        <v>18405220.137244038</v>
      </c>
      <c r="H392" s="24">
        <f t="shared" si="51"/>
        <v>388</v>
      </c>
      <c r="I392" s="25">
        <f>+'No Deducible 93'!Y411</f>
        <v>17205386.898246974</v>
      </c>
      <c r="J392" s="25">
        <f>+'Deducible 151'!Y411</f>
        <v>16479947.757671472</v>
      </c>
      <c r="K392" s="25">
        <f>+'Deducible 185'!Y411</f>
        <v>17205386.898246974</v>
      </c>
      <c r="O392" s="13"/>
      <c r="P392" s="13"/>
      <c r="Q392" s="13"/>
      <c r="Z392" s="18"/>
      <c r="AA392" s="17"/>
    </row>
    <row r="393" spans="1:27">
      <c r="A393" s="27">
        <f t="shared" si="49"/>
        <v>32.416666666666664</v>
      </c>
      <c r="B393" s="28">
        <f>'OptiMaxx plus'!$T$7+A393</f>
        <v>61.416666666666664</v>
      </c>
      <c r="C393" s="24">
        <f t="shared" si="50"/>
        <v>389</v>
      </c>
      <c r="D393" s="25">
        <f>+'No Deducible 93'!AD412</f>
        <v>18542927.901366845</v>
      </c>
      <c r="E393" s="25">
        <f>+'Deducible 151'!AD412</f>
        <v>17635326.966376759</v>
      </c>
      <c r="F393" s="25">
        <f>+'Deducible 185'!AD412</f>
        <v>18542927.901366845</v>
      </c>
      <c r="H393" s="24">
        <f t="shared" si="51"/>
        <v>389</v>
      </c>
      <c r="I393" s="25">
        <f>+'No Deducible 93'!Y412</f>
        <v>17335044.832024086</v>
      </c>
      <c r="J393" s="25">
        <f>+'Deducible 151'!Y412</f>
        <v>16601850.320662063</v>
      </c>
      <c r="K393" s="25">
        <f>+'Deducible 185'!Y412</f>
        <v>17335044.832024086</v>
      </c>
      <c r="O393" s="13"/>
      <c r="P393" s="13"/>
      <c r="Q393" s="13"/>
      <c r="Z393" s="18"/>
      <c r="AA393" s="17"/>
    </row>
    <row r="394" spans="1:27">
      <c r="A394" s="27">
        <f t="shared" si="49"/>
        <v>32.5</v>
      </c>
      <c r="B394" s="28">
        <f>'OptiMaxx plus'!$T$7+A394</f>
        <v>61.5</v>
      </c>
      <c r="C394" s="24">
        <f t="shared" si="50"/>
        <v>390</v>
      </c>
      <c r="D394" s="25">
        <f>+'No Deducible 93'!AD413</f>
        <v>18670645.492844682</v>
      </c>
      <c r="E394" s="25">
        <f>+'Deducible 151'!AD413</f>
        <v>17754569.684987046</v>
      </c>
      <c r="F394" s="25">
        <f>+'Deducible 185'!AD413</f>
        <v>18670645.492844682</v>
      </c>
      <c r="H394" s="24">
        <f t="shared" si="51"/>
        <v>390</v>
      </c>
      <c r="I394" s="25">
        <f>+'No Deducible 93'!Y413</f>
        <v>17465605.984528508</v>
      </c>
      <c r="J394" s="25">
        <f>+'Deducible 151'!Y413</f>
        <v>16724582.417236453</v>
      </c>
      <c r="K394" s="25">
        <f>+'Deducible 185'!Y413</f>
        <v>17465605.984528508</v>
      </c>
      <c r="O394" s="13"/>
      <c r="P394" s="13"/>
      <c r="Q394" s="13"/>
      <c r="Z394" s="18"/>
      <c r="AA394" s="17"/>
    </row>
    <row r="395" spans="1:27">
      <c r="A395" s="27">
        <f t="shared" si="49"/>
        <v>32.583333333333336</v>
      </c>
      <c r="B395" s="28">
        <f>'OptiMaxx plus'!$T$7+A395</f>
        <v>61.583333333333336</v>
      </c>
      <c r="C395" s="24">
        <f t="shared" si="50"/>
        <v>391</v>
      </c>
      <c r="D395" s="25">
        <f>+'No Deducible 93'!AD414</f>
        <v>18810201.230957676</v>
      </c>
      <c r="E395" s="25">
        <f>+'Deducible 151'!AD414</f>
        <v>17884901.623995718</v>
      </c>
      <c r="F395" s="25">
        <f>+'Deducible 185'!AD414</f>
        <v>18810201.230957676</v>
      </c>
      <c r="H395" s="24">
        <f t="shared" si="51"/>
        <v>391</v>
      </c>
      <c r="I395" s="25">
        <f>+'No Deducible 93'!Y414</f>
        <v>17597076.64773209</v>
      </c>
      <c r="J395" s="25">
        <f>+'Deducible 151'!Y414</f>
        <v>16848149.692279786</v>
      </c>
      <c r="K395" s="25">
        <f>+'Deducible 185'!Y414</f>
        <v>17597076.64773209</v>
      </c>
      <c r="O395" s="13"/>
      <c r="P395" s="13"/>
      <c r="Q395" s="13"/>
      <c r="Z395" s="18"/>
      <c r="AA395" s="17"/>
    </row>
    <row r="396" spans="1:27">
      <c r="A396" s="27">
        <f t="shared" si="49"/>
        <v>32.666666666666664</v>
      </c>
      <c r="B396" s="28">
        <f>'OptiMaxx plus'!$T$7+A396</f>
        <v>61.666666666666664</v>
      </c>
      <c r="C396" s="24">
        <f t="shared" si="50"/>
        <v>392</v>
      </c>
      <c r="D396" s="25">
        <f>+'No Deducible 93'!AD415</f>
        <v>18950727.219042711</v>
      </c>
      <c r="E396" s="25">
        <f>+'Deducible 151'!AD415</f>
        <v>18016118.942963518</v>
      </c>
      <c r="F396" s="25">
        <f>+'Deducible 185'!AD415</f>
        <v>18950727.219042711</v>
      </c>
      <c r="H396" s="24">
        <f t="shared" si="51"/>
        <v>392</v>
      </c>
      <c r="I396" s="25">
        <f>+'No Deducible 93'!Y415</f>
        <v>17729463.157437608</v>
      </c>
      <c r="J396" s="25">
        <f>+'Deducible 151'!Y415</f>
        <v>16972557.829090029</v>
      </c>
      <c r="K396" s="25">
        <f>+'Deducible 185'!Y415</f>
        <v>17729463.157437608</v>
      </c>
      <c r="O396" s="13"/>
      <c r="P396" s="13"/>
      <c r="Q396" s="13"/>
      <c r="Z396" s="18"/>
      <c r="AA396" s="17"/>
    </row>
    <row r="397" spans="1:27">
      <c r="A397" s="27">
        <f t="shared" si="49"/>
        <v>32.75</v>
      </c>
      <c r="B397" s="28">
        <f>'OptiMaxx plus'!$T$7+A397</f>
        <v>61.75</v>
      </c>
      <c r="C397" s="24">
        <f t="shared" si="50"/>
        <v>393</v>
      </c>
      <c r="D397" s="25">
        <f>+'No Deducible 93'!AD416</f>
        <v>19081161.372216277</v>
      </c>
      <c r="E397" s="25">
        <f>+'Deducible 151'!AD416</f>
        <v>18137850.162041564</v>
      </c>
      <c r="F397" s="25">
        <f>+'Deducible 185'!AD416</f>
        <v>19081161.372216277</v>
      </c>
      <c r="H397" s="24">
        <f t="shared" si="51"/>
        <v>393</v>
      </c>
      <c r="I397" s="25">
        <f>+'No Deducible 93'!Y416</f>
        <v>17862771.893584084</v>
      </c>
      <c r="J397" s="25">
        <f>+'Deducible 151'!Y416</f>
        <v>17097812.54963937</v>
      </c>
      <c r="K397" s="25">
        <f>+'Deducible 185'!Y416</f>
        <v>17862771.893584084</v>
      </c>
      <c r="O397" s="13"/>
      <c r="P397" s="13"/>
      <c r="Q397" s="13"/>
      <c r="Z397" s="18"/>
      <c r="AA397" s="17"/>
    </row>
    <row r="398" spans="1:27">
      <c r="A398" s="27">
        <f t="shared" si="49"/>
        <v>32.833333333333336</v>
      </c>
      <c r="B398" s="28">
        <f>'OptiMaxx plus'!$T$7+A398</f>
        <v>61.833333333333336</v>
      </c>
      <c r="C398" s="24">
        <f t="shared" si="50"/>
        <v>394</v>
      </c>
      <c r="D398" s="25">
        <f>+'No Deducible 93'!AD417</f>
        <v>19223573.880769432</v>
      </c>
      <c r="E398" s="25">
        <f>+'Deducible 151'!AD417</f>
        <v>18270787.952623282</v>
      </c>
      <c r="F398" s="25">
        <f>+'Deducible 185'!AD417</f>
        <v>19223573.880769432</v>
      </c>
      <c r="H398" s="24">
        <f t="shared" si="51"/>
        <v>394</v>
      </c>
      <c r="I398" s="25">
        <f>+'No Deducible 93'!Y417</f>
        <v>17997009.280554261</v>
      </c>
      <c r="J398" s="25">
        <f>+'Deducible 151'!Y417</f>
        <v>17223919.614837389</v>
      </c>
      <c r="K398" s="25">
        <f>+'Deducible 185'!Y417</f>
        <v>17997009.280554261</v>
      </c>
      <c r="O398" s="13"/>
      <c r="P398" s="13"/>
      <c r="Q398" s="13"/>
      <c r="Z398" s="18"/>
      <c r="AA398" s="17"/>
    </row>
    <row r="399" spans="1:27">
      <c r="A399" s="27">
        <f t="shared" si="49"/>
        <v>32.916666666666664</v>
      </c>
      <c r="B399" s="28">
        <f>'OptiMaxx plus'!$T$7+A399</f>
        <v>61.916666666666664</v>
      </c>
      <c r="C399" s="24">
        <f t="shared" si="50"/>
        <v>395</v>
      </c>
      <c r="D399" s="25">
        <f>+'No Deducible 93'!AD418</f>
        <v>19366976.521733291</v>
      </c>
      <c r="E399" s="25">
        <f>+'Deducible 151'!AD418</f>
        <v>18404628.841251809</v>
      </c>
      <c r="F399" s="25">
        <f>+'Deducible 185'!AD418</f>
        <v>19366976.521733291</v>
      </c>
      <c r="H399" s="24">
        <f t="shared" si="51"/>
        <v>395</v>
      </c>
      <c r="I399" s="25">
        <f>+'No Deducible 93'!Y418</f>
        <v>18132181.787484203</v>
      </c>
      <c r="J399" s="25">
        <f>+'Deducible 151'!Y418</f>
        <v>17350884.824796028</v>
      </c>
      <c r="K399" s="25">
        <f>+'Deducible 185'!Y418</f>
        <v>18132181.787484203</v>
      </c>
      <c r="O399" s="13"/>
      <c r="P399" s="13"/>
      <c r="Q399" s="13"/>
      <c r="Z399" s="18"/>
      <c r="AA399" s="17"/>
    </row>
    <row r="400" spans="1:27">
      <c r="A400" s="27">
        <f t="shared" si="49"/>
        <v>33</v>
      </c>
      <c r="B400" s="28">
        <f>'OptiMaxx plus'!$T$7+A400</f>
        <v>62</v>
      </c>
      <c r="C400" s="24">
        <f t="shared" si="50"/>
        <v>396</v>
      </c>
      <c r="D400" s="25">
        <f>+'No Deducible 93'!AD419</f>
        <v>19500184.715783052</v>
      </c>
      <c r="E400" s="25">
        <f>+'Deducible 151'!AD419</f>
        <v>18528900.076770302</v>
      </c>
      <c r="F400" s="25">
        <f>+'Deducible 185'!AD419</f>
        <v>19500184.715783052</v>
      </c>
      <c r="H400" s="24">
        <f t="shared" si="51"/>
        <v>396</v>
      </c>
      <c r="I400" s="25">
        <f>+'No Deducible 93'!Y419</f>
        <v>18268295.92857505</v>
      </c>
      <c r="J400" s="25">
        <f>+'Deducible 151'!Y419</f>
        <v>17478714.019096348</v>
      </c>
      <c r="K400" s="25">
        <f>+'Deducible 185'!Y419</f>
        <v>18268295.92857505</v>
      </c>
      <c r="O400" s="13"/>
      <c r="P400" s="13"/>
      <c r="Q400" s="13"/>
      <c r="Z400" s="18"/>
      <c r="AA400" s="17"/>
    </row>
    <row r="401" spans="1:27">
      <c r="A401" s="27">
        <f t="shared" si="49"/>
        <v>33.083333333333336</v>
      </c>
      <c r="B401" s="28">
        <f>'OptiMaxx plus'!$T$7+A401</f>
        <v>62.083333333333336</v>
      </c>
      <c r="C401" s="24">
        <f t="shared" si="50"/>
        <v>397</v>
      </c>
      <c r="D401" s="25">
        <f>+'No Deducible 93'!AD420</f>
        <v>19645502.5384719</v>
      </c>
      <c r="E401" s="25">
        <f>+'Deducible 151'!AD420</f>
        <v>18664484.177886933</v>
      </c>
      <c r="F401" s="25">
        <f>+'Deducible 185'!AD420</f>
        <v>19645502.5384719</v>
      </c>
      <c r="H401" s="24">
        <f t="shared" si="51"/>
        <v>397</v>
      </c>
      <c r="I401" s="25">
        <f>+'No Deducible 93'!Y420</f>
        <v>18405347.570843887</v>
      </c>
      <c r="J401" s="25">
        <f>+'Deducible 151'!Y420</f>
        <v>17607400.688071892</v>
      </c>
      <c r="K401" s="25">
        <f>+'Deducible 185'!Y420</f>
        <v>18405347.570843887</v>
      </c>
      <c r="O401" s="13"/>
      <c r="P401" s="13"/>
      <c r="Q401" s="13"/>
      <c r="Z401" s="18"/>
      <c r="AA401" s="17"/>
    </row>
    <row r="402" spans="1:27">
      <c r="A402" s="27">
        <f t="shared" si="49"/>
        <v>33.166666666666664</v>
      </c>
      <c r="B402" s="28">
        <f>'OptiMaxx plus'!$T$7+A402</f>
        <v>62.166666666666664</v>
      </c>
      <c r="C402" s="24">
        <f t="shared" si="50"/>
        <v>398</v>
      </c>
      <c r="D402" s="25">
        <f>+'No Deducible 93'!AD421</f>
        <v>19791830.713999037</v>
      </c>
      <c r="E402" s="25">
        <f>+'Deducible 151'!AD421</f>
        <v>18800989.370319061</v>
      </c>
      <c r="F402" s="25">
        <f>+'Deducible 185'!AD421</f>
        <v>19791830.713999037</v>
      </c>
      <c r="H402" s="24">
        <f t="shared" si="51"/>
        <v>398</v>
      </c>
      <c r="I402" s="25">
        <f>+'No Deducible 93'!Y421</f>
        <v>18543353.937642876</v>
      </c>
      <c r="J402" s="25">
        <f>+'Deducible 151'!Y421</f>
        <v>17736963.055729102</v>
      </c>
      <c r="K402" s="25">
        <f>+'Deducible 185'!Y421</f>
        <v>18543353.937642876</v>
      </c>
      <c r="O402" s="13"/>
      <c r="P402" s="13"/>
      <c r="Q402" s="13"/>
      <c r="Z402" s="18"/>
      <c r="AA402" s="17"/>
    </row>
    <row r="403" spans="1:27">
      <c r="A403" s="27">
        <f t="shared" si="49"/>
        <v>33.25</v>
      </c>
      <c r="B403" s="28">
        <f>'OptiMaxx plus'!$T$7+A403</f>
        <v>62.25</v>
      </c>
      <c r="C403" s="24">
        <f t="shared" si="50"/>
        <v>399</v>
      </c>
      <c r="D403" s="25">
        <f>+'No Deducible 93'!AD422</f>
        <v>19927860.799055636</v>
      </c>
      <c r="E403" s="25">
        <f>+'Deducible 151'!AD422</f>
        <v>18927840.642529499</v>
      </c>
      <c r="F403" s="25">
        <f>+'Deducible 185'!AD422</f>
        <v>19927860.799055636</v>
      </c>
      <c r="H403" s="24">
        <f t="shared" si="51"/>
        <v>399</v>
      </c>
      <c r="I403" s="25">
        <f>+'No Deducible 93'!Y422</f>
        <v>18682321.679741856</v>
      </c>
      <c r="J403" s="25">
        <f>+'Deducible 151'!Y422</f>
        <v>17867407.081101552</v>
      </c>
      <c r="K403" s="25">
        <f>+'Deducible 185'!Y422</f>
        <v>18682321.679741856</v>
      </c>
      <c r="O403" s="13"/>
      <c r="P403" s="13"/>
      <c r="Q403" s="13"/>
      <c r="Z403" s="18"/>
      <c r="AA403" s="17"/>
    </row>
    <row r="404" spans="1:27">
      <c r="A404" s="27">
        <f t="shared" si="49"/>
        <v>33.333333333333336</v>
      </c>
      <c r="B404" s="28">
        <f>'OptiMaxx plus'!$T$7+A404</f>
        <v>62.333333333333336</v>
      </c>
      <c r="C404" s="24">
        <f t="shared" si="50"/>
        <v>400</v>
      </c>
      <c r="D404" s="25">
        <f>+'No Deducible 93'!AD423</f>
        <v>20076154.876446683</v>
      </c>
      <c r="E404" s="25">
        <f>+'Deducible 151'!AD423</f>
        <v>19066137.115745008</v>
      </c>
      <c r="F404" s="25">
        <f>+'Deducible 185'!AD423</f>
        <v>20076154.876446683</v>
      </c>
      <c r="H404" s="24">
        <f t="shared" si="51"/>
        <v>400</v>
      </c>
      <c r="I404" s="25">
        <f>+'No Deducible 93'!Y423</f>
        <v>18822257.494241033</v>
      </c>
      <c r="J404" s="25">
        <f>+'Deducible 151'!Y423</f>
        <v>17998738.763773389</v>
      </c>
      <c r="K404" s="25">
        <f>+'Deducible 185'!Y423</f>
        <v>18822257.494241033</v>
      </c>
      <c r="O404" s="13"/>
      <c r="P404" s="13"/>
      <c r="Q404" s="13"/>
      <c r="Z404" s="18"/>
      <c r="AA404" s="17"/>
    </row>
    <row r="405" spans="1:27">
      <c r="A405" s="27">
        <f t="shared" si="49"/>
        <v>33.416666666666664</v>
      </c>
      <c r="B405" s="28">
        <f>'OptiMaxx plus'!$T$7+A405</f>
        <v>62.416666666666664</v>
      </c>
      <c r="C405" s="24">
        <f t="shared" si="50"/>
        <v>401</v>
      </c>
      <c r="D405" s="25">
        <f>+'No Deducible 93'!AD424</f>
        <v>20225480.021111161</v>
      </c>
      <c r="E405" s="25">
        <f>+'Deducible 151'!AD424</f>
        <v>19205373.122947291</v>
      </c>
      <c r="F405" s="25">
        <f>+'Deducible 185'!AD424</f>
        <v>20225480.021111161</v>
      </c>
      <c r="H405" s="24">
        <f t="shared" si="51"/>
        <v>401</v>
      </c>
      <c r="I405" s="25">
        <f>+'No Deducible 93'!Y424</f>
        <v>18963168.124893721</v>
      </c>
      <c r="J405" s="25">
        <f>+'Deducible 151'!Y424</f>
        <v>18130964.144155271</v>
      </c>
      <c r="K405" s="25">
        <f>+'Deducible 185'!Y424</f>
        <v>18963168.124893721</v>
      </c>
      <c r="O405" s="13"/>
      <c r="P405" s="13"/>
      <c r="Q405" s="13"/>
      <c r="Z405" s="18"/>
      <c r="AA405" s="17"/>
    </row>
    <row r="406" spans="1:27">
      <c r="A406" s="27">
        <f t="shared" si="49"/>
        <v>33.5</v>
      </c>
      <c r="B406" s="28">
        <f>'OptiMaxx plus'!$T$7+A406</f>
        <v>62.5</v>
      </c>
      <c r="C406" s="24">
        <f t="shared" si="50"/>
        <v>402</v>
      </c>
      <c r="D406" s="25">
        <f>+'No Deducible 93'!AD425</f>
        <v>20364402.541817904</v>
      </c>
      <c r="E406" s="25">
        <f>+'Deducible 151'!AD425</f>
        <v>19334870.394644089</v>
      </c>
      <c r="F406" s="25">
        <f>+'Deducible 185'!AD425</f>
        <v>20364402.541817904</v>
      </c>
      <c r="H406" s="24">
        <f t="shared" si="51"/>
        <v>402</v>
      </c>
      <c r="I406" s="25">
        <f>+'No Deducible 93'!Y425</f>
        <v>19105060.362431351</v>
      </c>
      <c r="J406" s="25">
        <f>+'Deducible 151'!Y425</f>
        <v>18264089.30376219</v>
      </c>
      <c r="K406" s="25">
        <f>+'Deducible 185'!Y425</f>
        <v>19105060.362431351</v>
      </c>
      <c r="O406" s="13"/>
      <c r="P406" s="13"/>
      <c r="Q406" s="13"/>
      <c r="Z406" s="18"/>
      <c r="AA406" s="17"/>
    </row>
    <row r="407" spans="1:27">
      <c r="A407" s="27">
        <f t="shared" si="49"/>
        <v>33.583333333333336</v>
      </c>
      <c r="B407" s="28">
        <f>'OptiMaxx plus'!$T$7+A407</f>
        <v>62.583333333333336</v>
      </c>
      <c r="C407" s="24">
        <f t="shared" si="50"/>
        <v>403</v>
      </c>
      <c r="D407" s="25">
        <f>+'No Deducible 93'!AD426</f>
        <v>20515734.604878116</v>
      </c>
      <c r="E407" s="25">
        <f>+'Deducible 151'!AD426</f>
        <v>19475934.263334323</v>
      </c>
      <c r="F407" s="25">
        <f>+'Deducible 185'!AD426</f>
        <v>20515734.604878116</v>
      </c>
      <c r="H407" s="24">
        <f t="shared" si="51"/>
        <v>403</v>
      </c>
      <c r="I407" s="25">
        <f>+'No Deducible 93'!Y426</f>
        <v>19247941.044890713</v>
      </c>
      <c r="J407" s="25">
        <f>+'Deducible 151'!Y426</f>
        <v>18398120.365493178</v>
      </c>
      <c r="K407" s="25">
        <f>+'Deducible 185'!Y426</f>
        <v>19247941.044890713</v>
      </c>
      <c r="O407" s="13"/>
      <c r="P407" s="13"/>
      <c r="Q407" s="13"/>
      <c r="Z407" s="18"/>
      <c r="AA407" s="17"/>
    </row>
    <row r="408" spans="1:27">
      <c r="A408" s="27">
        <f t="shared" si="49"/>
        <v>33.666666666666664</v>
      </c>
      <c r="B408" s="28">
        <f>'OptiMaxx plus'!$T$7+A408</f>
        <v>62.666666666666664</v>
      </c>
      <c r="C408" s="24">
        <f t="shared" si="50"/>
        <v>404</v>
      </c>
      <c r="D408" s="25">
        <f>+'No Deducible 93'!AD427</f>
        <v>20668118.879497208</v>
      </c>
      <c r="E408" s="25">
        <f>+'Deducible 151'!AD427</f>
        <v>19617956.482970219</v>
      </c>
      <c r="F408" s="25">
        <f>+'Deducible 185'!AD427</f>
        <v>20668118.879497208</v>
      </c>
      <c r="H408" s="24">
        <f t="shared" si="51"/>
        <v>404</v>
      </c>
      <c r="I408" s="25">
        <f>+'No Deducible 93'!Y427</f>
        <v>19391817.057943497</v>
      </c>
      <c r="J408" s="25">
        <f>+'Deducible 151'!Y427</f>
        <v>18533063.493912928</v>
      </c>
      <c r="K408" s="25">
        <f>+'Deducible 185'!Y427</f>
        <v>19391817.057943497</v>
      </c>
      <c r="O408" s="13"/>
      <c r="P408" s="13"/>
      <c r="Q408" s="13"/>
      <c r="Z408" s="18"/>
      <c r="AA408" s="17"/>
    </row>
    <row r="409" spans="1:27">
      <c r="A409" s="27">
        <f t="shared" si="49"/>
        <v>33.75</v>
      </c>
      <c r="B409" s="28">
        <f>'OptiMaxx plus'!$T$7+A409</f>
        <v>62.75</v>
      </c>
      <c r="C409" s="24">
        <f t="shared" ref="C409:C472" si="52">+C408+1</f>
        <v>405</v>
      </c>
      <c r="D409" s="25">
        <f>+'No Deducible 93'!AD428</f>
        <v>20809995.026477773</v>
      </c>
      <c r="E409" s="25">
        <f>+'Deducible 151'!AD428</f>
        <v>19750154.518235873</v>
      </c>
      <c r="F409" s="25">
        <f>+'Deducible 185'!AD428</f>
        <v>20809995.026477773</v>
      </c>
    </row>
    <row r="410" spans="1:27">
      <c r="A410" s="27">
        <f t="shared" si="49"/>
        <v>33.833333333333336</v>
      </c>
      <c r="B410" s="28">
        <f>'OptiMaxx plus'!$T$7+A410</f>
        <v>62.833333333333336</v>
      </c>
      <c r="C410" s="24">
        <f t="shared" si="52"/>
        <v>406</v>
      </c>
      <c r="D410" s="25">
        <f>+'No Deducible 93'!AD429</f>
        <v>20964428.095215295</v>
      </c>
      <c r="E410" s="25">
        <f>+'Deducible 151'!AD429</f>
        <v>19894041.929627288</v>
      </c>
      <c r="F410" s="25">
        <f>+'Deducible 185'!AD429</f>
        <v>20964428.095215295</v>
      </c>
    </row>
    <row r="411" spans="1:27">
      <c r="A411" s="27">
        <f t="shared" si="49"/>
        <v>33.916666666666664</v>
      </c>
      <c r="B411" s="28">
        <f>'OptiMaxx plus'!$T$7+A411</f>
        <v>62.916666666666664</v>
      </c>
      <c r="C411" s="24">
        <f t="shared" si="52"/>
        <v>407</v>
      </c>
      <c r="D411" s="25">
        <f>+'No Deducible 93'!AD430</f>
        <v>21119934.958625413</v>
      </c>
      <c r="E411" s="25">
        <f>+'Deducible 151'!AD430</f>
        <v>20038906.890857194</v>
      </c>
      <c r="F411" s="25">
        <f>+'Deducible 185'!AD430</f>
        <v>21119934.958625413</v>
      </c>
    </row>
    <row r="412" spans="1:27">
      <c r="A412" s="27">
        <f t="shared" si="49"/>
        <v>34</v>
      </c>
      <c r="B412" s="28">
        <f>'OptiMaxx plus'!$T$7+A412</f>
        <v>63</v>
      </c>
      <c r="C412" s="24">
        <f t="shared" si="52"/>
        <v>408</v>
      </c>
      <c r="D412" s="25">
        <f>+'No Deducible 93'!AD431</f>
        <v>21264827.21372645</v>
      </c>
      <c r="E412" s="25">
        <f>+'Deducible 151'!AD431</f>
        <v>20173861.583091211</v>
      </c>
      <c r="F412" s="25">
        <f>+'Deducible 185'!AD431</f>
        <v>21264827.21372645</v>
      </c>
    </row>
    <row r="413" spans="1:27">
      <c r="A413" s="27">
        <f t="shared" si="49"/>
        <v>34.083333333333336</v>
      </c>
      <c r="B413" s="28">
        <f>'OptiMaxx plus'!$T$7+A413</f>
        <v>63.083333333333336</v>
      </c>
      <c r="C413" s="24">
        <f t="shared" si="52"/>
        <v>409</v>
      </c>
      <c r="D413" s="25">
        <f>+'No Deducible 93'!AD432</f>
        <v>21422414.503939163</v>
      </c>
      <c r="E413" s="25">
        <f>+'Deducible 151'!AD432</f>
        <v>20320616.946746416</v>
      </c>
      <c r="F413" s="25">
        <f>+'Deducible 185'!AD432</f>
        <v>21422414.503939163</v>
      </c>
    </row>
    <row r="414" spans="1:27">
      <c r="A414" s="27">
        <f t="shared" si="49"/>
        <v>34.166666666666664</v>
      </c>
      <c r="B414" s="28">
        <f>'OptiMaxx plus'!$T$7+A414</f>
        <v>63.166666666666664</v>
      </c>
      <c r="C414" s="24">
        <f t="shared" si="52"/>
        <v>410</v>
      </c>
      <c r="D414" s="25">
        <f>+'No Deducible 93'!AD433</f>
        <v>21581097.542466979</v>
      </c>
      <c r="E414" s="25">
        <f>+'Deducible 151'!AD433</f>
        <v>20468369.361192018</v>
      </c>
      <c r="F414" s="25">
        <f>+'Deducible 185'!AD433</f>
        <v>21581097.542466979</v>
      </c>
    </row>
    <row r="415" spans="1:27">
      <c r="A415" s="27">
        <f t="shared" si="49"/>
        <v>34.25</v>
      </c>
      <c r="B415" s="28">
        <f>'OptiMaxx plus'!$T$7+A415</f>
        <v>63.25</v>
      </c>
      <c r="C415" s="24">
        <f t="shared" si="52"/>
        <v>411</v>
      </c>
      <c r="D415" s="25">
        <f>+'No Deducible 93'!AD434</f>
        <v>21729058.430233281</v>
      </c>
      <c r="E415" s="25">
        <f>+'Deducible 151'!AD434</f>
        <v>20606124.695861839</v>
      </c>
      <c r="F415" s="25">
        <f>+'Deducible 185'!AD434</f>
        <v>21729058.430233281</v>
      </c>
    </row>
    <row r="416" spans="1:27">
      <c r="A416" s="27">
        <f t="shared" si="49"/>
        <v>34.333333333333336</v>
      </c>
      <c r="B416" s="28">
        <f>'OptiMaxx plus'!$T$7+A416</f>
        <v>63.333333333333336</v>
      </c>
      <c r="C416" s="24">
        <f t="shared" si="52"/>
        <v>412</v>
      </c>
      <c r="D416" s="25">
        <f>+'No Deducible 93'!AD435</f>
        <v>21889876.507867392</v>
      </c>
      <c r="E416" s="25">
        <f>+'Deducible 151'!AD435</f>
        <v>20755819.095988736</v>
      </c>
      <c r="F416" s="25">
        <f>+'Deducible 185'!AD435</f>
        <v>21889876.507867392</v>
      </c>
    </row>
    <row r="417" spans="1:6">
      <c r="A417" s="27">
        <f t="shared" si="49"/>
        <v>34.416666666666664</v>
      </c>
      <c r="B417" s="28">
        <f>'OptiMaxx plus'!$T$7+A417</f>
        <v>63.416666666666664</v>
      </c>
      <c r="C417" s="24">
        <f t="shared" si="52"/>
        <v>413</v>
      </c>
      <c r="D417" s="25">
        <f>+'No Deducible 93'!AD436</f>
        <v>22051812.820647202</v>
      </c>
      <c r="E417" s="25">
        <f>+'Deducible 151'!AD436</f>
        <v>20906530.531433687</v>
      </c>
      <c r="F417" s="25">
        <f>+'Deducible 185'!AD436</f>
        <v>22051812.820647202</v>
      </c>
    </row>
    <row r="418" spans="1:6">
      <c r="A418" s="27">
        <f t="shared" si="49"/>
        <v>34.5</v>
      </c>
      <c r="B418" s="28">
        <f>'OptiMaxx plus'!$T$7+A418</f>
        <v>63.5</v>
      </c>
      <c r="C418" s="24">
        <f t="shared" si="52"/>
        <v>414</v>
      </c>
      <c r="D418" s="25">
        <f>+'No Deducible 93'!AD437</f>
        <v>22202918.526024517</v>
      </c>
      <c r="E418" s="25">
        <f>+'Deducible 151'!AD437</f>
        <v>21047157.522848114</v>
      </c>
      <c r="F418" s="25">
        <f>+'Deducible 185'!AD437</f>
        <v>22202918.526024517</v>
      </c>
    </row>
    <row r="419" spans="1:6">
      <c r="A419" s="27">
        <f t="shared" si="49"/>
        <v>34.583333333333336</v>
      </c>
      <c r="B419" s="28">
        <f>'OptiMaxx plus'!$T$7+A419</f>
        <v>63.583333333333336</v>
      </c>
      <c r="C419" s="24">
        <f t="shared" si="52"/>
        <v>415</v>
      </c>
      <c r="D419" s="25">
        <f>+'No Deducible 93'!AD438</f>
        <v>22367034.437652577</v>
      </c>
      <c r="E419" s="25">
        <f>+'Deducible 151'!AD438</f>
        <v>21199850.612863425</v>
      </c>
      <c r="F419" s="25">
        <f>+'Deducible 185'!AD438</f>
        <v>22367034.437652577</v>
      </c>
    </row>
    <row r="420" spans="1:6">
      <c r="A420" s="27">
        <f t="shared" si="49"/>
        <v>34.666666666666664</v>
      </c>
      <c r="B420" s="28">
        <f>'OptiMaxx plus'!$T$7+A420</f>
        <v>63.666666666666664</v>
      </c>
      <c r="C420" s="24">
        <f t="shared" si="52"/>
        <v>416</v>
      </c>
      <c r="D420" s="25">
        <f>+'No Deducible 93'!AD439</f>
        <v>22532291.538129739</v>
      </c>
      <c r="E420" s="25">
        <f>+'Deducible 151'!AD439</f>
        <v>21353581.128513545</v>
      </c>
      <c r="F420" s="25">
        <f>+'Deducible 185'!AD439</f>
        <v>22532291.538129739</v>
      </c>
    </row>
    <row r="421" spans="1:6">
      <c r="A421" s="27">
        <f t="shared" si="49"/>
        <v>34.75</v>
      </c>
      <c r="B421" s="28">
        <f>'OptiMaxx plus'!$T$7+A421</f>
        <v>63.75</v>
      </c>
      <c r="C421" s="24">
        <f t="shared" si="52"/>
        <v>417</v>
      </c>
      <c r="D421" s="25">
        <f>+'No Deducible 93'!AD440</f>
        <v>22686608.577214267</v>
      </c>
      <c r="E421" s="25">
        <f>+'Deducible 151'!AD440</f>
        <v>21497139.193916541</v>
      </c>
      <c r="F421" s="25">
        <f>+'Deducible 185'!AD440</f>
        <v>22686608.577214267</v>
      </c>
    </row>
    <row r="422" spans="1:6">
      <c r="A422" s="27">
        <f t="shared" si="49"/>
        <v>34.833333333333336</v>
      </c>
      <c r="B422" s="28">
        <f>'OptiMaxx plus'!$T$7+A422</f>
        <v>63.833333333333336</v>
      </c>
      <c r="C422" s="24">
        <f t="shared" si="52"/>
        <v>418</v>
      </c>
      <c r="D422" s="25">
        <f>+'No Deducible 93'!AD441</f>
        <v>22854090.769854229</v>
      </c>
      <c r="E422" s="25">
        <f>+'Deducible 151'!AD441</f>
        <v>21652891.845971692</v>
      </c>
      <c r="F422" s="25">
        <f>+'Deducible 185'!AD441</f>
        <v>22854090.769854229</v>
      </c>
    </row>
    <row r="423" spans="1:6">
      <c r="A423" s="27">
        <f t="shared" si="49"/>
        <v>34.916666666666664</v>
      </c>
      <c r="B423" s="28">
        <f>'OptiMaxx plus'!$T$7+A423</f>
        <v>63.916666666666664</v>
      </c>
      <c r="C423" s="24">
        <f t="shared" si="52"/>
        <v>419</v>
      </c>
      <c r="D423" s="25">
        <f>+'No Deducible 93'!AD442</f>
        <v>23022737.581673458</v>
      </c>
      <c r="E423" s="25">
        <f>+'Deducible 151'!AD442</f>
        <v>21809702.728059445</v>
      </c>
      <c r="F423" s="25">
        <f>+'Deducible 185'!AD442</f>
        <v>23022737.581673458</v>
      </c>
    </row>
    <row r="424" spans="1:6">
      <c r="A424" s="27">
        <f t="shared" si="49"/>
        <v>35</v>
      </c>
      <c r="B424" s="28">
        <f>'OptiMaxx plus'!$T$7+A424</f>
        <v>64</v>
      </c>
      <c r="C424" s="24">
        <f t="shared" si="52"/>
        <v>420</v>
      </c>
      <c r="D424" s="25">
        <f>+'No Deducible 93'!AD443</f>
        <v>23180333.874012906</v>
      </c>
      <c r="E424" s="25">
        <f>+'Deducible 151'!AD443</f>
        <v>21956252.509799596</v>
      </c>
      <c r="F424" s="25">
        <f>+'Deducible 185'!AD443</f>
        <v>23180333.874012906</v>
      </c>
    </row>
    <row r="425" spans="1:6">
      <c r="A425" s="27">
        <f t="shared" si="49"/>
        <v>35.083333333333336</v>
      </c>
      <c r="B425" s="28">
        <f>'OptiMaxx plus'!$T$7+A425</f>
        <v>64.083333333333343</v>
      </c>
      <c r="C425" s="24">
        <f t="shared" si="52"/>
        <v>421</v>
      </c>
      <c r="D425" s="25">
        <f>+'No Deducible 93'!AD444</f>
        <v>23351240.659405287</v>
      </c>
      <c r="E425" s="25">
        <f>+'Deducible 151'!AD444</f>
        <v>22115113.439831968</v>
      </c>
      <c r="F425" s="25">
        <f>+'Deducible 185'!AD444</f>
        <v>23351240.659405287</v>
      </c>
    </row>
    <row r="426" spans="1:6">
      <c r="A426" s="27">
        <f t="shared" si="49"/>
        <v>35.166666666666664</v>
      </c>
      <c r="B426" s="28">
        <f>'OptiMaxx plus'!$T$7+A426</f>
        <v>64.166666666666657</v>
      </c>
      <c r="C426" s="24">
        <f t="shared" si="52"/>
        <v>422</v>
      </c>
      <c r="D426" s="25">
        <f>+'No Deducible 93'!AD445</f>
        <v>23523335.900328062</v>
      </c>
      <c r="E426" s="25">
        <f>+'Deducible 151'!AD445</f>
        <v>22275053.735652696</v>
      </c>
      <c r="F426" s="25">
        <f>+'Deducible 185'!AD445</f>
        <v>23523335.900328062</v>
      </c>
    </row>
    <row r="427" spans="1:6">
      <c r="A427" s="27">
        <f t="shared" si="49"/>
        <v>35.25</v>
      </c>
      <c r="B427" s="28">
        <f>'OptiMaxx plus'!$T$7+A427</f>
        <v>64.25</v>
      </c>
      <c r="C427" s="24">
        <f t="shared" si="52"/>
        <v>423</v>
      </c>
      <c r="D427" s="25">
        <f>+'No Deducible 93'!AD446</f>
        <v>23684269.071730927</v>
      </c>
      <c r="E427" s="25">
        <f>+'Deducible 151'!AD446</f>
        <v>22424643.543484505</v>
      </c>
      <c r="F427" s="25">
        <f>+'Deducible 185'!AD446</f>
        <v>23684269.071730927</v>
      </c>
    </row>
    <row r="428" spans="1:6">
      <c r="A428" s="27">
        <f t="shared" si="49"/>
        <v>35.333333333333336</v>
      </c>
      <c r="B428" s="28">
        <f>'OptiMaxx plus'!$T$7+A428</f>
        <v>64.333333333333343</v>
      </c>
      <c r="C428" s="24">
        <f t="shared" si="52"/>
        <v>424</v>
      </c>
      <c r="D428" s="25">
        <f>+'No Deducible 93'!AD447</f>
        <v>23858683.108156875</v>
      </c>
      <c r="E428" s="25">
        <f>+'Deducible 151'!AD447</f>
        <v>22586689.261066325</v>
      </c>
      <c r="F428" s="25">
        <f>+'Deducible 185'!AD447</f>
        <v>23858683.108156875</v>
      </c>
    </row>
    <row r="429" spans="1:6">
      <c r="A429" s="27">
        <f t="shared" si="49"/>
        <v>35.416666666666664</v>
      </c>
      <c r="B429" s="28">
        <f>'OptiMaxx plus'!$T$7+A429</f>
        <v>64.416666666666657</v>
      </c>
      <c r="C429" s="24">
        <f t="shared" si="52"/>
        <v>425</v>
      </c>
      <c r="D429" s="25">
        <f>+'No Deducible 93'!AD448</f>
        <v>24034310.012085583</v>
      </c>
      <c r="E429" s="25">
        <f>+'Deducible 151'!AD448</f>
        <v>22749836.000681408</v>
      </c>
      <c r="F429" s="25">
        <f>+'Deducible 185'!AD448</f>
        <v>24034310.012085583</v>
      </c>
    </row>
    <row r="430" spans="1:6">
      <c r="A430" s="27">
        <f t="shared" si="49"/>
        <v>35.5</v>
      </c>
      <c r="B430" s="28">
        <f>'OptiMaxx plus'!$T$7+A430</f>
        <v>64.5</v>
      </c>
      <c r="C430" s="24">
        <f t="shared" si="52"/>
        <v>426</v>
      </c>
      <c r="D430" s="25">
        <f>+'No Deducible 93'!AD449</f>
        <v>24198662.358333934</v>
      </c>
      <c r="E430" s="25">
        <f>+'Deducible 151'!AD449</f>
        <v>22902542.307071332</v>
      </c>
      <c r="F430" s="25">
        <f>+'Deducible 185'!AD449</f>
        <v>24198662.358333934</v>
      </c>
    </row>
    <row r="431" spans="1:6">
      <c r="A431" s="27">
        <f t="shared" si="49"/>
        <v>35.583333333333336</v>
      </c>
      <c r="B431" s="28">
        <f>'OptiMaxx plus'!$T$7+A431</f>
        <v>64.583333333333343</v>
      </c>
      <c r="C431" s="24">
        <f t="shared" si="52"/>
        <v>427</v>
      </c>
      <c r="D431" s="25">
        <f>+'No Deducible 93'!AD450</f>
        <v>24376656.467624575</v>
      </c>
      <c r="E431" s="25">
        <f>+'Deducible 151'!AD450</f>
        <v>23067837.486824613</v>
      </c>
      <c r="F431" s="25">
        <f>+'Deducible 185'!AD450</f>
        <v>24376656.467624575</v>
      </c>
    </row>
    <row r="432" spans="1:6">
      <c r="A432" s="27">
        <f t="shared" si="49"/>
        <v>35.666666666666664</v>
      </c>
      <c r="B432" s="28">
        <f>'OptiMaxx plus'!$T$7+A432</f>
        <v>64.666666666666657</v>
      </c>
      <c r="C432" s="24">
        <f t="shared" si="52"/>
        <v>428</v>
      </c>
      <c r="D432" s="25">
        <f>+'No Deducible 93'!AD451</f>
        <v>24555888.363487389</v>
      </c>
      <c r="E432" s="25">
        <f>+'Deducible 151'!AD451</f>
        <v>23234255.784808274</v>
      </c>
      <c r="F432" s="25">
        <f>+'Deducible 185'!AD451</f>
        <v>24555888.363487389</v>
      </c>
    </row>
    <row r="433" spans="1:6">
      <c r="A433" s="27">
        <f t="shared" si="49"/>
        <v>35.75</v>
      </c>
      <c r="B433" s="28">
        <f>'OptiMaxx plus'!$T$7+A433</f>
        <v>64.75</v>
      </c>
      <c r="C433" s="24">
        <f t="shared" si="52"/>
        <v>429</v>
      </c>
      <c r="D433" s="25">
        <f>+'No Deducible 93'!AD452</f>
        <v>24723732.189245693</v>
      </c>
      <c r="E433" s="25">
        <f>+'Deducible 151'!AD452</f>
        <v>23390143.055075862</v>
      </c>
      <c r="F433" s="25">
        <f>+'Deducible 185'!AD452</f>
        <v>24723732.189245693</v>
      </c>
    </row>
    <row r="434" spans="1:6">
      <c r="A434" s="27">
        <f t="shared" si="49"/>
        <v>35.833333333333336</v>
      </c>
      <c r="B434" s="28">
        <f>'OptiMaxx plus'!$T$7+A434</f>
        <v>64.833333333333343</v>
      </c>
      <c r="C434" s="24">
        <f t="shared" si="52"/>
        <v>430</v>
      </c>
      <c r="D434" s="25">
        <f>+'No Deducible 93'!AD453</f>
        <v>24905380.714733701</v>
      </c>
      <c r="E434" s="25">
        <f>+'Deducible 151'!AD453</f>
        <v>23558753.693270225</v>
      </c>
      <c r="F434" s="25">
        <f>+'Deducible 185'!AD453</f>
        <v>24905380.714733701</v>
      </c>
    </row>
    <row r="435" spans="1:6">
      <c r="A435" s="27">
        <f t="shared" si="49"/>
        <v>35.916666666666664</v>
      </c>
      <c r="B435" s="28">
        <f>'OptiMaxx plus'!$T$7+A435</f>
        <v>64.916666666666657</v>
      </c>
      <c r="C435" s="24">
        <f t="shared" si="52"/>
        <v>431</v>
      </c>
      <c r="D435" s="25">
        <f>+'No Deducible 93'!AD454</f>
        <v>25088292.463557556</v>
      </c>
      <c r="E435" s="25">
        <f>+'Deducible 151'!AD454</f>
        <v>23728509.994836502</v>
      </c>
      <c r="F435" s="25">
        <f>+'Deducible 185'!AD454</f>
        <v>25088292.463557556</v>
      </c>
    </row>
    <row r="436" spans="1:6">
      <c r="A436" s="27">
        <f t="shared" si="49"/>
        <v>36</v>
      </c>
      <c r="B436" s="28">
        <f>'OptiMaxx plus'!$T$7+A436</f>
        <v>65</v>
      </c>
      <c r="C436" s="24">
        <f t="shared" si="52"/>
        <v>432</v>
      </c>
      <c r="D436" s="25">
        <f>+'No Deducible 93'!AD455</f>
        <v>25259701.598923039</v>
      </c>
      <c r="E436" s="25">
        <f>+'Deducible 151'!AD455</f>
        <v>23887644.023316383</v>
      </c>
      <c r="F436" s="25">
        <f>+'Deducible 185'!AD455</f>
        <v>25259701.598923039</v>
      </c>
    </row>
    <row r="437" spans="1:6">
      <c r="A437" s="27">
        <f t="shared" si="49"/>
        <v>36.083333333333336</v>
      </c>
      <c r="B437" s="28">
        <f>'OptiMaxx plus'!$T$7+A437</f>
        <v>65.083333333333343</v>
      </c>
      <c r="C437" s="24">
        <f t="shared" si="52"/>
        <v>433</v>
      </c>
      <c r="D437" s="25">
        <f>+'No Deducible 93'!AD456</f>
        <v>25445068.409658868</v>
      </c>
      <c r="E437" s="25">
        <f>+'Deducible 151'!AD456</f>
        <v>24059623.529035654</v>
      </c>
      <c r="F437" s="25">
        <f>+'Deducible 185'!AD456</f>
        <v>25445068.409658868</v>
      </c>
    </row>
    <row r="438" spans="1:6">
      <c r="A438" s="27">
        <f t="shared" si="49"/>
        <v>36.166666666666664</v>
      </c>
      <c r="B438" s="28">
        <f>'OptiMaxx plus'!$T$7+A438</f>
        <v>65.166666666666657</v>
      </c>
      <c r="C438" s="24">
        <f t="shared" si="52"/>
        <v>434</v>
      </c>
      <c r="D438" s="25">
        <f>+'No Deducible 93'!AD457</f>
        <v>25631724.325221043</v>
      </c>
      <c r="E438" s="25">
        <f>+'Deducible 151'!AD457</f>
        <v>24232771.606556918</v>
      </c>
      <c r="F438" s="25">
        <f>+'Deducible 185'!AD457</f>
        <v>25631724.325221043</v>
      </c>
    </row>
    <row r="439" spans="1:6">
      <c r="A439" s="27">
        <f t="shared" si="49"/>
        <v>36.25</v>
      </c>
      <c r="B439" s="28">
        <f>'OptiMaxx plus'!$T$7+A439</f>
        <v>65.25</v>
      </c>
      <c r="C439" s="24">
        <f t="shared" si="52"/>
        <v>435</v>
      </c>
      <c r="D439" s="25">
        <f>+'No Deducible 93'!AD458</f>
        <v>25806761.962031178</v>
      </c>
      <c r="E439" s="25">
        <f>+'Deducible 151'!AD458</f>
        <v>24395205.417720709</v>
      </c>
      <c r="F439" s="25">
        <f>+'Deducible 185'!AD458</f>
        <v>25806761.962031178</v>
      </c>
    </row>
    <row r="440" spans="1:6">
      <c r="A440" s="27">
        <f t="shared" si="49"/>
        <v>36.333333333333336</v>
      </c>
      <c r="B440" s="28">
        <f>'OptiMaxx plus'!$T$7+A440</f>
        <v>65.333333333333343</v>
      </c>
      <c r="C440" s="24">
        <f t="shared" si="52"/>
        <v>436</v>
      </c>
      <c r="D440" s="25">
        <f>+'No Deducible 93'!AD459</f>
        <v>25995936.315270618</v>
      </c>
      <c r="E440" s="25">
        <f>+'Deducible 151'!AD459</f>
        <v>24570636.161841922</v>
      </c>
      <c r="F440" s="25">
        <f>+'Deducible 185'!AD459</f>
        <v>25995936.315270618</v>
      </c>
    </row>
    <row r="441" spans="1:6">
      <c r="A441" s="27">
        <f t="shared" si="49"/>
        <v>36.416666666666664</v>
      </c>
      <c r="B441" s="28">
        <f>'OptiMaxx plus'!$T$7+A441</f>
        <v>65.416666666666657</v>
      </c>
      <c r="C441" s="24">
        <f t="shared" si="52"/>
        <v>437</v>
      </c>
      <c r="D441" s="25">
        <f>+'No Deducible 93'!AD460</f>
        <v>26186426.276410315</v>
      </c>
      <c r="E441" s="25">
        <f>+'Deducible 151'!AD460</f>
        <v>24747258.94656409</v>
      </c>
      <c r="F441" s="25">
        <f>+'Deducible 185'!AD460</f>
        <v>26186426.276410315</v>
      </c>
    </row>
    <row r="442" spans="1:6">
      <c r="A442" s="27">
        <f t="shared" si="49"/>
        <v>36.5</v>
      </c>
      <c r="B442" s="28">
        <f>'OptiMaxx plus'!$T$7+A442</f>
        <v>65.5</v>
      </c>
      <c r="C442" s="24">
        <f t="shared" si="52"/>
        <v>438</v>
      </c>
      <c r="D442" s="25">
        <f>+'No Deducible 93'!AD461</f>
        <v>26365181.331919163</v>
      </c>
      <c r="E442" s="25">
        <f>+'Deducible 151'!AD461</f>
        <v>24913074.911290385</v>
      </c>
      <c r="F442" s="25">
        <f>+'Deducible 185'!AD461</f>
        <v>26365181.331919163</v>
      </c>
    </row>
    <row r="443" spans="1:6">
      <c r="A443" s="27">
        <f t="shared" si="49"/>
        <v>36.583333333333336</v>
      </c>
      <c r="B443" s="28">
        <f>'OptiMaxx plus'!$T$7+A443</f>
        <v>65.583333333333343</v>
      </c>
      <c r="C443" s="24">
        <f t="shared" si="52"/>
        <v>439</v>
      </c>
      <c r="D443" s="25">
        <f>+'No Deducible 93'!AD462</f>
        <v>26558242.324239157</v>
      </c>
      <c r="E443" s="25">
        <f>+'Deducible 151'!AD462</f>
        <v>25092027.013914876</v>
      </c>
      <c r="F443" s="25">
        <f>+'Deducible 185'!AD462</f>
        <v>26558242.324239157</v>
      </c>
    </row>
    <row r="444" spans="1:6">
      <c r="A444" s="27">
        <f t="shared" si="49"/>
        <v>36.666666666666664</v>
      </c>
      <c r="B444" s="28">
        <f>'OptiMaxx plus'!$T$7+A444</f>
        <v>65.666666666666657</v>
      </c>
      <c r="C444" s="24">
        <f t="shared" si="52"/>
        <v>440</v>
      </c>
      <c r="D444" s="25">
        <f>+'No Deducible 93'!AD463</f>
        <v>26752645.978333879</v>
      </c>
      <c r="E444" s="25">
        <f>+'Deducible 151'!AD463</f>
        <v>25272195.102941521</v>
      </c>
      <c r="F444" s="25">
        <f>+'Deducible 185'!AD463</f>
        <v>26752645.978333879</v>
      </c>
    </row>
    <row r="445" spans="1:6">
      <c r="A445" s="27">
        <f t="shared" si="49"/>
        <v>36.75</v>
      </c>
      <c r="B445" s="28">
        <f>'OptiMaxx plus'!$T$7+A445</f>
        <v>65.75</v>
      </c>
      <c r="C445" s="24">
        <f t="shared" si="52"/>
        <v>441</v>
      </c>
      <c r="D445" s="25">
        <f>+'No Deducible 93'!AD464</f>
        <v>26935197.049122013</v>
      </c>
      <c r="E445" s="25">
        <f>+'Deducible 151'!AD464</f>
        <v>25441463.163038053</v>
      </c>
      <c r="F445" s="25">
        <f>+'Deducible 185'!AD464</f>
        <v>26935197.049122013</v>
      </c>
    </row>
    <row r="446" spans="1:6">
      <c r="A446" s="27">
        <f t="shared" si="49"/>
        <v>36.833333333333336</v>
      </c>
      <c r="B446" s="28">
        <f>'OptiMaxx plus'!$T$7+A446</f>
        <v>65.833333333333343</v>
      </c>
      <c r="C446" s="24">
        <f t="shared" si="52"/>
        <v>442</v>
      </c>
      <c r="D446" s="25">
        <f>+'No Deducible 93'!AD465</f>
        <v>27132225.430146463</v>
      </c>
      <c r="E446" s="25">
        <f>+'Deducible 151'!AD465</f>
        <v>25624008.177536547</v>
      </c>
      <c r="F446" s="25">
        <f>+'Deducible 185'!AD465</f>
        <v>27132225.430146463</v>
      </c>
    </row>
    <row r="447" spans="1:6">
      <c r="A447" s="27">
        <f t="shared" si="49"/>
        <v>36.916666666666664</v>
      </c>
      <c r="B447" s="28">
        <f>'OptiMaxx plus'!$T$7+A447</f>
        <v>65.916666666666657</v>
      </c>
      <c r="C447" s="24">
        <f t="shared" si="52"/>
        <v>443</v>
      </c>
      <c r="D447" s="25">
        <f>+'No Deducible 93'!AD466</f>
        <v>27330624.08913416</v>
      </c>
      <c r="E447" s="25">
        <f>+'Deducible 151'!AD466</f>
        <v>25807793.610992335</v>
      </c>
      <c r="F447" s="25">
        <f>+'Deducible 185'!AD466</f>
        <v>27330624.08913416</v>
      </c>
    </row>
    <row r="448" spans="1:6">
      <c r="A448" s="27">
        <f t="shared" si="49"/>
        <v>37</v>
      </c>
      <c r="B448" s="28">
        <f>'OptiMaxx plus'!$T$7+A448</f>
        <v>66</v>
      </c>
      <c r="C448" s="24">
        <f t="shared" si="52"/>
        <v>444</v>
      </c>
      <c r="D448" s="25">
        <f>+'No Deducible 93'!AD467</f>
        <v>27517051.42979629</v>
      </c>
      <c r="E448" s="25">
        <f>+'Deducible 151'!AD467</f>
        <v>25980585.150004033</v>
      </c>
      <c r="F448" s="25">
        <f>+'Deducible 185'!AD467</f>
        <v>27517051.42979629</v>
      </c>
    </row>
    <row r="449" spans="1:6">
      <c r="A449" s="27">
        <f t="shared" si="49"/>
        <v>37.083333333333336</v>
      </c>
      <c r="B449" s="28">
        <f>'OptiMaxx plus'!$T$7+A449</f>
        <v>66.083333333333343</v>
      </c>
      <c r="C449" s="24">
        <f t="shared" si="52"/>
        <v>445</v>
      </c>
      <c r="D449" s="25">
        <f>+'No Deducible 93'!AD468</f>
        <v>27718117.128067691</v>
      </c>
      <c r="E449" s="25">
        <f>+'Deducible 151'!AD468</f>
        <v>26166781.599037591</v>
      </c>
      <c r="F449" s="25">
        <f>+'Deducible 185'!AD468</f>
        <v>27718117.128067691</v>
      </c>
    </row>
    <row r="450" spans="1:6">
      <c r="A450" s="27">
        <f t="shared" si="49"/>
        <v>37.166666666666664</v>
      </c>
      <c r="B450" s="28">
        <f>'OptiMaxx plus'!$T$7+A450</f>
        <v>66.166666666666657</v>
      </c>
      <c r="C450" s="24">
        <f t="shared" si="52"/>
        <v>446</v>
      </c>
      <c r="D450" s="25">
        <f>+'No Deducible 93'!AD469</f>
        <v>27920581.207421545</v>
      </c>
      <c r="E450" s="25">
        <f>+'Deducible 151'!AD469</f>
        <v>26354243.297663495</v>
      </c>
      <c r="F450" s="25">
        <f>+'Deducible 185'!AD469</f>
        <v>27920581.207421545</v>
      </c>
    </row>
    <row r="451" spans="1:6">
      <c r="A451" s="27">
        <f t="shared" si="49"/>
        <v>37.25</v>
      </c>
      <c r="B451" s="28">
        <f>'OptiMaxx plus'!$T$7+A451</f>
        <v>66.25</v>
      </c>
      <c r="C451" s="24">
        <f t="shared" si="52"/>
        <v>447</v>
      </c>
      <c r="D451" s="25">
        <f>+'No Deducible 93'!AD470</f>
        <v>28110954.081832532</v>
      </c>
      <c r="E451" s="25">
        <f>+'Deducible 151'!AD470</f>
        <v>26530616.479263455</v>
      </c>
      <c r="F451" s="25">
        <f>+'Deducible 185'!AD470</f>
        <v>28110954.081832532</v>
      </c>
    </row>
    <row r="452" spans="1:6">
      <c r="A452" s="27">
        <f t="shared" si="49"/>
        <v>37.333333333333336</v>
      </c>
      <c r="B452" s="28">
        <f>'OptiMaxx plus'!$T$7+A452</f>
        <v>66.333333333333343</v>
      </c>
      <c r="C452" s="24">
        <f t="shared" si="52"/>
        <v>448</v>
      </c>
      <c r="D452" s="25">
        <f>+'No Deducible 93'!AD471</f>
        <v>28316153.503317092</v>
      </c>
      <c r="E452" s="25">
        <f>+'Deducible 151'!AD471</f>
        <v>26720553.066954147</v>
      </c>
      <c r="F452" s="25">
        <f>+'Deducible 185'!AD471</f>
        <v>28316153.503317092</v>
      </c>
    </row>
    <row r="453" spans="1:6">
      <c r="A453" s="27">
        <f t="shared" si="49"/>
        <v>37.416666666666664</v>
      </c>
      <c r="B453" s="28">
        <f>'OptiMaxx plus'!$T$7+A453</f>
        <v>66.416666666666657</v>
      </c>
      <c r="C453" s="24">
        <f t="shared" si="52"/>
        <v>449</v>
      </c>
      <c r="D453" s="25">
        <f>+'No Deducible 93'!AD472</f>
        <v>28522780.08037819</v>
      </c>
      <c r="E453" s="25">
        <f>+'Deducible 151'!AD472</f>
        <v>26911780.338332135</v>
      </c>
      <c r="F453" s="25">
        <f>+'Deducible 185'!AD472</f>
        <v>28522780.08037819</v>
      </c>
    </row>
    <row r="454" spans="1:6">
      <c r="A454" s="27">
        <f t="shared" ref="A454:A517" si="53">+C454/12</f>
        <v>37.5</v>
      </c>
      <c r="B454" s="28">
        <f>'OptiMaxx plus'!$T$7+A454</f>
        <v>66.5</v>
      </c>
      <c r="C454" s="24">
        <f t="shared" si="52"/>
        <v>450</v>
      </c>
      <c r="D454" s="25">
        <f>+'No Deducible 93'!AD473</f>
        <v>28717194.581454393</v>
      </c>
      <c r="E454" s="25">
        <f>+'Deducible 151'!AD473</f>
        <v>27091823.908491787</v>
      </c>
      <c r="F454" s="25">
        <f>+'Deducible 185'!AD473</f>
        <v>28717194.581454393</v>
      </c>
    </row>
    <row r="455" spans="1:6">
      <c r="A455" s="27">
        <f t="shared" si="53"/>
        <v>37.583333333333336</v>
      </c>
      <c r="B455" s="28">
        <f>'OptiMaxx plus'!$T$7+A455</f>
        <v>66.583333333333343</v>
      </c>
      <c r="C455" s="24">
        <f t="shared" si="52"/>
        <v>451</v>
      </c>
      <c r="D455" s="25">
        <f>+'No Deducible 93'!AD474</f>
        <v>28926613.640252478</v>
      </c>
      <c r="E455" s="25">
        <f>+'Deducible 151'!AD474</f>
        <v>27285576.660608895</v>
      </c>
      <c r="F455" s="25">
        <f>+'Deducible 185'!AD474</f>
        <v>28926613.640252478</v>
      </c>
    </row>
    <row r="456" spans="1:6">
      <c r="A456" s="27">
        <f t="shared" si="53"/>
        <v>37.666666666666664</v>
      </c>
      <c r="B456" s="28">
        <f>'OptiMaxx plus'!$T$7+A456</f>
        <v>66.666666666666657</v>
      </c>
      <c r="C456" s="24">
        <f t="shared" si="52"/>
        <v>452</v>
      </c>
      <c r="D456" s="25">
        <f>+'No Deducible 93'!AD475</f>
        <v>29137489.227406032</v>
      </c>
      <c r="E456" s="25">
        <f>+'Deducible 151'!AD475</f>
        <v>27480646.0476918</v>
      </c>
      <c r="F456" s="25">
        <f>+'Deducible 185'!AD475</f>
        <v>29137489.227406032</v>
      </c>
    </row>
    <row r="457" spans="1:6">
      <c r="A457" s="27">
        <f t="shared" si="53"/>
        <v>37.75</v>
      </c>
      <c r="B457" s="28">
        <f>'OptiMaxx plus'!$T$7+A457</f>
        <v>66.75</v>
      </c>
      <c r="C457" s="24">
        <f t="shared" si="52"/>
        <v>453</v>
      </c>
      <c r="D457" s="25">
        <f>+'No Deducible 93'!AD476</f>
        <v>29336030.790741965</v>
      </c>
      <c r="E457" s="25">
        <f>+'Deducible 151'!AD476</f>
        <v>27664435.889459025</v>
      </c>
      <c r="F457" s="25">
        <f>+'Deducible 185'!AD476</f>
        <v>29336030.790741965</v>
      </c>
    </row>
    <row r="458" spans="1:6">
      <c r="A458" s="27">
        <f t="shared" si="53"/>
        <v>37.833333333333336</v>
      </c>
      <c r="B458" s="28">
        <f>'OptiMaxx plus'!$T$7+A458</f>
        <v>66.833333333333343</v>
      </c>
      <c r="C458" s="24">
        <f t="shared" si="52"/>
        <v>454</v>
      </c>
      <c r="D458" s="25">
        <f>+'No Deducible 93'!AD477</f>
        <v>29549757.196945515</v>
      </c>
      <c r="E458" s="25">
        <f>+'Deducible 151'!AD477</f>
        <v>27862082.386109591</v>
      </c>
      <c r="F458" s="25">
        <f>+'Deducible 185'!AD477</f>
        <v>29549757.196945515</v>
      </c>
    </row>
    <row r="459" spans="1:6">
      <c r="A459" s="27">
        <f t="shared" si="53"/>
        <v>37.916666666666664</v>
      </c>
      <c r="B459" s="28">
        <f>'OptiMaxx plus'!$T$7+A459</f>
        <v>66.916666666666657</v>
      </c>
      <c r="C459" s="24">
        <f t="shared" si="52"/>
        <v>455</v>
      </c>
      <c r="D459" s="25">
        <f>+'No Deducible 93'!AD478</f>
        <v>29764970.115077496</v>
      </c>
      <c r="E459" s="25">
        <f>+'Deducible 151'!AD478</f>
        <v>28061071.996763553</v>
      </c>
      <c r="F459" s="25">
        <f>+'Deducible 185'!AD478</f>
        <v>29764970.115077496</v>
      </c>
    </row>
    <row r="460" spans="1:6">
      <c r="A460" s="27">
        <f t="shared" si="53"/>
        <v>38</v>
      </c>
      <c r="B460" s="28">
        <f>'OptiMaxx plus'!$T$7+A460</f>
        <v>67</v>
      </c>
      <c r="C460" s="24">
        <f t="shared" si="52"/>
        <v>456</v>
      </c>
      <c r="D460" s="25">
        <f>+'No Deducible 93'!AD479</f>
        <v>29967725.97838429</v>
      </c>
      <c r="E460" s="25">
        <f>+'Deducible 151'!AD479</f>
        <v>28248685.557204291</v>
      </c>
      <c r="F460" s="25">
        <f>+'Deducible 185'!AD479</f>
        <v>29967725.97838429</v>
      </c>
    </row>
    <row r="461" spans="1:6">
      <c r="A461" s="27">
        <f t="shared" si="53"/>
        <v>38.083333333333336</v>
      </c>
      <c r="B461" s="28">
        <f>'OptiMaxx plus'!$T$7+A461</f>
        <v>67.083333333333343</v>
      </c>
      <c r="C461" s="24">
        <f t="shared" si="52"/>
        <v>457</v>
      </c>
      <c r="D461" s="25">
        <f>+'No Deducible 93'!AD480</f>
        <v>30185836.26659923</v>
      </c>
      <c r="E461" s="25">
        <f>+'Deducible 151'!AD480</f>
        <v>28450289.891605027</v>
      </c>
      <c r="F461" s="25">
        <f>+'Deducible 185'!AD480</f>
        <v>30185836.26659923</v>
      </c>
    </row>
    <row r="462" spans="1:6">
      <c r="A462" s="27">
        <f t="shared" si="53"/>
        <v>38.166666666666664</v>
      </c>
      <c r="B462" s="28">
        <f>'OptiMaxx plus'!$T$7+A462</f>
        <v>67.166666666666657</v>
      </c>
      <c r="C462" s="24">
        <f t="shared" si="52"/>
        <v>458</v>
      </c>
      <c r="D462" s="25">
        <f>+'No Deducible 93'!AD481</f>
        <v>30405463.583257318</v>
      </c>
      <c r="E462" s="25">
        <f>+'Deducible 151'!AD481</f>
        <v>28653264.255027462</v>
      </c>
      <c r="F462" s="25">
        <f>+'Deducible 185'!AD481</f>
        <v>30405463.583257318</v>
      </c>
    </row>
    <row r="463" spans="1:6">
      <c r="A463" s="27">
        <f t="shared" si="53"/>
        <v>38.25</v>
      </c>
      <c r="B463" s="28">
        <f>'OptiMaxx plus'!$T$7+A463</f>
        <v>67.25</v>
      </c>
      <c r="C463" s="24">
        <f t="shared" si="52"/>
        <v>459</v>
      </c>
      <c r="D463" s="25">
        <f>+'No Deducible 93'!AD482</f>
        <v>30612509.633316528</v>
      </c>
      <c r="E463" s="25">
        <f>+'Deducible 151'!AD482</f>
        <v>28844765.298480351</v>
      </c>
      <c r="F463" s="25">
        <f>+'Deducible 185'!AD482</f>
        <v>30612509.633316528</v>
      </c>
    </row>
    <row r="464" spans="1:6">
      <c r="A464" s="27">
        <f t="shared" si="53"/>
        <v>38.333333333333336</v>
      </c>
      <c r="B464" s="28">
        <f>'OptiMaxx plus'!$T$7+A464</f>
        <v>67.333333333333343</v>
      </c>
      <c r="C464" s="24">
        <f t="shared" si="52"/>
        <v>460</v>
      </c>
      <c r="D464" s="25">
        <f>+'No Deducible 93'!AD483</f>
        <v>30835107.95475797</v>
      </c>
      <c r="E464" s="25">
        <f>+'Deducible 151'!AD483</f>
        <v>29050423.018952109</v>
      </c>
      <c r="F464" s="25">
        <f>+'Deducible 185'!AD483</f>
        <v>30835107.95475797</v>
      </c>
    </row>
    <row r="465" spans="1:6">
      <c r="A465" s="27">
        <f t="shared" si="53"/>
        <v>38.416666666666664</v>
      </c>
      <c r="B465" s="28">
        <f>'OptiMaxx plus'!$T$7+A465</f>
        <v>67.416666666666657</v>
      </c>
      <c r="C465" s="24">
        <f t="shared" si="52"/>
        <v>461</v>
      </c>
      <c r="D465" s="25">
        <f>+'No Deducible 93'!AD484</f>
        <v>31059254.546478912</v>
      </c>
      <c r="E465" s="25">
        <f>+'Deducible 151'!AD484</f>
        <v>29257478.333491538</v>
      </c>
      <c r="F465" s="25">
        <f>+'Deducible 185'!AD484</f>
        <v>31059254.546478912</v>
      </c>
    </row>
    <row r="466" spans="1:6">
      <c r="A466" s="27">
        <f t="shared" si="53"/>
        <v>38.5</v>
      </c>
      <c r="B466" s="28">
        <f>'OptiMaxx plus'!$T$7+A466</f>
        <v>67.5</v>
      </c>
      <c r="C466" s="24">
        <f t="shared" si="52"/>
        <v>462</v>
      </c>
      <c r="D466" s="25">
        <f>+'No Deducible 93'!AD485</f>
        <v>31270694.653365854</v>
      </c>
      <c r="E466" s="25">
        <f>+'Deducible 151'!AD485</f>
        <v>29452962.497180179</v>
      </c>
      <c r="F466" s="25">
        <f>+'Deducible 185'!AD485</f>
        <v>31270694.653365854</v>
      </c>
    </row>
    <row r="467" spans="1:6">
      <c r="A467" s="27">
        <f t="shared" si="53"/>
        <v>38.583333333333336</v>
      </c>
      <c r="B467" s="28">
        <f>'OptiMaxx plus'!$T$7+A467</f>
        <v>67.583333333333343</v>
      </c>
      <c r="C467" s="24">
        <f t="shared" si="52"/>
        <v>463</v>
      </c>
      <c r="D467" s="25">
        <f>+'No Deducible 93'!AD486</f>
        <v>31497874.329481579</v>
      </c>
      <c r="E467" s="25">
        <f>+'Deducible 151'!AD486</f>
        <v>29662756.034306135</v>
      </c>
      <c r="F467" s="25">
        <f>+'Deducible 185'!AD486</f>
        <v>31497874.329481579</v>
      </c>
    </row>
    <row r="468" spans="1:6">
      <c r="A468" s="27">
        <f t="shared" si="53"/>
        <v>38.666666666666664</v>
      </c>
      <c r="B468" s="28">
        <f>'OptiMaxx plus'!$T$7+A468</f>
        <v>67.666666666666657</v>
      </c>
      <c r="C468" s="24">
        <f t="shared" si="52"/>
        <v>464</v>
      </c>
      <c r="D468" s="25">
        <f>+'No Deducible 93'!AD487</f>
        <v>31726634.167590789</v>
      </c>
      <c r="E468" s="25">
        <f>+'Deducible 151'!AD487</f>
        <v>29873975.291307002</v>
      </c>
      <c r="F468" s="25">
        <f>+'Deducible 185'!AD487</f>
        <v>31726634.167590789</v>
      </c>
    </row>
    <row r="469" spans="1:6">
      <c r="A469" s="27">
        <f t="shared" si="53"/>
        <v>38.75</v>
      </c>
      <c r="B469" s="28">
        <f>'OptiMaxx plus'!$T$7+A469</f>
        <v>67.75</v>
      </c>
      <c r="C469" s="24">
        <f t="shared" si="52"/>
        <v>465</v>
      </c>
      <c r="D469" s="25">
        <f>+'No Deducible 93'!AD488</f>
        <v>31942561.200563427</v>
      </c>
      <c r="E469" s="25">
        <f>+'Deducible 151'!AD488</f>
        <v>30073524.903692357</v>
      </c>
      <c r="F469" s="25">
        <f>+'Deducible 185'!AD488</f>
        <v>31942561.200563427</v>
      </c>
    </row>
    <row r="470" spans="1:6">
      <c r="A470" s="27">
        <f t="shared" si="53"/>
        <v>38.833333333333336</v>
      </c>
      <c r="B470" s="28">
        <f>'OptiMaxx plus'!$T$7+A470</f>
        <v>67.833333333333343</v>
      </c>
      <c r="C470" s="24">
        <f t="shared" si="52"/>
        <v>466</v>
      </c>
      <c r="D470" s="25">
        <f>+'No Deducible 93'!AD489</f>
        <v>32174417.504125606</v>
      </c>
      <c r="E470" s="25">
        <f>+'Deducible 151'!AD489</f>
        <v>30287538.373708695</v>
      </c>
      <c r="F470" s="25">
        <f>+'Deducible 185'!AD489</f>
        <v>32174417.504125606</v>
      </c>
    </row>
    <row r="471" spans="1:6">
      <c r="A471" s="27">
        <f t="shared" si="53"/>
        <v>38.916666666666664</v>
      </c>
      <c r="B471" s="28">
        <f>'OptiMaxx plus'!$T$7+A471</f>
        <v>67.916666666666657</v>
      </c>
      <c r="C471" s="24">
        <f t="shared" si="52"/>
        <v>467</v>
      </c>
      <c r="D471" s="25">
        <f>+'No Deducible 93'!AD490</f>
        <v>32407886.524864104</v>
      </c>
      <c r="E471" s="25">
        <f>+'Deducible 151'!AD490</f>
        <v>30503006.261637542</v>
      </c>
      <c r="F471" s="25">
        <f>+'Deducible 185'!AD490</f>
        <v>32407886.524864104</v>
      </c>
    </row>
    <row r="472" spans="1:6">
      <c r="A472" s="27">
        <f t="shared" si="53"/>
        <v>39</v>
      </c>
      <c r="B472" s="28">
        <f>'OptiMaxx plus'!$T$7+A472</f>
        <v>68</v>
      </c>
      <c r="C472" s="24">
        <f t="shared" si="52"/>
        <v>468</v>
      </c>
      <c r="D472" s="25">
        <f>+'No Deducible 93'!AD491</f>
        <v>32628395.311921723</v>
      </c>
      <c r="E472" s="25">
        <f>+'Deducible 151'!AD491</f>
        <v>30706705.347848795</v>
      </c>
      <c r="F472" s="25">
        <f>+'Deducible 185'!AD491</f>
        <v>32628395.311921723</v>
      </c>
    </row>
    <row r="473" spans="1:6">
      <c r="A473" s="27">
        <f t="shared" si="53"/>
        <v>39.083333333333336</v>
      </c>
      <c r="B473" s="28">
        <f>'OptiMaxx plus'!$T$7+A473</f>
        <v>68.083333333333343</v>
      </c>
      <c r="C473" s="24">
        <f t="shared" ref="C473:C479" si="54">+C472+1</f>
        <v>469</v>
      </c>
      <c r="D473" s="25">
        <f>+'No Deducible 93'!AD492</f>
        <v>32865011.978446495</v>
      </c>
      <c r="E473" s="25">
        <f>+'Deducible 151'!AD492</f>
        <v>30925008.911188643</v>
      </c>
      <c r="F473" s="25">
        <f>+'Deducible 185'!AD492</f>
        <v>32865011.978446495</v>
      </c>
    </row>
    <row r="474" spans="1:6">
      <c r="A474" s="27">
        <f t="shared" si="53"/>
        <v>39.166666666666664</v>
      </c>
      <c r="B474" s="28">
        <f>'OptiMaxx plus'!$T$7+A474</f>
        <v>68.166666666666657</v>
      </c>
      <c r="C474" s="24">
        <f t="shared" si="54"/>
        <v>470</v>
      </c>
      <c r="D474" s="25">
        <f>+'No Deducible 93'!AD493</f>
        <v>33103274.500426736</v>
      </c>
      <c r="E474" s="25">
        <f>+'Deducible 151'!AD493</f>
        <v>31144796.067739598</v>
      </c>
      <c r="F474" s="25">
        <f>+'Deducible 185'!AD493</f>
        <v>33103274.500426736</v>
      </c>
    </row>
    <row r="475" spans="1:6">
      <c r="A475" s="27">
        <f t="shared" si="53"/>
        <v>39.25</v>
      </c>
      <c r="B475" s="28">
        <f>'OptiMaxx plus'!$T$7+A475</f>
        <v>68.25</v>
      </c>
      <c r="C475" s="24">
        <f t="shared" si="54"/>
        <v>471</v>
      </c>
      <c r="D475" s="25">
        <f>+'No Deducible 93'!AD494</f>
        <v>33328448.150921237</v>
      </c>
      <c r="E475" s="25">
        <f>+'Deducible 151'!AD494</f>
        <v>31352714.494399577</v>
      </c>
      <c r="F475" s="25">
        <f>+'Deducible 185'!AD494</f>
        <v>33328448.150921237</v>
      </c>
    </row>
    <row r="476" spans="1:6">
      <c r="A476" s="27">
        <f t="shared" si="53"/>
        <v>39.333333333333336</v>
      </c>
      <c r="B476" s="28">
        <f>'OptiMaxx plus'!$T$7+A476</f>
        <v>68.333333333333343</v>
      </c>
      <c r="C476" s="24">
        <f t="shared" si="54"/>
        <v>472</v>
      </c>
      <c r="D476" s="25">
        <f>+'No Deducible 93'!AD495</f>
        <v>33569937.724240869</v>
      </c>
      <c r="E476" s="25">
        <f>+'Deducible 151'!AD495</f>
        <v>31575411.096817661</v>
      </c>
      <c r="F476" s="25">
        <f>+'Deducible 185'!AD495</f>
        <v>33569937.724240869</v>
      </c>
    </row>
    <row r="477" spans="1:6">
      <c r="A477" s="27">
        <f t="shared" si="53"/>
        <v>39.416666666666664</v>
      </c>
      <c r="B477" s="28">
        <f>'OptiMaxx plus'!$T$7+A477</f>
        <v>68.416666666666657</v>
      </c>
      <c r="C477" s="24">
        <f t="shared" si="54"/>
        <v>473</v>
      </c>
      <c r="D477" s="25">
        <f>+'No Deducible 93'!AD496</f>
        <v>33813107.075072892</v>
      </c>
      <c r="E477" s="25">
        <f>+'Deducible 151'!AD496</f>
        <v>31799621.168105327</v>
      </c>
      <c r="F477" s="25">
        <f>+'Deducible 185'!AD496</f>
        <v>33813107.075072892</v>
      </c>
    </row>
    <row r="478" spans="1:6">
      <c r="A478" s="27">
        <f t="shared" si="53"/>
        <v>39.5</v>
      </c>
      <c r="B478" s="28">
        <f>'OptiMaxx plus'!$T$7+A478</f>
        <v>68.5</v>
      </c>
      <c r="C478" s="24">
        <f t="shared" si="54"/>
        <v>474</v>
      </c>
      <c r="D478" s="25">
        <f>+'No Deducible 93'!AD497</f>
        <v>34043057.889117852</v>
      </c>
      <c r="E478" s="25">
        <f>+'Deducible 151'!AD497</f>
        <v>32011862.022637479</v>
      </c>
      <c r="F478" s="25">
        <f>+'Deducible 185'!AD497</f>
        <v>34043057.889117852</v>
      </c>
    </row>
    <row r="479" spans="1:6">
      <c r="A479" s="27">
        <f t="shared" si="53"/>
        <v>39.583333333333336</v>
      </c>
      <c r="B479" s="28">
        <f>'OptiMaxx plus'!$T$7+A479</f>
        <v>68.583333333333343</v>
      </c>
      <c r="C479" s="24">
        <f t="shared" si="54"/>
        <v>475</v>
      </c>
      <c r="D479" s="25">
        <f>+'No Deducible 93'!AD498</f>
        <v>34289521.738980077</v>
      </c>
      <c r="E479" s="25">
        <f>+'Deducible 151'!AD498</f>
        <v>32239041.04093476</v>
      </c>
      <c r="F479" s="25">
        <f>+'Deducible 185'!AD498</f>
        <v>34289521.738980077</v>
      </c>
    </row>
    <row r="480" spans="1:6">
      <c r="A480" s="27">
        <f t="shared" si="53"/>
        <v>39.666666666666664</v>
      </c>
      <c r="B480" s="28">
        <f>'OptiMaxx plus'!$T$7+A480</f>
        <v>68.666666666666657</v>
      </c>
      <c r="C480" s="24">
        <f t="shared" ref="C480:C506" si="55">+C479+1</f>
        <v>476</v>
      </c>
      <c r="D480" s="25">
        <f>+'No Deducible 93'!AD499</f>
        <v>34537699.994346723</v>
      </c>
      <c r="E480" s="25">
        <f>+'Deducible 151'!AD499</f>
        <v>32467764.011783071</v>
      </c>
      <c r="F480" s="25">
        <f>+'Deducible 185'!AD499</f>
        <v>34537699.994346723</v>
      </c>
    </row>
    <row r="481" spans="1:6">
      <c r="A481" s="27">
        <f t="shared" si="53"/>
        <v>39.75</v>
      </c>
      <c r="B481" s="28">
        <f>'OptiMaxx plus'!$T$7+A481</f>
        <v>68.75</v>
      </c>
      <c r="C481" s="24">
        <f t="shared" si="55"/>
        <v>477</v>
      </c>
      <c r="D481" s="25">
        <f>+'No Deducible 93'!AD500</f>
        <v>34772528.921196871</v>
      </c>
      <c r="E481" s="25">
        <f>+'Deducible 151'!AD500</f>
        <v>32684416.61499837</v>
      </c>
      <c r="F481" s="25">
        <f>+'Deducible 185'!AD500</f>
        <v>34772528.921196871</v>
      </c>
    </row>
    <row r="482" spans="1:6">
      <c r="A482" s="27">
        <f t="shared" si="53"/>
        <v>39.833333333333336</v>
      </c>
      <c r="B482" s="28">
        <f>'OptiMaxx plus'!$T$7+A482</f>
        <v>68.833333333333343</v>
      </c>
      <c r="C482" s="24">
        <f t="shared" si="55"/>
        <v>478</v>
      </c>
      <c r="D482" s="25">
        <f>+'No Deducible 93'!AD501</f>
        <v>35024070.53746973</v>
      </c>
      <c r="E482" s="25">
        <f>+'Deducible 151'!AD501</f>
        <v>32916169.254059028</v>
      </c>
      <c r="F482" s="25">
        <f>+'Deducible 185'!AD501</f>
        <v>35024070.53746973</v>
      </c>
    </row>
    <row r="483" spans="1:6">
      <c r="A483" s="27">
        <f t="shared" si="53"/>
        <v>39.916666666666664</v>
      </c>
      <c r="B483" s="28">
        <f>'OptiMaxx plus'!$T$7+A483</f>
        <v>68.916666666666657</v>
      </c>
      <c r="C483" s="24">
        <f t="shared" si="55"/>
        <v>479</v>
      </c>
      <c r="D483" s="25">
        <f>+'No Deducible 93'!AD502</f>
        <v>35277361.907941118</v>
      </c>
      <c r="E483" s="25">
        <f>+'Deducible 151'!AD502</f>
        <v>33149496.949813336</v>
      </c>
      <c r="F483" s="25">
        <f>+'Deducible 185'!AD502</f>
        <v>35277361.907941118</v>
      </c>
    </row>
    <row r="484" spans="1:6">
      <c r="A484" s="27">
        <f t="shared" si="53"/>
        <v>40</v>
      </c>
      <c r="B484" s="28">
        <f>'OptiMaxx plus'!$T$7+A484</f>
        <v>69</v>
      </c>
      <c r="C484" s="24">
        <f t="shared" si="55"/>
        <v>480</v>
      </c>
      <c r="D484" s="25">
        <f>+'No Deducible 93'!AD503</f>
        <v>35517172.025827423</v>
      </c>
      <c r="E484" s="25">
        <f>+'Deducible 151'!AD503</f>
        <v>33370652.46308966</v>
      </c>
      <c r="F484" s="25">
        <f>+'Deducible 185'!AD503</f>
        <v>35517172.025827423</v>
      </c>
    </row>
    <row r="485" spans="1:6">
      <c r="A485" s="27">
        <f t="shared" si="53"/>
        <v>40.083333333333336</v>
      </c>
      <c r="B485" s="28">
        <f>'OptiMaxx plus'!$T$7+A485</f>
        <v>69.083333333333343</v>
      </c>
      <c r="C485" s="24">
        <f t="shared" si="55"/>
        <v>481</v>
      </c>
      <c r="D485" s="25">
        <f>+'No Deducible 93'!AD504</f>
        <v>35773882.992284328</v>
      </c>
      <c r="E485" s="25">
        <f>+'Deducible 151'!AD504</f>
        <v>33607055.490308397</v>
      </c>
      <c r="F485" s="25">
        <f>+'Deducible 185'!AD504</f>
        <v>35773882.992284328</v>
      </c>
    </row>
    <row r="486" spans="1:6">
      <c r="A486" s="27">
        <f t="shared" si="53"/>
        <v>40.166666666666664</v>
      </c>
      <c r="B486" s="28">
        <f>'OptiMaxx plus'!$T$7+A486</f>
        <v>69.166666666666657</v>
      </c>
      <c r="C486" s="24">
        <f t="shared" si="55"/>
        <v>482</v>
      </c>
      <c r="D486" s="25">
        <f>+'No Deducible 93'!AD505</f>
        <v>36032379.699393973</v>
      </c>
      <c r="E486" s="25">
        <f>+'Deducible 151'!AD505</f>
        <v>33845065.200577363</v>
      </c>
      <c r="F486" s="25">
        <f>+'Deducible 185'!AD505</f>
        <v>36032379.699393973</v>
      </c>
    </row>
    <row r="487" spans="1:6">
      <c r="A487" s="27">
        <f t="shared" si="53"/>
        <v>40.25</v>
      </c>
      <c r="B487" s="28">
        <f>'OptiMaxx plus'!$T$7+A487</f>
        <v>69.25</v>
      </c>
      <c r="C487" s="24">
        <f t="shared" si="55"/>
        <v>483</v>
      </c>
      <c r="D487" s="25">
        <f>+'No Deducible 93'!AD506</f>
        <v>36277261.992973328</v>
      </c>
      <c r="E487" s="25">
        <f>+'Deducible 151'!AD506</f>
        <v>34070800.138040654</v>
      </c>
      <c r="F487" s="25">
        <f>+'Deducible 185'!AD506</f>
        <v>36277261.992973328</v>
      </c>
    </row>
    <row r="488" spans="1:6">
      <c r="A488" s="27">
        <f t="shared" si="53"/>
        <v>40.333333333333336</v>
      </c>
      <c r="B488" s="28">
        <f>'OptiMaxx plus'!$T$7+A488</f>
        <v>69.333333333333343</v>
      </c>
      <c r="C488" s="24">
        <f t="shared" si="55"/>
        <v>484</v>
      </c>
      <c r="D488" s="25">
        <f>+'No Deducible 93'!AD507</f>
        <v>36539263.948637061</v>
      </c>
      <c r="E488" s="25">
        <f>+'Deducible 151'!AD507</f>
        <v>34311964.495665684</v>
      </c>
      <c r="F488" s="25">
        <f>+'Deducible 185'!AD507</f>
        <v>36539263.948637061</v>
      </c>
    </row>
    <row r="489" spans="1:6">
      <c r="A489" s="27">
        <f t="shared" si="53"/>
        <v>40.416666666666664</v>
      </c>
      <c r="B489" s="28">
        <f>'OptiMaxx plus'!$T$7+A489</f>
        <v>69.416666666666657</v>
      </c>
      <c r="C489" s="24">
        <f t="shared" si="55"/>
        <v>485</v>
      </c>
      <c r="D489" s="25">
        <f>+'No Deducible 93'!AD508</f>
        <v>36803088.478535563</v>
      </c>
      <c r="E489" s="25">
        <f>+'Deducible 151'!AD508</f>
        <v>34554767.917465895</v>
      </c>
      <c r="F489" s="25">
        <f>+'Deducible 185'!AD508</f>
        <v>36803088.478535563</v>
      </c>
    </row>
    <row r="490" spans="1:6">
      <c r="A490" s="27">
        <f t="shared" si="53"/>
        <v>40.5</v>
      </c>
      <c r="B490" s="28">
        <f>'OptiMaxx plus'!$T$7+A490</f>
        <v>69.5</v>
      </c>
      <c r="C490" s="24">
        <f t="shared" si="55"/>
        <v>486</v>
      </c>
      <c r="D490" s="25">
        <f>+'No Deducible 93'!AD509</f>
        <v>37053164.386650845</v>
      </c>
      <c r="E490" s="25">
        <f>+'Deducible 151'!AD509</f>
        <v>34785193.422064312</v>
      </c>
      <c r="F490" s="25">
        <f>+'Deducible 185'!AD509</f>
        <v>37053164.386650845</v>
      </c>
    </row>
    <row r="491" spans="1:6">
      <c r="A491" s="27">
        <f t="shared" si="53"/>
        <v>40.583333333333336</v>
      </c>
      <c r="B491" s="28">
        <f>'OptiMaxx plus'!$T$7+A491</f>
        <v>69.583333333333343</v>
      </c>
      <c r="C491" s="24">
        <f t="shared" si="55"/>
        <v>487</v>
      </c>
      <c r="D491" s="25">
        <f>+'No Deducible 93'!AD510</f>
        <v>37320567.446086779</v>
      </c>
      <c r="E491" s="25">
        <f>+'Deducible 151'!AD510</f>
        <v>35031216.02035667</v>
      </c>
      <c r="F491" s="25">
        <f>+'Deducible 185'!AD510</f>
        <v>37320567.446086779</v>
      </c>
    </row>
    <row r="492" spans="1:6">
      <c r="A492" s="27">
        <f t="shared" si="53"/>
        <v>40.666666666666664</v>
      </c>
      <c r="B492" s="28">
        <f>'OptiMaxx plus'!$T$7+A492</f>
        <v>69.666666666666657</v>
      </c>
      <c r="C492" s="24">
        <f t="shared" si="55"/>
        <v>488</v>
      </c>
      <c r="D492" s="25">
        <f>+'No Deducible 93'!AD511</f>
        <v>37589830.68018382</v>
      </c>
      <c r="E492" s="25">
        <f>+'Deducible 151'!AD511</f>
        <v>35278910.723229676</v>
      </c>
      <c r="F492" s="25">
        <f>+'Deducible 185'!AD511</f>
        <v>37589830.68018382</v>
      </c>
    </row>
    <row r="493" spans="1:6">
      <c r="A493" s="27">
        <f t="shared" si="53"/>
        <v>40.75</v>
      </c>
      <c r="B493" s="28">
        <f>'OptiMaxx plus'!$T$7+A493</f>
        <v>69.75</v>
      </c>
      <c r="C493" s="24">
        <f t="shared" si="55"/>
        <v>489</v>
      </c>
      <c r="D493" s="25">
        <f>+'No Deducible 93'!AD512</f>
        <v>37845209.934594736</v>
      </c>
      <c r="E493" s="25">
        <f>+'Deducible 151'!AD512</f>
        <v>35514123.701451585</v>
      </c>
      <c r="F493" s="25">
        <f>+'Deducible 185'!AD512</f>
        <v>37845209.934594736</v>
      </c>
    </row>
    <row r="494" spans="1:6">
      <c r="A494" s="27">
        <f t="shared" si="53"/>
        <v>40.833333333333336</v>
      </c>
      <c r="B494" s="28">
        <f>'OptiMaxx plus'!$T$7+A494</f>
        <v>69.833333333333343</v>
      </c>
      <c r="C494" s="24">
        <f t="shared" si="55"/>
        <v>490</v>
      </c>
      <c r="D494" s="25">
        <f>+'No Deducible 93'!AD513</f>
        <v>38118126.515915632</v>
      </c>
      <c r="E494" s="25">
        <f>+'Deducible 151'!AD513</f>
        <v>35765103.433242276</v>
      </c>
      <c r="F494" s="25">
        <f>+'Deducible 185'!AD513</f>
        <v>38118126.515915632</v>
      </c>
    </row>
    <row r="495" spans="1:6">
      <c r="A495" s="27">
        <f t="shared" si="53"/>
        <v>40.916666666666664</v>
      </c>
      <c r="B495" s="28">
        <f>'OptiMaxx plus'!$T$7+A495</f>
        <v>69.916666666666657</v>
      </c>
      <c r="C495" s="24">
        <f t="shared" si="55"/>
        <v>491</v>
      </c>
      <c r="D495" s="25">
        <f>+'No Deducible 93'!AD514</f>
        <v>38392941.655212976</v>
      </c>
      <c r="E495" s="25">
        <f>+'Deducible 151'!AD514</f>
        <v>36017788.982788987</v>
      </c>
      <c r="F495" s="25">
        <f>+'Deducible 185'!AD514</f>
        <v>38392941.655212976</v>
      </c>
    </row>
    <row r="496" spans="1:6">
      <c r="A496" s="27">
        <f t="shared" si="53"/>
        <v>41</v>
      </c>
      <c r="B496" s="28">
        <f>'OptiMaxx plus'!$T$7+A496</f>
        <v>70</v>
      </c>
      <c r="C496" s="24">
        <f t="shared" si="55"/>
        <v>492</v>
      </c>
      <c r="D496" s="25">
        <f>+'No Deducible 93'!AD515</f>
        <v>38653736.301683165</v>
      </c>
      <c r="E496" s="25">
        <f>+'Deducible 151'!AD515</f>
        <v>36257888.337790608</v>
      </c>
      <c r="F496" s="25">
        <f>+'Deducible 185'!AD515</f>
        <v>38653736.301683165</v>
      </c>
    </row>
    <row r="497" spans="1:6">
      <c r="A497" s="27">
        <f t="shared" si="53"/>
        <v>41.083333333333336</v>
      </c>
      <c r="B497" s="28">
        <f>'OptiMaxx plus'!$T$7+A497</f>
        <v>70.083333333333343</v>
      </c>
      <c r="C497" s="24">
        <f t="shared" si="55"/>
        <v>493</v>
      </c>
      <c r="D497" s="25">
        <f>+'No Deducible 93'!AD516</f>
        <v>38932266.541360207</v>
      </c>
      <c r="E497" s="25">
        <f>+'Deducible 151'!AD516</f>
        <v>36513909.163957343</v>
      </c>
      <c r="F497" s="25">
        <f>+'Deducible 185'!AD516</f>
        <v>38932266.541360207</v>
      </c>
    </row>
    <row r="498" spans="1:6">
      <c r="A498" s="27">
        <f t="shared" si="53"/>
        <v>41.166666666666664</v>
      </c>
      <c r="B498" s="28">
        <f>'OptiMaxx plus'!$T$7+A498</f>
        <v>70.166666666666657</v>
      </c>
      <c r="C498" s="24">
        <f t="shared" si="55"/>
        <v>494</v>
      </c>
      <c r="D498" s="25">
        <f>+'No Deducible 93'!AD517</f>
        <v>39212734.419659853</v>
      </c>
      <c r="E498" s="25">
        <f>+'Deducible 151'!AD517</f>
        <v>36771670.09221337</v>
      </c>
      <c r="F498" s="25">
        <f>+'Deducible 185'!AD517</f>
        <v>39212734.419659853</v>
      </c>
    </row>
    <row r="499" spans="1:6">
      <c r="A499" s="27">
        <f t="shared" si="53"/>
        <v>41.25</v>
      </c>
      <c r="B499" s="28">
        <f>'OptiMaxx plus'!$T$7+A499</f>
        <v>70.25</v>
      </c>
      <c r="C499" s="24">
        <f t="shared" si="55"/>
        <v>495</v>
      </c>
      <c r="D499" s="25">
        <f>+'No Deducible 93'!AD518</f>
        <v>39479044.028606512</v>
      </c>
      <c r="E499" s="25">
        <f>+'Deducible 151'!AD518</f>
        <v>37016739.578182481</v>
      </c>
      <c r="F499" s="25">
        <f>+'Deducible 185'!AD518</f>
        <v>39479044.028606512</v>
      </c>
    </row>
    <row r="500" spans="1:6">
      <c r="A500" s="27">
        <f t="shared" si="53"/>
        <v>41.333333333333336</v>
      </c>
      <c r="B500" s="28">
        <f>'OptiMaxx plus'!$T$7+A500</f>
        <v>70.333333333333343</v>
      </c>
      <c r="C500" s="24">
        <f t="shared" si="55"/>
        <v>496</v>
      </c>
      <c r="D500" s="25">
        <f>+'No Deducible 93'!AD519</f>
        <v>39763319.423385233</v>
      </c>
      <c r="E500" s="25">
        <f>+'Deducible 151'!AD519</f>
        <v>37277921.086193159</v>
      </c>
      <c r="F500" s="25">
        <f>+'Deducible 185'!AD519</f>
        <v>39763319.423385233</v>
      </c>
    </row>
    <row r="501" spans="1:6">
      <c r="A501" s="27">
        <f t="shared" si="53"/>
        <v>41.416666666666664</v>
      </c>
      <c r="B501" s="28">
        <f>'OptiMaxx plus'!$T$7+A501</f>
        <v>70.416666666666657</v>
      </c>
      <c r="C501" s="24">
        <f t="shared" si="55"/>
        <v>497</v>
      </c>
      <c r="D501" s="25">
        <f>+'No Deducible 93'!AD520</f>
        <v>40049572.453222126</v>
      </c>
      <c r="E501" s="25">
        <f>+'Deducible 151'!AD520</f>
        <v>37540877.794217512</v>
      </c>
      <c r="F501" s="25">
        <f>+'Deducible 185'!AD520</f>
        <v>40049572.453222126</v>
      </c>
    </row>
    <row r="502" spans="1:6">
      <c r="A502" s="27">
        <f t="shared" si="53"/>
        <v>41.5</v>
      </c>
      <c r="B502" s="28">
        <f>'OptiMaxx plus'!$T$7+A502</f>
        <v>70.5</v>
      </c>
      <c r="C502" s="24">
        <f t="shared" si="55"/>
        <v>498</v>
      </c>
      <c r="D502" s="25">
        <f>+'No Deducible 93'!AD521</f>
        <v>40321528.371532716</v>
      </c>
      <c r="E502" s="25">
        <f>+'Deducible 151'!AD521</f>
        <v>37791037.265220545</v>
      </c>
      <c r="F502" s="25">
        <f>+'Deducible 185'!AD521</f>
        <v>40321528.371532716</v>
      </c>
    </row>
    <row r="503" spans="1:6">
      <c r="A503" s="27">
        <f t="shared" si="53"/>
        <v>41.583333333333336</v>
      </c>
      <c r="B503" s="28">
        <f>'OptiMaxx plus'!$T$7+A503</f>
        <v>70.583333333333343</v>
      </c>
      <c r="C503" s="24">
        <f t="shared" si="55"/>
        <v>499</v>
      </c>
      <c r="D503" s="25">
        <f>+'No Deducible 93'!AD522</f>
        <v>40611668.537700638</v>
      </c>
      <c r="E503" s="25">
        <f>+'Deducible 151'!AD522</f>
        <v>38057484.535760738</v>
      </c>
      <c r="F503" s="25">
        <f>+'Deducible 185'!AD522</f>
        <v>40611668.537700638</v>
      </c>
    </row>
    <row r="504" spans="1:6">
      <c r="A504" s="27">
        <f t="shared" si="53"/>
        <v>41.666666666666664</v>
      </c>
      <c r="B504" s="28">
        <f>'OptiMaxx plus'!$T$7+A504</f>
        <v>70.666666666666657</v>
      </c>
      <c r="C504" s="24">
        <f t="shared" si="55"/>
        <v>500</v>
      </c>
      <c r="D504" s="25">
        <f>+'No Deducible 93'!AD523</f>
        <v>40903827.168388262</v>
      </c>
      <c r="E504" s="25">
        <f>+'Deducible 151'!AD523</f>
        <v>38325742.819111258</v>
      </c>
      <c r="F504" s="25">
        <f>+'Deducible 185'!AD523</f>
        <v>40903827.168388262</v>
      </c>
    </row>
    <row r="505" spans="1:6">
      <c r="A505" s="27">
        <f t="shared" si="53"/>
        <v>41.75</v>
      </c>
      <c r="B505" s="28">
        <f>'OptiMaxx plus'!$T$7+A505</f>
        <v>70.75</v>
      </c>
      <c r="C505" s="24">
        <f t="shared" si="55"/>
        <v>501</v>
      </c>
      <c r="D505" s="25">
        <f>+'No Deducible 93'!AD524</f>
        <v>41181548.67389185</v>
      </c>
      <c r="E505" s="25">
        <f>+'Deducible 151'!AD524</f>
        <v>38581097.410965748</v>
      </c>
      <c r="F505" s="25">
        <f>+'Deducible 185'!AD524</f>
        <v>41181548.67389185</v>
      </c>
    </row>
    <row r="506" spans="1:6">
      <c r="A506" s="27">
        <f t="shared" si="53"/>
        <v>41.833333333333336</v>
      </c>
      <c r="B506" s="28">
        <f>'OptiMaxx plus'!$T$7+A506</f>
        <v>70.833333333333343</v>
      </c>
      <c r="C506" s="24">
        <f t="shared" si="55"/>
        <v>502</v>
      </c>
      <c r="D506" s="25">
        <f>+'No Deducible 93'!AD525</f>
        <v>41477675.730611809</v>
      </c>
      <c r="E506" s="25">
        <f>+'Deducible 151'!AD525</f>
        <v>38852917.674855746</v>
      </c>
      <c r="F506" s="25">
        <f>+'Deducible 185'!AD525</f>
        <v>41477675.730611809</v>
      </c>
    </row>
    <row r="507" spans="1:6">
      <c r="A507" s="27">
        <f t="shared" si="53"/>
        <v>41.916666666666664</v>
      </c>
      <c r="B507" s="28">
        <f>'OptiMaxx plus'!$T$7+A507</f>
        <v>70.916666666666657</v>
      </c>
      <c r="C507" s="24">
        <f t="shared" ref="C507:C567" si="56">+C506+1</f>
        <v>503</v>
      </c>
      <c r="D507" s="25">
        <f>+'No Deducible 93'!AD526</f>
        <v>41775862.931772016</v>
      </c>
      <c r="E507" s="25">
        <f>+'Deducible 151'!AD526</f>
        <v>39126585.493854582</v>
      </c>
      <c r="F507" s="25">
        <f>+'Deducible 185'!AD526</f>
        <v>41775862.931772016</v>
      </c>
    </row>
    <row r="508" spans="1:6">
      <c r="A508" s="27">
        <f t="shared" si="53"/>
        <v>42</v>
      </c>
      <c r="B508" s="28">
        <f>'OptiMaxx plus'!$T$7+A508</f>
        <v>71</v>
      </c>
      <c r="C508" s="24">
        <f t="shared" si="56"/>
        <v>504</v>
      </c>
      <c r="D508" s="25">
        <f>+'No Deducible 93'!AD527</f>
        <v>42059471.817407392</v>
      </c>
      <c r="E508" s="25">
        <f>+'Deducible 151'!AD527</f>
        <v>39387242.508383825</v>
      </c>
      <c r="F508" s="25">
        <f>+'Deducible 185'!AD527</f>
        <v>42059471.817407392</v>
      </c>
    </row>
    <row r="509" spans="1:6">
      <c r="A509" s="27">
        <f t="shared" si="53"/>
        <v>42.083333333333336</v>
      </c>
      <c r="B509" s="28">
        <f>'OptiMaxx plus'!$T$7+A509</f>
        <v>71.083333333333343</v>
      </c>
      <c r="C509" s="24">
        <f t="shared" si="56"/>
        <v>505</v>
      </c>
      <c r="D509" s="25">
        <f>+'No Deducible 93'!AD528</f>
        <v>42361695.220375635</v>
      </c>
      <c r="E509" s="25">
        <f>+'Deducible 151'!AD528</f>
        <v>39664527.557288639</v>
      </c>
      <c r="F509" s="25">
        <f>+'Deducible 185'!AD528</f>
        <v>42361695.220375635</v>
      </c>
    </row>
    <row r="510" spans="1:6">
      <c r="A510" s="27">
        <f t="shared" si="53"/>
        <v>42.166666666666664</v>
      </c>
      <c r="B510" s="28">
        <f>'OptiMaxx plus'!$T$7+A510</f>
        <v>71.166666666666657</v>
      </c>
      <c r="C510" s="24">
        <f t="shared" si="56"/>
        <v>506</v>
      </c>
      <c r="D510" s="25">
        <f>+'No Deducible 93'!AD529</f>
        <v>42666021.209945612</v>
      </c>
      <c r="E510" s="25">
        <f>+'Deducible 151'!AD529</f>
        <v>39943697.328039095</v>
      </c>
      <c r="F510" s="25">
        <f>+'Deducible 185'!AD529</f>
        <v>42666021.209945612</v>
      </c>
    </row>
    <row r="511" spans="1:6">
      <c r="A511" s="27">
        <f t="shared" si="53"/>
        <v>42.25</v>
      </c>
      <c r="B511" s="28">
        <f>'OptiMaxx plus'!$T$7+A511</f>
        <v>71.25</v>
      </c>
      <c r="C511" s="24">
        <f t="shared" si="56"/>
        <v>507</v>
      </c>
      <c r="D511" s="25">
        <f>+'No Deducible 93'!AD530</f>
        <v>42955626.40512149</v>
      </c>
      <c r="E511" s="25">
        <f>+'Deducible 151'!AD530</f>
        <v>40209748.403449297</v>
      </c>
      <c r="F511" s="25">
        <f>+'Deducible 185'!AD530</f>
        <v>42955626.40512149</v>
      </c>
    </row>
    <row r="512" spans="1:6">
      <c r="A512" s="27">
        <f t="shared" si="53"/>
        <v>42.333333333333336</v>
      </c>
      <c r="B512" s="28">
        <f>'OptiMaxx plus'!$T$7+A512</f>
        <v>71.333333333333343</v>
      </c>
      <c r="C512" s="24">
        <f t="shared" si="56"/>
        <v>508</v>
      </c>
      <c r="D512" s="25">
        <f>+'No Deducible 93'!AD531</f>
        <v>43264088.336462416</v>
      </c>
      <c r="E512" s="25">
        <f>+'Deducible 151'!AD531</f>
        <v>40492627.172615275</v>
      </c>
      <c r="F512" s="25">
        <f>+'Deducible 185'!AD531</f>
        <v>43264088.336462416</v>
      </c>
    </row>
    <row r="513" spans="1:6">
      <c r="A513" s="27">
        <f t="shared" si="53"/>
        <v>42.416666666666664</v>
      </c>
      <c r="B513" s="28">
        <f>'OptiMaxx plus'!$T$7+A513</f>
        <v>71.416666666666657</v>
      </c>
      <c r="C513" s="24">
        <f t="shared" si="56"/>
        <v>509</v>
      </c>
      <c r="D513" s="25">
        <f>+'No Deducible 93'!AD532</f>
        <v>43574696.286782898</v>
      </c>
      <c r="E513" s="25">
        <f>+'Deducible 151'!AD532</f>
        <v>40777428.707558125</v>
      </c>
      <c r="F513" s="25">
        <f>+'Deducible 185'!AD532</f>
        <v>43574696.286782898</v>
      </c>
    </row>
    <row r="514" spans="1:6">
      <c r="A514" s="27">
        <f t="shared" si="53"/>
        <v>42.5</v>
      </c>
      <c r="B514" s="28">
        <f>'OptiMaxx plus'!$T$7+A514</f>
        <v>71.5</v>
      </c>
      <c r="C514" s="24">
        <f t="shared" si="56"/>
        <v>510</v>
      </c>
      <c r="D514" s="25">
        <f>+'No Deducible 93'!AD533</f>
        <v>43870439.881599873</v>
      </c>
      <c r="E514" s="25">
        <f>+'Deducible 151'!AD533</f>
        <v>41049003.119116299</v>
      </c>
      <c r="F514" s="25">
        <f>+'Deducible 185'!AD533</f>
        <v>43870439.881599873</v>
      </c>
    </row>
    <row r="515" spans="1:6">
      <c r="A515" s="27">
        <f t="shared" si="53"/>
        <v>42.583333333333336</v>
      </c>
      <c r="B515" s="28">
        <f>'OptiMaxx plus'!$T$7+A515</f>
        <v>71.583333333333343</v>
      </c>
      <c r="C515" s="24">
        <f t="shared" si="56"/>
        <v>511</v>
      </c>
      <c r="D515" s="25">
        <f>+'No Deducible 93'!AD534</f>
        <v>44185270.281854965</v>
      </c>
      <c r="E515" s="25">
        <f>+'Deducible 151'!AD534</f>
        <v>41337589.55055324</v>
      </c>
      <c r="F515" s="25">
        <f>+'Deducible 185'!AD534</f>
        <v>44185270.281854965</v>
      </c>
    </row>
    <row r="516" spans="1:6">
      <c r="A516" s="27">
        <f t="shared" si="53"/>
        <v>42.666666666666664</v>
      </c>
      <c r="B516" s="28">
        <f>'OptiMaxx plus'!$T$7+A516</f>
        <v>71.666666666666657</v>
      </c>
      <c r="C516" s="24">
        <f t="shared" si="56"/>
        <v>512</v>
      </c>
      <c r="D516" s="25">
        <f>+'No Deducible 93'!AD535</f>
        <v>44502291.038404487</v>
      </c>
      <c r="E516" s="25">
        <f>+'Deducible 151'!AD535</f>
        <v>41628137.566863537</v>
      </c>
      <c r="F516" s="25">
        <f>+'Deducible 185'!AD535</f>
        <v>44502291.038404487</v>
      </c>
    </row>
    <row r="517" spans="1:6">
      <c r="A517" s="27">
        <f t="shared" si="53"/>
        <v>42.75</v>
      </c>
      <c r="B517" s="28">
        <f>'OptiMaxx plus'!$T$7+A517</f>
        <v>71.75</v>
      </c>
      <c r="C517" s="24">
        <f t="shared" si="56"/>
        <v>513</v>
      </c>
      <c r="D517" s="25">
        <f>+'No Deducible 93'!AD536</f>
        <v>44804302.686687037</v>
      </c>
      <c r="E517" s="25">
        <f>+'Deducible 151'!AD536</f>
        <v>41905349.377960034</v>
      </c>
      <c r="F517" s="25">
        <f>+'Deducible 185'!AD536</f>
        <v>44804302.686687037</v>
      </c>
    </row>
    <row r="518" spans="1:6">
      <c r="A518" s="27">
        <f t="shared" ref="A518:A568" si="57">+C518/12</f>
        <v>42.833333333333336</v>
      </c>
      <c r="B518" s="28">
        <f>'OptiMaxx plus'!$T$7+A518</f>
        <v>71.833333333333343</v>
      </c>
      <c r="C518" s="24">
        <f t="shared" si="56"/>
        <v>514</v>
      </c>
      <c r="D518" s="25">
        <f>+'No Deducible 93'!AD537</f>
        <v>45125634.215881504</v>
      </c>
      <c r="E518" s="25">
        <f>+'Deducible 151'!AD537</f>
        <v>42199759.745563239</v>
      </c>
      <c r="F518" s="25">
        <f>+'Deducible 185'!AD537</f>
        <v>45125634.215881504</v>
      </c>
    </row>
    <row r="519" spans="1:6">
      <c r="A519" s="27">
        <f t="shared" si="57"/>
        <v>42.916666666666664</v>
      </c>
      <c r="B519" s="28">
        <f>'OptiMaxx plus'!$T$7+A519</f>
        <v>71.916666666666657</v>
      </c>
      <c r="C519" s="24">
        <f t="shared" si="56"/>
        <v>515</v>
      </c>
      <c r="D519" s="25">
        <f>+'No Deducible 93'!AD538</f>
        <v>45449201.362564318</v>
      </c>
      <c r="E519" s="25">
        <f>+'Deducible 151'!AD538</f>
        <v>42496171.308167875</v>
      </c>
      <c r="F519" s="25">
        <f>+'Deducible 185'!AD538</f>
        <v>45449201.362564318</v>
      </c>
    </row>
    <row r="520" spans="1:6">
      <c r="A520" s="27">
        <f t="shared" si="57"/>
        <v>43</v>
      </c>
      <c r="B520" s="28">
        <f>'OptiMaxx plus'!$T$7+A520</f>
        <v>72</v>
      </c>
      <c r="C520" s="24">
        <f t="shared" si="56"/>
        <v>516</v>
      </c>
      <c r="D520" s="25">
        <f>+'No Deducible 93'!AD539</f>
        <v>45757613.451827481</v>
      </c>
      <c r="E520" s="25">
        <f>+'Deducible 151'!AD539</f>
        <v>42779136.931896038</v>
      </c>
      <c r="F520" s="25">
        <f>+'Deducible 185'!AD539</f>
        <v>45757613.451827481</v>
      </c>
    </row>
    <row r="521" spans="1:6">
      <c r="A521" s="27">
        <f t="shared" si="57"/>
        <v>43.083333333333336</v>
      </c>
      <c r="B521" s="28">
        <f>'OptiMaxx plus'!$T$7+A521</f>
        <v>72.083333333333343</v>
      </c>
      <c r="C521" s="24">
        <f t="shared" si="56"/>
        <v>517</v>
      </c>
      <c r="D521" s="25">
        <f>+'No Deducible 93'!AD540</f>
        <v>46085565.718925275</v>
      </c>
      <c r="E521" s="25">
        <f>+'Deducible 151'!AD540</f>
        <v>43079471.550552718</v>
      </c>
      <c r="F521" s="25">
        <f>+'Deducible 185'!AD540</f>
        <v>46085565.718925275</v>
      </c>
    </row>
    <row r="522" spans="1:6">
      <c r="A522" s="27">
        <f t="shared" si="57"/>
        <v>43.166666666666664</v>
      </c>
      <c r="B522" s="28">
        <f>'OptiMaxx plus'!$T$7+A522</f>
        <v>72.166666666666657</v>
      </c>
      <c r="C522" s="24">
        <f t="shared" si="56"/>
        <v>518</v>
      </c>
      <c r="D522" s="25">
        <f>+'No Deducible 93'!AD541</f>
        <v>46415799.697666109</v>
      </c>
      <c r="E522" s="25">
        <f>+'Deducible 151'!AD541</f>
        <v>43381847.656769238</v>
      </c>
      <c r="F522" s="25">
        <f>+'Deducible 185'!AD541</f>
        <v>46415799.697666109</v>
      </c>
    </row>
    <row r="523" spans="1:6">
      <c r="A523" s="27">
        <f t="shared" si="57"/>
        <v>43.25</v>
      </c>
      <c r="B523" s="28">
        <f>'OptiMaxx plus'!$T$7+A523</f>
        <v>72.25</v>
      </c>
      <c r="C523" s="24">
        <f t="shared" si="56"/>
        <v>519</v>
      </c>
      <c r="D523" s="25">
        <f>+'No Deducible 93'!AD542</f>
        <v>46730731.357813135</v>
      </c>
      <c r="E523" s="25">
        <f>+'Deducible 151'!AD542</f>
        <v>43670667.315112509</v>
      </c>
      <c r="F523" s="25">
        <f>+'Deducible 185'!AD542</f>
        <v>46730731.357813135</v>
      </c>
    </row>
    <row r="524" spans="1:6">
      <c r="A524" s="27">
        <f t="shared" si="57"/>
        <v>43.333333333333336</v>
      </c>
      <c r="B524" s="28">
        <f>'OptiMaxx plus'!$T$7+A524</f>
        <v>72.333333333333343</v>
      </c>
      <c r="C524" s="24">
        <f t="shared" si="56"/>
        <v>520</v>
      </c>
      <c r="D524" s="25">
        <f>+'No Deducible 93'!AD543</f>
        <v>47065458.12870951</v>
      </c>
      <c r="E524" s="25">
        <f>+'Deducible 151'!AD543</f>
        <v>43977065.228756256</v>
      </c>
      <c r="F524" s="25">
        <f>+'Deducible 185'!AD543</f>
        <v>47065458.12870951</v>
      </c>
    </row>
    <row r="525" spans="1:6">
      <c r="A525" s="27">
        <f t="shared" si="57"/>
        <v>43.416666666666664</v>
      </c>
      <c r="B525" s="28">
        <f>'OptiMaxx plus'!$T$7+A525</f>
        <v>72.416666666666657</v>
      </c>
      <c r="C525" s="24">
        <f t="shared" si="56"/>
        <v>521</v>
      </c>
      <c r="D525" s="25">
        <f>+'No Deducible 93'!AD544</f>
        <v>47402513.776304789</v>
      </c>
      <c r="E525" s="25">
        <f>+'Deducible 151'!AD544</f>
        <v>44285545.868493631</v>
      </c>
      <c r="F525" s="25">
        <f>+'Deducible 185'!AD544</f>
        <v>47402513.776304789</v>
      </c>
    </row>
    <row r="526" spans="1:6">
      <c r="A526" s="27">
        <f t="shared" si="57"/>
        <v>43.5</v>
      </c>
      <c r="B526" s="28">
        <f>'OptiMaxx plus'!$T$7+A526</f>
        <v>72.5</v>
      </c>
      <c r="C526" s="24">
        <f t="shared" si="56"/>
        <v>522</v>
      </c>
      <c r="D526" s="25">
        <f>+'No Deducible 93'!AD545</f>
        <v>47724118.747353278</v>
      </c>
      <c r="E526" s="25">
        <f>+'Deducible 151'!AD545</f>
        <v>44580359.027066387</v>
      </c>
      <c r="F526" s="25">
        <f>+'Deducible 185'!AD545</f>
        <v>47724118.747353278</v>
      </c>
    </row>
    <row r="527" spans="1:6">
      <c r="A527" s="27">
        <f t="shared" si="57"/>
        <v>43.583333333333336</v>
      </c>
      <c r="B527" s="28">
        <f>'OptiMaxx plus'!$T$7+A527</f>
        <v>72.583333333333343</v>
      </c>
      <c r="C527" s="24">
        <f t="shared" si="56"/>
        <v>523</v>
      </c>
      <c r="D527" s="25">
        <f>+'No Deducible 93'!AD546</f>
        <v>48065761.180698015</v>
      </c>
      <c r="E527" s="25">
        <f>+'Deducible 151'!AD546</f>
        <v>44892943.788436294</v>
      </c>
      <c r="F527" s="25">
        <f>+'Deducible 185'!AD546</f>
        <v>48065761.180698015</v>
      </c>
    </row>
    <row r="528" spans="1:6">
      <c r="A528" s="27">
        <f t="shared" si="57"/>
        <v>43.666666666666664</v>
      </c>
      <c r="B528" s="28">
        <f>'OptiMaxx plus'!$T$7+A528</f>
        <v>72.666666666666657</v>
      </c>
      <c r="C528" s="24">
        <f t="shared" si="56"/>
        <v>524</v>
      </c>
      <c r="D528" s="25">
        <f>+'No Deducible 93'!AD547</f>
        <v>48409780.638872124</v>
      </c>
      <c r="E528" s="25">
        <f>+'Deducible 151'!AD547</f>
        <v>45207653.354991168</v>
      </c>
      <c r="F528" s="25">
        <f>+'Deducible 185'!AD547</f>
        <v>48409780.638872124</v>
      </c>
    </row>
    <row r="529" spans="1:6">
      <c r="A529" s="27">
        <f t="shared" si="57"/>
        <v>43.75</v>
      </c>
      <c r="B529" s="28">
        <f>'OptiMaxx plus'!$T$7+A529</f>
        <v>72.75</v>
      </c>
      <c r="C529" s="24">
        <f t="shared" si="56"/>
        <v>525</v>
      </c>
      <c r="D529" s="25">
        <f>+'No Deducible 93'!AD548</f>
        <v>48738199.852695979</v>
      </c>
      <c r="E529" s="25">
        <f>+'Deducible 151'!AD548</f>
        <v>45508583.76222159</v>
      </c>
      <c r="F529" s="25">
        <f>+'Deducible 185'!AD548</f>
        <v>48738199.852695979</v>
      </c>
    </row>
    <row r="530" spans="1:6">
      <c r="A530" s="27">
        <f t="shared" si="57"/>
        <v>43.833333333333336</v>
      </c>
      <c r="B530" s="28">
        <f>'OptiMaxx plus'!$T$7+A530</f>
        <v>72.833333333333343</v>
      </c>
      <c r="C530" s="24">
        <f t="shared" si="56"/>
        <v>526</v>
      </c>
      <c r="D530" s="25">
        <f>+'No Deducible 93'!AD549</f>
        <v>49086902.062011205</v>
      </c>
      <c r="E530" s="25">
        <f>+'Deducible 151'!AD549</f>
        <v>45827481.453080989</v>
      </c>
      <c r="F530" s="25">
        <f>+'Deducible 185'!AD549</f>
        <v>49086902.062011205</v>
      </c>
    </row>
    <row r="531" spans="1:6">
      <c r="A531" s="27">
        <f t="shared" si="57"/>
        <v>43.916666666666664</v>
      </c>
      <c r="B531" s="28">
        <f>'OptiMaxx plus'!$T$7+A531</f>
        <v>72.916666666666657</v>
      </c>
      <c r="C531" s="24">
        <f t="shared" si="56"/>
        <v>527</v>
      </c>
      <c r="D531" s="25">
        <f>+'No Deducible 93'!AD550</f>
        <v>49438030.44794248</v>
      </c>
      <c r="E531" s="25">
        <f>+'Deducible 151'!AD550</f>
        <v>46148546.885982029</v>
      </c>
      <c r="F531" s="25">
        <f>+'Deducible 185'!AD550</f>
        <v>49438030.44794248</v>
      </c>
    </row>
    <row r="532" spans="1:6">
      <c r="A532" s="27">
        <f t="shared" si="57"/>
        <v>44</v>
      </c>
      <c r="B532" s="28">
        <f>'OptiMaxx plus'!$T$7+A532</f>
        <v>73</v>
      </c>
      <c r="C532" s="24">
        <f t="shared" si="56"/>
        <v>528</v>
      </c>
      <c r="D532" s="25">
        <f>+'No Deducible 93'!AD551</f>
        <v>49773407.807680413</v>
      </c>
      <c r="E532" s="25">
        <f>+'Deducible 151'!AD551</f>
        <v>46455720.839275293</v>
      </c>
      <c r="F532" s="25">
        <f>+'Deducible 185'!AD551</f>
        <v>49773407.807680413</v>
      </c>
    </row>
    <row r="533" spans="1:6">
      <c r="A533" s="27">
        <f t="shared" si="57"/>
        <v>44.083333333333336</v>
      </c>
      <c r="B533" s="28">
        <f>'OptiMaxx plus'!$T$7+A533</f>
        <v>73.083333333333343</v>
      </c>
      <c r="C533" s="24">
        <f t="shared" si="56"/>
        <v>529</v>
      </c>
      <c r="D533" s="25">
        <f>+'No Deducible 93'!AD552</f>
        <v>50129300.462657124</v>
      </c>
      <c r="E533" s="25">
        <f>+'Deducible 151'!AD552</f>
        <v>46781041.050017297</v>
      </c>
      <c r="F533" s="25">
        <f>+'Deducible 185'!AD552</f>
        <v>50129300.462657124</v>
      </c>
    </row>
    <row r="534" spans="1:6">
      <c r="A534" s="27">
        <f t="shared" si="57"/>
        <v>44.166666666666664</v>
      </c>
      <c r="B534" s="28">
        <f>'OptiMaxx plus'!$T$7+A534</f>
        <v>73.166666666666657</v>
      </c>
      <c r="C534" s="24">
        <f t="shared" si="56"/>
        <v>530</v>
      </c>
      <c r="D534" s="25">
        <f>+'No Deducible 93'!AD553</f>
        <v>50487669.356038339</v>
      </c>
      <c r="E534" s="25">
        <f>+'Deducible 151'!AD553</f>
        <v>47108572.685198978</v>
      </c>
      <c r="F534" s="25">
        <f>+'Deducible 185'!AD553</f>
        <v>50487669.356038339</v>
      </c>
    </row>
    <row r="535" spans="1:6">
      <c r="A535" s="27">
        <f t="shared" si="57"/>
        <v>44.25</v>
      </c>
      <c r="B535" s="28">
        <f>'OptiMaxx plus'!$T$7+A535</f>
        <v>73.25</v>
      </c>
      <c r="C535" s="24">
        <f t="shared" si="56"/>
        <v>531</v>
      </c>
      <c r="D535" s="25">
        <f>+'No Deducible 93'!AD554</f>
        <v>50830135.107838131</v>
      </c>
      <c r="E535" s="25">
        <f>+'Deducible 151'!AD554</f>
        <v>47422099.750655912</v>
      </c>
      <c r="F535" s="25">
        <f>+'Deducible 185'!AD554</f>
        <v>50830135.107838131</v>
      </c>
    </row>
    <row r="536" spans="1:6">
      <c r="A536" s="27">
        <f t="shared" si="57"/>
        <v>44.333333333333336</v>
      </c>
      <c r="B536" s="28">
        <f>'OptiMaxx plus'!$T$7+A536</f>
        <v>73.333333333333343</v>
      </c>
      <c r="C536" s="24">
        <f t="shared" si="56"/>
        <v>532</v>
      </c>
      <c r="D536" s="25">
        <f>+'No Deducible 93'!AD555</f>
        <v>51193384.533367902</v>
      </c>
      <c r="E536" s="25">
        <f>+'Deducible 151'!AD555</f>
        <v>47753992.458058722</v>
      </c>
      <c r="F536" s="25">
        <f>+'Deducible 185'!AD555</f>
        <v>51193384.533367902</v>
      </c>
    </row>
    <row r="537" spans="1:6">
      <c r="A537" s="27">
        <f t="shared" si="57"/>
        <v>44.416666666666664</v>
      </c>
      <c r="B537" s="28">
        <f>'OptiMaxx plus'!$T$7+A537</f>
        <v>73.416666666666657</v>
      </c>
      <c r="C537" s="24">
        <f t="shared" si="56"/>
        <v>533</v>
      </c>
      <c r="D537" s="25">
        <f>+'No Deducible 93'!AD556</f>
        <v>51559161.417469896</v>
      </c>
      <c r="E537" s="25">
        <f>+'Deducible 151'!AD556</f>
        <v>48088141.292663567</v>
      </c>
      <c r="F537" s="25">
        <f>+'Deducible 185'!AD556</f>
        <v>51559161.417469896</v>
      </c>
    </row>
    <row r="538" spans="1:6">
      <c r="A538" s="27">
        <f t="shared" si="57"/>
        <v>44.5</v>
      </c>
      <c r="B538" s="28">
        <f>'OptiMaxx plus'!$T$7+A538</f>
        <v>73.5</v>
      </c>
      <c r="C538" s="24">
        <f t="shared" si="56"/>
        <v>534</v>
      </c>
      <c r="D538" s="25">
        <f>+'No Deducible 93'!AD557</f>
        <v>51908881.935679235</v>
      </c>
      <c r="E538" s="25">
        <f>+'Deducible 151'!AD557</f>
        <v>48408171.959419616</v>
      </c>
      <c r="F538" s="25">
        <f>+'Deducible 185'!AD557</f>
        <v>51908881.935679235</v>
      </c>
    </row>
    <row r="539" spans="1:6">
      <c r="A539" s="27">
        <f t="shared" si="57"/>
        <v>44.583333333333336</v>
      </c>
      <c r="B539" s="28">
        <f>'OptiMaxx plus'!$T$7+A539</f>
        <v>73.583333333333343</v>
      </c>
      <c r="C539" s="24">
        <f t="shared" si="56"/>
        <v>535</v>
      </c>
      <c r="D539" s="25">
        <f>+'No Deducible 93'!AD558</f>
        <v>52279641.479886949</v>
      </c>
      <c r="E539" s="25">
        <f>+'Deducible 151'!AD558</f>
        <v>48746771.139819548</v>
      </c>
      <c r="F539" s="25">
        <f>+'Deducible 185'!AD558</f>
        <v>52279641.479886949</v>
      </c>
    </row>
    <row r="540" spans="1:6">
      <c r="A540" s="27">
        <f t="shared" si="57"/>
        <v>44.666666666666664</v>
      </c>
      <c r="B540" s="28">
        <f>'OptiMaxx plus'!$T$7+A540</f>
        <v>73.666666666666657</v>
      </c>
      <c r="C540" s="24">
        <f t="shared" si="56"/>
        <v>536</v>
      </c>
      <c r="D540" s="25">
        <f>+'No Deducible 93'!AD559</f>
        <v>52652980.77081304</v>
      </c>
      <c r="E540" s="25">
        <f>+'Deducible 151'!AD559</f>
        <v>49087672.061664894</v>
      </c>
      <c r="F540" s="25">
        <f>+'Deducible 185'!AD559</f>
        <v>52652980.77081304</v>
      </c>
    </row>
    <row r="541" spans="1:6">
      <c r="A541" s="27">
        <f t="shared" si="57"/>
        <v>44.75</v>
      </c>
      <c r="B541" s="28">
        <f>'OptiMaxx plus'!$T$7+A541</f>
        <v>73.75</v>
      </c>
      <c r="C541" s="24">
        <f t="shared" si="56"/>
        <v>537</v>
      </c>
      <c r="D541" s="25">
        <f>+'No Deducible 93'!AD560</f>
        <v>53010109.245804682</v>
      </c>
      <c r="E541" s="25">
        <f>+'Deducible 151'!AD560</f>
        <v>49414340.58489421</v>
      </c>
      <c r="F541" s="25">
        <f>+'Deducible 185'!AD560</f>
        <v>53010109.245804682</v>
      </c>
    </row>
    <row r="542" spans="1:6">
      <c r="A542" s="27">
        <f t="shared" si="57"/>
        <v>44.833333333333336</v>
      </c>
      <c r="B542" s="28">
        <f>'OptiMaxx plus'!$T$7+A542</f>
        <v>73.833333333333343</v>
      </c>
      <c r="C542" s="24">
        <f t="shared" si="56"/>
        <v>538</v>
      </c>
      <c r="D542" s="25">
        <f>+'No Deducible 93'!AD561</f>
        <v>53388535.467486106</v>
      </c>
      <c r="E542" s="25">
        <f>+'Deducible 151'!AD561</f>
        <v>49759782.957482368</v>
      </c>
      <c r="F542" s="25">
        <f>+'Deducible 185'!AD561</f>
        <v>53388535.467486106</v>
      </c>
    </row>
    <row r="543" spans="1:6">
      <c r="A543" s="27">
        <f t="shared" si="57"/>
        <v>44.916666666666664</v>
      </c>
      <c r="B543" s="28">
        <f>'OptiMaxx plus'!$T$7+A543</f>
        <v>73.916666666666657</v>
      </c>
      <c r="C543" s="24">
        <f t="shared" si="56"/>
        <v>539</v>
      </c>
      <c r="D543" s="25">
        <f>+'No Deducible 93'!AD562</f>
        <v>53769594.81437397</v>
      </c>
      <c r="E543" s="25">
        <f>+'Deducible 151'!AD562</f>
        <v>50107573.615903147</v>
      </c>
      <c r="F543" s="25">
        <f>+'Deducible 185'!AD562</f>
        <v>53769594.81437397</v>
      </c>
    </row>
    <row r="544" spans="1:6">
      <c r="A544" s="27">
        <f t="shared" si="57"/>
        <v>45</v>
      </c>
      <c r="B544" s="28">
        <f>'OptiMaxx plus'!$T$7+A544</f>
        <v>74</v>
      </c>
      <c r="C544" s="24">
        <f t="shared" si="56"/>
        <v>540</v>
      </c>
      <c r="D544" s="25">
        <f>+'No Deducible 93'!AD563</f>
        <v>54134287.666003317</v>
      </c>
      <c r="E544" s="25">
        <f>+'Deducible 151'!AD563</f>
        <v>50441017.015928492</v>
      </c>
      <c r="F544" s="25">
        <f>+'Deducible 185'!AD563</f>
        <v>54134287.666003317</v>
      </c>
    </row>
    <row r="545" spans="1:6">
      <c r="A545" s="27">
        <f t="shared" si="57"/>
        <v>45.083333333333336</v>
      </c>
      <c r="B545" s="28">
        <f>'OptiMaxx plus'!$T$7+A545</f>
        <v>74.083333333333343</v>
      </c>
      <c r="C545" s="24">
        <f t="shared" si="56"/>
        <v>541</v>
      </c>
      <c r="D545" s="25">
        <f>+'No Deducible 93'!AD564</f>
        <v>54520523.282868169</v>
      </c>
      <c r="E545" s="25">
        <f>+'Deducible 151'!AD564</f>
        <v>50793422.263856269</v>
      </c>
      <c r="F545" s="25">
        <f>+'Deducible 185'!AD564</f>
        <v>54520523.282868169</v>
      </c>
    </row>
    <row r="546" spans="1:6">
      <c r="A546" s="27">
        <f t="shared" si="57"/>
        <v>45.166666666666664</v>
      </c>
      <c r="B546" s="28">
        <f>'OptiMaxx plus'!$T$7+A546</f>
        <v>74.166666666666657</v>
      </c>
      <c r="C546" s="24">
        <f t="shared" si="56"/>
        <v>542</v>
      </c>
      <c r="D546" s="25">
        <f>+'No Deducible 93'!AD565</f>
        <v>54909446.39734754</v>
      </c>
      <c r="E546" s="25">
        <f>+'Deducible 151'!AD565</f>
        <v>51148223.156217307</v>
      </c>
      <c r="F546" s="25">
        <f>+'Deducible 185'!AD565</f>
        <v>54909446.39734754</v>
      </c>
    </row>
    <row r="547" spans="1:6">
      <c r="A547" s="27">
        <f t="shared" si="57"/>
        <v>45.25</v>
      </c>
      <c r="B547" s="28">
        <f>'OptiMaxx plus'!$T$7+A547</f>
        <v>74.25</v>
      </c>
      <c r="C547" s="24">
        <f t="shared" si="56"/>
        <v>543</v>
      </c>
      <c r="D547" s="25">
        <f>+'No Deducible 93'!AD566</f>
        <v>55281845.984499983</v>
      </c>
      <c r="E547" s="25">
        <f>+'Deducible 151'!AD566</f>
        <v>51488561.169364996</v>
      </c>
      <c r="F547" s="25">
        <f>+'Deducible 185'!AD566</f>
        <v>55281845.984499983</v>
      </c>
    </row>
    <row r="548" spans="1:6">
      <c r="A548" s="27">
        <f t="shared" si="57"/>
        <v>45.333333333333336</v>
      </c>
      <c r="B548" s="28">
        <f>'OptiMaxx plus'!$T$7+A548</f>
        <v>74.333333333333343</v>
      </c>
      <c r="C548" s="24">
        <f t="shared" si="56"/>
        <v>544</v>
      </c>
      <c r="D548" s="25">
        <f>+'No Deducible 93'!AD567</f>
        <v>55676070.939120464</v>
      </c>
      <c r="E548" s="25">
        <f>+'Deducible 151'!AD567</f>
        <v>51848091.094973192</v>
      </c>
      <c r="F548" s="25">
        <f>+'Deducible 185'!AD567</f>
        <v>55676070.939120464</v>
      </c>
    </row>
    <row r="549" spans="1:6">
      <c r="A549" s="27">
        <f t="shared" si="57"/>
        <v>45.416666666666664</v>
      </c>
      <c r="B549" s="28">
        <f>'OptiMaxx plus'!$T$7+A549</f>
        <v>74.416666666666657</v>
      </c>
      <c r="C549" s="24">
        <f t="shared" si="56"/>
        <v>545</v>
      </c>
      <c r="D549" s="25">
        <f>+'No Deducible 93'!AD568</f>
        <v>56073039.016995482</v>
      </c>
      <c r="E549" s="25">
        <f>+'Deducible 151'!AD568</f>
        <v>52210065.124443047</v>
      </c>
      <c r="F549" s="25">
        <f>+'Deducible 185'!AD568</f>
        <v>56073039.016995482</v>
      </c>
    </row>
    <row r="550" spans="1:6">
      <c r="A550" s="27">
        <f t="shared" si="57"/>
        <v>45.5</v>
      </c>
      <c r="B550" s="28">
        <f>'OptiMaxx plus'!$T$7+A550</f>
        <v>74.5</v>
      </c>
      <c r="C550" s="24">
        <f t="shared" si="56"/>
        <v>546</v>
      </c>
      <c r="D550" s="25">
        <f>+'No Deducible 93'!AD569</f>
        <v>56453325.417179763</v>
      </c>
      <c r="E550" s="25">
        <f>+'Deducible 151'!AD569</f>
        <v>52557460.165951215</v>
      </c>
      <c r="F550" s="25">
        <f>+'Deducible 185'!AD569</f>
        <v>56453325.417179763</v>
      </c>
    </row>
    <row r="551" spans="1:6">
      <c r="A551" s="27">
        <f t="shared" si="57"/>
        <v>45.583333333333336</v>
      </c>
      <c r="B551" s="28">
        <f>'OptiMaxx plus'!$T$7+A551</f>
        <v>74.583333333333343</v>
      </c>
      <c r="C551" s="24">
        <f t="shared" si="56"/>
        <v>547</v>
      </c>
      <c r="D551" s="25">
        <f>+'No Deducible 93'!AD570</f>
        <v>56855706.302762397</v>
      </c>
      <c r="E551" s="25">
        <f>+'Deducible 151'!AD570</f>
        <v>52924260.050881878</v>
      </c>
      <c r="F551" s="25">
        <f>+'Deducible 185'!AD570</f>
        <v>56855706.302762397</v>
      </c>
    </row>
    <row r="552" spans="1:6">
      <c r="A552" s="27">
        <f t="shared" si="57"/>
        <v>45.666666666666664</v>
      </c>
      <c r="B552" s="28">
        <f>'OptiMaxx plus'!$T$7+A552</f>
        <v>74.666666666666657</v>
      </c>
      <c r="C552" s="24">
        <f t="shared" si="56"/>
        <v>548</v>
      </c>
      <c r="D552" s="25">
        <f>+'No Deducible 93'!AD571</f>
        <v>57260887.097475015</v>
      </c>
      <c r="E552" s="25">
        <f>+'Deducible 151'!AD571</f>
        <v>53293553.487506732</v>
      </c>
      <c r="F552" s="25">
        <f>+'Deducible 185'!AD571</f>
        <v>57260887.097475015</v>
      </c>
    </row>
    <row r="553" spans="1:6">
      <c r="A553" s="27">
        <f t="shared" si="57"/>
        <v>45.75</v>
      </c>
      <c r="B553" s="28">
        <f>'OptiMaxx plus'!$T$7+A553</f>
        <v>74.75</v>
      </c>
      <c r="C553" s="24">
        <f t="shared" si="56"/>
        <v>549</v>
      </c>
      <c r="D553" s="25">
        <f>+'No Deducible 93'!AD572</f>
        <v>57649226.825219415</v>
      </c>
      <c r="E553" s="25">
        <f>+'Deducible 151'!AD572</f>
        <v>53648151.210694537</v>
      </c>
      <c r="F553" s="25">
        <f>+'Deducible 185'!AD572</f>
        <v>57649226.825219415</v>
      </c>
    </row>
    <row r="554" spans="1:6">
      <c r="A554" s="27">
        <f t="shared" si="57"/>
        <v>45.833333333333336</v>
      </c>
      <c r="B554" s="28">
        <f>'OptiMaxx plus'!$T$7+A554</f>
        <v>74.833333333333343</v>
      </c>
      <c r="C554" s="24">
        <f t="shared" si="56"/>
        <v>550</v>
      </c>
      <c r="D554" s="25">
        <f>+'No Deducible 93'!AD573</f>
        <v>58059933.723621376</v>
      </c>
      <c r="E554" s="25">
        <f>+'Deducible 151'!AD573</f>
        <v>54022369.311381102</v>
      </c>
      <c r="F554" s="25">
        <f>+'Deducible 185'!AD573</f>
        <v>58059933.723621376</v>
      </c>
    </row>
    <row r="555" spans="1:6">
      <c r="A555" s="27">
        <f t="shared" si="57"/>
        <v>45.916666666666664</v>
      </c>
      <c r="B555" s="28">
        <f>'OptiMaxx plus'!$T$7+A555</f>
        <v>74.916666666666657</v>
      </c>
      <c r="C555" s="24">
        <f t="shared" si="56"/>
        <v>551</v>
      </c>
      <c r="D555" s="25">
        <f>+'No Deducible 93'!AD574</f>
        <v>58473498.501563974</v>
      </c>
      <c r="E555" s="25">
        <f>+'Deducible 151'!AD574</f>
        <v>54399131.420239568</v>
      </c>
      <c r="F555" s="25">
        <f>+'Deducible 185'!AD574</f>
        <v>58473498.501563974</v>
      </c>
    </row>
    <row r="556" spans="1:6">
      <c r="A556" s="27">
        <f t="shared" si="57"/>
        <v>46</v>
      </c>
      <c r="B556" s="28">
        <f>'OptiMaxx plus'!$T$7+A556</f>
        <v>75</v>
      </c>
      <c r="C556" s="24">
        <f t="shared" si="56"/>
        <v>552</v>
      </c>
      <c r="D556" s="25">
        <f>+'No Deducible 93'!AD575</f>
        <v>58870061.581534624</v>
      </c>
      <c r="E556" s="25">
        <f>+'Deducible 151'!AD575</f>
        <v>54761080.478076816</v>
      </c>
      <c r="F556" s="25">
        <f>+'Deducible 185'!AD575</f>
        <v>58870061.581534624</v>
      </c>
    </row>
    <row r="557" spans="1:6">
      <c r="A557" s="27">
        <f t="shared" si="57"/>
        <v>46.083333333333336</v>
      </c>
      <c r="B557" s="28">
        <f>'OptiMaxx plus'!$T$7+A557</f>
        <v>75.083333333333343</v>
      </c>
      <c r="C557" s="24">
        <f t="shared" si="56"/>
        <v>553</v>
      </c>
      <c r="D557" s="25">
        <f>+'No Deducible 93'!AD576</f>
        <v>59289250.332582578</v>
      </c>
      <c r="E557" s="25">
        <f>+'Deducible 151'!AD576</f>
        <v>55142847.458206058</v>
      </c>
      <c r="F557" s="25">
        <f>+'Deducible 185'!AD576</f>
        <v>59289250.332582578</v>
      </c>
    </row>
    <row r="558" spans="1:6">
      <c r="A558" s="27">
        <f t="shared" si="57"/>
        <v>46.166666666666664</v>
      </c>
      <c r="B558" s="28">
        <f>'OptiMaxx plus'!$T$7+A558</f>
        <v>75.166666666666657</v>
      </c>
      <c r="C558" s="24">
        <f t="shared" si="56"/>
        <v>554</v>
      </c>
      <c r="D558" s="25">
        <f>+'No Deducible 93'!AD577</f>
        <v>59711356.018902063</v>
      </c>
      <c r="E558" s="25">
        <f>+'Deducible 151'!AD577</f>
        <v>55527209.791911267</v>
      </c>
      <c r="F558" s="25">
        <f>+'Deducible 185'!AD577</f>
        <v>59711356.018902063</v>
      </c>
    </row>
    <row r="559" spans="1:6">
      <c r="A559" s="27">
        <f t="shared" si="57"/>
        <v>46.25</v>
      </c>
      <c r="B559" s="28">
        <f>'OptiMaxx plus'!$T$7+A559</f>
        <v>75.25</v>
      </c>
      <c r="C559" s="24">
        <f t="shared" si="56"/>
        <v>555</v>
      </c>
      <c r="D559" s="25">
        <f>+'No Deducible 93'!AD578</f>
        <v>60116298.007020131</v>
      </c>
      <c r="E559" s="25">
        <f>+'Deducible 151'!AD578</f>
        <v>55896640.988453969</v>
      </c>
      <c r="F559" s="25">
        <f>+'Deducible 185'!AD578</f>
        <v>60116298.007020131</v>
      </c>
    </row>
    <row r="560" spans="1:6">
      <c r="A560" s="27">
        <f t="shared" si="57"/>
        <v>46.333333333333336</v>
      </c>
      <c r="B560" s="28">
        <f>'OptiMaxx plus'!$T$7+A560</f>
        <v>75.333333333333343</v>
      </c>
      <c r="C560" s="24">
        <f t="shared" si="56"/>
        <v>556</v>
      </c>
      <c r="D560" s="25">
        <f>+'No Deducible 93'!AD579</f>
        <v>60544163.320309043</v>
      </c>
      <c r="E560" s="25">
        <f>+'Deducible 151'!AD579</f>
        <v>56286131.442968048</v>
      </c>
      <c r="F560" s="25">
        <f>+'Deducible 185'!AD579</f>
        <v>60544163.320309043</v>
      </c>
    </row>
    <row r="561" spans="1:6">
      <c r="A561" s="27">
        <f t="shared" si="57"/>
        <v>46.416666666666664</v>
      </c>
      <c r="B561" s="28">
        <f>'OptiMaxx plus'!$T$7+A561</f>
        <v>75.416666666666657</v>
      </c>
      <c r="C561" s="24">
        <f t="shared" si="56"/>
        <v>557</v>
      </c>
      <c r="D561" s="25">
        <f>+'No Deducible 93'!AD580</f>
        <v>60975005.980691105</v>
      </c>
      <c r="E561" s="25">
        <f>+'Deducible 151'!AD580</f>
        <v>56678269.784333669</v>
      </c>
      <c r="F561" s="25">
        <f>+'Deducible 185'!AD580</f>
        <v>60975005.980691105</v>
      </c>
    </row>
    <row r="562" spans="1:6">
      <c r="A562" s="27">
        <f t="shared" si="57"/>
        <v>46.5</v>
      </c>
      <c r="B562" s="28">
        <f>'OptiMaxx plus'!$T$7+A562</f>
        <v>75.5</v>
      </c>
      <c r="C562" s="24">
        <f t="shared" si="56"/>
        <v>558</v>
      </c>
      <c r="D562" s="25">
        <f>+'No Deducible 93'!AD581</f>
        <v>61388521.818165123</v>
      </c>
      <c r="E562" s="25">
        <f>+'Deducible 151'!AD581</f>
        <v>57055358.438747652</v>
      </c>
      <c r="F562" s="25">
        <f>+'Deducible 185'!AD581</f>
        <v>61388521.818165123</v>
      </c>
    </row>
    <row r="563" spans="1:6">
      <c r="A563" s="27">
        <f t="shared" si="57"/>
        <v>46.583333333333336</v>
      </c>
      <c r="B563" s="28">
        <f>'OptiMaxx plus'!$T$7+A563</f>
        <v>75.583333333333343</v>
      </c>
      <c r="C563" s="24">
        <f t="shared" si="56"/>
        <v>559</v>
      </c>
      <c r="D563" s="25">
        <f>+'No Deducible 93'!AD582</f>
        <v>61825244.679140843</v>
      </c>
      <c r="E563" s="25">
        <f>+'Deducible 151'!AD582</f>
        <v>57452729.910976961</v>
      </c>
      <c r="F563" s="25">
        <f>+'Deducible 185'!AD582</f>
        <v>61825244.679140843</v>
      </c>
    </row>
    <row r="564" spans="1:6">
      <c r="A564" s="27">
        <f t="shared" si="57"/>
        <v>46.666666666666664</v>
      </c>
      <c r="B564" s="28">
        <f>'OptiMaxx plus'!$T$7+A564</f>
        <v>75.666666666666657</v>
      </c>
      <c r="C564" s="24">
        <f t="shared" si="56"/>
        <v>560</v>
      </c>
      <c r="D564" s="25">
        <f>+'No Deducible 93'!AD583</f>
        <v>62265006.559514627</v>
      </c>
      <c r="E564" s="25">
        <f>+'Deducible 151'!AD583</f>
        <v>57852802.875168435</v>
      </c>
      <c r="F564" s="25">
        <f>+'Deducible 185'!AD583</f>
        <v>62265006.559514627</v>
      </c>
    </row>
    <row r="565" spans="1:6">
      <c r="A565" s="27">
        <f t="shared" si="57"/>
        <v>46.75</v>
      </c>
      <c r="B565" s="28">
        <f>'OptiMaxx plus'!$T$7+A565</f>
        <v>75.75</v>
      </c>
      <c r="C565" s="24">
        <f t="shared" si="56"/>
        <v>561</v>
      </c>
      <c r="D565" s="25">
        <f>+'No Deducible 93'!AD584</f>
        <v>62687277.243296221</v>
      </c>
      <c r="E565" s="25">
        <f>+'Deducible 151'!AD584</f>
        <v>58237707.00591749</v>
      </c>
      <c r="F565" s="25">
        <f>+'Deducible 185'!AD584</f>
        <v>62687277.243296221</v>
      </c>
    </row>
    <row r="566" spans="1:6">
      <c r="A566" s="27">
        <f t="shared" si="57"/>
        <v>46.833333333333336</v>
      </c>
      <c r="B566" s="28">
        <f>'OptiMaxx plus'!$T$7+A566</f>
        <v>75.833333333333343</v>
      </c>
      <c r="C566" s="24">
        <f t="shared" si="56"/>
        <v>562</v>
      </c>
      <c r="D566" s="25">
        <f>+'No Deducible 93'!AD585</f>
        <v>63133042.428141281</v>
      </c>
      <c r="E566" s="25">
        <f>+'Deducible 151'!AD585</f>
        <v>58643120.265560724</v>
      </c>
      <c r="F566" s="25">
        <f>+'Deducible 185'!AD585</f>
        <v>63133042.428141281</v>
      </c>
    </row>
    <row r="567" spans="1:6">
      <c r="A567" s="27">
        <f t="shared" si="57"/>
        <v>46.916666666666664</v>
      </c>
      <c r="B567" s="28">
        <f>'OptiMaxx plus'!$T$7+A567</f>
        <v>75.916666666666657</v>
      </c>
      <c r="C567" s="24">
        <f t="shared" si="56"/>
        <v>563</v>
      </c>
      <c r="D567" s="25">
        <f>+'No Deducible 93'!AD586</f>
        <v>63581909.591576703</v>
      </c>
      <c r="E567" s="25">
        <f>+'Deducible 151'!AD586</f>
        <v>59051289.716064654</v>
      </c>
      <c r="F567" s="25">
        <f>+'Deducible 185'!AD586</f>
        <v>63581909.591576703</v>
      </c>
    </row>
    <row r="568" spans="1:6">
      <c r="A568" s="27">
        <f t="shared" si="57"/>
        <v>47</v>
      </c>
      <c r="B568" s="28">
        <f>'OptiMaxx plus'!$T$7+A568</f>
        <v>76</v>
      </c>
      <c r="C568" s="24">
        <f>+C567+1</f>
        <v>564</v>
      </c>
      <c r="D568" s="25">
        <f>+'No Deducible 93'!AD587</f>
        <v>64013119.933797166</v>
      </c>
      <c r="E568" s="25">
        <f>+'Deducible 151'!AD587</f>
        <v>59444170.595649779</v>
      </c>
      <c r="F568" s="25">
        <f>+'Deducible 185'!AD587</f>
        <v>64013119.933797166</v>
      </c>
    </row>
  </sheetData>
  <mergeCells count="16">
    <mergeCell ref="AI25:AN32"/>
    <mergeCell ref="AY19:BC23"/>
    <mergeCell ref="AO25:AS28"/>
    <mergeCell ref="A2:F2"/>
    <mergeCell ref="H2:K2"/>
    <mergeCell ref="M2:R2"/>
    <mergeCell ref="T2:W2"/>
    <mergeCell ref="AI13:AN17"/>
    <mergeCell ref="AB1:AB3"/>
    <mergeCell ref="AO13:AS17"/>
    <mergeCell ref="BD19:BH23"/>
    <mergeCell ref="BI19:BJ23"/>
    <mergeCell ref="AT13:AX17"/>
    <mergeCell ref="AI19:AN23"/>
    <mergeCell ref="AO19:AS22"/>
    <mergeCell ref="AT19:AX23"/>
  </mergeCells>
  <phoneticPr fontId="0" type="noConversion"/>
  <pageMargins left="0.75" right="0.75" top="1" bottom="1" header="0" footer="0"/>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
  <sheetViews>
    <sheetView workbookViewId="0">
      <selection activeCell="T12" sqref="T12:X12"/>
    </sheetView>
  </sheetViews>
  <sheetFormatPr baseColWidth="10" defaultRowHeight="12.7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
  <sheetViews>
    <sheetView workbookViewId="0"/>
  </sheetViews>
  <sheetFormatPr baseColWidth="10"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OptiMaxx plus</vt:lpstr>
      <vt:lpstr>No Deducible 93</vt:lpstr>
      <vt:lpstr>Deducible 151</vt:lpstr>
      <vt:lpstr>Deducible 185</vt:lpstr>
      <vt:lpstr>Bono</vt:lpstr>
      <vt:lpstr>Resumen</vt:lpstr>
      <vt:lpstr>Hoja1</vt:lpstr>
      <vt:lpstr>Hoja2</vt:lpstr>
      <vt:lpstr>'OptiMaxx plus'!Área_de_impresión</vt:lpstr>
    </vt:vector>
  </TitlesOfParts>
  <Company>Allianz México S.A. de C.V.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J_DECASO</dc:creator>
  <cp:lastModifiedBy>Martin</cp:lastModifiedBy>
  <cp:lastPrinted>2019-03-01T19:50:56Z</cp:lastPrinted>
  <dcterms:created xsi:type="dcterms:W3CDTF">2010-04-28T22:15:15Z</dcterms:created>
  <dcterms:modified xsi:type="dcterms:W3CDTF">2022-11-28T18:09:59Z</dcterms:modified>
</cp:coreProperties>
</file>